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U30" i="5"/>
  <c r="W30"/>
  <c r="AB18"/>
  <c r="AB17"/>
  <c r="AB16"/>
  <c r="AB15"/>
  <c r="AA29"/>
  <c r="AA26"/>
  <c r="AA24"/>
  <c r="AA22"/>
  <c r="Y29"/>
  <c r="Y26"/>
  <c r="Y24"/>
  <c r="X29"/>
  <c r="X26"/>
  <c r="X24"/>
  <c r="Y22"/>
  <c r="X22"/>
  <c r="X4" l="1"/>
  <c r="X5"/>
  <c r="X6"/>
  <c r="X7"/>
  <c r="X8"/>
  <c r="X9"/>
  <c r="X10"/>
  <c r="X11"/>
  <c r="X12"/>
  <c r="X13"/>
  <c r="Y4"/>
  <c r="Y5"/>
  <c r="Y6"/>
  <c r="Y7"/>
  <c r="Y8"/>
  <c r="Y9"/>
  <c r="Y10"/>
  <c r="Y11"/>
  <c r="Y12"/>
  <c r="Y13"/>
  <c r="T20" l="1"/>
  <c r="T21"/>
  <c r="T22"/>
  <c r="T23"/>
  <c r="T24"/>
  <c r="T25"/>
  <c r="T26"/>
  <c r="T27"/>
  <c r="T28"/>
  <c r="T29"/>
  <c r="AB29"/>
  <c r="AB28"/>
  <c r="AB27"/>
  <c r="AB26"/>
  <c r="AB25"/>
  <c r="AB24"/>
  <c r="AB23"/>
  <c r="AB22"/>
  <c r="AB21"/>
  <c r="AB20"/>
  <c r="AB19"/>
  <c r="N7"/>
  <c r="N8"/>
  <c r="N11"/>
  <c r="N12"/>
  <c r="P14"/>
  <c r="R14"/>
  <c r="AB13"/>
  <c r="Z13"/>
  <c r="Q13" s="1"/>
  <c r="S13"/>
  <c r="M13"/>
  <c r="K13"/>
  <c r="J13"/>
  <c r="I13"/>
  <c r="G13"/>
  <c r="F13"/>
  <c r="E13"/>
  <c r="D13"/>
  <c r="C13"/>
  <c r="A13"/>
  <c r="AB12"/>
  <c r="S12"/>
  <c r="M12"/>
  <c r="K12"/>
  <c r="J12"/>
  <c r="I12"/>
  <c r="G12"/>
  <c r="F12"/>
  <c r="E12"/>
  <c r="D12"/>
  <c r="C12"/>
  <c r="B12"/>
  <c r="A12"/>
  <c r="AB11"/>
  <c r="S11"/>
  <c r="M11"/>
  <c r="K11"/>
  <c r="J11"/>
  <c r="I11"/>
  <c r="G11"/>
  <c r="F11"/>
  <c r="E11"/>
  <c r="D11"/>
  <c r="C11"/>
  <c r="B11"/>
  <c r="A11"/>
  <c r="AB10"/>
  <c r="N10"/>
  <c r="S10"/>
  <c r="M10"/>
  <c r="K10"/>
  <c r="J10"/>
  <c r="I10"/>
  <c r="G10"/>
  <c r="F10"/>
  <c r="E10"/>
  <c r="D10"/>
  <c r="C10"/>
  <c r="A10"/>
  <c r="C13" i="28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R13" i="10"/>
  <c r="P13" s="1"/>
  <c r="L13"/>
  <c r="J13"/>
  <c r="H13"/>
  <c r="G13"/>
  <c r="E13"/>
  <c r="C13"/>
  <c r="A13"/>
  <c r="R12"/>
  <c r="P12" s="1"/>
  <c r="L12"/>
  <c r="J12"/>
  <c r="H12"/>
  <c r="G12"/>
  <c r="E12"/>
  <c r="C12"/>
  <c r="A12"/>
  <c r="R11"/>
  <c r="P11" s="1"/>
  <c r="L11"/>
  <c r="J11"/>
  <c r="H11"/>
  <c r="G11"/>
  <c r="E11"/>
  <c r="C11"/>
  <c r="A11"/>
  <c r="R10"/>
  <c r="P10" s="1"/>
  <c r="L10"/>
  <c r="J10"/>
  <c r="H10"/>
  <c r="G10"/>
  <c r="E10"/>
  <c r="C10"/>
  <c r="A10"/>
  <c r="R9"/>
  <c r="P9" s="1"/>
  <c r="L9"/>
  <c r="J9"/>
  <c r="H9"/>
  <c r="G9"/>
  <c r="E9"/>
  <c r="C9"/>
  <c r="A9"/>
  <c r="R8"/>
  <c r="P8" s="1"/>
  <c r="L8"/>
  <c r="J8"/>
  <c r="H8"/>
  <c r="G8"/>
  <c r="E8"/>
  <c r="C8"/>
  <c r="A8"/>
  <c r="R7"/>
  <c r="P7" s="1"/>
  <c r="L7"/>
  <c r="J7"/>
  <c r="H7"/>
  <c r="G7"/>
  <c r="E7"/>
  <c r="C7"/>
  <c r="A7"/>
  <c r="R6"/>
  <c r="P6" s="1"/>
  <c r="L6"/>
  <c r="J6"/>
  <c r="H6"/>
  <c r="G6"/>
  <c r="E6"/>
  <c r="C6"/>
  <c r="A6"/>
  <c r="A5" i="22"/>
  <c r="A6"/>
  <c r="A7"/>
  <c r="A8"/>
  <c r="A9"/>
  <c r="A10"/>
  <c r="A11"/>
  <c r="A12"/>
  <c r="A13"/>
  <c r="A5" i="8"/>
  <c r="A6"/>
  <c r="A7"/>
  <c r="A8"/>
  <c r="A9"/>
  <c r="A10"/>
  <c r="A11"/>
  <c r="A12"/>
  <c r="A13"/>
  <c r="H8" i="17"/>
  <c r="H9"/>
  <c r="H10"/>
  <c r="H11"/>
  <c r="H12"/>
  <c r="H13"/>
  <c r="U6" i="9"/>
  <c r="U7"/>
  <c r="U8"/>
  <c r="U9"/>
  <c r="U10"/>
  <c r="U11"/>
  <c r="U12"/>
  <c r="U13"/>
  <c r="T6"/>
  <c r="T7"/>
  <c r="T8"/>
  <c r="T9"/>
  <c r="T10"/>
  <c r="T11"/>
  <c r="T12"/>
  <c r="T13"/>
  <c r="S6"/>
  <c r="S7"/>
  <c r="S8"/>
  <c r="S9"/>
  <c r="S10"/>
  <c r="S11"/>
  <c r="S12"/>
  <c r="S13"/>
  <c r="BF7" i="24"/>
  <c r="AZ4"/>
  <c r="AX4"/>
  <c r="Y4"/>
  <c r="X4"/>
  <c r="X14" s="1"/>
  <c r="Z4"/>
  <c r="J10"/>
  <c r="J9"/>
  <c r="AG13"/>
  <c r="J11"/>
  <c r="J8"/>
  <c r="J7"/>
  <c r="AG7" s="1"/>
  <c r="J4"/>
  <c r="BX13"/>
  <c r="BR13"/>
  <c r="BG13"/>
  <c r="I13"/>
  <c r="H13"/>
  <c r="G13"/>
  <c r="F13"/>
  <c r="E13"/>
  <c r="D13"/>
  <c r="C13"/>
  <c r="B13"/>
  <c r="A13"/>
  <c r="BX12"/>
  <c r="BR12"/>
  <c r="BG12"/>
  <c r="BC12"/>
  <c r="AW12"/>
  <c r="AG12"/>
  <c r="I12"/>
  <c r="H12"/>
  <c r="G12"/>
  <c r="F12"/>
  <c r="BZ12" s="1"/>
  <c r="E12"/>
  <c r="D12"/>
  <c r="C12"/>
  <c r="B12"/>
  <c r="A12"/>
  <c r="BX11"/>
  <c r="BR11"/>
  <c r="BG11"/>
  <c r="BC11"/>
  <c r="AW11"/>
  <c r="AG11"/>
  <c r="I11"/>
  <c r="H11"/>
  <c r="G11"/>
  <c r="F11"/>
  <c r="E11"/>
  <c r="D11"/>
  <c r="BZ11" s="1"/>
  <c r="C11"/>
  <c r="B11"/>
  <c r="A11"/>
  <c r="BX10"/>
  <c r="BR10"/>
  <c r="BG10"/>
  <c r="BC10"/>
  <c r="I10"/>
  <c r="H10"/>
  <c r="G10"/>
  <c r="F10"/>
  <c r="E10"/>
  <c r="D10"/>
  <c r="BZ10" s="1"/>
  <c r="C10"/>
  <c r="B10"/>
  <c r="A10"/>
  <c r="B13" i="23"/>
  <c r="A13"/>
  <c r="B12"/>
  <c r="A12"/>
  <c r="B11"/>
  <c r="A11"/>
  <c r="B10"/>
  <c r="A10"/>
  <c r="C13" i="15"/>
  <c r="B13"/>
  <c r="A13"/>
  <c r="C12"/>
  <c r="B12"/>
  <c r="A12"/>
  <c r="C11"/>
  <c r="B11"/>
  <c r="A11"/>
  <c r="C10"/>
  <c r="B10"/>
  <c r="A10"/>
  <c r="Y13" i="27"/>
  <c r="X13"/>
  <c r="W13"/>
  <c r="K13"/>
  <c r="J13"/>
  <c r="I13"/>
  <c r="H13"/>
  <c r="G13"/>
  <c r="F13"/>
  <c r="E13"/>
  <c r="D13"/>
  <c r="C13"/>
  <c r="B13"/>
  <c r="A13"/>
  <c r="Y12"/>
  <c r="X12"/>
  <c r="W12"/>
  <c r="K12"/>
  <c r="J12"/>
  <c r="I12"/>
  <c r="H12"/>
  <c r="G12"/>
  <c r="F12"/>
  <c r="E12"/>
  <c r="D12"/>
  <c r="C12"/>
  <c r="B12"/>
  <c r="A12"/>
  <c r="Y11"/>
  <c r="X11"/>
  <c r="W11"/>
  <c r="K11"/>
  <c r="J11"/>
  <c r="I11"/>
  <c r="H11"/>
  <c r="G11"/>
  <c r="F11"/>
  <c r="E11"/>
  <c r="D11"/>
  <c r="C11"/>
  <c r="B11"/>
  <c r="A11"/>
  <c r="T13" i="20"/>
  <c r="T12"/>
  <c r="T11"/>
  <c r="T10"/>
  <c r="T9"/>
  <c r="T8"/>
  <c r="T7"/>
  <c r="T6"/>
  <c r="T5"/>
  <c r="V5" s="1"/>
  <c r="H5" i="24" s="1"/>
  <c r="T4" i="20"/>
  <c r="S12"/>
  <c r="S13"/>
  <c r="S11"/>
  <c r="S10"/>
  <c r="S9"/>
  <c r="S8"/>
  <c r="S7"/>
  <c r="S6"/>
  <c r="S5"/>
  <c r="S4"/>
  <c r="L13"/>
  <c r="L12"/>
  <c r="L11"/>
  <c r="L10"/>
  <c r="L9"/>
  <c r="L8"/>
  <c r="L7"/>
  <c r="L6"/>
  <c r="L5"/>
  <c r="L4"/>
  <c r="N13" i="4"/>
  <c r="N12"/>
  <c r="N10"/>
  <c r="N9"/>
  <c r="N8"/>
  <c r="F8" i="24" s="1"/>
  <c r="N7" i="4"/>
  <c r="F7" i="24" s="1"/>
  <c r="N4" i="4"/>
  <c r="F4" i="24" s="1"/>
  <c r="F13" i="4"/>
  <c r="F12"/>
  <c r="G12" s="1"/>
  <c r="I12" s="1"/>
  <c r="I12" i="1" s="1"/>
  <c r="F10" i="4"/>
  <c r="G10" s="1"/>
  <c r="F9"/>
  <c r="G9" s="1"/>
  <c r="F8"/>
  <c r="G8" s="1"/>
  <c r="I8" s="1"/>
  <c r="I8" i="1" s="1"/>
  <c r="F7" i="4"/>
  <c r="F4"/>
  <c r="G4" s="1"/>
  <c r="B4"/>
  <c r="B7"/>
  <c r="B9"/>
  <c r="B11"/>
  <c r="B12"/>
  <c r="B3"/>
  <c r="D59" i="16"/>
  <c r="R12"/>
  <c r="R11"/>
  <c r="AN11" s="1"/>
  <c r="R9"/>
  <c r="AN9" s="1"/>
  <c r="C9" i="24" s="1"/>
  <c r="R7" i="16"/>
  <c r="O94" i="1"/>
  <c r="N94"/>
  <c r="M94"/>
  <c r="K94"/>
  <c r="J94"/>
  <c r="I94"/>
  <c r="I95" s="1"/>
  <c r="P88"/>
  <c r="P94" s="1"/>
  <c r="P11"/>
  <c r="P12"/>
  <c r="P13"/>
  <c r="O80"/>
  <c r="N80"/>
  <c r="M80"/>
  <c r="K80"/>
  <c r="J80"/>
  <c r="I80"/>
  <c r="I81" s="1"/>
  <c r="P74"/>
  <c r="P80" s="1"/>
  <c r="C9" i="25"/>
  <c r="C10"/>
  <c r="C11"/>
  <c r="C12"/>
  <c r="B9"/>
  <c r="B10"/>
  <c r="B11"/>
  <c r="B12"/>
  <c r="A9"/>
  <c r="A10"/>
  <c r="A11"/>
  <c r="A12"/>
  <c r="O66" i="1"/>
  <c r="N66"/>
  <c r="M66"/>
  <c r="K66"/>
  <c r="J66"/>
  <c r="I66"/>
  <c r="I67" s="1"/>
  <c r="K53"/>
  <c r="J53"/>
  <c r="I53"/>
  <c r="I54" s="1"/>
  <c r="J11"/>
  <c r="J12"/>
  <c r="J13"/>
  <c r="D39"/>
  <c r="D6" s="1"/>
  <c r="D6" i="9" s="1"/>
  <c r="D38" i="1"/>
  <c r="D5" s="1"/>
  <c r="D5" i="9" s="1"/>
  <c r="N13"/>
  <c r="N13" i="1" s="1"/>
  <c r="D13" i="9"/>
  <c r="C13"/>
  <c r="B13"/>
  <c r="A13"/>
  <c r="N12"/>
  <c r="N12" i="1" s="1"/>
  <c r="D12" i="9"/>
  <c r="C12"/>
  <c r="B12"/>
  <c r="A12"/>
  <c r="N11"/>
  <c r="N11" i="1" s="1"/>
  <c r="D11" i="9"/>
  <c r="C11"/>
  <c r="B11"/>
  <c r="A11"/>
  <c r="B13" i="17"/>
  <c r="A13"/>
  <c r="B12"/>
  <c r="A12"/>
  <c r="B11"/>
  <c r="A11"/>
  <c r="AF13" i="26"/>
  <c r="C13"/>
  <c r="V13" s="1"/>
  <c r="B13"/>
  <c r="AF12"/>
  <c r="C12"/>
  <c r="V12" s="1"/>
  <c r="B12"/>
  <c r="A12"/>
  <c r="C11"/>
  <c r="V11" s="1"/>
  <c r="B11"/>
  <c r="A11"/>
  <c r="D13" i="20"/>
  <c r="C13"/>
  <c r="B13"/>
  <c r="A13"/>
  <c r="D12"/>
  <c r="C12"/>
  <c r="B12"/>
  <c r="A12"/>
  <c r="D11"/>
  <c r="C11"/>
  <c r="B11"/>
  <c r="A11"/>
  <c r="P13" i="4"/>
  <c r="H13"/>
  <c r="G13"/>
  <c r="I13" s="1"/>
  <c r="I13" i="1" s="1"/>
  <c r="E13" i="4"/>
  <c r="D13"/>
  <c r="C13"/>
  <c r="A13"/>
  <c r="P12"/>
  <c r="H12"/>
  <c r="E12"/>
  <c r="D12"/>
  <c r="C12"/>
  <c r="A12"/>
  <c r="P11"/>
  <c r="H11"/>
  <c r="G11"/>
  <c r="I11" s="1"/>
  <c r="I11" i="1" s="1"/>
  <c r="F11" i="4"/>
  <c r="E11"/>
  <c r="D11"/>
  <c r="C11"/>
  <c r="A11"/>
  <c r="AN13" i="16"/>
  <c r="AM13"/>
  <c r="E13"/>
  <c r="I13" s="1"/>
  <c r="D13"/>
  <c r="H13" s="1"/>
  <c r="J13" s="1"/>
  <c r="C13"/>
  <c r="B13"/>
  <c r="A13"/>
  <c r="AN12"/>
  <c r="AM12"/>
  <c r="E12"/>
  <c r="I12" s="1"/>
  <c r="P12" s="1"/>
  <c r="N12" s="1"/>
  <c r="D12"/>
  <c r="H12" s="1"/>
  <c r="C12"/>
  <c r="B12"/>
  <c r="A12"/>
  <c r="AM11"/>
  <c r="E11"/>
  <c r="I11" s="1"/>
  <c r="D11"/>
  <c r="H11" s="1"/>
  <c r="D53" s="1"/>
  <c r="C11"/>
  <c r="B11"/>
  <c r="A11"/>
  <c r="B13" i="14"/>
  <c r="A13"/>
  <c r="B12"/>
  <c r="A12"/>
  <c r="B11"/>
  <c r="A11"/>
  <c r="F13" i="12"/>
  <c r="F13" i="1" s="1"/>
  <c r="C13" i="12"/>
  <c r="B13"/>
  <c r="A13"/>
  <c r="G12"/>
  <c r="F12"/>
  <c r="F12" i="1" s="1"/>
  <c r="C12" i="12"/>
  <c r="B12"/>
  <c r="A12"/>
  <c r="G11"/>
  <c r="F11"/>
  <c r="F11" i="1" s="1"/>
  <c r="C11" i="12"/>
  <c r="B11"/>
  <c r="A11"/>
  <c r="M13" i="13"/>
  <c r="I13"/>
  <c r="C13"/>
  <c r="F13" s="1"/>
  <c r="B13"/>
  <c r="A13"/>
  <c r="M12"/>
  <c r="I12"/>
  <c r="C12"/>
  <c r="F12" s="1"/>
  <c r="B12"/>
  <c r="A12"/>
  <c r="M11"/>
  <c r="I11"/>
  <c r="C11"/>
  <c r="F11" s="1"/>
  <c r="B11"/>
  <c r="A11"/>
  <c r="AB9" i="5"/>
  <c r="N9"/>
  <c r="E9"/>
  <c r="D9"/>
  <c r="C9"/>
  <c r="B9"/>
  <c r="A9"/>
  <c r="AB8"/>
  <c r="E8"/>
  <c r="D8"/>
  <c r="C8"/>
  <c r="A8"/>
  <c r="AB7"/>
  <c r="E7"/>
  <c r="D7"/>
  <c r="C7"/>
  <c r="B7"/>
  <c r="A7"/>
  <c r="AB6"/>
  <c r="N6"/>
  <c r="E6"/>
  <c r="D6"/>
  <c r="C6"/>
  <c r="A6"/>
  <c r="AB5"/>
  <c r="N5"/>
  <c r="E5"/>
  <c r="D5"/>
  <c r="C5"/>
  <c r="A5"/>
  <c r="AB4"/>
  <c r="N4"/>
  <c r="E4"/>
  <c r="D4"/>
  <c r="C4"/>
  <c r="B4"/>
  <c r="A4"/>
  <c r="N3" i="9"/>
  <c r="P5" i="1"/>
  <c r="N5" s="1"/>
  <c r="P6"/>
  <c r="P7"/>
  <c r="P8"/>
  <c r="P9"/>
  <c r="P10"/>
  <c r="N10" i="9"/>
  <c r="D10"/>
  <c r="C10"/>
  <c r="B10"/>
  <c r="A10"/>
  <c r="N9"/>
  <c r="D9"/>
  <c r="C9"/>
  <c r="B9"/>
  <c r="A9"/>
  <c r="N8"/>
  <c r="D8"/>
  <c r="C8"/>
  <c r="B8"/>
  <c r="A8"/>
  <c r="N7"/>
  <c r="D7"/>
  <c r="C7"/>
  <c r="B7"/>
  <c r="A7"/>
  <c r="N6"/>
  <c r="C6"/>
  <c r="B6"/>
  <c r="A6"/>
  <c r="N5"/>
  <c r="C5"/>
  <c r="B5"/>
  <c r="A5"/>
  <c r="N4"/>
  <c r="D4"/>
  <c r="C4"/>
  <c r="B4"/>
  <c r="A4"/>
  <c r="BX9" i="24"/>
  <c r="BR9"/>
  <c r="BG9"/>
  <c r="I9"/>
  <c r="G9"/>
  <c r="B9"/>
  <c r="A9"/>
  <c r="BX8"/>
  <c r="BR8"/>
  <c r="BG8"/>
  <c r="AG8"/>
  <c r="I8"/>
  <c r="G8"/>
  <c r="B8"/>
  <c r="A8"/>
  <c r="BX7"/>
  <c r="BR7"/>
  <c r="BG7"/>
  <c r="AW7"/>
  <c r="I7"/>
  <c r="G7"/>
  <c r="B7"/>
  <c r="A7"/>
  <c r="BX6"/>
  <c r="BR6"/>
  <c r="BG6"/>
  <c r="BC6"/>
  <c r="AW6"/>
  <c r="AG6"/>
  <c r="I6"/>
  <c r="G6"/>
  <c r="C6"/>
  <c r="B6"/>
  <c r="A6"/>
  <c r="BX5"/>
  <c r="BG5"/>
  <c r="AG5"/>
  <c r="I5"/>
  <c r="G5"/>
  <c r="E5"/>
  <c r="B5"/>
  <c r="A5"/>
  <c r="BX4"/>
  <c r="BR4"/>
  <c r="BG4"/>
  <c r="I4"/>
  <c r="G4"/>
  <c r="B4"/>
  <c r="A4"/>
  <c r="B9" i="23"/>
  <c r="A9"/>
  <c r="B8"/>
  <c r="A8"/>
  <c r="B7"/>
  <c r="A7"/>
  <c r="B6"/>
  <c r="A6"/>
  <c r="B5"/>
  <c r="A5"/>
  <c r="C9" i="15"/>
  <c r="B9"/>
  <c r="A9"/>
  <c r="C8"/>
  <c r="B8"/>
  <c r="A8"/>
  <c r="C7"/>
  <c r="B7"/>
  <c r="A7"/>
  <c r="B6"/>
  <c r="A6"/>
  <c r="B10" i="17"/>
  <c r="A10"/>
  <c r="B9"/>
  <c r="A9"/>
  <c r="B8"/>
  <c r="A8"/>
  <c r="B7"/>
  <c r="A7"/>
  <c r="B6"/>
  <c r="A6"/>
  <c r="I10" i="27"/>
  <c r="E10"/>
  <c r="D10"/>
  <c r="C10"/>
  <c r="B10"/>
  <c r="A10"/>
  <c r="E9"/>
  <c r="D9"/>
  <c r="C9"/>
  <c r="B9"/>
  <c r="A9"/>
  <c r="I8"/>
  <c r="E8"/>
  <c r="D8"/>
  <c r="C8"/>
  <c r="B8"/>
  <c r="A8"/>
  <c r="E7"/>
  <c r="D7"/>
  <c r="C7"/>
  <c r="B7"/>
  <c r="A7"/>
  <c r="I6"/>
  <c r="E6"/>
  <c r="C6"/>
  <c r="B6"/>
  <c r="A6"/>
  <c r="E5"/>
  <c r="C5"/>
  <c r="B5"/>
  <c r="A5"/>
  <c r="E4"/>
  <c r="D4"/>
  <c r="C4"/>
  <c r="B4"/>
  <c r="A4"/>
  <c r="AF10" i="26"/>
  <c r="C10"/>
  <c r="V10" s="1"/>
  <c r="G10" i="27" s="1"/>
  <c r="B10" i="26"/>
  <c r="AF9"/>
  <c r="C9"/>
  <c r="M9" s="1"/>
  <c r="F9" i="27" s="1"/>
  <c r="B9" i="26"/>
  <c r="A9"/>
  <c r="AF8"/>
  <c r="C8"/>
  <c r="M8" s="1"/>
  <c r="F8" i="27" s="1"/>
  <c r="B8" i="26"/>
  <c r="AF7"/>
  <c r="C7"/>
  <c r="V7" s="1"/>
  <c r="G7" i="27" s="1"/>
  <c r="B7" i="26"/>
  <c r="A7"/>
  <c r="AF6"/>
  <c r="B6"/>
  <c r="A4"/>
  <c r="J4" i="1"/>
  <c r="J5"/>
  <c r="J6"/>
  <c r="J7"/>
  <c r="J8"/>
  <c r="J9"/>
  <c r="J10"/>
  <c r="D10" i="2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P10" i="4"/>
  <c r="H10"/>
  <c r="E10"/>
  <c r="D10"/>
  <c r="C10"/>
  <c r="A10"/>
  <c r="P9"/>
  <c r="E9" i="24" s="1"/>
  <c r="F9"/>
  <c r="H9" i="4"/>
  <c r="E9"/>
  <c r="D9"/>
  <c r="C9"/>
  <c r="A9"/>
  <c r="P8"/>
  <c r="E8" i="24" s="1"/>
  <c r="H8" i="4"/>
  <c r="E8"/>
  <c r="D8"/>
  <c r="C8"/>
  <c r="A8"/>
  <c r="P7"/>
  <c r="E7" i="24" s="1"/>
  <c r="H7" i="4"/>
  <c r="G7"/>
  <c r="E7"/>
  <c r="D7"/>
  <c r="C7"/>
  <c r="A7"/>
  <c r="P6"/>
  <c r="E6" i="24" s="1"/>
  <c r="F6"/>
  <c r="E6" i="4"/>
  <c r="D6"/>
  <c r="C6"/>
  <c r="A6"/>
  <c r="P5"/>
  <c r="F5" i="24"/>
  <c r="E5" i="4"/>
  <c r="D5"/>
  <c r="C5"/>
  <c r="A5"/>
  <c r="P4"/>
  <c r="E4" i="24" s="1"/>
  <c r="H4" i="4"/>
  <c r="E4"/>
  <c r="D4"/>
  <c r="C4"/>
  <c r="A4"/>
  <c r="AN10" i="16"/>
  <c r="AM10"/>
  <c r="E10"/>
  <c r="I10" s="1"/>
  <c r="D10"/>
  <c r="H10" s="1"/>
  <c r="C10"/>
  <c r="B10"/>
  <c r="A10"/>
  <c r="AM9"/>
  <c r="D9" i="24" s="1"/>
  <c r="E9" i="16"/>
  <c r="I9" s="1"/>
  <c r="D9"/>
  <c r="H9" s="1"/>
  <c r="D45" s="1"/>
  <c r="C9"/>
  <c r="B9"/>
  <c r="A9"/>
  <c r="AN8"/>
  <c r="C8" i="24" s="1"/>
  <c r="AM8" i="16"/>
  <c r="D8" i="24" s="1"/>
  <c r="E8" i="16"/>
  <c r="I8" s="1"/>
  <c r="D8"/>
  <c r="H8" s="1"/>
  <c r="L8" s="1"/>
  <c r="C8"/>
  <c r="B8"/>
  <c r="A8"/>
  <c r="AN7"/>
  <c r="C7" i="24" s="1"/>
  <c r="AM7" i="16"/>
  <c r="D7" i="24" s="1"/>
  <c r="E7" i="16"/>
  <c r="I7" s="1"/>
  <c r="P7" s="1"/>
  <c r="N7" s="1"/>
  <c r="D7"/>
  <c r="H7" s="1"/>
  <c r="D35" s="1"/>
  <c r="C7"/>
  <c r="B7"/>
  <c r="A7"/>
  <c r="AN6"/>
  <c r="AM6"/>
  <c r="D6" i="24" s="1"/>
  <c r="E6" i="16"/>
  <c r="I6" s="1"/>
  <c r="D6"/>
  <c r="H6" s="1"/>
  <c r="B6"/>
  <c r="A6"/>
  <c r="F10" i="12"/>
  <c r="P10" i="14" s="1"/>
  <c r="G10" i="1" s="1"/>
  <c r="C10" i="12"/>
  <c r="B10"/>
  <c r="A10"/>
  <c r="G9"/>
  <c r="F9"/>
  <c r="P9" i="14" s="1"/>
  <c r="G9" i="1" s="1"/>
  <c r="C9" i="12"/>
  <c r="B9"/>
  <c r="A9"/>
  <c r="F8"/>
  <c r="F8" i="1" s="1"/>
  <c r="C8" i="12"/>
  <c r="B8"/>
  <c r="A8"/>
  <c r="G7"/>
  <c r="F7"/>
  <c r="F7" i="1" s="1"/>
  <c r="C7" i="12"/>
  <c r="B7"/>
  <c r="A7"/>
  <c r="F6"/>
  <c r="B6"/>
  <c r="A6"/>
  <c r="G4"/>
  <c r="M10" i="13"/>
  <c r="I10"/>
  <c r="C10"/>
  <c r="F10" s="1"/>
  <c r="B10"/>
  <c r="A10"/>
  <c r="M9"/>
  <c r="I9"/>
  <c r="I9" i="27" s="1"/>
  <c r="C9" i="13"/>
  <c r="F9" s="1"/>
  <c r="B9"/>
  <c r="A9"/>
  <c r="M8"/>
  <c r="I8"/>
  <c r="C8"/>
  <c r="F8" s="1"/>
  <c r="B8"/>
  <c r="A8"/>
  <c r="M7"/>
  <c r="I7"/>
  <c r="I7" i="27" s="1"/>
  <c r="C7" i="13"/>
  <c r="F7" s="1"/>
  <c r="B7"/>
  <c r="A7"/>
  <c r="M6"/>
  <c r="I6"/>
  <c r="B6"/>
  <c r="A6"/>
  <c r="C8" i="25"/>
  <c r="B8"/>
  <c r="A8"/>
  <c r="C7"/>
  <c r="B7"/>
  <c r="A7"/>
  <c r="C6"/>
  <c r="B6"/>
  <c r="A6"/>
  <c r="B5"/>
  <c r="A5"/>
  <c r="B4"/>
  <c r="A4"/>
  <c r="B10" i="14"/>
  <c r="A10"/>
  <c r="B9"/>
  <c r="A9"/>
  <c r="B8"/>
  <c r="A8"/>
  <c r="B7"/>
  <c r="A7"/>
  <c r="B6"/>
  <c r="A6"/>
  <c r="B5"/>
  <c r="A5"/>
  <c r="P4" i="1"/>
  <c r="B3" i="9"/>
  <c r="BP14" i="24"/>
  <c r="R14"/>
  <c r="T14"/>
  <c r="U14"/>
  <c r="V14"/>
  <c r="W14"/>
  <c r="V29" i="5" l="1"/>
  <c r="AB30"/>
  <c r="L10"/>
  <c r="Z10"/>
  <c r="H11"/>
  <c r="L11"/>
  <c r="Z11"/>
  <c r="H12"/>
  <c r="H10"/>
  <c r="L13"/>
  <c r="T13"/>
  <c r="L12"/>
  <c r="Z12"/>
  <c r="H13"/>
  <c r="AG4" i="24"/>
  <c r="AG10"/>
  <c r="AG9"/>
  <c r="AW4"/>
  <c r="AW8"/>
  <c r="BZ13"/>
  <c r="AW13"/>
  <c r="BC4"/>
  <c r="BC8"/>
  <c r="BC13"/>
  <c r="AW10"/>
  <c r="BY11"/>
  <c r="CA11" s="1"/>
  <c r="BY12"/>
  <c r="CA12" s="1"/>
  <c r="V13" i="20"/>
  <c r="V12"/>
  <c r="V9"/>
  <c r="H9" i="24" s="1"/>
  <c r="V11" i="20"/>
  <c r="I9" i="4"/>
  <c r="I9" i="1" s="1"/>
  <c r="I10" i="4"/>
  <c r="I10" i="1" s="1"/>
  <c r="N7"/>
  <c r="P6" i="14"/>
  <c r="G6" i="1" s="1"/>
  <c r="M11" i="26"/>
  <c r="AE11" s="1"/>
  <c r="AG11" s="1"/>
  <c r="Q11" i="9" s="1"/>
  <c r="M12" i="26"/>
  <c r="AE12" s="1"/>
  <c r="AG12" s="1"/>
  <c r="Q12" i="9" s="1"/>
  <c r="P13" i="14"/>
  <c r="G13" i="1" s="1"/>
  <c r="P12" i="14"/>
  <c r="G12" i="1" s="1"/>
  <c r="Q94"/>
  <c r="H11" i="13"/>
  <c r="G11"/>
  <c r="K11" s="1"/>
  <c r="N9" i="1"/>
  <c r="P11" i="14"/>
  <c r="G11" i="1" s="1"/>
  <c r="Q80"/>
  <c r="H12" i="13"/>
  <c r="G12"/>
  <c r="D6" i="27"/>
  <c r="C5" i="25"/>
  <c r="C6" i="15"/>
  <c r="H13" i="13"/>
  <c r="G13"/>
  <c r="J13" s="1"/>
  <c r="C6" i="16"/>
  <c r="M13" i="26"/>
  <c r="AE13" s="1"/>
  <c r="AG13" s="1"/>
  <c r="Q13" i="9" s="1"/>
  <c r="C6" i="26"/>
  <c r="V6" s="1"/>
  <c r="G6" i="27" s="1"/>
  <c r="F9" i="1"/>
  <c r="P8" i="14"/>
  <c r="G8" i="1" s="1"/>
  <c r="C6" i="13"/>
  <c r="F6" s="1"/>
  <c r="H6" s="1"/>
  <c r="C6" i="12"/>
  <c r="D5" i="27"/>
  <c r="C4" i="25"/>
  <c r="N10" i="1"/>
  <c r="N6"/>
  <c r="N8"/>
  <c r="K12" i="16"/>
  <c r="L12"/>
  <c r="J12"/>
  <c r="P11"/>
  <c r="N11" s="1"/>
  <c r="L11"/>
  <c r="K11"/>
  <c r="J11"/>
  <c r="L13"/>
  <c r="P13"/>
  <c r="N13" s="1"/>
  <c r="K13"/>
  <c r="BZ6" i="24"/>
  <c r="G6" i="5" s="1"/>
  <c r="P7" i="14"/>
  <c r="G7" i="1" s="1"/>
  <c r="F10"/>
  <c r="F6"/>
  <c r="K12" i="13"/>
  <c r="J12"/>
  <c r="BC7" i="24"/>
  <c r="BZ9"/>
  <c r="G9" i="5" s="1"/>
  <c r="AW5" i="24"/>
  <c r="BZ8"/>
  <c r="G8" i="5" s="1"/>
  <c r="AW9" i="24"/>
  <c r="BC5"/>
  <c r="BZ7"/>
  <c r="G7" i="5" s="1"/>
  <c r="BC9" i="24"/>
  <c r="BR5"/>
  <c r="V8" i="26"/>
  <c r="V9"/>
  <c r="G9" i="27" s="1"/>
  <c r="M7" i="26"/>
  <c r="M10"/>
  <c r="V6" i="20"/>
  <c r="H6" i="24" s="1"/>
  <c r="V7" i="20"/>
  <c r="H7" i="24" s="1"/>
  <c r="V10" i="20"/>
  <c r="V4"/>
  <c r="H4" i="24" s="1"/>
  <c r="V8" i="20"/>
  <c r="H8" i="24" s="1"/>
  <c r="I7" i="4"/>
  <c r="I7" i="1" s="1"/>
  <c r="I4" i="4"/>
  <c r="I4" i="1" s="1"/>
  <c r="I5"/>
  <c r="I6"/>
  <c r="P6" i="16"/>
  <c r="N6" s="1"/>
  <c r="P9"/>
  <c r="N9" s="1"/>
  <c r="P10"/>
  <c r="N10" s="1"/>
  <c r="K6"/>
  <c r="L6"/>
  <c r="J6"/>
  <c r="L10"/>
  <c r="J10"/>
  <c r="K10"/>
  <c r="L7"/>
  <c r="K7"/>
  <c r="J7"/>
  <c r="L9"/>
  <c r="P8"/>
  <c r="N8" s="1"/>
  <c r="K9"/>
  <c r="K8"/>
  <c r="J9"/>
  <c r="J8"/>
  <c r="H10" i="13"/>
  <c r="G10"/>
  <c r="G9"/>
  <c r="H9"/>
  <c r="G7"/>
  <c r="H7"/>
  <c r="G8"/>
  <c r="H8"/>
  <c r="Q10" i="5" l="1"/>
  <c r="V26"/>
  <c r="Q12"/>
  <c r="V28"/>
  <c r="Q11"/>
  <c r="V27"/>
  <c r="T10"/>
  <c r="T11"/>
  <c r="T12"/>
  <c r="BY13" i="24"/>
  <c r="CA13" s="1"/>
  <c r="BY10"/>
  <c r="CA10" s="1"/>
  <c r="BY6"/>
  <c r="CA6" s="1"/>
  <c r="O13" i="16"/>
  <c r="Q13" s="1"/>
  <c r="J11" i="13"/>
  <c r="N11" s="1"/>
  <c r="O11" i="16"/>
  <c r="Q11" s="1"/>
  <c r="N12" i="13"/>
  <c r="K13"/>
  <c r="N13" s="1"/>
  <c r="L12"/>
  <c r="E12" i="1" s="1"/>
  <c r="M6" i="26"/>
  <c r="F6" i="27" s="1"/>
  <c r="G6" i="13"/>
  <c r="J6" s="1"/>
  <c r="M13" i="16"/>
  <c r="H13" i="1" s="1"/>
  <c r="O12" i="16"/>
  <c r="BY7" i="24"/>
  <c r="M7" i="5" s="1"/>
  <c r="BY9" i="24"/>
  <c r="BY8"/>
  <c r="AE9" i="26"/>
  <c r="AG9" s="1"/>
  <c r="I9" i="5" s="1"/>
  <c r="W6" i="27"/>
  <c r="H6"/>
  <c r="W9"/>
  <c r="H9"/>
  <c r="AE6" i="26"/>
  <c r="AG6" s="1"/>
  <c r="W10" i="27"/>
  <c r="H10"/>
  <c r="AE7" i="26"/>
  <c r="AG7" s="1"/>
  <c r="F7" i="27"/>
  <c r="W8"/>
  <c r="H8"/>
  <c r="W7"/>
  <c r="H7"/>
  <c r="AE10" i="26"/>
  <c r="AG10" s="1"/>
  <c r="F10" i="27"/>
  <c r="AE8" i="26"/>
  <c r="AG8" s="1"/>
  <c r="G8" i="27"/>
  <c r="O10" i="16"/>
  <c r="Q10" s="1"/>
  <c r="O7"/>
  <c r="O6"/>
  <c r="O9"/>
  <c r="O8"/>
  <c r="J7" i="13"/>
  <c r="K7"/>
  <c r="J8"/>
  <c r="K8"/>
  <c r="J9"/>
  <c r="K9"/>
  <c r="K10"/>
  <c r="J10"/>
  <c r="AB3" i="5"/>
  <c r="Y3"/>
  <c r="B3"/>
  <c r="E3"/>
  <c r="D3"/>
  <c r="C3"/>
  <c r="A3"/>
  <c r="BX3" i="24"/>
  <c r="BG3"/>
  <c r="I3"/>
  <c r="G3"/>
  <c r="B3"/>
  <c r="A3"/>
  <c r="B3" i="23"/>
  <c r="A3"/>
  <c r="C3" i="15"/>
  <c r="B3"/>
  <c r="A3"/>
  <c r="G3" i="27"/>
  <c r="F3"/>
  <c r="D3"/>
  <c r="C3"/>
  <c r="B3"/>
  <c r="A3"/>
  <c r="D3" i="20"/>
  <c r="C3"/>
  <c r="B3"/>
  <c r="A3"/>
  <c r="F3" i="24"/>
  <c r="P3" i="4"/>
  <c r="E3" i="24" s="1"/>
  <c r="E3" i="4"/>
  <c r="D3"/>
  <c r="C3"/>
  <c r="A3"/>
  <c r="H6" i="17" l="1"/>
  <c r="K6" i="5" s="1"/>
  <c r="M6"/>
  <c r="D12" i="17"/>
  <c r="M11" i="16"/>
  <c r="H11" i="1" s="1"/>
  <c r="L12" i="9"/>
  <c r="P12" s="1"/>
  <c r="L11" i="13"/>
  <c r="E11" i="1" s="1"/>
  <c r="L11" i="9"/>
  <c r="P11" s="1"/>
  <c r="D11" i="17"/>
  <c r="L13" i="13"/>
  <c r="E13" i="1" s="1"/>
  <c r="L13" s="1"/>
  <c r="L13" i="9"/>
  <c r="P13" s="1"/>
  <c r="D13" i="17"/>
  <c r="K6" i="13"/>
  <c r="N6" s="1"/>
  <c r="CA7" i="24"/>
  <c r="Q12" i="16"/>
  <c r="M12"/>
  <c r="H12" i="1" s="1"/>
  <c r="L12" s="1"/>
  <c r="H7" i="17"/>
  <c r="K7" i="5" s="1"/>
  <c r="CA8" i="24"/>
  <c r="M8" i="5"/>
  <c r="K8"/>
  <c r="CA9" i="24"/>
  <c r="M9" i="5"/>
  <c r="K9"/>
  <c r="M10" i="16"/>
  <c r="H10" i="1" s="1"/>
  <c r="Q9" i="9"/>
  <c r="Y9" i="27"/>
  <c r="K9"/>
  <c r="Y6"/>
  <c r="Y7"/>
  <c r="K7"/>
  <c r="Y10"/>
  <c r="K10"/>
  <c r="N8" i="13"/>
  <c r="X8" i="27"/>
  <c r="J8"/>
  <c r="Q10" i="9"/>
  <c r="Q7"/>
  <c r="I7" i="5"/>
  <c r="I6"/>
  <c r="Q6" i="9"/>
  <c r="X10" i="27"/>
  <c r="J10"/>
  <c r="Y8"/>
  <c r="K8"/>
  <c r="J9"/>
  <c r="X9"/>
  <c r="X6"/>
  <c r="J6"/>
  <c r="N7" i="13"/>
  <c r="J7" i="27"/>
  <c r="X7"/>
  <c r="I8" i="5"/>
  <c r="Q8" i="9"/>
  <c r="N9" i="13"/>
  <c r="AG3" i="24"/>
  <c r="S14"/>
  <c r="BR3"/>
  <c r="BQ14"/>
  <c r="Q7" i="16"/>
  <c r="M7"/>
  <c r="H7" i="1" s="1"/>
  <c r="Q8" i="16"/>
  <c r="M8"/>
  <c r="H8" i="1" s="1"/>
  <c r="Q6" i="16"/>
  <c r="M6"/>
  <c r="H6" i="1" s="1"/>
  <c r="Q9" i="16"/>
  <c r="M9"/>
  <c r="H9" i="1" s="1"/>
  <c r="N10" i="13"/>
  <c r="V3" i="20"/>
  <c r="H3" i="24" s="1"/>
  <c r="BC3"/>
  <c r="AW3"/>
  <c r="N4" i="1"/>
  <c r="D3" i="9"/>
  <c r="C3"/>
  <c r="A3"/>
  <c r="B3" i="17"/>
  <c r="A3"/>
  <c r="P3" i="1"/>
  <c r="M3" i="13"/>
  <c r="I3"/>
  <c r="I3" i="27" s="1"/>
  <c r="C3" i="13"/>
  <c r="F3" s="1"/>
  <c r="G3" s="1"/>
  <c r="B3"/>
  <c r="A3"/>
  <c r="AF3" i="26"/>
  <c r="C3"/>
  <c r="D3" s="1"/>
  <c r="B3"/>
  <c r="A3"/>
  <c r="AN3" i="16"/>
  <c r="C3" i="24" s="1"/>
  <c r="AM3" i="16"/>
  <c r="D3" i="24" s="1"/>
  <c r="BZ3" s="1"/>
  <c r="E3" i="16"/>
  <c r="I3" s="1"/>
  <c r="D3"/>
  <c r="H3" s="1"/>
  <c r="D20" s="1"/>
  <c r="C3"/>
  <c r="B3"/>
  <c r="A3"/>
  <c r="C2" i="25"/>
  <c r="B2"/>
  <c r="A2"/>
  <c r="G3" i="12"/>
  <c r="F3"/>
  <c r="C3"/>
  <c r="B3"/>
  <c r="A3"/>
  <c r="P39" i="1"/>
  <c r="P47" s="1"/>
  <c r="P53" s="1"/>
  <c r="P60" s="1"/>
  <c r="P66" s="1"/>
  <c r="Q66" s="1"/>
  <c r="O39"/>
  <c r="N39"/>
  <c r="M39"/>
  <c r="K39"/>
  <c r="J39"/>
  <c r="I39"/>
  <c r="O12" l="1"/>
  <c r="O12" i="9" s="1"/>
  <c r="C12" i="17"/>
  <c r="E12" s="1"/>
  <c r="G12" s="1"/>
  <c r="R12" i="9" s="1"/>
  <c r="L11" i="1"/>
  <c r="O11" s="1"/>
  <c r="O11" i="9" s="1"/>
  <c r="K6" i="27"/>
  <c r="O13" i="1"/>
  <c r="O13" i="9" s="1"/>
  <c r="C13" i="17"/>
  <c r="E13" s="1"/>
  <c r="G13" s="1"/>
  <c r="R13" i="9" s="1"/>
  <c r="O53" i="1"/>
  <c r="N53"/>
  <c r="M53"/>
  <c r="L8" i="13"/>
  <c r="E8" i="1" s="1"/>
  <c r="L8" s="1"/>
  <c r="L8" i="9"/>
  <c r="P8" s="1"/>
  <c r="F8" i="5" s="1"/>
  <c r="H8" s="1"/>
  <c r="D8" i="17"/>
  <c r="L10" i="13"/>
  <c r="E10" i="1" s="1"/>
  <c r="L10" s="1"/>
  <c r="L10" i="9"/>
  <c r="P10" s="1"/>
  <c r="D10" i="17"/>
  <c r="L7" i="13"/>
  <c r="E7" i="1" s="1"/>
  <c r="L7" s="1"/>
  <c r="D7" i="17"/>
  <c r="L7" i="9"/>
  <c r="P7" s="1"/>
  <c r="F7" i="5" s="1"/>
  <c r="H7" s="1"/>
  <c r="L9" i="13"/>
  <c r="E9" i="1" s="1"/>
  <c r="L9" s="1"/>
  <c r="D9" i="17"/>
  <c r="L9" i="9"/>
  <c r="P9" s="1"/>
  <c r="F9" i="5" s="1"/>
  <c r="H9" s="1"/>
  <c r="L6" i="13"/>
  <c r="E6" i="1" s="1"/>
  <c r="L6" s="1"/>
  <c r="L6" i="9"/>
  <c r="P6" s="1"/>
  <c r="F6" i="5" s="1"/>
  <c r="H6" s="1"/>
  <c r="D6" i="17"/>
  <c r="D5" i="23"/>
  <c r="D6"/>
  <c r="N3" i="1"/>
  <c r="BY3" i="24"/>
  <c r="S3" i="9"/>
  <c r="G3" i="5" s="1"/>
  <c r="AE3" i="26"/>
  <c r="AG3" s="1"/>
  <c r="E3" i="27"/>
  <c r="K3" i="13"/>
  <c r="J3"/>
  <c r="H3"/>
  <c r="P3" i="16"/>
  <c r="N3" s="1"/>
  <c r="L3"/>
  <c r="K3"/>
  <c r="J3"/>
  <c r="Q39" i="1"/>
  <c r="C11" i="17" l="1"/>
  <c r="E11" s="1"/>
  <c r="G11" s="1"/>
  <c r="R11" i="9" s="1"/>
  <c r="Q53" i="1"/>
  <c r="Z6" i="5"/>
  <c r="V22" s="1"/>
  <c r="C6" i="23"/>
  <c r="E6" s="1"/>
  <c r="C6" i="17"/>
  <c r="E6" s="1"/>
  <c r="G6" s="1"/>
  <c r="R6" i="9" s="1"/>
  <c r="J6" i="5" s="1"/>
  <c r="L6" s="1"/>
  <c r="C10" i="17"/>
  <c r="E10" s="1"/>
  <c r="G10" s="1"/>
  <c r="R10" i="9" s="1"/>
  <c r="O10" i="1"/>
  <c r="O10" i="9" s="1"/>
  <c r="Z9" i="5"/>
  <c r="V25" s="1"/>
  <c r="C9" i="17"/>
  <c r="E9" s="1"/>
  <c r="G9" s="1"/>
  <c r="R9" i="9" s="1"/>
  <c r="J9" i="5" s="1"/>
  <c r="L9" s="1"/>
  <c r="O9" i="1"/>
  <c r="O9" i="9" s="1"/>
  <c r="S9" i="5" s="1"/>
  <c r="Z8"/>
  <c r="V24" s="1"/>
  <c r="C8" i="17"/>
  <c r="E8" s="1"/>
  <c r="G8" s="1"/>
  <c r="R8" i="9" s="1"/>
  <c r="J8" i="5" s="1"/>
  <c r="L8" s="1"/>
  <c r="O8" i="1"/>
  <c r="O8" i="9" s="1"/>
  <c r="S8" i="5" s="1"/>
  <c r="Z7"/>
  <c r="V23" s="1"/>
  <c r="C7" i="17"/>
  <c r="E7" s="1"/>
  <c r="G7" s="1"/>
  <c r="R7" i="9" s="1"/>
  <c r="J7" i="5" s="1"/>
  <c r="L7" s="1"/>
  <c r="O6" i="1"/>
  <c r="O6" i="9" s="1"/>
  <c r="S6" i="5" s="1"/>
  <c r="I3"/>
  <c r="Q3" i="9"/>
  <c r="X3" i="27"/>
  <c r="J3"/>
  <c r="W3"/>
  <c r="H3"/>
  <c r="Y3"/>
  <c r="K3"/>
  <c r="N3" i="13"/>
  <c r="O3" i="16"/>
  <c r="J3" i="1"/>
  <c r="I3"/>
  <c r="B3" i="14"/>
  <c r="A3"/>
  <c r="P14" i="20"/>
  <c r="Q14"/>
  <c r="R14"/>
  <c r="S14"/>
  <c r="T14"/>
  <c r="U14"/>
  <c r="BS14" i="24"/>
  <c r="BT14"/>
  <c r="BU14"/>
  <c r="BV14"/>
  <c r="BW14"/>
  <c r="Q8" i="5" l="1"/>
  <c r="T8"/>
  <c r="T9"/>
  <c r="Q9"/>
  <c r="Q7"/>
  <c r="T7"/>
  <c r="Q6"/>
  <c r="T6"/>
  <c r="BX14" i="24"/>
  <c r="U3" i="9"/>
  <c r="X3" i="5" s="1"/>
  <c r="T3" i="9"/>
  <c r="M3" i="5" s="1"/>
  <c r="L3" i="13"/>
  <c r="E3" i="1" s="1"/>
  <c r="L3" i="9"/>
  <c r="P3" s="1"/>
  <c r="F3" i="5" s="1"/>
  <c r="H3" s="1"/>
  <c r="Q3" i="16"/>
  <c r="M3"/>
  <c r="H3" i="1" s="1"/>
  <c r="F4" i="12" l="1"/>
  <c r="F5"/>
  <c r="I4" i="13"/>
  <c r="I4" i="27" s="1"/>
  <c r="I5" i="13"/>
  <c r="I5" i="27" s="1"/>
  <c r="F5" i="1" l="1"/>
  <c r="F4"/>
  <c r="F3"/>
  <c r="P3" i="14"/>
  <c r="G3" i="1" s="1"/>
  <c r="L3" l="1"/>
  <c r="Z3" i="5" l="1"/>
  <c r="R3" i="9" l="1"/>
  <c r="T3" i="5"/>
  <c r="Q3"/>
  <c r="O14" i="4"/>
  <c r="Q14" i="24"/>
  <c r="P14" l="1"/>
  <c r="AN4" i="16"/>
  <c r="C4" i="24" s="1"/>
  <c r="AN5" i="16"/>
  <c r="C5" i="24" s="1"/>
  <c r="AM4" i="16"/>
  <c r="D4" i="24" s="1"/>
  <c r="BZ4" s="1"/>
  <c r="S4" i="9" s="1"/>
  <c r="G4" i="5" s="1"/>
  <c r="AM5" i="16"/>
  <c r="D5" i="24" s="1"/>
  <c r="BZ5" s="1"/>
  <c r="S5" i="9" s="1"/>
  <c r="G5" i="5" s="1"/>
  <c r="BY4" i="24" l="1"/>
  <c r="BY5"/>
  <c r="O14"/>
  <c r="AS14"/>
  <c r="AT14"/>
  <c r="T14" i="23"/>
  <c r="W14" i="9"/>
  <c r="X14"/>
  <c r="T4" l="1"/>
  <c r="M4" i="5" s="1"/>
  <c r="CA4" i="24"/>
  <c r="CA5"/>
  <c r="H5" i="17"/>
  <c r="U5" i="9" s="1"/>
  <c r="K5" i="5" s="1"/>
  <c r="T5" i="9"/>
  <c r="M5" i="5" s="1"/>
  <c r="AD14" i="16" l="1"/>
  <c r="AE14"/>
  <c r="AF14"/>
  <c r="AH14"/>
  <c r="AI14"/>
  <c r="AL14"/>
  <c r="AM14"/>
  <c r="M14" i="9"/>
  <c r="D14" i="15" l="1"/>
  <c r="E14"/>
  <c r="F14"/>
  <c r="G14" l="1"/>
  <c r="W14" i="5" l="1"/>
  <c r="U14"/>
  <c r="AB14" l="1"/>
  <c r="C5" i="28" l="1"/>
  <c r="B5"/>
  <c r="A5"/>
  <c r="C4"/>
  <c r="B4"/>
  <c r="A4"/>
  <c r="C3"/>
  <c r="B3"/>
  <c r="A3"/>
  <c r="S14" i="10"/>
  <c r="Q14" l="1"/>
  <c r="O14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4" l="1"/>
  <c r="A4" i="22"/>
  <c r="A3"/>
  <c r="A4" i="8"/>
  <c r="A3"/>
  <c r="V14" i="9" l="1"/>
  <c r="J14" l="1"/>
  <c r="I14"/>
  <c r="H14"/>
  <c r="G14"/>
  <c r="F14"/>
  <c r="E14"/>
  <c r="BO14" i="24" l="1"/>
  <c r="BN14"/>
  <c r="BM14"/>
  <c r="BL14"/>
  <c r="BK14"/>
  <c r="BJ14"/>
  <c r="BI14"/>
  <c r="BH14"/>
  <c r="BF14"/>
  <c r="BE14"/>
  <c r="BD14"/>
  <c r="BB14"/>
  <c r="BA14"/>
  <c r="AZ14"/>
  <c r="AY14"/>
  <c r="AX14"/>
  <c r="AV14"/>
  <c r="AR14"/>
  <c r="AQ14"/>
  <c r="AP14"/>
  <c r="AO14"/>
  <c r="AN14"/>
  <c r="AM14"/>
  <c r="AL14"/>
  <c r="AK14"/>
  <c r="AJ14"/>
  <c r="AI14"/>
  <c r="AF14"/>
  <c r="AE14"/>
  <c r="AD14"/>
  <c r="AC14"/>
  <c r="AB14"/>
  <c r="AA14"/>
  <c r="Z14"/>
  <c r="Y14"/>
  <c r="N14"/>
  <c r="M14"/>
  <c r="L14"/>
  <c r="K14"/>
  <c r="J14"/>
  <c r="BC14"/>
  <c r="C23" i="23"/>
  <c r="S14"/>
  <c r="R14"/>
  <c r="Q14"/>
  <c r="P14"/>
  <c r="O14"/>
  <c r="N14"/>
  <c r="M14"/>
  <c r="L14"/>
  <c r="K14"/>
  <c r="J14"/>
  <c r="I14"/>
  <c r="BG14" i="24" l="1"/>
  <c r="BR14"/>
  <c r="AW14"/>
  <c r="AG14"/>
  <c r="G14"/>
  <c r="F14" s="1"/>
  <c r="D14"/>
  <c r="I14"/>
  <c r="S14" i="9" l="1"/>
  <c r="G14" i="5"/>
  <c r="BZ14" i="24"/>
  <c r="B4" i="23" l="1"/>
  <c r="A4"/>
  <c r="H14" i="15"/>
  <c r="C5" l="1"/>
  <c r="B5"/>
  <c r="A5"/>
  <c r="C4"/>
  <c r="B4"/>
  <c r="A4"/>
  <c r="F14" i="17"/>
  <c r="B5" l="1"/>
  <c r="A5"/>
  <c r="B4"/>
  <c r="A4"/>
  <c r="A14" i="27" l="1"/>
  <c r="AH14" i="26"/>
  <c r="A14"/>
  <c r="AF5" l="1"/>
  <c r="C5"/>
  <c r="M5" s="1"/>
  <c r="F5" i="27" s="1"/>
  <c r="B5" i="26"/>
  <c r="AF4"/>
  <c r="C4"/>
  <c r="B4"/>
  <c r="V4" l="1"/>
  <c r="G4" i="27" s="1"/>
  <c r="V5" i="26"/>
  <c r="G5" i="27" s="1"/>
  <c r="M4" i="26"/>
  <c r="F4" i="27" s="1"/>
  <c r="W14" i="20"/>
  <c r="O14"/>
  <c r="N14"/>
  <c r="M14"/>
  <c r="L14"/>
  <c r="K14"/>
  <c r="J14"/>
  <c r="I14"/>
  <c r="E14"/>
  <c r="BJ14" i="4"/>
  <c r="BI14"/>
  <c r="BH14"/>
  <c r="BG14"/>
  <c r="BF14"/>
  <c r="BE14"/>
  <c r="BD14"/>
  <c r="BC14"/>
  <c r="BB14"/>
  <c r="BA14"/>
  <c r="AZ14"/>
  <c r="AY14"/>
  <c r="AX14"/>
  <c r="AW14"/>
  <c r="AV14"/>
  <c r="AU14"/>
  <c r="AT14"/>
  <c r="AS14"/>
  <c r="AR14"/>
  <c r="AQ14"/>
  <c r="AO14"/>
  <c r="AN14"/>
  <c r="AM14"/>
  <c r="AK14"/>
  <c r="AJ14"/>
  <c r="AI14"/>
  <c r="AH14"/>
  <c r="AG14"/>
  <c r="AF14"/>
  <c r="AE14"/>
  <c r="AD14"/>
  <c r="AC14"/>
  <c r="AB14"/>
  <c r="AA14"/>
  <c r="Z14"/>
  <c r="X14"/>
  <c r="S14"/>
  <c r="R14"/>
  <c r="Q14"/>
  <c r="N14"/>
  <c r="M14"/>
  <c r="L14"/>
  <c r="H14"/>
  <c r="G14"/>
  <c r="F14"/>
  <c r="AE4" i="26" l="1"/>
  <c r="AG4" s="1"/>
  <c r="Y14" i="5"/>
  <c r="AE5" i="26"/>
  <c r="AG5" s="1"/>
  <c r="H14" i="24"/>
  <c r="V14" i="20"/>
  <c r="E14" i="24"/>
  <c r="P14" i="4"/>
  <c r="I14"/>
  <c r="AC14" i="16"/>
  <c r="AB14"/>
  <c r="AA14"/>
  <c r="Z14"/>
  <c r="Y14"/>
  <c r="X14"/>
  <c r="W14"/>
  <c r="V14"/>
  <c r="U14"/>
  <c r="S14"/>
  <c r="R14"/>
  <c r="I4" i="5" l="1"/>
  <c r="Q4" i="9"/>
  <c r="I5" i="5"/>
  <c r="Q5" i="9"/>
  <c r="D14" i="26"/>
  <c r="M14"/>
  <c r="E5" i="16" l="1"/>
  <c r="I5" s="1"/>
  <c r="D5"/>
  <c r="H5" s="1"/>
  <c r="C5"/>
  <c r="B5"/>
  <c r="A5"/>
  <c r="E4"/>
  <c r="I4" s="1"/>
  <c r="D4"/>
  <c r="H4" s="1"/>
  <c r="D24" s="1"/>
  <c r="C4"/>
  <c r="B4"/>
  <c r="A4"/>
  <c r="B4" i="14"/>
  <c r="A4"/>
  <c r="G14" i="12"/>
  <c r="AN14" i="16" l="1"/>
  <c r="T14"/>
  <c r="L5"/>
  <c r="J5"/>
  <c r="K5"/>
  <c r="L4"/>
  <c r="J4"/>
  <c r="K4"/>
  <c r="H4" i="17" l="1"/>
  <c r="U4" i="9" s="1"/>
  <c r="K4" i="5" s="1"/>
  <c r="O4" i="16"/>
  <c r="O5"/>
  <c r="M5" s="1"/>
  <c r="H5" i="1" s="1"/>
  <c r="J14" i="16"/>
  <c r="P5"/>
  <c r="P4"/>
  <c r="L14"/>
  <c r="K14"/>
  <c r="I14"/>
  <c r="C14" i="24"/>
  <c r="H14" i="16"/>
  <c r="C5" i="12"/>
  <c r="B5"/>
  <c r="A5"/>
  <c r="C4"/>
  <c r="B4"/>
  <c r="A4"/>
  <c r="F14"/>
  <c r="M4" i="16" l="1"/>
  <c r="H4" i="1" s="1"/>
  <c r="CA14" i="24"/>
  <c r="Q4" i="16"/>
  <c r="R4" i="10" s="1"/>
  <c r="Q5" i="16"/>
  <c r="R5" i="10" s="1"/>
  <c r="R3"/>
  <c r="N5" i="16"/>
  <c r="P14"/>
  <c r="O14"/>
  <c r="N4"/>
  <c r="BY14" i="24"/>
  <c r="E14" i="13"/>
  <c r="D14"/>
  <c r="T14" i="9" l="1"/>
  <c r="N14" i="16"/>
  <c r="Q14"/>
  <c r="R14" i="10"/>
  <c r="M14" i="16"/>
  <c r="M5" i="13" l="1"/>
  <c r="P5" i="14" s="1"/>
  <c r="G5" i="1" s="1"/>
  <c r="C5" i="13"/>
  <c r="F5" s="1"/>
  <c r="B5"/>
  <c r="A5"/>
  <c r="M4"/>
  <c r="P4" i="14" s="1"/>
  <c r="G4" i="1" s="1"/>
  <c r="C4" i="13"/>
  <c r="F4" s="1"/>
  <c r="B4"/>
  <c r="A4"/>
  <c r="D13" i="25"/>
  <c r="A13"/>
  <c r="C3"/>
  <c r="B3"/>
  <c r="A3"/>
  <c r="M14" i="1"/>
  <c r="K14"/>
  <c r="H5" i="13" l="1"/>
  <c r="G5"/>
  <c r="G4"/>
  <c r="H4"/>
  <c r="W5" i="27" l="1"/>
  <c r="H5"/>
  <c r="W4"/>
  <c r="H4"/>
  <c r="F14" i="1"/>
  <c r="I14" l="1"/>
  <c r="J14"/>
  <c r="H14" i="17" l="1"/>
  <c r="K14" i="5" s="1"/>
  <c r="U14" i="9" l="1"/>
  <c r="H14" i="1" l="1"/>
  <c r="K5" i="13" l="1"/>
  <c r="M14"/>
  <c r="AF14" i="26"/>
  <c r="P14" i="14" l="1"/>
  <c r="G14" i="1" s="1"/>
  <c r="Y5" i="27"/>
  <c r="K5"/>
  <c r="M14" i="5"/>
  <c r="E14" i="27"/>
  <c r="F14"/>
  <c r="J4" i="13"/>
  <c r="K4"/>
  <c r="J5"/>
  <c r="F14"/>
  <c r="G14"/>
  <c r="J4" i="27" l="1"/>
  <c r="X4"/>
  <c r="Y4"/>
  <c r="K4"/>
  <c r="J5"/>
  <c r="X5"/>
  <c r="N4" i="13"/>
  <c r="AG14" i="26"/>
  <c r="N5" i="13"/>
  <c r="I14"/>
  <c r="J14"/>
  <c r="AE14" i="26"/>
  <c r="K14" i="13"/>
  <c r="H14"/>
  <c r="G14" i="27"/>
  <c r="D5" i="17" l="1"/>
  <c r="L5" i="9"/>
  <c r="P5" s="1"/>
  <c r="F5" i="5" s="1"/>
  <c r="H5" s="1"/>
  <c r="D4" i="17"/>
  <c r="L4" i="9"/>
  <c r="P4" s="1"/>
  <c r="F4" i="5" s="1"/>
  <c r="H4" s="1"/>
  <c r="Q14" i="9"/>
  <c r="I14" i="5"/>
  <c r="L5" i="13"/>
  <c r="E5" i="1" s="1"/>
  <c r="L5" s="1"/>
  <c r="L4" i="13"/>
  <c r="E4" i="1" s="1"/>
  <c r="L4" s="1"/>
  <c r="J14" i="27"/>
  <c r="O3" i="1"/>
  <c r="O3" i="9" s="1"/>
  <c r="K14" i="27"/>
  <c r="I14"/>
  <c r="N14" i="13"/>
  <c r="H14" i="27"/>
  <c r="D14" i="17" l="1"/>
  <c r="O4" i="1"/>
  <c r="O4" i="9" s="1"/>
  <c r="S4" i="5" s="1"/>
  <c r="Z4"/>
  <c r="V20" s="1"/>
  <c r="S3"/>
  <c r="T19" s="1"/>
  <c r="V19" s="1"/>
  <c r="Z5"/>
  <c r="V21" s="1"/>
  <c r="C5" i="23"/>
  <c r="E5" s="1"/>
  <c r="O5" i="1"/>
  <c r="O5" i="9" s="1"/>
  <c r="S5" i="5" s="1"/>
  <c r="C5" i="17"/>
  <c r="E5" s="1"/>
  <c r="G5" s="1"/>
  <c r="R5" i="9" s="1"/>
  <c r="J5" i="5" s="1"/>
  <c r="L5" s="1"/>
  <c r="L14" i="9"/>
  <c r="L14" i="13"/>
  <c r="T5" i="5" l="1"/>
  <c r="Q5"/>
  <c r="T4"/>
  <c r="Q4"/>
  <c r="C4" i="17"/>
  <c r="E4" s="1"/>
  <c r="P3" i="10"/>
  <c r="P4"/>
  <c r="P5"/>
  <c r="P14" i="9"/>
  <c r="N14" i="1"/>
  <c r="E14"/>
  <c r="L14"/>
  <c r="F14" i="5" l="1"/>
  <c r="G4" i="17"/>
  <c r="E14"/>
  <c r="C14"/>
  <c r="K14" i="9"/>
  <c r="H14" i="5"/>
  <c r="R4" i="9" l="1"/>
  <c r="J4" i="5" s="1"/>
  <c r="L4" s="1"/>
  <c r="N14" i="9"/>
  <c r="G14" i="17"/>
  <c r="P14" i="10"/>
  <c r="X14" i="5"/>
  <c r="C14" i="23"/>
  <c r="T30" i="5" l="1"/>
  <c r="V30"/>
  <c r="O7" i="1"/>
  <c r="Q14" i="5"/>
  <c r="R14" i="9"/>
  <c r="Z14" i="5"/>
  <c r="O7" i="9" l="1"/>
  <c r="O14" i="1"/>
  <c r="E14" i="23"/>
  <c r="D14"/>
  <c r="L14" i="5"/>
  <c r="J14"/>
  <c r="T14"/>
  <c r="N14"/>
  <c r="V14"/>
  <c r="O14" i="9" l="1"/>
  <c r="S7" i="5"/>
  <c r="S14" s="1"/>
</calcChain>
</file>

<file path=xl/sharedStrings.xml><?xml version="1.0" encoding="utf-8"?>
<sst xmlns="http://schemas.openxmlformats.org/spreadsheetml/2006/main" count="1379" uniqueCount="604">
  <si>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</si>
  <si>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</si>
  <si>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</si>
  <si>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</si>
  <si>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</si>
  <si>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</si>
  <si>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</si>
  <si>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</si>
  <si>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</si>
  <si>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</si>
  <si>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</si>
  <si>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</si>
  <si>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</si>
  <si>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</si>
  <si>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</si>
  <si>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</si>
  <si>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</si>
  <si>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</si>
  <si>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</si>
  <si>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</si>
  <si>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</si>
  <si>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</si>
  <si>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</si>
  <si>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</si>
  <si>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</si>
  <si>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</si>
  <si>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</si>
  <si>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</si>
  <si>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</si>
  <si>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</si>
  <si>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</si>
  <si>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</si>
  <si>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</si>
  <si>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</si>
  <si>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</si>
  <si>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</si>
  <si>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</si>
  <si>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</si>
  <si>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</si>
  <si>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</si>
  <si>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</si>
  <si>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</si>
  <si>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</si>
  <si>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</si>
  <si>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</si>
  <si>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</si>
  <si>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</si>
  <si>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</si>
  <si>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</si>
  <si>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</si>
  <si>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</si>
  <si>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</si>
  <si>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</si>
  <si>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</si>
  <si>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</si>
  <si>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</si>
  <si>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</si>
  <si>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</si>
  <si>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</si>
  <si>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</si>
  <si>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</si>
  <si>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</si>
  <si>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</si>
  <si>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</si>
  <si>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</si>
  <si>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</si>
  <si>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</si>
  <si>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</si>
  <si>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</si>
  <si>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</si>
  <si>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</si>
  <si>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</si>
  <si>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</si>
  <si>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</si>
  <si>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</si>
  <si>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</si>
  <si>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</si>
  <si>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</si>
  <si>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</si>
  <si>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</si>
  <si>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</si>
  <si>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</si>
  <si>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</si>
  <si>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</si>
  <si>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</si>
  <si>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</si>
  <si>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</si>
  <si>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</si>
  <si>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</si>
  <si>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</si>
  <si>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</si>
  <si>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</si>
  <si>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</si>
  <si>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</si>
  <si>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</si>
  <si>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</si>
  <si>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</si>
  <si>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</si>
  <si>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</si>
  <si>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</si>
  <si>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</si>
  <si>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</si>
  <si>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</si>
  <si>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</si>
  <si>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</si>
  <si>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</si>
  <si>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</si>
  <si>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</si>
  <si>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</si>
  <si>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</si>
  <si>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</si>
  <si>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</si>
  <si>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</si>
  <si>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</si>
  <si>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</si>
  <si>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</si>
  <si>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</si>
  <si>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</si>
  <si>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</si>
  <si>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</si>
  <si>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</si>
  <si>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</si>
  <si>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</si>
  <si>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</si>
  <si>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</si>
  <si>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</si>
  <si>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</si>
  <si>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</si>
  <si>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</si>
  <si>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</si>
  <si>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</si>
  <si>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</si>
  <si>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</si>
  <si>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</si>
  <si>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</si>
  <si>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</si>
  <si>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</si>
  <si>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</si>
  <si>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</si>
  <si>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</si>
  <si>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</si>
  <si>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</si>
  <si>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</si>
  <si>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</si>
  <si>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</si>
  <si>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</si>
  <si>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</si>
  <si>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</si>
  <si>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</si>
  <si>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</si>
  <si>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</si>
  <si>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</si>
  <si>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</si>
  <si>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</si>
  <si>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</si>
  <si>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</si>
  <si>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</si>
  <si>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</si>
  <si>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</si>
  <si>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</si>
  <si>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</si>
  <si>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</si>
  <si>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</si>
  <si>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</si>
  <si>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</si>
  <si>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</si>
  <si>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</si>
  <si>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</si>
  <si>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</si>
  <si>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</si>
  <si>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</si>
  <si>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</si>
  <si>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</si>
  <si>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</si>
  <si>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</si>
  <si>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</si>
  <si>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</si>
  <si>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</si>
  <si>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</si>
  <si>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</si>
  <si>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</si>
  <si>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</si>
  <si>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</si>
  <si>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</si>
  <si>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</si>
  <si>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</si>
  <si>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</si>
  <si>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</si>
  <si>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</si>
  <si>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</si>
  <si>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</si>
  <si>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</si>
  <si>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</si>
  <si>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</si>
  <si>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</si>
  <si>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</si>
  <si>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</si>
  <si>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</si>
  <si>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</si>
  <si>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</si>
  <si>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</si>
  <si>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</si>
  <si>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</si>
  <si>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</si>
  <si>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</si>
  <si>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</si>
  <si>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</si>
  <si>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</si>
  <si>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</si>
  <si>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</si>
  <si>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</si>
  <si>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</si>
  <si>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</si>
  <si>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</si>
  <si>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</si>
  <si>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</si>
  <si>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</si>
  <si>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</si>
  <si>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</si>
  <si>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</si>
  <si>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</si>
  <si>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</si>
  <si>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</si>
  <si>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</si>
  <si>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</si>
  <si>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</si>
  <si>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</si>
  <si>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</si>
  <si>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</si>
  <si>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</si>
  <si>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</si>
  <si>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</si>
  <si>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</si>
  <si>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</si>
  <si>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</si>
  <si>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</si>
  <si>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</si>
  <si>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</si>
  <si>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</si>
  <si>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</si>
  <si>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</si>
  <si>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</si>
  <si>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</si>
  <si>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</si>
  <si>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</si>
  <si>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</si>
  <si>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</si>
  <si>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</si>
  <si>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</si>
  <si>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</si>
  <si>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</si>
  <si>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</si>
  <si>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</si>
  <si>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</si>
  <si>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</si>
  <si>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</si>
  <si>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</si>
  <si>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</si>
  <si>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</si>
  <si>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</si>
  <si>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</si>
  <si>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</si>
  <si>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</si>
  <si>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</si>
  <si>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</si>
  <si>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</si>
  <si>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</si>
  <si>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</si>
  <si>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</si>
  <si>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</si>
  <si>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</si>
  <si>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</si>
  <si>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</si>
  <si>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</si>
  <si>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</si>
  <si>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</si>
  <si>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</si>
  <si>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</si>
  <si>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</si>
  <si>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</si>
  <si>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</si>
  <si>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</si>
  <si>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</si>
  <si>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</si>
  <si>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</si>
  <si>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</si>
  <si>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</si>
  <si>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</si>
  <si>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</si>
  <si>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</si>
  <si>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</si>
  <si>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</si>
  <si>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</si>
  <si>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</si>
  <si>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</si>
  <si>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</si>
  <si>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</si>
  <si>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</si>
  <si>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</si>
  <si>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</si>
  <si>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</si>
  <si>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</si>
  <si>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</si>
  <si>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</si>
  <si>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</si>
  <si>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</si>
  <si>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</si>
  <si>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</si>
  <si>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</si>
  <si>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</si>
  <si>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</si>
  <si>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</si>
  <si>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</si>
  <si>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</si>
  <si>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</si>
  <si>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</si>
  <si>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</si>
  <si>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</si>
  <si>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</si>
  <si>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</si>
  <si>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</si>
  <si>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</si>
  <si>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</si>
  <si>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</si>
  <si>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</si>
  <si>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</si>
  <si>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</si>
  <si>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</si>
  <si>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</si>
  <si>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</si>
  <si>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</si>
  <si>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</si>
  <si>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</si>
  <si>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</si>
  <si>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</si>
  <si>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</si>
  <si>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</si>
  <si>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</si>
  <si>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</si>
  <si>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</si>
  <si>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</si>
  <si>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</si>
  <si>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</si>
  <si>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</si>
  <si>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</si>
  <si>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</si>
  <si>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</si>
  <si>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</si>
  <si>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</si>
  <si>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</si>
  <si>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</si>
  <si>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</si>
  <si>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</si>
  <si>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</si>
  <si>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</si>
  <si>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</si>
  <si>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</si>
  <si>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</si>
  <si>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</si>
  <si>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</si>
  <si>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</si>
  <si>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</si>
  <si>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</si>
  <si>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</si>
  <si>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</si>
  <si>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</si>
  <si>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</si>
  <si>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</si>
  <si>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</si>
  <si>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</si>
  <si>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</si>
  <si>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</si>
  <si>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</si>
  <si>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</si>
  <si>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</si>
  <si>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</si>
  <si>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</si>
  <si>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</si>
  <si>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</si>
  <si>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</si>
  <si>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</si>
  <si>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</si>
  <si>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</si>
  <si>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</si>
  <si>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</si>
  <si>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</si>
  <si>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</si>
  <si>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</si>
  <si>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</si>
  <si>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</si>
  <si>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</si>
  <si>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</si>
  <si>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</si>
  <si>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</si>
  <si>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</si>
  <si>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</si>
  <si>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</si>
  <si>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</si>
  <si>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</si>
  <si>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</si>
  <si>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</si>
  <si>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</si>
  <si>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</si>
  <si>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</si>
  <si>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</si>
  <si>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</si>
  <si>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</si>
  <si>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</si>
  <si>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</si>
  <si>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</si>
  <si>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</si>
  <si>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</si>
  <si>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</si>
  <si>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</si>
  <si>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</si>
  <si>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</si>
  <si>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</si>
  <si>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</si>
  <si>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</si>
  <si>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</si>
  <si>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</si>
  <si>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</si>
  <si>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</si>
  <si>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</si>
  <si>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</si>
  <si>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</si>
  <si>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</si>
  <si>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</si>
  <si>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</si>
  <si>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</si>
  <si>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</si>
  <si>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</si>
  <si>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</si>
  <si>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</si>
  <si>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</si>
  <si>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</si>
  <si>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</si>
  <si>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</si>
  <si>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</si>
  <si>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</si>
  <si>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</si>
  <si>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</si>
  <si>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</si>
  <si>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</si>
  <si>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</si>
  <si>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</si>
  <si>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</si>
  <si>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</si>
  <si>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</si>
  <si>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</si>
  <si>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</si>
  <si>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</si>
  <si>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</si>
  <si>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</si>
  <si>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</si>
  <si>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</si>
  <si>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</si>
  <si>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</si>
  <si>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</si>
  <si>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</si>
  <si>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</si>
  <si>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</si>
  <si>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</si>
  <si>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</si>
  <si>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</si>
  <si>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</si>
  <si>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</si>
  <si>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</si>
  <si>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</si>
  <si>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</si>
  <si>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</si>
  <si>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</si>
  <si>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</si>
  <si>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</si>
  <si>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</si>
  <si>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</si>
  <si>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</si>
  <si>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</si>
  <si>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</si>
  <si>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</si>
  <si>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</si>
  <si>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</si>
  <si>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αντίγραφα = 5€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</si>
  <si>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</si>
  <si>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</si>
  <si>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</si>
  <si>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</si>
  <si>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</si>
  <si>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</si>
  <si>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</si>
  <si>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</si>
  <si>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</si>
  <si>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</si>
  <si>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</si>
  <si>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</si>
  <si>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</si>
  <si>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</si>
  <si>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</si>
  <si>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</si>
  <si>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</si>
  <si>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</si>
  <si>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</si>
  <si>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</si>
  <si>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</si>
  <si>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</si>
  <si>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</si>
  <si>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</si>
  <si>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</si>
  <si>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 xml:space="preserve">8 έως 80 </t>
  </si>
  <si>
    <t xml:space="preserve">4 έως 40 </t>
  </si>
  <si>
    <t>4 έως 80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</si>
  <si>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</si>
  <si>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</si>
  <si>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</si>
  <si>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</si>
  <si>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</si>
  <si>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</si>
  <si>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</si>
  <si>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</si>
  <si>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</si>
  <si>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προς Υποθηκοφυλακείο = στο ΑΡΧΕΙΟ</t>
  </si>
  <si>
    <t>94α</t>
  </si>
  <si>
    <t>94β</t>
  </si>
  <si>
    <t>94γ</t>
  </si>
  <si>
    <t>94δ</t>
  </si>
  <si>
    <t>94ε</t>
  </si>
  <si>
    <t>συνολο</t>
  </si>
  <si>
    <t>ντιΜιΧο - ΦΠΑ</t>
  </si>
  <si>
    <t>*93θ* = σφραγίδα -υπογραφή εγγράφου συμβολαίου  (π.χ. τοπογραφικό</t>
  </si>
  <si>
    <t>94α = αίτηση</t>
  </si>
  <si>
    <t>94β = περίληψη</t>
  </si>
  <si>
    <t>94γ = συμβόλαιο</t>
  </si>
  <si>
    <t>κλπ</t>
  </si>
  <si>
    <t>94δ = χαρτόσημα</t>
  </si>
  <si>
    <t>καβαλα</t>
  </si>
  <si>
    <t>71ι</t>
  </si>
  <si>
    <t>**71ι** = δήμος = δόμησης ΟΡΟΙ</t>
  </si>
  <si>
    <t>ψυχανάλυση</t>
  </si>
  <si>
    <t>βάσει ΑΓΑΠΕ</t>
  </si>
  <si>
    <t>???</t>
  </si>
  <si>
    <t>ΒΑΣΕΙ zηλ</t>
  </si>
  <si>
    <t>65δ</t>
  </si>
  <si>
    <t>73β</t>
  </si>
  <si>
    <t>*73β* = Νομαρχία - τοπογραφική</t>
  </si>
  <si>
    <t>καβάλα</t>
  </si>
  <si>
    <t>ΚΑΒΑΛΑ</t>
  </si>
  <si>
    <t>ζημία</t>
  </si>
  <si>
    <t>καθεστως ΤΟΓΚΑΣ</t>
  </si>
  <si>
    <t>αν ΌΧΙ σε καθεστώς ΤΟΓΚΑΣ</t>
  </si>
  <si>
    <t>ΦΠΑ = 16%</t>
  </si>
  <si>
    <t>κληρονομιάς ΑΠΟΔΟΧΗ</t>
  </si>
  <si>
    <t xml:space="preserve">γονική </t>
  </si>
  <si>
    <t>δωρεά</t>
  </si>
  <si>
    <t>πληρεξούσιο</t>
  </si>
  <si>
    <t>φ4</t>
  </si>
  <si>
    <t>1 σε 2</t>
  </si>
  <si>
    <t>φ6</t>
  </si>
  <si>
    <t>οι 3</t>
  </si>
  <si>
    <t>αναδασμός</t>
  </si>
  <si>
    <t>πατήρ</t>
  </si>
  <si>
    <t>χρησικτησία αγροτεμαχίων 1,2,3  = 19?? ΑΝΑΔΑΣΜΟΣ</t>
  </si>
  <si>
    <t>χρησικτησία αγροτεμαχίων 4,5,6,7,8,9 = 1955 πατρός ΔΩΡΕΑ άτυπος</t>
  </si>
  <si>
    <t>Δ.Ο.Υ.</t>
  </si>
  <si>
    <t>1,2,3</t>
  </si>
  <si>
    <t>4,5,6,7,8,9</t>
  </si>
  <si>
    <t>3 + 0,5</t>
  </si>
  <si>
    <t>φ9</t>
  </si>
  <si>
    <t>1 σε 1</t>
  </si>
  <si>
    <t>2 σε 1</t>
  </si>
  <si>
    <t>αντίγραφο στο αρχείο</t>
  </si>
  <si>
    <t>γονική το 1/3 των κάτωθι</t>
  </si>
  <si>
    <t>δωρεά τα 2/3 των κάτωθι</t>
  </si>
  <si>
    <t>φ8</t>
  </si>
  <si>
    <t>από 1/3 των κάτωθι</t>
  </si>
  <si>
    <t>φπα</t>
  </si>
  <si>
    <t>καθαρηΑμοιβη</t>
  </si>
  <si>
    <t>αιτΥποθ = ΤΑΧΔΙΚ-4 , ΤΑΝ-2,22 , ΤΑΣ-2,22</t>
  </si>
  <si>
    <t>bookmanOldStyle</t>
  </si>
  <si>
    <t>1δ6</t>
  </si>
  <si>
    <t>10έτη</t>
  </si>
  <si>
    <t>10έτη &amp; 5μήνες</t>
  </si>
  <si>
    <t>1ο</t>
  </si>
  <si>
    <t>2ο</t>
  </si>
  <si>
    <t>3ο</t>
  </si>
  <si>
    <t>4ο</t>
  </si>
  <si>
    <t>5ο</t>
  </si>
  <si>
    <t>6ο</t>
  </si>
  <si>
    <t>1] αγροτεμάχιο ;;;???' Θεολόγος -Αστρις -'';;;???'' 1.700μ2</t>
  </si>
  <si>
    <t>2] αγροτεμάχιο ;;;??? Θεολόγος -Αστρις -'';;;???'' 1.977μ2</t>
  </si>
  <si>
    <t>3] αγροτεμάχιο Θεολόγος -'';;;???'' 1.283μ2</t>
  </si>
  <si>
    <t>4] αγροτεμάχιο Θεολόγος -'';;;???'' 7.013,67μ2</t>
  </si>
  <si>
    <t>5] αγροτεμάχιο Θεολόγος -'';;;???'' 6.048μ2</t>
  </si>
  <si>
    <t>6] αγροτεμάχιο Θεολόγος -'';;;???'' 2.296,90μ2</t>
  </si>
  <si>
    <t>7] αγροτεμάχιο Θεολόγος -'';;;???'' 6.966,10μ2</t>
  </si>
  <si>
    <t>8] αγροτεμάχιο Θεολόγος -'';;;???'' 150μ2</t>
  </si>
  <si>
    <t>9] αγροτεμάχιο Θεολόγος -'';;;???'' 390μ2</t>
  </si>
  <si>
    <t>1/2 του 7] αγροτεμάχιο Θεολόγος -'';;;???'' 6.966,10μ2</t>
  </si>
  <si>
    <t>219-163 = αδερφός</t>
  </si>
  <si>
    <t>219-163</t>
  </si>
  <si>
    <t>219-163αδερφή</t>
  </si>
  <si>
    <t>ανηψιά</t>
  </si>
  <si>
    <t>κόρη</t>
  </si>
  <si>
    <t>ανηψιός</t>
  </si>
  <si>
    <t>3ο -4ο -5ο -6ο = πληρωμές πόρων 31/10/2011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</si>
</sst>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indexed="8"/>
      <name val="Arial"/>
      <family val="2"/>
      <charset val="161"/>
    </font>
    <font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946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0" fontId="26" fillId="0" borderId="0" xfId="0" applyFont="1" applyFill="1" applyAlignment="1">
      <alignment wrapText="1"/>
    </xf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0" fillId="0" borderId="10" xfId="0" applyBorder="1" applyAlignment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3" borderId="17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0" borderId="0" xfId="1" applyFont="1" applyFill="1" applyAlignme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164" fontId="21" fillId="3" borderId="0" xfId="1" applyNumberFormat="1" applyFont="1" applyFill="1"/>
    <xf numFmtId="0" fontId="21" fillId="3" borderId="0" xfId="0" applyFont="1" applyFill="1"/>
    <xf numFmtId="9" fontId="21" fillId="3" borderId="0" xfId="1" applyNumberFormat="1" applyFont="1" applyFill="1"/>
    <xf numFmtId="0" fontId="2" fillId="3" borderId="0" xfId="0" applyFont="1" applyFill="1"/>
    <xf numFmtId="3" fontId="21" fillId="3" borderId="0" xfId="0" applyNumberFormat="1" applyFont="1" applyFill="1"/>
    <xf numFmtId="9" fontId="21" fillId="0" borderId="0" xfId="1" applyNumberFormat="1" applyFont="1" applyFill="1"/>
    <xf numFmtId="43" fontId="27" fillId="6" borderId="0" xfId="1" applyFont="1" applyFill="1" applyAlignment="1"/>
    <xf numFmtId="43" fontId="28" fillId="5" borderId="0" xfId="1" applyFont="1" applyFill="1" applyAlignment="1"/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0" fontId="35" fillId="0" borderId="0" xfId="0" applyFont="1" applyFill="1"/>
    <xf numFmtId="43" fontId="40" fillId="0" borderId="14" xfId="1" applyFont="1" applyFill="1" applyBorder="1"/>
    <xf numFmtId="43" fontId="35" fillId="0" borderId="14" xfId="1" applyFont="1" applyFill="1" applyBorder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164" fontId="20" fillId="0" borderId="14" xfId="1" applyNumberFormat="1" applyFont="1" applyBorder="1"/>
    <xf numFmtId="164" fontId="20" fillId="2" borderId="9" xfId="1" applyNumberFormat="1" applyFont="1" applyFill="1" applyBorder="1" applyAlignment="1">
      <alignment horizontal="center" vertical="center" wrapText="1"/>
    </xf>
    <xf numFmtId="164" fontId="20" fillId="4" borderId="9" xfId="1" applyNumberFormat="1" applyFont="1" applyFill="1" applyBorder="1" applyAlignment="1">
      <alignment horizontal="center" vertical="center" wrapText="1"/>
    </xf>
    <xf numFmtId="43" fontId="21" fillId="12" borderId="14" xfId="1" applyFont="1" applyFill="1" applyBorder="1"/>
    <xf numFmtId="164" fontId="20" fillId="0" borderId="9" xfId="1" applyNumberFormat="1" applyFont="1" applyBorder="1" applyAlignment="1">
      <alignment horizontal="center" vertical="center" wrapText="1"/>
    </xf>
    <xf numFmtId="164" fontId="27" fillId="6" borderId="0" xfId="1" applyNumberFormat="1" applyFont="1" applyFill="1"/>
    <xf numFmtId="0" fontId="42" fillId="0" borderId="14" xfId="0" applyFont="1" applyFill="1" applyBorder="1"/>
    <xf numFmtId="164" fontId="23" fillId="0" borderId="1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0" fontId="21" fillId="2" borderId="0" xfId="0" applyFont="1" applyFill="1"/>
    <xf numFmtId="0" fontId="21" fillId="2" borderId="0" xfId="0" applyFont="1" applyFill="1" applyAlignment="1">
      <alignment horizontal="center"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20" fillId="6" borderId="10" xfId="1" applyFont="1" applyFill="1" applyBorder="1" applyAlignment="1">
      <alignment vertical="center" wrapText="1"/>
    </xf>
    <xf numFmtId="43" fontId="20" fillId="5" borderId="19" xfId="1" applyFont="1" applyFill="1" applyBorder="1" applyAlignment="1">
      <alignment vertical="center" wrapText="1"/>
    </xf>
    <xf numFmtId="43" fontId="21" fillId="0" borderId="9" xfId="1" applyFont="1" applyFill="1" applyBorder="1"/>
    <xf numFmtId="14" fontId="18" fillId="0" borderId="1" xfId="1" applyNumberFormat="1" applyFont="1" applyFill="1" applyBorder="1" applyAlignment="1">
      <alignment vertical="center"/>
    </xf>
    <xf numFmtId="43" fontId="21" fillId="0" borderId="0" xfId="1" applyFont="1" applyAlignment="1">
      <alignment horizontal="right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0" fontId="21" fillId="0" borderId="14" xfId="0" applyFont="1" applyBorder="1"/>
    <xf numFmtId="43" fontId="21" fillId="0" borderId="14" xfId="1" applyFont="1" applyBorder="1"/>
    <xf numFmtId="14" fontId="42" fillId="0" borderId="14" xfId="0" applyNumberFormat="1" applyFont="1" applyBorder="1"/>
    <xf numFmtId="0" fontId="17" fillId="0" borderId="14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0" fontId="21" fillId="0" borderId="14" xfId="0" applyFont="1" applyFill="1" applyBorder="1" applyAlignment="1">
      <alignment horizontal="center" wrapText="1"/>
    </xf>
    <xf numFmtId="43" fontId="21" fillId="3" borderId="0" xfId="0" applyNumberFormat="1" applyFont="1" applyFill="1"/>
    <xf numFmtId="0" fontId="36" fillId="0" borderId="14" xfId="1" applyNumberFormat="1" applyFont="1" applyFill="1" applyBorder="1" applyAlignment="1">
      <alignment horizontal="left" vertical="center"/>
    </xf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43" fontId="18" fillId="12" borderId="14" xfId="1" applyFont="1" applyFill="1" applyBorder="1"/>
    <xf numFmtId="165" fontId="42" fillId="0" borderId="14" xfId="1" applyNumberFormat="1" applyFont="1" applyFill="1" applyBorder="1" applyAlignment="1">
      <alignment horizontal="center" wrapText="1"/>
    </xf>
    <xf numFmtId="0" fontId="20" fillId="0" borderId="0" xfId="0" applyFont="1" applyFill="1" applyAlignment="1">
      <alignment wrapText="1"/>
    </xf>
    <xf numFmtId="43" fontId="34" fillId="0" borderId="0" xfId="1" applyFont="1" applyFill="1" applyAlignment="1"/>
    <xf numFmtId="0" fontId="40" fillId="0" borderId="14" xfId="0" applyFont="1" applyFill="1" applyBorder="1" applyAlignment="1">
      <alignment horizontal="left"/>
    </xf>
    <xf numFmtId="43" fontId="40" fillId="4" borderId="14" xfId="1" applyFont="1" applyFill="1" applyBorder="1" applyAlignment="1">
      <alignment horizontal="center" vertical="center"/>
    </xf>
    <xf numFmtId="43" fontId="40" fillId="4" borderId="1" xfId="1" applyFont="1" applyFill="1" applyBorder="1" applyAlignment="1">
      <alignment horizontal="center" vertical="center"/>
    </xf>
    <xf numFmtId="0" fontId="48" fillId="0" borderId="1" xfId="1" applyNumberFormat="1" applyFont="1" applyFill="1" applyBorder="1" applyAlignment="1">
      <alignment horizontal="left" vertical="center"/>
    </xf>
    <xf numFmtId="0" fontId="20" fillId="5" borderId="0" xfId="0" applyFont="1" applyFill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4" xfId="0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64" fontId="21" fillId="0" borderId="9" xfId="1" applyNumberFormat="1" applyFont="1" applyFill="1" applyBorder="1"/>
    <xf numFmtId="43" fontId="21" fillId="4" borderId="10" xfId="1" applyFont="1" applyFill="1" applyBorder="1" applyAlignment="1">
      <alignment horizontal="center" vertical="center" wrapText="1"/>
    </xf>
    <xf numFmtId="14" fontId="42" fillId="0" borderId="1" xfId="0" applyNumberFormat="1" applyFont="1" applyBorder="1"/>
    <xf numFmtId="43" fontId="18" fillId="0" borderId="1" xfId="1" applyFont="1" applyFill="1" applyBorder="1" applyAlignment="1">
      <alignment horizontal="center" wrapText="1"/>
    </xf>
    <xf numFmtId="43" fontId="19" fillId="0" borderId="1" xfId="1" applyFont="1" applyFill="1" applyBorder="1"/>
    <xf numFmtId="43" fontId="19" fillId="0" borderId="14" xfId="1" applyFont="1" applyBorder="1"/>
    <xf numFmtId="43" fontId="19" fillId="0" borderId="14" xfId="1" applyFont="1" applyFill="1" applyBorder="1" applyAlignment="1"/>
    <xf numFmtId="43" fontId="28" fillId="0" borderId="14" xfId="1" applyFont="1" applyFill="1" applyBorder="1" applyAlignment="1"/>
    <xf numFmtId="164" fontId="23" fillId="2" borderId="1" xfId="1" applyNumberFormat="1" applyFont="1" applyFill="1" applyBorder="1" applyAlignment="1">
      <alignment vertical="center"/>
    </xf>
    <xf numFmtId="43" fontId="21" fillId="4" borderId="1" xfId="1" applyFont="1" applyFill="1" applyBorder="1"/>
    <xf numFmtId="0" fontId="17" fillId="0" borderId="1" xfId="0" applyFont="1" applyFill="1" applyBorder="1" applyAlignment="1">
      <alignment horizontal="left"/>
    </xf>
    <xf numFmtId="43" fontId="21" fillId="0" borderId="0" xfId="1" applyFont="1" applyAlignment="1">
      <alignment horizontal="center"/>
    </xf>
    <xf numFmtId="43" fontId="18" fillId="5" borderId="14" xfId="1" applyFont="1" applyFill="1" applyBorder="1" applyAlignment="1">
      <alignment horizontal="right" vertical="center"/>
    </xf>
    <xf numFmtId="43" fontId="21" fillId="0" borderId="0" xfId="0" applyNumberFormat="1" applyFont="1"/>
    <xf numFmtId="164" fontId="18" fillId="0" borderId="0" xfId="1" applyNumberFormat="1" applyFont="1" applyFill="1" applyAlignment="1">
      <alignment horizontal="center" wrapText="1"/>
    </xf>
    <xf numFmtId="164" fontId="21" fillId="0" borderId="0" xfId="1" applyNumberFormat="1" applyFont="1" applyFill="1" applyAlignment="1">
      <alignment horizontal="center" wrapText="1"/>
    </xf>
    <xf numFmtId="164" fontId="23" fillId="2" borderId="14" xfId="1" applyNumberFormat="1" applyFont="1" applyFill="1" applyBorder="1" applyAlignment="1">
      <alignment vertical="center"/>
    </xf>
    <xf numFmtId="14" fontId="18" fillId="0" borderId="14" xfId="1" applyNumberFormat="1" applyFont="1" applyFill="1" applyBorder="1" applyAlignment="1">
      <alignment vertical="center"/>
    </xf>
    <xf numFmtId="0" fontId="18" fillId="0" borderId="14" xfId="0" applyFont="1" applyFill="1" applyBorder="1"/>
    <xf numFmtId="164" fontId="23" fillId="0" borderId="34" xfId="1" applyNumberFormat="1" applyFont="1" applyFill="1" applyBorder="1" applyAlignment="1">
      <alignment vertical="center"/>
    </xf>
    <xf numFmtId="14" fontId="18" fillId="0" borderId="34" xfId="1" applyNumberFormat="1" applyFont="1" applyFill="1" applyBorder="1" applyAlignment="1">
      <alignment vertical="center"/>
    </xf>
    <xf numFmtId="0" fontId="18" fillId="0" borderId="34" xfId="0" applyFont="1" applyFill="1" applyBorder="1"/>
    <xf numFmtId="43" fontId="18" fillId="0" borderId="34" xfId="1" applyFont="1" applyFill="1" applyBorder="1"/>
    <xf numFmtId="43" fontId="18" fillId="0" borderId="34" xfId="1" applyFont="1" applyFill="1" applyBorder="1" applyAlignment="1">
      <alignment horizontal="right" vertical="center"/>
    </xf>
    <xf numFmtId="43" fontId="21" fillId="0" borderId="34" xfId="1" applyFont="1" applyFill="1" applyBorder="1"/>
    <xf numFmtId="164" fontId="23" fillId="8" borderId="14" xfId="1" applyNumberFormat="1" applyFont="1" applyFill="1" applyBorder="1" applyAlignment="1">
      <alignment vertical="center"/>
    </xf>
    <xf numFmtId="164" fontId="23" fillId="2" borderId="9" xfId="1" applyNumberFormat="1" applyFont="1" applyFill="1" applyBorder="1" applyAlignment="1">
      <alignment vertical="center"/>
    </xf>
    <xf numFmtId="14" fontId="18" fillId="0" borderId="9" xfId="1" applyNumberFormat="1" applyFont="1" applyFill="1" applyBorder="1" applyAlignment="1">
      <alignment vertical="center"/>
    </xf>
    <xf numFmtId="0" fontId="18" fillId="0" borderId="9" xfId="0" applyFont="1" applyFill="1" applyBorder="1"/>
    <xf numFmtId="43" fontId="18" fillId="0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164" fontId="21" fillId="0" borderId="10" xfId="1" applyNumberFormat="1" applyFont="1" applyFill="1" applyBorder="1"/>
    <xf numFmtId="0" fontId="21" fillId="0" borderId="10" xfId="0" applyFont="1" applyBorder="1"/>
    <xf numFmtId="43" fontId="21" fillId="0" borderId="10" xfId="1" applyFont="1" applyBorder="1"/>
    <xf numFmtId="43" fontId="21" fillId="4" borderId="9" xfId="1" applyFont="1" applyFill="1" applyBorder="1"/>
    <xf numFmtId="14" fontId="42" fillId="0" borderId="10" xfId="0" applyNumberFormat="1" applyFont="1" applyBorder="1"/>
    <xf numFmtId="164" fontId="21" fillId="2" borderId="14" xfId="1" applyNumberFormat="1" applyFont="1" applyFill="1" applyBorder="1"/>
    <xf numFmtId="164" fontId="21" fillId="2" borderId="1" xfId="1" applyNumberFormat="1" applyFont="1" applyFill="1" applyBorder="1"/>
    <xf numFmtId="43" fontId="21" fillId="4" borderId="14" xfId="1" applyFont="1" applyFill="1" applyBorder="1"/>
    <xf numFmtId="164" fontId="21" fillId="2" borderId="9" xfId="1" applyNumberFormat="1" applyFont="1" applyFill="1" applyBorder="1"/>
    <xf numFmtId="43" fontId="21" fillId="0" borderId="9" xfId="1" applyFont="1" applyBorder="1"/>
    <xf numFmtId="14" fontId="42" fillId="0" borderId="9" xfId="0" applyNumberFormat="1" applyFont="1" applyBorder="1"/>
    <xf numFmtId="43" fontId="20" fillId="0" borderId="0" xfId="1" applyFont="1"/>
    <xf numFmtId="164" fontId="36" fillId="0" borderId="35" xfId="1" applyNumberFormat="1" applyFont="1" applyFill="1" applyBorder="1" applyAlignment="1">
      <alignment horizontal="center" vertical="center"/>
    </xf>
    <xf numFmtId="0" fontId="36" fillId="0" borderId="36" xfId="1" applyNumberFormat="1" applyFont="1" applyFill="1" applyBorder="1" applyAlignment="1">
      <alignment horizontal="left" vertical="center"/>
    </xf>
    <xf numFmtId="43" fontId="36" fillId="0" borderId="36" xfId="1" applyFont="1" applyFill="1" applyBorder="1" applyAlignment="1">
      <alignment horizontal="center" vertical="center"/>
    </xf>
    <xf numFmtId="164" fontId="36" fillId="0" borderId="34" xfId="1" applyNumberFormat="1" applyFont="1" applyFill="1" applyBorder="1" applyAlignment="1">
      <alignment horizontal="center" vertical="center"/>
    </xf>
    <xf numFmtId="43" fontId="17" fillId="0" borderId="34" xfId="1" applyFont="1" applyFill="1" applyBorder="1" applyAlignment="1">
      <alignment horizontal="right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17" fillId="0" borderId="34" xfId="0" applyFont="1" applyFill="1" applyBorder="1" applyAlignment="1">
      <alignment horizontal="left"/>
    </xf>
    <xf numFmtId="164" fontId="17" fillId="0" borderId="34" xfId="1" applyNumberFormat="1" applyFont="1" applyFill="1" applyBorder="1"/>
    <xf numFmtId="164" fontId="18" fillId="0" borderId="34" xfId="1" applyNumberFormat="1" applyFont="1" applyFill="1" applyBorder="1"/>
    <xf numFmtId="0" fontId="17" fillId="0" borderId="9" xfId="0" applyFont="1" applyFill="1" applyBorder="1" applyAlignment="1">
      <alignment horizontal="left"/>
    </xf>
    <xf numFmtId="164" fontId="17" fillId="0" borderId="9" xfId="1" applyNumberFormat="1" applyFont="1" applyFill="1" applyBorder="1"/>
    <xf numFmtId="164" fontId="18" fillId="0" borderId="9" xfId="1" applyNumberFormat="1" applyFont="1" applyFill="1" applyBorder="1"/>
    <xf numFmtId="164" fontId="23" fillId="5" borderId="14" xfId="1" applyNumberFormat="1" applyFont="1" applyFill="1" applyBorder="1" applyAlignment="1">
      <alignment horizontal="center" vertical="center" wrapText="1"/>
    </xf>
    <xf numFmtId="164" fontId="23" fillId="0" borderId="35" xfId="1" applyNumberFormat="1" applyFont="1" applyFill="1" applyBorder="1" applyAlignment="1">
      <alignment horizontal="center" vertical="center"/>
    </xf>
    <xf numFmtId="0" fontId="18" fillId="0" borderId="34" xfId="0" applyFont="1" applyFill="1" applyBorder="1" applyAlignment="1">
      <alignment horizontal="left"/>
    </xf>
    <xf numFmtId="164" fontId="23" fillId="0" borderId="34" xfId="1" applyNumberFormat="1" applyFont="1" applyFill="1" applyBorder="1" applyAlignment="1">
      <alignment horizontal="center" vertical="center"/>
    </xf>
    <xf numFmtId="164" fontId="23" fillId="0" borderId="34" xfId="1" applyNumberFormat="1" applyFont="1" applyFill="1" applyBorder="1" applyAlignment="1">
      <alignment horizontal="center" vertical="center" wrapText="1"/>
    </xf>
    <xf numFmtId="43" fontId="18" fillId="0" borderId="37" xfId="1" applyFont="1" applyFill="1" applyBorder="1" applyAlignment="1">
      <alignment horizontal="right" vertical="center"/>
    </xf>
    <xf numFmtId="164" fontId="23" fillId="2" borderId="18" xfId="1" applyNumberFormat="1" applyFont="1" applyFill="1" applyBorder="1" applyAlignment="1">
      <alignment horizontal="center" vertical="center"/>
    </xf>
    <xf numFmtId="164" fontId="23" fillId="2" borderId="2" xfId="1" applyNumberFormat="1" applyFont="1" applyFill="1" applyBorder="1" applyAlignment="1">
      <alignment horizontal="center" vertical="center"/>
    </xf>
    <xf numFmtId="164" fontId="23" fillId="2" borderId="8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right" vertical="center"/>
    </xf>
    <xf numFmtId="0" fontId="21" fillId="0" borderId="34" xfId="0" applyFont="1" applyFill="1" applyBorder="1"/>
    <xf numFmtId="0" fontId="21" fillId="2" borderId="14" xfId="0" applyFont="1" applyFill="1" applyBorder="1"/>
    <xf numFmtId="0" fontId="21" fillId="2" borderId="9" xfId="0" applyFont="1" applyFill="1" applyBorder="1"/>
    <xf numFmtId="0" fontId="21" fillId="0" borderId="9" xfId="0" applyFont="1" applyFill="1" applyBorder="1"/>
    <xf numFmtId="0" fontId="36" fillId="0" borderId="34" xfId="1" applyNumberFormat="1" applyFont="1" applyFill="1" applyBorder="1" applyAlignment="1">
      <alignment horizontal="left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36" fillId="2" borderId="14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36" fillId="2" borderId="9" xfId="1" applyNumberFormat="1" applyFont="1" applyFill="1" applyBorder="1" applyAlignment="1">
      <alignment horizontal="center" vertical="center"/>
    </xf>
    <xf numFmtId="14" fontId="23" fillId="0" borderId="34" xfId="1" applyNumberFormat="1" applyFont="1" applyFill="1" applyBorder="1" applyAlignment="1">
      <alignment horizontal="center" vertical="center"/>
    </xf>
    <xf numFmtId="0" fontId="23" fillId="0" borderId="34" xfId="1" applyNumberFormat="1" applyFont="1" applyFill="1" applyBorder="1" applyAlignment="1">
      <alignment horizontal="left" vertical="center"/>
    </xf>
    <xf numFmtId="43" fontId="23" fillId="0" borderId="34" xfId="1" applyFont="1" applyFill="1" applyBorder="1" applyAlignment="1">
      <alignment horizontal="right" vertical="center"/>
    </xf>
    <xf numFmtId="43" fontId="21" fillId="4" borderId="0" xfId="1" applyFont="1" applyFill="1"/>
    <xf numFmtId="43" fontId="21" fillId="3" borderId="0" xfId="1" applyFont="1" applyFill="1" applyAlignment="1">
      <alignment horizontal="right"/>
    </xf>
    <xf numFmtId="43" fontId="18" fillId="3" borderId="0" xfId="1" applyFont="1" applyFill="1"/>
    <xf numFmtId="164" fontId="23" fillId="2" borderId="14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14" fontId="23" fillId="0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3" fillId="0" borderId="9" xfId="1" applyFont="1" applyFill="1" applyBorder="1" applyAlignment="1">
      <alignment horizontal="right" vertic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8" borderId="8" xfId="1" applyNumberFormat="1" applyFont="1" applyFill="1" applyBorder="1" applyAlignment="1">
      <alignment horizontal="center" vertical="center"/>
    </xf>
    <xf numFmtId="0" fontId="21" fillId="0" borderId="0" xfId="0" applyFont="1" applyAlignment="1">
      <alignment horizontal="right"/>
    </xf>
    <xf numFmtId="164" fontId="23" fillId="8" borderId="9" xfId="1" applyNumberFormat="1" applyFont="1" applyFill="1" applyBorder="1" applyAlignment="1">
      <alignment vertical="center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8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0" fontId="21" fillId="8" borderId="14" xfId="0" applyFont="1" applyFill="1" applyBorder="1"/>
    <xf numFmtId="0" fontId="21" fillId="8" borderId="9" xfId="0" applyFont="1" applyFill="1" applyBorder="1"/>
    <xf numFmtId="43" fontId="21" fillId="5" borderId="0" xfId="1" applyFont="1" applyFill="1"/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0" fontId="49" fillId="0" borderId="0" xfId="0" applyFont="1"/>
    <xf numFmtId="164" fontId="21" fillId="8" borderId="14" xfId="1" applyNumberFormat="1" applyFont="1" applyFill="1" applyBorder="1"/>
    <xf numFmtId="164" fontId="21" fillId="8" borderId="9" xfId="1" applyNumberFormat="1" applyFont="1" applyFill="1" applyBorder="1"/>
    <xf numFmtId="164" fontId="23" fillId="5" borderId="34" xfId="1" applyNumberFormat="1" applyFont="1" applyFill="1" applyBorder="1" applyAlignment="1">
      <alignment horizontal="center" vertical="center" wrapText="1"/>
    </xf>
    <xf numFmtId="0" fontId="21" fillId="0" borderId="10" xfId="0" applyFont="1" applyFill="1" applyBorder="1"/>
    <xf numFmtId="43" fontId="21" fillId="0" borderId="10" xfId="1" applyFont="1" applyFill="1" applyBorder="1"/>
    <xf numFmtId="164" fontId="21" fillId="0" borderId="34" xfId="1" applyNumberFormat="1" applyFont="1" applyFill="1" applyBorder="1"/>
    <xf numFmtId="0" fontId="21" fillId="0" borderId="34" xfId="0" applyFont="1" applyBorder="1"/>
    <xf numFmtId="43" fontId="21" fillId="0" borderId="34" xfId="1" applyFont="1" applyBorder="1"/>
    <xf numFmtId="14" fontId="42" fillId="0" borderId="34" xfId="0" applyNumberFormat="1" applyFont="1" applyBorder="1"/>
    <xf numFmtId="43" fontId="21" fillId="4" borderId="34" xfId="1" applyFont="1" applyFill="1" applyBorder="1"/>
    <xf numFmtId="43" fontId="21" fillId="0" borderId="14" xfId="0" applyNumberFormat="1" applyFont="1" applyBorder="1"/>
    <xf numFmtId="164" fontId="23" fillId="6" borderId="18" xfId="1" applyNumberFormat="1" applyFont="1" applyFill="1" applyBorder="1" applyAlignment="1">
      <alignment horizontal="center" vertical="center"/>
    </xf>
    <xf numFmtId="164" fontId="23" fillId="6" borderId="8" xfId="1" applyNumberFormat="1" applyFont="1" applyFill="1" applyBorder="1" applyAlignment="1">
      <alignment horizontal="center" vertical="center"/>
    </xf>
    <xf numFmtId="0" fontId="42" fillId="0" borderId="34" xfId="0" applyFont="1" applyFill="1" applyBorder="1" applyAlignment="1">
      <alignment horizontal="center" wrapText="1"/>
    </xf>
    <xf numFmtId="0" fontId="21" fillId="0" borderId="3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0" fontId="42" fillId="0" borderId="10" xfId="0" applyFont="1" applyFill="1" applyBorder="1" applyAlignment="1">
      <alignment horizontal="center" wrapText="1"/>
    </xf>
    <xf numFmtId="0" fontId="21" fillId="0" borderId="10" xfId="0" applyFont="1" applyFill="1" applyBorder="1" applyAlignment="1">
      <alignment horizontal="center" wrapText="1"/>
    </xf>
    <xf numFmtId="0" fontId="12" fillId="0" borderId="34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0" fontId="41" fillId="0" borderId="9" xfId="0" applyFont="1" applyFill="1" applyBorder="1" applyAlignment="1">
      <alignment horizontal="center" wrapText="1"/>
    </xf>
    <xf numFmtId="0" fontId="41" fillId="0" borderId="34" xfId="0" applyFont="1" applyFill="1" applyBorder="1" applyAlignment="1">
      <alignment horizontal="center" wrapText="1"/>
    </xf>
    <xf numFmtId="43" fontId="18" fillId="12" borderId="14" xfId="1" applyFont="1" applyFill="1" applyBorder="1" applyAlignment="1">
      <alignment horizontal="center" wrapText="1"/>
    </xf>
    <xf numFmtId="14" fontId="21" fillId="0" borderId="14" xfId="1" applyNumberFormat="1" applyFont="1" applyFill="1" applyBorder="1" applyAlignment="1">
      <alignment wrapText="1"/>
    </xf>
    <xf numFmtId="164" fontId="21" fillId="2" borderId="14" xfId="1" applyNumberFormat="1" applyFont="1" applyFill="1" applyBorder="1" applyAlignment="1">
      <alignment wrapText="1"/>
    </xf>
    <xf numFmtId="164" fontId="21" fillId="0" borderId="34" xfId="1" applyNumberFormat="1" applyFont="1" applyFill="1" applyBorder="1" applyAlignment="1">
      <alignment wrapText="1"/>
    </xf>
    <xf numFmtId="14" fontId="21" fillId="0" borderId="34" xfId="1" applyNumberFormat="1" applyFont="1" applyFill="1" applyBorder="1" applyAlignment="1">
      <alignment wrapText="1"/>
    </xf>
    <xf numFmtId="0" fontId="21" fillId="0" borderId="34" xfId="1" applyNumberFormat="1" applyFont="1" applyFill="1" applyBorder="1" applyAlignment="1">
      <alignment horizontal="left" wrapText="1"/>
    </xf>
    <xf numFmtId="164" fontId="42" fillId="0" borderId="34" xfId="1" applyNumberFormat="1" applyFont="1" applyFill="1" applyBorder="1"/>
    <xf numFmtId="43" fontId="42" fillId="0" borderId="34" xfId="1" applyFont="1" applyFill="1" applyBorder="1"/>
    <xf numFmtId="164" fontId="21" fillId="2" borderId="9" xfId="1" applyNumberFormat="1" applyFont="1" applyFill="1" applyBorder="1" applyAlignment="1">
      <alignment wrapText="1"/>
    </xf>
    <xf numFmtId="14" fontId="21" fillId="0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43" fontId="42" fillId="0" borderId="9" xfId="1" applyFont="1" applyFill="1" applyBorder="1"/>
    <xf numFmtId="43" fontId="20" fillId="0" borderId="24" xfId="1" applyFont="1" applyFill="1" applyBorder="1" applyAlignment="1">
      <alignment horizontal="right"/>
    </xf>
    <xf numFmtId="164" fontId="21" fillId="0" borderId="10" xfId="1" applyNumberFormat="1" applyFont="1" applyFill="1" applyBorder="1" applyAlignment="1">
      <alignment wrapText="1"/>
    </xf>
    <xf numFmtId="14" fontId="21" fillId="0" borderId="10" xfId="1" applyNumberFormat="1" applyFont="1" applyFill="1" applyBorder="1" applyAlignment="1">
      <alignment wrapText="1"/>
    </xf>
    <xf numFmtId="0" fontId="21" fillId="0" borderId="10" xfId="1" applyNumberFormat="1" applyFont="1" applyFill="1" applyBorder="1" applyAlignment="1">
      <alignment horizontal="left" wrapText="1"/>
    </xf>
    <xf numFmtId="164" fontId="18" fillId="0" borderId="10" xfId="1" applyNumberFormat="1" applyFont="1" applyFill="1" applyBorder="1"/>
    <xf numFmtId="43" fontId="18" fillId="0" borderId="10" xfId="1" applyFont="1" applyFill="1" applyBorder="1"/>
    <xf numFmtId="164" fontId="42" fillId="0" borderId="10" xfId="1" applyNumberFormat="1" applyFont="1" applyFill="1" applyBorder="1"/>
    <xf numFmtId="43" fontId="42" fillId="0" borderId="10" xfId="1" applyFont="1" applyFill="1" applyBorder="1"/>
    <xf numFmtId="164" fontId="21" fillId="8" borderId="14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43" fontId="18" fillId="12" borderId="34" xfId="1" applyFont="1" applyFill="1" applyBorder="1"/>
    <xf numFmtId="43" fontId="18" fillId="12" borderId="9" xfId="1" applyFont="1" applyFill="1" applyBorder="1"/>
    <xf numFmtId="43" fontId="20" fillId="12" borderId="24" xfId="1" applyFont="1" applyFill="1" applyBorder="1" applyAlignment="1">
      <alignment horizontal="right"/>
    </xf>
    <xf numFmtId="43" fontId="20" fillId="0" borderId="24" xfId="1" applyFont="1" applyFill="1" applyBorder="1" applyAlignment="1">
      <alignment horizontal="center" wrapText="1"/>
    </xf>
    <xf numFmtId="165" fontId="42" fillId="0" borderId="9" xfId="1" applyNumberFormat="1" applyFont="1" applyFill="1" applyBorder="1" applyAlignment="1">
      <alignment horizontal="center" wrapText="1"/>
    </xf>
    <xf numFmtId="43" fontId="18" fillId="12" borderId="10" xfId="1" applyFont="1" applyFill="1" applyBorder="1"/>
    <xf numFmtId="43" fontId="42" fillId="0" borderId="14" xfId="1" applyFont="1" applyFill="1" applyBorder="1" applyAlignment="1">
      <alignment horizontal="center" wrapText="1"/>
    </xf>
    <xf numFmtId="43" fontId="42" fillId="0" borderId="9" xfId="1" applyFont="1" applyFill="1" applyBorder="1" applyAlignment="1">
      <alignment horizontal="center" wrapText="1"/>
    </xf>
    <xf numFmtId="164" fontId="39" fillId="0" borderId="35" xfId="1" applyNumberFormat="1" applyFont="1" applyFill="1" applyBorder="1" applyAlignment="1">
      <alignment horizontal="center" vertical="center"/>
    </xf>
    <xf numFmtId="0" fontId="40" fillId="0" borderId="34" xfId="0" applyFont="1" applyFill="1" applyBorder="1" applyAlignment="1">
      <alignment horizontal="left"/>
    </xf>
    <xf numFmtId="43" fontId="40" fillId="0" borderId="34" xfId="1" applyFont="1" applyFill="1" applyBorder="1"/>
    <xf numFmtId="43" fontId="40" fillId="4" borderId="34" xfId="1" applyFont="1" applyFill="1" applyBorder="1" applyAlignment="1">
      <alignment horizontal="center" vertical="center"/>
    </xf>
    <xf numFmtId="43" fontId="35" fillId="0" borderId="34" xfId="1" applyFont="1" applyFill="1" applyBorder="1"/>
    <xf numFmtId="164" fontId="39" fillId="2" borderId="18" xfId="1" applyNumberFormat="1" applyFont="1" applyFill="1" applyBorder="1" applyAlignment="1">
      <alignment horizontal="center" vertical="center"/>
    </xf>
    <xf numFmtId="164" fontId="39" fillId="2" borderId="2" xfId="1" applyNumberFormat="1" applyFont="1" applyFill="1" applyBorder="1" applyAlignment="1">
      <alignment horizontal="center" vertical="center"/>
    </xf>
    <xf numFmtId="164" fontId="39" fillId="2" borderId="8" xfId="1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/>
    </xf>
    <xf numFmtId="43" fontId="40" fillId="0" borderId="9" xfId="1" applyFont="1" applyFill="1" applyBorder="1"/>
    <xf numFmtId="43" fontId="40" fillId="4" borderId="9" xfId="1" applyFont="1" applyFill="1" applyBorder="1" applyAlignment="1">
      <alignment horizontal="center" vertical="center"/>
    </xf>
    <xf numFmtId="43" fontId="35" fillId="0" borderId="9" xfId="1" applyFont="1" applyFill="1" applyBorder="1"/>
    <xf numFmtId="43" fontId="37" fillId="0" borderId="14" xfId="1" applyFont="1" applyFill="1" applyBorder="1" applyAlignment="1"/>
    <xf numFmtId="164" fontId="39" fillId="8" borderId="18" xfId="1" applyNumberFormat="1" applyFont="1" applyFill="1" applyBorder="1" applyAlignment="1">
      <alignment horizontal="center" vertical="center"/>
    </xf>
    <xf numFmtId="164" fontId="39" fillId="8" borderId="2" xfId="1" applyNumberFormat="1" applyFont="1" applyFill="1" applyBorder="1" applyAlignment="1">
      <alignment horizontal="center" vertical="center"/>
    </xf>
    <xf numFmtId="0" fontId="48" fillId="0" borderId="14" xfId="1" applyNumberFormat="1" applyFont="1" applyFill="1" applyBorder="1" applyAlignment="1">
      <alignment horizontal="left" vertical="center"/>
    </xf>
    <xf numFmtId="0" fontId="48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36" fillId="0" borderId="10" xfId="1" applyNumberFormat="1" applyFont="1" applyFill="1" applyBorder="1" applyAlignment="1">
      <alignment horizontal="center" vertical="center"/>
    </xf>
    <xf numFmtId="0" fontId="48" fillId="0" borderId="10" xfId="1" applyNumberFormat="1" applyFont="1" applyFill="1" applyBorder="1" applyAlignment="1">
      <alignment horizontal="left" vertical="center"/>
    </xf>
    <xf numFmtId="43" fontId="17" fillId="0" borderId="10" xfId="1" applyFont="1" applyFill="1" applyBorder="1" applyAlignment="1">
      <alignment horizontal="right" vertical="center"/>
    </xf>
    <xf numFmtId="0" fontId="12" fillId="0" borderId="10" xfId="0" applyFont="1" applyFill="1" applyBorder="1" applyAlignment="1">
      <alignment horizontal="center" wrapText="1"/>
    </xf>
    <xf numFmtId="164" fontId="8" fillId="0" borderId="10" xfId="1" applyNumberFormat="1" applyFont="1" applyFill="1" applyBorder="1" applyAlignment="1">
      <alignment horizontal="center" wrapText="1"/>
    </xf>
    <xf numFmtId="0" fontId="7" fillId="0" borderId="10" xfId="0" applyFont="1" applyFill="1" applyBorder="1" applyAlignment="1">
      <alignment horizontal="center" wrapText="1"/>
    </xf>
    <xf numFmtId="0" fontId="26" fillId="0" borderId="14" xfId="0" applyFont="1" applyBorder="1" applyAlignment="1">
      <alignment horizontal="center" wrapText="1"/>
    </xf>
    <xf numFmtId="164" fontId="8" fillId="0" borderId="34" xfId="1" applyNumberFormat="1" applyFont="1" applyFill="1" applyBorder="1" applyAlignment="1">
      <alignment horizontal="center" wrapText="1"/>
    </xf>
    <xf numFmtId="0" fontId="7" fillId="0" borderId="34" xfId="0" applyFont="1" applyFill="1" applyBorder="1" applyAlignment="1">
      <alignment horizontal="center" wrapText="1"/>
    </xf>
    <xf numFmtId="43" fontId="18" fillId="0" borderId="34" xfId="1" applyFont="1" applyFill="1" applyBorder="1" applyAlignment="1">
      <alignment horizontal="center" wrapText="1"/>
    </xf>
    <xf numFmtId="43" fontId="21" fillId="0" borderId="34" xfId="1" applyFont="1" applyFill="1" applyBorder="1" applyAlignment="1">
      <alignment horizontal="center" wrapText="1"/>
    </xf>
    <xf numFmtId="164" fontId="21" fillId="0" borderId="34" xfId="0" applyNumberFormat="1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3" fillId="0" borderId="10" xfId="1" applyNumberFormat="1" applyFont="1" applyFill="1" applyBorder="1" applyAlignment="1">
      <alignment horizontal="center" vertical="center"/>
    </xf>
    <xf numFmtId="0" fontId="23" fillId="0" borderId="10" xfId="1" applyNumberFormat="1" applyFont="1" applyFill="1" applyBorder="1" applyAlignment="1">
      <alignment horizontal="left" vertical="center"/>
    </xf>
    <xf numFmtId="43" fontId="21" fillId="0" borderId="10" xfId="1" applyFont="1" applyFill="1" applyBorder="1" applyAlignment="1">
      <alignment horizontal="center" wrapText="1"/>
    </xf>
    <xf numFmtId="164" fontId="21" fillId="0" borderId="10" xfId="1" applyNumberFormat="1" applyFont="1" applyFill="1" applyBorder="1" applyAlignment="1">
      <alignment horizontal="center" wrapText="1"/>
    </xf>
    <xf numFmtId="43" fontId="21" fillId="0" borderId="10" xfId="0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/>
    <xf numFmtId="164" fontId="21" fillId="0" borderId="34" xfId="1" applyNumberFormat="1" applyFont="1" applyFill="1" applyBorder="1" applyAlignment="1">
      <alignment horizontal="center" wrapText="1"/>
    </xf>
    <xf numFmtId="43" fontId="21" fillId="0" borderId="34" xfId="0" applyNumberFormat="1" applyFont="1" applyFill="1" applyBorder="1" applyAlignment="1">
      <alignment horizontal="center" wrapText="1"/>
    </xf>
    <xf numFmtId="43" fontId="21" fillId="0" borderId="34" xfId="0" applyNumberFormat="1" applyFont="1" applyFill="1" applyBorder="1"/>
    <xf numFmtId="43" fontId="19" fillId="12" borderId="14" xfId="1" applyFont="1" applyFill="1" applyBorder="1" applyAlignment="1"/>
    <xf numFmtId="43" fontId="19" fillId="9" borderId="14" xfId="1" applyFont="1" applyFill="1" applyBorder="1" applyAlignment="1"/>
    <xf numFmtId="43" fontId="20" fillId="12" borderId="14" xfId="1" applyFont="1" applyFill="1" applyBorder="1"/>
    <xf numFmtId="164" fontId="20" fillId="12" borderId="14" xfId="1" applyNumberFormat="1" applyFont="1" applyFill="1" applyBorder="1"/>
    <xf numFmtId="14" fontId="18" fillId="0" borderId="34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43" fontId="21" fillId="12" borderId="34" xfId="1" applyFont="1" applyFill="1" applyBorder="1"/>
    <xf numFmtId="14" fontId="21" fillId="0" borderId="34" xfId="0" applyNumberFormat="1" applyFont="1" applyFill="1" applyBorder="1"/>
    <xf numFmtId="43" fontId="21" fillId="0" borderId="15" xfId="1" applyFont="1" applyFill="1" applyBorder="1"/>
    <xf numFmtId="164" fontId="21" fillId="0" borderId="34" xfId="1" applyNumberFormat="1" applyFont="1" applyFill="1" applyBorder="1" applyAlignment="1">
      <alignment horizontal="center"/>
    </xf>
    <xf numFmtId="43" fontId="21" fillId="12" borderId="9" xfId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43" fontId="21" fillId="0" borderId="4" xfId="1" applyFont="1" applyFill="1" applyBorder="1"/>
    <xf numFmtId="43" fontId="21" fillId="0" borderId="6" xfId="1" applyFont="1" applyFill="1" applyBorder="1"/>
    <xf numFmtId="164" fontId="18" fillId="0" borderId="0" xfId="1" applyNumberFormat="1" applyFont="1"/>
    <xf numFmtId="164" fontId="18" fillId="0" borderId="6" xfId="1" applyNumberFormat="1" applyFont="1" applyFill="1" applyBorder="1"/>
    <xf numFmtId="43" fontId="21" fillId="9" borderId="34" xfId="1" applyFont="1" applyFill="1" applyBorder="1"/>
    <xf numFmtId="43" fontId="18" fillId="9" borderId="34" xfId="1" applyFont="1" applyFill="1" applyBorder="1" applyAlignment="1">
      <alignment horizontal="right" vertical="center"/>
    </xf>
    <xf numFmtId="43" fontId="18" fillId="9" borderId="14" xfId="1" applyFont="1" applyFill="1" applyBorder="1" applyAlignment="1">
      <alignment horizontal="right" vertical="center"/>
    </xf>
    <xf numFmtId="43" fontId="21" fillId="9" borderId="10" xfId="0" applyNumberFormat="1" applyFont="1" applyFill="1" applyBorder="1"/>
    <xf numFmtId="43" fontId="17" fillId="9" borderId="34" xfId="1" applyFont="1" applyFill="1" applyBorder="1" applyAlignment="1">
      <alignment horizontal="right" vertical="center"/>
    </xf>
    <xf numFmtId="43" fontId="2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164" fontId="21" fillId="2" borderId="22" xfId="1" applyNumberFormat="1" applyFont="1" applyFill="1" applyBorder="1" applyAlignment="1">
      <alignment horizontal="right"/>
    </xf>
    <xf numFmtId="164" fontId="21" fillId="2" borderId="23" xfId="1" applyNumberFormat="1" applyFont="1" applyFill="1" applyBorder="1" applyAlignment="1">
      <alignment horizontal="right"/>
    </xf>
    <xf numFmtId="164" fontId="21" fillId="2" borderId="24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8" fillId="2" borderId="22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right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0" fillId="2" borderId="24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2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7" borderId="15" xfId="1" applyFont="1" applyFill="1" applyBorder="1" applyAlignment="1">
      <alignment horizontal="center" vertical="center" wrapText="1"/>
    </xf>
    <xf numFmtId="43" fontId="26" fillId="7" borderId="10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5" borderId="20" xfId="1" applyFont="1" applyFill="1" applyBorder="1" applyAlignment="1">
      <alignment horizontal="center" vertical="center" wrapText="1"/>
    </xf>
    <xf numFmtId="43" fontId="20" fillId="5" borderId="0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/>
    </xf>
    <xf numFmtId="43" fontId="20" fillId="6" borderId="23" xfId="1" applyFont="1" applyFill="1" applyBorder="1" applyAlignment="1">
      <alignment horizontal="center" vertical="center"/>
    </xf>
    <xf numFmtId="43" fontId="20" fillId="6" borderId="24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6" borderId="15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43" fontId="34" fillId="7" borderId="0" xfId="1" applyFont="1" applyFill="1" applyAlignment="1">
      <alignment horizontal="center"/>
    </xf>
    <xf numFmtId="43" fontId="26" fillId="5" borderId="1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37" fillId="4" borderId="3" xfId="1" applyFont="1" applyFill="1" applyBorder="1" applyAlignment="1">
      <alignment horizontal="center" vertical="center" wrapText="1"/>
    </xf>
    <xf numFmtId="43" fontId="37" fillId="4" borderId="13" xfId="1" applyFont="1" applyFill="1" applyBorder="1" applyAlignment="1">
      <alignment horizontal="center" vertical="center" wrapText="1"/>
    </xf>
    <xf numFmtId="14" fontId="29" fillId="6" borderId="19" xfId="0" applyNumberFormat="1" applyFont="1" applyFill="1" applyBorder="1" applyAlignment="1">
      <alignment horizontal="center" textRotation="18" wrapText="1"/>
    </xf>
    <xf numFmtId="14" fontId="29" fillId="6" borderId="10" xfId="0" applyNumberFormat="1" applyFont="1" applyFill="1" applyBorder="1" applyAlignment="1">
      <alignment horizontal="center" textRotation="18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4" borderId="15" xfId="1" applyFont="1" applyFill="1" applyBorder="1" applyAlignment="1">
      <alignment horizontal="center" vertical="center" wrapText="1"/>
    </xf>
    <xf numFmtId="43" fontId="30" fillId="4" borderId="10" xfId="1" applyFont="1" applyFill="1" applyBorder="1" applyAlignment="1">
      <alignment horizontal="center" vertical="center" wrapText="1"/>
    </xf>
    <xf numFmtId="43" fontId="20" fillId="5" borderId="15" xfId="1" applyFont="1" applyFill="1" applyBorder="1" applyAlignment="1">
      <alignment horizontal="center" vertical="center" wrapText="1"/>
    </xf>
    <xf numFmtId="43" fontId="20" fillId="5" borderId="10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33"/>
  <sheetViews>
    <sheetView tabSelected="1"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9.28515625" style="8" customWidth="1"/>
    <col min="2" max="2" width="9" style="132" customWidth="1"/>
    <col min="3" max="3" width="51.7109375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85546875" style="2" customWidth="1"/>
    <col min="17" max="17" width="10.14062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653" t="s">
        <v>1</v>
      </c>
      <c r="B1" s="655" t="s">
        <v>2</v>
      </c>
      <c r="C1" s="657" t="s">
        <v>0</v>
      </c>
      <c r="D1" s="659" t="s">
        <v>63</v>
      </c>
      <c r="E1" s="649" t="s">
        <v>84</v>
      </c>
      <c r="F1" s="650"/>
      <c r="G1" s="650"/>
      <c r="H1" s="650"/>
      <c r="I1" s="650"/>
      <c r="J1" s="650"/>
      <c r="K1" s="650"/>
      <c r="L1" s="663" t="s">
        <v>372</v>
      </c>
      <c r="M1" s="663"/>
      <c r="N1" s="661" t="s">
        <v>64</v>
      </c>
      <c r="O1" s="662"/>
      <c r="P1" s="664" t="s">
        <v>29</v>
      </c>
      <c r="Q1" s="665"/>
      <c r="R1" s="665"/>
      <c r="S1" s="665"/>
      <c r="T1" s="665"/>
      <c r="U1" s="665"/>
      <c r="V1" s="665"/>
      <c r="W1" s="665"/>
      <c r="X1" s="665"/>
      <c r="Y1" s="666"/>
    </row>
    <row r="2" spans="1:25" ht="12" thickBot="1">
      <c r="A2" s="654"/>
      <c r="B2" s="656"/>
      <c r="C2" s="658"/>
      <c r="D2" s="660"/>
      <c r="E2" s="87" t="s">
        <v>93</v>
      </c>
      <c r="F2" s="87" t="s">
        <v>3</v>
      </c>
      <c r="G2" s="87" t="s">
        <v>145</v>
      </c>
      <c r="H2" s="87" t="s">
        <v>94</v>
      </c>
      <c r="I2" s="87" t="s">
        <v>95</v>
      </c>
      <c r="J2" s="87" t="s">
        <v>96</v>
      </c>
      <c r="K2" s="97" t="s">
        <v>143</v>
      </c>
      <c r="L2" s="64" t="s">
        <v>23</v>
      </c>
      <c r="M2" s="150" t="s">
        <v>70</v>
      </c>
      <c r="N2" s="142" t="s">
        <v>23</v>
      </c>
      <c r="O2" s="96" t="s">
        <v>144</v>
      </c>
      <c r="P2" s="369">
        <v>1</v>
      </c>
      <c r="Q2" s="151" t="s">
        <v>228</v>
      </c>
      <c r="R2" s="151" t="s">
        <v>229</v>
      </c>
      <c r="S2" s="151" t="s">
        <v>230</v>
      </c>
      <c r="T2" s="151" t="s">
        <v>231</v>
      </c>
      <c r="U2" s="151" t="s">
        <v>379</v>
      </c>
      <c r="V2" s="151" t="s">
        <v>380</v>
      </c>
      <c r="W2" s="151"/>
      <c r="X2" s="151"/>
      <c r="Y2" s="152"/>
    </row>
    <row r="3" spans="1:25" s="5" customFormat="1" ht="12" thickBot="1">
      <c r="A3" s="438" t="s">
        <v>581</v>
      </c>
      <c r="B3" s="439">
        <v>40059</v>
      </c>
      <c r="C3" s="440" t="s">
        <v>553</v>
      </c>
      <c r="D3" s="441"/>
      <c r="E3" s="442">
        <f>'2-δικαιώμ'!L3</f>
        <v>17.8</v>
      </c>
      <c r="F3" s="442">
        <f>'3-φύλλα2α'!F3</f>
        <v>18</v>
      </c>
      <c r="G3" s="442">
        <f>'4-πολλυπρ'!P3</f>
        <v>38</v>
      </c>
      <c r="H3" s="441">
        <f>'5-αντίγρ'!M3</f>
        <v>17.8</v>
      </c>
      <c r="I3" s="441">
        <f>'6-μεταγρ'!I3</f>
        <v>0</v>
      </c>
      <c r="J3" s="441">
        <f>'7-προςΔΟΥ'!E3</f>
        <v>0</v>
      </c>
      <c r="K3" s="441"/>
      <c r="L3" s="442">
        <f t="shared" ref="L3:L13" si="0">E3+F3+G3+H3+I3+J3+K3</f>
        <v>91.6</v>
      </c>
      <c r="M3" s="442">
        <v>58</v>
      </c>
      <c r="N3" s="443">
        <f>M3-P3-'14-βιβλΕσ'!M3-'14-βιβλΕσ'!N3</f>
        <v>54.04</v>
      </c>
      <c r="O3" s="443">
        <f t="shared" ref="O3:O13" si="1">L3-N3</f>
        <v>37.559999999999995</v>
      </c>
      <c r="P3" s="345">
        <f>'1β-ΤΑΧΔΙΚκλπ'!D2</f>
        <v>0</v>
      </c>
      <c r="Q3" s="366"/>
      <c r="R3" s="366"/>
      <c r="S3" s="312" t="s">
        <v>577</v>
      </c>
      <c r="T3" s="366">
        <v>13</v>
      </c>
      <c r="U3" s="366"/>
      <c r="V3" s="366"/>
      <c r="W3" s="366"/>
      <c r="X3" s="346"/>
      <c r="Y3" s="346"/>
    </row>
    <row r="4" spans="1:25" s="5" customFormat="1">
      <c r="A4" s="435" t="s">
        <v>582</v>
      </c>
      <c r="B4" s="436">
        <v>40703</v>
      </c>
      <c r="C4" s="437" t="s">
        <v>550</v>
      </c>
      <c r="D4" s="315"/>
      <c r="E4" s="310">
        <f>'2-δικαιώμ'!L4</f>
        <v>35.6</v>
      </c>
      <c r="F4" s="310">
        <f>'3-φύλλα2α'!F4</f>
        <v>30</v>
      </c>
      <c r="G4" s="310">
        <f>'4-πολλυπρ'!P4</f>
        <v>140</v>
      </c>
      <c r="H4" s="315">
        <f>'5-αντίγρ'!M4</f>
        <v>80.099999999999994</v>
      </c>
      <c r="I4" s="315">
        <f>'6-μεταγρ'!I4</f>
        <v>200</v>
      </c>
      <c r="J4" s="315">
        <f>'7-προςΔΟΥ'!E4</f>
        <v>20</v>
      </c>
      <c r="K4" s="315"/>
      <c r="L4" s="310">
        <f t="shared" si="0"/>
        <v>505.7</v>
      </c>
      <c r="M4" s="310">
        <v>80</v>
      </c>
      <c r="N4" s="311">
        <f>M4-P4-'14-βιβλΕσ'!M4-'14-βιβλΕσ'!N4</f>
        <v>62.92</v>
      </c>
      <c r="O4" s="311">
        <f t="shared" si="1"/>
        <v>442.78</v>
      </c>
      <c r="P4" s="345">
        <f>'1β-ΤΑΧΔΙΚκλπ'!D3</f>
        <v>0.5</v>
      </c>
      <c r="Q4" s="312"/>
      <c r="R4" s="312"/>
      <c r="S4" s="312" t="s">
        <v>577</v>
      </c>
      <c r="T4" s="366">
        <v>13</v>
      </c>
      <c r="U4" s="312"/>
      <c r="V4" s="312"/>
      <c r="W4" s="312"/>
      <c r="X4" s="74"/>
      <c r="Y4" s="74"/>
    </row>
    <row r="5" spans="1:25" s="5" customFormat="1">
      <c r="A5" s="427"/>
      <c r="B5" s="383"/>
      <c r="C5" s="307" t="s">
        <v>560</v>
      </c>
      <c r="D5" s="308">
        <f>D38*33%</f>
        <v>2100.9416999999999</v>
      </c>
      <c r="E5" s="310">
        <f>'2-δικαιώμ'!L5</f>
        <v>35.65800445</v>
      </c>
      <c r="F5" s="310">
        <f>'3-φύλλα2α'!F5</f>
        <v>30</v>
      </c>
      <c r="G5" s="310">
        <f>'4-πολλυπρ'!P5</f>
        <v>0</v>
      </c>
      <c r="H5" s="315">
        <f>'5-αντίγρ'!M5</f>
        <v>0</v>
      </c>
      <c r="I5" s="315">
        <f>'6-μεταγρ'!I5</f>
        <v>0</v>
      </c>
      <c r="J5" s="315">
        <f>'7-προςΔΟΥ'!E5</f>
        <v>20</v>
      </c>
      <c r="K5" s="308"/>
      <c r="L5" s="310">
        <f t="shared" si="0"/>
        <v>85.658004449999993</v>
      </c>
      <c r="M5" s="309"/>
      <c r="N5" s="311">
        <f>M5-P5-'14-βιβλΕσ'!M5-'14-βιβλΕσ'!N5</f>
        <v>0</v>
      </c>
      <c r="O5" s="311">
        <f t="shared" si="1"/>
        <v>85.658004449999993</v>
      </c>
      <c r="P5" s="345">
        <f>'1β-ΤΑΧΔΙΚκλπ'!D4</f>
        <v>0</v>
      </c>
      <c r="Q5" s="312"/>
      <c r="R5" s="312"/>
      <c r="S5" s="312" t="s">
        <v>577</v>
      </c>
      <c r="T5" s="366">
        <v>13</v>
      </c>
      <c r="U5" s="312"/>
      <c r="V5" s="312"/>
      <c r="W5" s="312"/>
      <c r="X5" s="74"/>
      <c r="Y5" s="74"/>
    </row>
    <row r="6" spans="1:25" s="5" customFormat="1" ht="12" thickBot="1">
      <c r="A6" s="445"/>
      <c r="B6" s="446"/>
      <c r="C6" s="447" t="s">
        <v>561</v>
      </c>
      <c r="D6" s="448">
        <f>D39*33%</f>
        <v>7850.0433000000012</v>
      </c>
      <c r="E6" s="449">
        <f>'2-δικαιώμ'!L6</f>
        <v>84.525368050000012</v>
      </c>
      <c r="F6" s="449">
        <f>'3-φύλλα2α'!F6</f>
        <v>30</v>
      </c>
      <c r="G6" s="449">
        <f>'4-πολλυπρ'!P6</f>
        <v>0</v>
      </c>
      <c r="H6" s="448">
        <f>'5-αντίγρ'!M6</f>
        <v>0</v>
      </c>
      <c r="I6" s="448">
        <f>'6-μεταγρ'!I6</f>
        <v>0</v>
      </c>
      <c r="J6" s="448">
        <f>'7-προςΔΟΥ'!E6</f>
        <v>20</v>
      </c>
      <c r="K6" s="448"/>
      <c r="L6" s="449">
        <f t="shared" si="0"/>
        <v>134.52536805</v>
      </c>
      <c r="M6" s="449"/>
      <c r="N6" s="382">
        <f>M6-P6-'14-βιβλΕσ'!M6-'14-βιβλΕσ'!N6</f>
        <v>0</v>
      </c>
      <c r="O6" s="382">
        <f t="shared" si="1"/>
        <v>134.52536805</v>
      </c>
      <c r="P6" s="345">
        <f>'1β-ΤΑΧΔΙΚκλπ'!D5</f>
        <v>0</v>
      </c>
      <c r="Q6" s="312"/>
      <c r="R6" s="312"/>
      <c r="S6" s="312" t="s">
        <v>577</v>
      </c>
      <c r="T6" s="366">
        <v>13</v>
      </c>
      <c r="U6" s="312"/>
      <c r="V6" s="312"/>
      <c r="W6" s="312"/>
      <c r="X6" s="74"/>
      <c r="Y6" s="74"/>
    </row>
    <row r="7" spans="1:25" s="5" customFormat="1">
      <c r="A7" s="444" t="s">
        <v>583</v>
      </c>
      <c r="B7" s="436">
        <v>40806</v>
      </c>
      <c r="C7" s="437" t="s">
        <v>551</v>
      </c>
      <c r="D7" s="315">
        <v>5223.96</v>
      </c>
      <c r="E7" s="310">
        <f>'2-δικαιώμ'!L7</f>
        <v>62.203659999999999</v>
      </c>
      <c r="F7" s="310">
        <f>'3-φύλλα2α'!F7</f>
        <v>48</v>
      </c>
      <c r="G7" s="310">
        <f>'4-πολλυπρ'!P7</f>
        <v>0</v>
      </c>
      <c r="H7" s="315">
        <f>'5-αντίγρ'!M7</f>
        <v>160.19999999999999</v>
      </c>
      <c r="I7" s="315">
        <f>'6-μεταγρ'!I7</f>
        <v>160</v>
      </c>
      <c r="J7" s="315">
        <f>'7-προςΔΟΥ'!E7</f>
        <v>20</v>
      </c>
      <c r="K7" s="315"/>
      <c r="L7" s="310">
        <f t="shared" si="0"/>
        <v>450.40366</v>
      </c>
      <c r="M7" s="310">
        <v>304.33</v>
      </c>
      <c r="N7" s="311">
        <f>M7-P7-'14-βιβλΕσ'!M7-'14-βιβλΕσ'!N7-3</f>
        <v>242.65</v>
      </c>
      <c r="O7" s="311">
        <f t="shared" si="1"/>
        <v>207.75366</v>
      </c>
      <c r="P7" s="345">
        <f>'1β-ΤΑΧΔΙΚκλπ'!D6</f>
        <v>0</v>
      </c>
      <c r="Q7" s="312"/>
      <c r="R7" s="312"/>
      <c r="S7" s="312" t="s">
        <v>577</v>
      </c>
      <c r="T7" s="366">
        <v>13</v>
      </c>
      <c r="U7" s="312"/>
      <c r="V7" s="312"/>
      <c r="W7" s="312"/>
      <c r="X7" s="74"/>
      <c r="Y7" s="74"/>
    </row>
    <row r="8" spans="1:25" s="5" customFormat="1" ht="12" thickBot="1">
      <c r="A8" s="516"/>
      <c r="B8" s="446"/>
      <c r="C8" s="447" t="s">
        <v>552</v>
      </c>
      <c r="D8" s="448">
        <v>10447.92</v>
      </c>
      <c r="E8" s="449">
        <f>'2-δικαιώμ'!L8</f>
        <v>106.60732</v>
      </c>
      <c r="F8" s="449">
        <f>'3-φύλλα2α'!F8</f>
        <v>48</v>
      </c>
      <c r="G8" s="449">
        <f>'4-πολλυπρ'!P8</f>
        <v>68</v>
      </c>
      <c r="H8" s="448">
        <f>'5-αντίγρ'!M8</f>
        <v>0</v>
      </c>
      <c r="I8" s="448">
        <f>'6-μεταγρ'!I8</f>
        <v>160</v>
      </c>
      <c r="J8" s="448">
        <f>'7-προςΔΟΥ'!E8</f>
        <v>20</v>
      </c>
      <c r="K8" s="448"/>
      <c r="L8" s="449">
        <f t="shared" si="0"/>
        <v>402.60732000000002</v>
      </c>
      <c r="M8" s="449"/>
      <c r="N8" s="382">
        <f>M8-P8-'14-βιβλΕσ'!M8-'14-βιβλΕσ'!N8</f>
        <v>0</v>
      </c>
      <c r="O8" s="382">
        <f t="shared" si="1"/>
        <v>402.60732000000002</v>
      </c>
      <c r="P8" s="345">
        <f>'1β-ΤΑΧΔΙΚκλπ'!D7</f>
        <v>0</v>
      </c>
      <c r="Q8" s="312"/>
      <c r="R8" s="312"/>
      <c r="S8" s="312" t="s">
        <v>577</v>
      </c>
      <c r="T8" s="366">
        <v>13</v>
      </c>
      <c r="U8" s="312"/>
      <c r="V8" s="312"/>
      <c r="W8" s="312"/>
      <c r="X8" s="74"/>
      <c r="Y8" s="74"/>
    </row>
    <row r="9" spans="1:25" s="5" customFormat="1">
      <c r="A9" s="435" t="s">
        <v>584</v>
      </c>
      <c r="B9" s="436">
        <v>40806</v>
      </c>
      <c r="C9" s="437" t="s">
        <v>551</v>
      </c>
      <c r="D9" s="315">
        <v>927.67</v>
      </c>
      <c r="E9" s="310">
        <f>'2-δικαιώμ'!L9</f>
        <v>25.685194999999997</v>
      </c>
      <c r="F9" s="310">
        <f>'3-φύλλα2α'!F9</f>
        <v>42</v>
      </c>
      <c r="G9" s="310">
        <f>'4-πολλυπρ'!P9</f>
        <v>0</v>
      </c>
      <c r="H9" s="315">
        <f>'5-αντίγρ'!M9</f>
        <v>142.4</v>
      </c>
      <c r="I9" s="315">
        <f>'6-μεταγρ'!I9</f>
        <v>160</v>
      </c>
      <c r="J9" s="315">
        <f>'7-προςΔΟΥ'!E9</f>
        <v>20</v>
      </c>
      <c r="K9" s="315"/>
      <c r="L9" s="310">
        <f t="shared" si="0"/>
        <v>390.085195</v>
      </c>
      <c r="M9" s="310">
        <v>143.01</v>
      </c>
      <c r="N9" s="311">
        <f>M9-P9-'14-βιβλΕσ'!M9-'14-βιβλΕσ'!N9-3</f>
        <v>118.48</v>
      </c>
      <c r="O9" s="311">
        <f t="shared" si="1"/>
        <v>271.60519499999998</v>
      </c>
      <c r="P9" s="345">
        <f>'1β-ΤΑΧΔΙΚκλπ'!D8</f>
        <v>0</v>
      </c>
      <c r="Q9" s="312"/>
      <c r="R9" s="312"/>
      <c r="S9" s="312" t="s">
        <v>577</v>
      </c>
      <c r="T9" s="366">
        <v>13</v>
      </c>
      <c r="U9" s="312"/>
      <c r="V9" s="312"/>
      <c r="W9" s="312"/>
      <c r="X9" s="74"/>
      <c r="Y9" s="74"/>
    </row>
    <row r="10" spans="1:25" s="5" customFormat="1" ht="12" thickBot="1">
      <c r="A10" s="445"/>
      <c r="B10" s="446"/>
      <c r="C10" s="447" t="s">
        <v>552</v>
      </c>
      <c r="D10" s="448">
        <v>1855.34</v>
      </c>
      <c r="E10" s="449">
        <f>'2-δικαιώμ'!L10</f>
        <v>33.570389999999996</v>
      </c>
      <c r="F10" s="449">
        <f>'3-φύλλα2α'!F10</f>
        <v>42</v>
      </c>
      <c r="G10" s="449">
        <f>'4-πολλυπρ'!P10</f>
        <v>62</v>
      </c>
      <c r="H10" s="448">
        <f>'5-αντίγρ'!M10</f>
        <v>0</v>
      </c>
      <c r="I10" s="448">
        <f>'6-μεταγρ'!I10</f>
        <v>160</v>
      </c>
      <c r="J10" s="448">
        <f>'7-προςΔΟΥ'!E10</f>
        <v>20</v>
      </c>
      <c r="K10" s="448"/>
      <c r="L10" s="449">
        <f t="shared" si="0"/>
        <v>317.57038999999997</v>
      </c>
      <c r="M10" s="449"/>
      <c r="N10" s="382">
        <f>M10-P10-'14-βιβλΕσ'!M10-'14-βιβλΕσ'!N10</f>
        <v>0</v>
      </c>
      <c r="O10" s="382">
        <f t="shared" si="1"/>
        <v>317.57038999999997</v>
      </c>
      <c r="P10" s="345">
        <f>'1β-ΤΑΧΔΙΚκλπ'!D9</f>
        <v>0</v>
      </c>
      <c r="Q10" s="312"/>
      <c r="R10" s="312"/>
      <c r="S10" s="312" t="s">
        <v>577</v>
      </c>
      <c r="T10" s="366">
        <v>13</v>
      </c>
      <c r="U10" s="312"/>
      <c r="V10" s="312"/>
      <c r="W10" s="312"/>
      <c r="X10" s="74"/>
      <c r="Y10" s="74"/>
    </row>
    <row r="11" spans="1:25" s="5" customFormat="1" ht="12" thickBot="1">
      <c r="A11" s="438" t="s">
        <v>585</v>
      </c>
      <c r="B11" s="439">
        <v>40806</v>
      </c>
      <c r="C11" s="440" t="s">
        <v>552</v>
      </c>
      <c r="D11" s="441">
        <v>3632.94</v>
      </c>
      <c r="E11" s="442">
        <f>'2-δικαιώμ'!L11</f>
        <v>48.679989999999997</v>
      </c>
      <c r="F11" s="442">
        <f>'3-φύλλα2α'!F11</f>
        <v>30</v>
      </c>
      <c r="G11" s="442">
        <f>'4-πολλυπρ'!P11</f>
        <v>50</v>
      </c>
      <c r="H11" s="441">
        <f>'5-αντίγρ'!M11</f>
        <v>80.099999999999994</v>
      </c>
      <c r="I11" s="441">
        <f>'6-μεταγρ'!I11</f>
        <v>120</v>
      </c>
      <c r="J11" s="441">
        <f>'7-προςΔΟΥ'!E11</f>
        <v>20</v>
      </c>
      <c r="K11" s="441"/>
      <c r="L11" s="442">
        <f t="shared" si="0"/>
        <v>348.77999</v>
      </c>
      <c r="M11" s="442">
        <v>146.49</v>
      </c>
      <c r="N11" s="443">
        <f>M11-P11-'14-βιβλΕσ'!M11-'14-βιβλΕσ'!N11-3</f>
        <v>119.75000000000001</v>
      </c>
      <c r="O11" s="443">
        <f t="shared" si="1"/>
        <v>229.02999</v>
      </c>
      <c r="P11" s="345">
        <f>'1β-ΤΑΧΔΙΚκλπ'!D10</f>
        <v>0</v>
      </c>
      <c r="Q11" s="312"/>
      <c r="R11" s="312"/>
      <c r="S11" s="312" t="s">
        <v>577</v>
      </c>
      <c r="T11" s="366">
        <v>13</v>
      </c>
      <c r="U11" s="312"/>
      <c r="V11" s="312"/>
      <c r="W11" s="312"/>
      <c r="X11" s="74"/>
      <c r="Y11" s="74"/>
    </row>
    <row r="12" spans="1:25" s="5" customFormat="1">
      <c r="A12" s="435" t="s">
        <v>586</v>
      </c>
      <c r="B12" s="436">
        <v>40806</v>
      </c>
      <c r="C12" s="437" t="s">
        <v>551</v>
      </c>
      <c r="D12" s="315">
        <v>3600.35</v>
      </c>
      <c r="E12" s="310">
        <f>'2-δικαιώμ'!L12</f>
        <v>48.402974999999998</v>
      </c>
      <c r="F12" s="310">
        <f>'3-φύλλα2α'!F12</f>
        <v>42</v>
      </c>
      <c r="G12" s="310">
        <f>'4-πολλυπρ'!P12</f>
        <v>0</v>
      </c>
      <c r="H12" s="315">
        <f>'5-αντίγρ'!M12</f>
        <v>142.4</v>
      </c>
      <c r="I12" s="315">
        <f>'6-μεταγρ'!I12</f>
        <v>160</v>
      </c>
      <c r="J12" s="315">
        <f>'7-προςΔΟΥ'!E12</f>
        <v>20</v>
      </c>
      <c r="K12" s="315"/>
      <c r="L12" s="310">
        <f t="shared" si="0"/>
        <v>412.802975</v>
      </c>
      <c r="M12" s="310">
        <v>224.24</v>
      </c>
      <c r="N12" s="311">
        <f>M12-P12-'14-βιβλΕσ'!M12-'14-βιβλΕσ'!N12-3</f>
        <v>175.66</v>
      </c>
      <c r="O12" s="311">
        <f t="shared" si="1"/>
        <v>237.14297500000001</v>
      </c>
      <c r="P12" s="345">
        <f>'1β-ΤΑΧΔΙΚκλπ'!D11</f>
        <v>0</v>
      </c>
      <c r="Q12" s="312"/>
      <c r="R12" s="312"/>
      <c r="S12" s="312" t="s">
        <v>577</v>
      </c>
      <c r="T12" s="366">
        <v>13</v>
      </c>
      <c r="U12" s="312"/>
      <c r="V12" s="312"/>
      <c r="W12" s="312"/>
      <c r="X12" s="74"/>
      <c r="Y12" s="74"/>
    </row>
    <row r="13" spans="1:25" s="5" customFormat="1" ht="12" thickBot="1">
      <c r="A13" s="445"/>
      <c r="B13" s="446"/>
      <c r="C13" s="447" t="s">
        <v>552</v>
      </c>
      <c r="D13" s="448">
        <v>7200.7</v>
      </c>
      <c r="E13" s="449">
        <f>'2-δικαιώμ'!L13</f>
        <v>79.005949999999999</v>
      </c>
      <c r="F13" s="449">
        <f>'3-φύλλα2α'!F13</f>
        <v>42</v>
      </c>
      <c r="G13" s="449">
        <f>'4-πολλυπρ'!P13</f>
        <v>62</v>
      </c>
      <c r="H13" s="448">
        <f>'5-αντίγρ'!M13</f>
        <v>0</v>
      </c>
      <c r="I13" s="448">
        <f>'6-μεταγρ'!I13</f>
        <v>160</v>
      </c>
      <c r="J13" s="448">
        <f>'7-προςΔΟΥ'!E13</f>
        <v>20</v>
      </c>
      <c r="K13" s="448"/>
      <c r="L13" s="449">
        <f t="shared" si="0"/>
        <v>363.00594999999998</v>
      </c>
      <c r="M13" s="449"/>
      <c r="N13" s="382">
        <f>M13-P13-'14-βιβλΕσ'!M13-'14-βιβλΕσ'!N13</f>
        <v>0</v>
      </c>
      <c r="O13" s="382">
        <f t="shared" si="1"/>
        <v>363.00594999999998</v>
      </c>
      <c r="P13" s="345">
        <f>'1β-ΤΑΧΔΙΚκλπ'!D12</f>
        <v>0</v>
      </c>
      <c r="Q13" s="312"/>
      <c r="R13" s="312"/>
      <c r="S13" s="312"/>
      <c r="T13" s="366">
        <v>13</v>
      </c>
      <c r="U13" s="312"/>
      <c r="V13" s="312"/>
      <c r="W13" s="312"/>
      <c r="X13" s="74"/>
      <c r="Y13" s="74"/>
    </row>
    <row r="14" spans="1:25">
      <c r="A14" s="651" t="s">
        <v>47</v>
      </c>
      <c r="B14" s="652"/>
      <c r="C14" s="652"/>
      <c r="D14" s="652"/>
      <c r="E14" s="425">
        <f t="shared" ref="E14:O14" si="2">SUM(E3:E13)</f>
        <v>577.73885250000001</v>
      </c>
      <c r="F14" s="425">
        <f t="shared" si="2"/>
        <v>402</v>
      </c>
      <c r="G14" s="425">
        <f t="shared" si="2"/>
        <v>420</v>
      </c>
      <c r="H14" s="425">
        <f t="shared" si="2"/>
        <v>623</v>
      </c>
      <c r="I14" s="425">
        <f t="shared" si="2"/>
        <v>1280</v>
      </c>
      <c r="J14" s="425">
        <f t="shared" si="2"/>
        <v>200</v>
      </c>
      <c r="K14" s="425">
        <f t="shared" si="2"/>
        <v>0</v>
      </c>
      <c r="L14" s="425">
        <f t="shared" si="2"/>
        <v>3502.7388524999997</v>
      </c>
      <c r="M14" s="425">
        <f t="shared" si="2"/>
        <v>956.06999999999994</v>
      </c>
      <c r="N14" s="425">
        <f t="shared" si="2"/>
        <v>773.5</v>
      </c>
      <c r="O14" s="425">
        <f t="shared" si="2"/>
        <v>2729.2388524999997</v>
      </c>
    </row>
    <row r="16" spans="1:25">
      <c r="C16" s="526" t="s">
        <v>603</v>
      </c>
      <c r="P16" s="161" t="s">
        <v>99</v>
      </c>
      <c r="Q16" s="125"/>
      <c r="R16" s="125"/>
      <c r="S16" s="125"/>
      <c r="T16" s="134"/>
      <c r="U16" s="134"/>
      <c r="V16" s="134"/>
      <c r="X16" s="125"/>
      <c r="Y16" s="125"/>
    </row>
    <row r="17" spans="3:25">
      <c r="K17" s="209" t="s">
        <v>478</v>
      </c>
      <c r="L17" s="8"/>
      <c r="M17" s="8"/>
      <c r="Q17" s="114" t="s">
        <v>375</v>
      </c>
      <c r="R17" s="114"/>
      <c r="S17" s="114"/>
      <c r="T17" s="127"/>
      <c r="U17" s="134"/>
      <c r="V17" s="134"/>
      <c r="X17" s="126"/>
      <c r="Y17" s="114"/>
    </row>
    <row r="18" spans="3:25">
      <c r="K18" s="154" t="s">
        <v>232</v>
      </c>
      <c r="L18" s="116"/>
      <c r="M18" s="116"/>
      <c r="Q18" s="114"/>
      <c r="R18" s="114" t="s">
        <v>140</v>
      </c>
      <c r="S18" s="114"/>
      <c r="T18" s="134"/>
      <c r="U18" s="134"/>
      <c r="V18" s="134"/>
      <c r="X18" s="114"/>
    </row>
    <row r="19" spans="3:25">
      <c r="K19" s="208" t="s">
        <v>233</v>
      </c>
      <c r="S19" s="114" t="s">
        <v>374</v>
      </c>
      <c r="T19" s="91"/>
      <c r="U19" s="91"/>
      <c r="V19" s="91"/>
    </row>
    <row r="20" spans="3:25"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T20" s="114" t="s">
        <v>376</v>
      </c>
      <c r="U20" s="134"/>
      <c r="V20" s="134"/>
    </row>
    <row r="21" spans="3:25">
      <c r="T21" s="91"/>
      <c r="U21" s="134" t="s">
        <v>377</v>
      </c>
      <c r="V21" s="134"/>
    </row>
    <row r="22" spans="3:25">
      <c r="T22" s="91"/>
      <c r="U22" s="91"/>
      <c r="V22" s="134" t="s">
        <v>378</v>
      </c>
    </row>
    <row r="23" spans="3:25">
      <c r="T23" s="91"/>
      <c r="U23" s="91"/>
      <c r="V23" s="91"/>
    </row>
    <row r="24" spans="3:25">
      <c r="U24" s="134"/>
      <c r="V24" s="134"/>
      <c r="W24" s="134"/>
    </row>
    <row r="25" spans="3:25">
      <c r="Q25" s="2"/>
      <c r="R25" s="2"/>
      <c r="U25" s="91"/>
      <c r="V25" s="134"/>
      <c r="W25" s="134"/>
    </row>
    <row r="26" spans="3:25">
      <c r="M26" s="4"/>
      <c r="Q26" s="114"/>
      <c r="R26" s="114"/>
      <c r="S26" s="114"/>
      <c r="T26" s="127"/>
      <c r="U26" s="134"/>
      <c r="V26" s="134"/>
    </row>
    <row r="27" spans="3:25">
      <c r="Q27" s="114"/>
      <c r="R27" s="114"/>
      <c r="S27" s="114"/>
      <c r="T27" s="134"/>
      <c r="U27" s="134"/>
      <c r="V27" s="134"/>
    </row>
    <row r="28" spans="3:25">
      <c r="D28" s="2" t="s">
        <v>562</v>
      </c>
      <c r="S28" s="114"/>
      <c r="T28" s="91"/>
      <c r="U28" s="91"/>
      <c r="V28" s="91"/>
    </row>
    <row r="29" spans="3:25">
      <c r="C29" s="3" t="s">
        <v>587</v>
      </c>
      <c r="D29" s="2">
        <v>2356.1999999999998</v>
      </c>
      <c r="F29" s="8" t="s">
        <v>582</v>
      </c>
      <c r="G29" s="2">
        <v>80</v>
      </c>
      <c r="I29" s="165" t="s">
        <v>537</v>
      </c>
      <c r="J29" s="2" t="s">
        <v>266</v>
      </c>
      <c r="K29" s="2" t="s">
        <v>538</v>
      </c>
      <c r="M29" s="648" t="s">
        <v>540</v>
      </c>
      <c r="N29" s="648"/>
      <c r="O29" s="648"/>
      <c r="P29" s="648"/>
      <c r="T29" s="114"/>
      <c r="U29" s="134"/>
      <c r="V29" s="134"/>
    </row>
    <row r="30" spans="3:25">
      <c r="C30" s="3" t="s">
        <v>588</v>
      </c>
      <c r="D30" s="2">
        <v>2740.12</v>
      </c>
      <c r="G30" s="384"/>
      <c r="H30" s="384" t="s">
        <v>328</v>
      </c>
      <c r="I30" s="505"/>
      <c r="J30" s="4"/>
      <c r="K30" s="4">
        <v>0.5</v>
      </c>
      <c r="L30" s="4"/>
      <c r="M30" s="4">
        <v>0.5</v>
      </c>
      <c r="N30" s="4">
        <v>3</v>
      </c>
      <c r="O30" s="4">
        <v>3</v>
      </c>
      <c r="P30" s="4"/>
      <c r="S30" s="2"/>
      <c r="T30" s="91"/>
      <c r="U30" s="134"/>
      <c r="V30" s="134"/>
    </row>
    <row r="31" spans="3:25">
      <c r="C31" s="3" t="s">
        <v>589</v>
      </c>
      <c r="D31" s="2">
        <v>1270.17</v>
      </c>
      <c r="G31" s="384"/>
      <c r="H31" s="384" t="s">
        <v>371</v>
      </c>
      <c r="I31" s="4"/>
      <c r="J31" s="4"/>
      <c r="K31" s="4"/>
      <c r="L31" s="4"/>
      <c r="M31" s="4"/>
      <c r="N31" s="4">
        <v>16.28</v>
      </c>
      <c r="O31" s="4">
        <v>60.84</v>
      </c>
      <c r="P31" s="4"/>
      <c r="S31" s="2"/>
      <c r="T31" s="91"/>
      <c r="U31" s="134"/>
      <c r="V31" s="134"/>
    </row>
    <row r="32" spans="3:25">
      <c r="C32" s="3" t="s">
        <v>590</v>
      </c>
      <c r="D32" s="2">
        <v>9720.94</v>
      </c>
      <c r="G32" s="165"/>
      <c r="H32" s="384" t="s">
        <v>62</v>
      </c>
      <c r="I32" s="505"/>
      <c r="J32" s="4"/>
      <c r="K32" s="4">
        <v>11.03</v>
      </c>
      <c r="L32" s="4"/>
      <c r="M32" s="4">
        <v>20.88</v>
      </c>
      <c r="N32" s="4">
        <v>11.24</v>
      </c>
      <c r="O32" s="4">
        <v>21.04</v>
      </c>
      <c r="P32" s="4"/>
      <c r="Q32" s="2"/>
      <c r="S32" s="2"/>
      <c r="T32" s="91"/>
      <c r="U32" s="91"/>
      <c r="V32" s="134"/>
    </row>
    <row r="33" spans="3:23">
      <c r="C33" s="3" t="s">
        <v>591</v>
      </c>
      <c r="D33" s="2">
        <v>8382.5300000000007</v>
      </c>
      <c r="H33" s="384" t="s">
        <v>79</v>
      </c>
      <c r="I33" s="4">
        <v>40</v>
      </c>
      <c r="J33" s="4">
        <v>4.4000000000000004</v>
      </c>
      <c r="K33" s="4">
        <v>40</v>
      </c>
      <c r="L33" s="4"/>
      <c r="M33" s="4">
        <v>40</v>
      </c>
      <c r="N33" s="4"/>
      <c r="O33" s="4"/>
      <c r="P33" s="4"/>
      <c r="S33" s="2"/>
      <c r="T33" s="91"/>
      <c r="U33" s="91"/>
      <c r="V33" s="91"/>
    </row>
    <row r="34" spans="3:23">
      <c r="C34" s="3" t="s">
        <v>592</v>
      </c>
      <c r="D34" s="2">
        <v>2046.54</v>
      </c>
      <c r="H34" s="384" t="s">
        <v>505</v>
      </c>
      <c r="I34" s="4"/>
      <c r="J34" s="4"/>
      <c r="K34" s="4"/>
      <c r="L34" s="4"/>
      <c r="M34" s="4"/>
      <c r="N34" s="4">
        <v>20</v>
      </c>
      <c r="O34" s="4">
        <v>20</v>
      </c>
      <c r="P34" s="4"/>
      <c r="S34" s="2"/>
      <c r="U34" s="134"/>
      <c r="V34" s="134"/>
      <c r="W34" s="134"/>
    </row>
    <row r="35" spans="3:23">
      <c r="C35" s="3" t="s">
        <v>593</v>
      </c>
      <c r="D35" s="2">
        <v>3103.4</v>
      </c>
      <c r="H35" s="384" t="s">
        <v>506</v>
      </c>
      <c r="I35" s="4"/>
      <c r="J35" s="4"/>
      <c r="K35" s="4"/>
      <c r="L35" s="4"/>
      <c r="M35" s="4"/>
      <c r="N35" s="4">
        <v>21.01</v>
      </c>
      <c r="O35" s="4">
        <v>78.5</v>
      </c>
      <c r="P35" s="4"/>
      <c r="S35" s="2"/>
      <c r="U35" s="91"/>
      <c r="V35" s="134"/>
      <c r="W35" s="134"/>
    </row>
    <row r="36" spans="3:23">
      <c r="C36" s="3" t="s">
        <v>594</v>
      </c>
      <c r="D36" s="2">
        <v>148.5</v>
      </c>
      <c r="H36" s="384" t="s">
        <v>507</v>
      </c>
      <c r="I36" s="505"/>
      <c r="J36" s="4"/>
      <c r="K36" s="4">
        <v>30</v>
      </c>
      <c r="L36" s="4"/>
      <c r="M36" s="4">
        <v>30</v>
      </c>
      <c r="N36" s="4">
        <v>30</v>
      </c>
      <c r="O36" s="4">
        <v>30</v>
      </c>
      <c r="P36" s="4"/>
      <c r="U36" s="91"/>
      <c r="V36" s="91"/>
      <c r="W36" s="91"/>
    </row>
    <row r="37" spans="3:23">
      <c r="C37" s="3" t="s">
        <v>595</v>
      </c>
      <c r="D37" s="2">
        <v>386.1</v>
      </c>
      <c r="H37" s="384" t="s">
        <v>55</v>
      </c>
      <c r="I37" s="505"/>
      <c r="J37" s="4">
        <v>6.6</v>
      </c>
      <c r="K37" s="4">
        <v>60</v>
      </c>
      <c r="L37" s="4"/>
      <c r="M37" s="4">
        <v>60</v>
      </c>
      <c r="N37" s="4"/>
      <c r="O37" s="4"/>
      <c r="P37" s="4"/>
    </row>
    <row r="38" spans="3:23">
      <c r="D38" s="461">
        <f>SUM(D29:D31)</f>
        <v>6366.49</v>
      </c>
      <c r="E38" s="132" t="s">
        <v>563</v>
      </c>
      <c r="H38" s="506" t="s">
        <v>539</v>
      </c>
      <c r="I38" s="507">
        <v>40</v>
      </c>
      <c r="J38" s="4"/>
      <c r="K38" s="4"/>
      <c r="M38" s="4"/>
      <c r="N38" s="4"/>
      <c r="O38" s="4"/>
      <c r="P38" s="4"/>
    </row>
    <row r="39" spans="3:23">
      <c r="D39" s="461">
        <f>SUM(D32:D37)</f>
        <v>23788.010000000002</v>
      </c>
      <c r="E39" s="2" t="s">
        <v>564</v>
      </c>
      <c r="I39" s="2">
        <f>SUM(I30:I38)</f>
        <v>80</v>
      </c>
      <c r="J39" s="2">
        <f t="shared" ref="J39:K39" si="3">SUM(J30:J38)</f>
        <v>11</v>
      </c>
      <c r="K39" s="2">
        <f t="shared" si="3"/>
        <v>141.53</v>
      </c>
      <c r="M39" s="2">
        <f t="shared" ref="M39:P39" si="4">SUM(M30:M38)</f>
        <v>151.38</v>
      </c>
      <c r="N39" s="2">
        <f t="shared" si="4"/>
        <v>101.53</v>
      </c>
      <c r="O39" s="2">
        <f t="shared" si="4"/>
        <v>213.38</v>
      </c>
      <c r="P39" s="2">
        <f t="shared" si="4"/>
        <v>0</v>
      </c>
      <c r="Q39" s="400">
        <f>SUM(M39:P39)</f>
        <v>466.28999999999996</v>
      </c>
    </row>
    <row r="43" spans="3:23">
      <c r="C43" s="3" t="s">
        <v>570</v>
      </c>
      <c r="F43" s="8" t="s">
        <v>583</v>
      </c>
      <c r="G43" s="2">
        <v>304.33</v>
      </c>
      <c r="I43" s="165" t="s">
        <v>537</v>
      </c>
      <c r="J43" s="2" t="s">
        <v>266</v>
      </c>
      <c r="K43" s="2" t="s">
        <v>538</v>
      </c>
      <c r="M43" s="648" t="s">
        <v>540</v>
      </c>
      <c r="N43" s="648"/>
      <c r="O43" s="648"/>
      <c r="P43" s="648"/>
    </row>
    <row r="44" spans="3:23">
      <c r="C44" s="515" t="s">
        <v>591</v>
      </c>
      <c r="G44" s="384"/>
      <c r="H44" s="384" t="s">
        <v>328</v>
      </c>
      <c r="I44" s="4">
        <v>3</v>
      </c>
      <c r="J44" s="4"/>
      <c r="K44" s="4">
        <v>3</v>
      </c>
      <c r="L44" s="4"/>
      <c r="M44" s="4">
        <v>3</v>
      </c>
      <c r="N44" s="4">
        <v>3</v>
      </c>
      <c r="O44" s="4"/>
      <c r="P44" s="4"/>
      <c r="S44" s="3" t="s">
        <v>565</v>
      </c>
      <c r="T44" s="3" t="s">
        <v>328</v>
      </c>
    </row>
    <row r="45" spans="3:23">
      <c r="C45" s="515" t="s">
        <v>592</v>
      </c>
      <c r="G45" s="384"/>
      <c r="H45" s="384" t="s">
        <v>371</v>
      </c>
      <c r="I45" s="202"/>
      <c r="J45" s="4"/>
      <c r="K45" s="4">
        <v>121.46</v>
      </c>
      <c r="L45" s="4"/>
      <c r="M45" s="4">
        <v>40.49</v>
      </c>
      <c r="N45" s="4">
        <v>80.97</v>
      </c>
      <c r="O45" s="4"/>
      <c r="P45" s="4"/>
      <c r="Q45" s="432"/>
    </row>
    <row r="46" spans="3:23">
      <c r="C46" s="515" t="s">
        <v>596</v>
      </c>
      <c r="G46" s="165"/>
      <c r="H46" s="384" t="s">
        <v>62</v>
      </c>
      <c r="I46" s="4">
        <v>34.909999999999997</v>
      </c>
      <c r="J46" s="4"/>
      <c r="K46" s="4">
        <v>43.16</v>
      </c>
      <c r="L46" s="4"/>
      <c r="M46" s="4">
        <v>26.44</v>
      </c>
      <c r="N46" s="4">
        <v>27.6</v>
      </c>
      <c r="O46" s="4"/>
      <c r="P46" s="4"/>
      <c r="Q46" s="2"/>
    </row>
    <row r="47" spans="3:23">
      <c r="C47" s="3" t="s">
        <v>571</v>
      </c>
      <c r="H47" s="384" t="s">
        <v>79</v>
      </c>
      <c r="I47" s="4"/>
      <c r="J47" s="4"/>
      <c r="K47" s="4"/>
      <c r="L47" s="4"/>
      <c r="M47" s="4"/>
      <c r="N47" s="4"/>
      <c r="O47" s="4"/>
      <c r="P47" s="4">
        <f t="shared" ref="P47" si="5">P39*16%</f>
        <v>0</v>
      </c>
    </row>
    <row r="48" spans="3:23">
      <c r="C48" s="515" t="s">
        <v>591</v>
      </c>
      <c r="H48" s="384" t="s">
        <v>505</v>
      </c>
      <c r="I48" s="4">
        <v>20</v>
      </c>
      <c r="J48" s="4"/>
      <c r="K48" s="4">
        <v>20</v>
      </c>
      <c r="L48" s="4"/>
      <c r="M48" s="4">
        <v>20</v>
      </c>
      <c r="N48" s="4">
        <v>20</v>
      </c>
      <c r="O48" s="4"/>
      <c r="P48" s="4"/>
      <c r="Q48" s="432"/>
      <c r="S48" s="2"/>
    </row>
    <row r="49" spans="3:20">
      <c r="C49" s="515" t="s">
        <v>592</v>
      </c>
      <c r="H49" s="384" t="s">
        <v>506</v>
      </c>
      <c r="I49" s="523">
        <v>153.19</v>
      </c>
      <c r="J49" s="4">
        <v>22.44</v>
      </c>
      <c r="K49" s="4">
        <v>156.72</v>
      </c>
      <c r="L49" s="4"/>
      <c r="M49" s="4">
        <v>52.24</v>
      </c>
      <c r="N49" s="4">
        <v>104.48</v>
      </c>
      <c r="O49" s="4"/>
      <c r="P49" s="4"/>
      <c r="S49" s="2"/>
    </row>
    <row r="50" spans="3:20">
      <c r="C50" s="515" t="s">
        <v>596</v>
      </c>
      <c r="H50" s="384" t="s">
        <v>507</v>
      </c>
      <c r="I50" s="4">
        <v>48</v>
      </c>
      <c r="J50" s="4"/>
      <c r="K50" s="4">
        <v>48</v>
      </c>
      <c r="L50" s="4"/>
      <c r="M50" s="4">
        <v>48</v>
      </c>
      <c r="N50" s="4">
        <v>48</v>
      </c>
      <c r="O50" s="4"/>
      <c r="P50" s="4"/>
    </row>
    <row r="51" spans="3:20">
      <c r="H51" s="384" t="s">
        <v>55</v>
      </c>
      <c r="I51" s="4">
        <v>45</v>
      </c>
      <c r="J51" s="4">
        <v>4.95</v>
      </c>
      <c r="K51" s="4">
        <v>45</v>
      </c>
      <c r="L51" s="4"/>
      <c r="M51" s="4">
        <v>45</v>
      </c>
      <c r="N51" s="4"/>
      <c r="O51" s="4"/>
      <c r="P51" s="4"/>
      <c r="S51" s="432"/>
    </row>
    <row r="52" spans="3:20">
      <c r="H52" s="506" t="s">
        <v>539</v>
      </c>
      <c r="I52" s="507">
        <v>0.23</v>
      </c>
      <c r="J52" s="4"/>
      <c r="K52" s="4"/>
      <c r="M52" s="4"/>
      <c r="N52" s="4"/>
      <c r="O52" s="4"/>
      <c r="P52" s="4"/>
    </row>
    <row r="53" spans="3:20">
      <c r="I53" s="2">
        <f>SUM(I44:I52)</f>
        <v>304.33000000000004</v>
      </c>
      <c r="J53" s="2">
        <f t="shared" ref="J53:K53" si="6">SUM(J44:J52)</f>
        <v>27.39</v>
      </c>
      <c r="K53" s="2">
        <f t="shared" si="6"/>
        <v>437.34000000000003</v>
      </c>
      <c r="M53" s="2">
        <f t="shared" ref="M53:P53" si="7">SUM(M44:M52)</f>
        <v>235.17000000000002</v>
      </c>
      <c r="N53" s="2">
        <f t="shared" si="7"/>
        <v>284.05</v>
      </c>
      <c r="O53" s="2">
        <f t="shared" si="7"/>
        <v>0</v>
      </c>
      <c r="P53" s="2">
        <f t="shared" si="7"/>
        <v>0</v>
      </c>
      <c r="Q53" s="400">
        <f>SUM(M53:P53)</f>
        <v>519.22</v>
      </c>
    </row>
    <row r="54" spans="3:20">
      <c r="I54" s="2">
        <f>G43-I53</f>
        <v>0</v>
      </c>
    </row>
    <row r="56" spans="3:20">
      <c r="C56" s="3" t="s">
        <v>570</v>
      </c>
      <c r="F56" s="8" t="s">
        <v>584</v>
      </c>
      <c r="G56" s="2">
        <v>143.01</v>
      </c>
      <c r="I56" s="165" t="s">
        <v>537</v>
      </c>
      <c r="J56" s="2" t="s">
        <v>266</v>
      </c>
      <c r="K56" s="2" t="s">
        <v>538</v>
      </c>
      <c r="M56" s="648" t="s">
        <v>540</v>
      </c>
      <c r="N56" s="648"/>
      <c r="O56" s="648"/>
      <c r="P56" s="648"/>
    </row>
    <row r="57" spans="3:20">
      <c r="C57" s="515" t="s">
        <v>587</v>
      </c>
      <c r="G57" s="384"/>
      <c r="H57" s="384" t="s">
        <v>328</v>
      </c>
      <c r="I57" s="4">
        <v>3</v>
      </c>
      <c r="J57" s="4"/>
      <c r="K57" s="4">
        <v>3</v>
      </c>
      <c r="L57" s="4"/>
      <c r="M57" s="4">
        <v>3</v>
      </c>
      <c r="N57" s="4">
        <v>3</v>
      </c>
      <c r="O57" s="4"/>
      <c r="P57" s="4"/>
      <c r="S57" s="3" t="s">
        <v>565</v>
      </c>
      <c r="T57" s="3" t="s">
        <v>328</v>
      </c>
    </row>
    <row r="58" spans="3:20">
      <c r="C58" s="515" t="s">
        <v>594</v>
      </c>
      <c r="G58" s="384"/>
      <c r="H58" s="384" t="s">
        <v>371</v>
      </c>
      <c r="I58" s="202"/>
      <c r="J58" s="4"/>
      <c r="K58" s="4">
        <v>21.57</v>
      </c>
      <c r="L58" s="4"/>
      <c r="M58" s="4">
        <v>7.19</v>
      </c>
      <c r="N58" s="4">
        <v>14.38</v>
      </c>
      <c r="O58" s="4"/>
      <c r="P58" s="4"/>
      <c r="Q58" s="432"/>
    </row>
    <row r="59" spans="3:20">
      <c r="C59" s="3" t="s">
        <v>571</v>
      </c>
      <c r="G59" s="165"/>
      <c r="H59" s="384" t="s">
        <v>62</v>
      </c>
      <c r="I59" s="4">
        <v>13.49</v>
      </c>
      <c r="J59" s="4"/>
      <c r="K59" s="4">
        <v>20.77</v>
      </c>
      <c r="L59" s="4"/>
      <c r="M59" s="4">
        <v>18.28</v>
      </c>
      <c r="N59" s="4">
        <v>13.37</v>
      </c>
      <c r="O59" s="4"/>
      <c r="P59" s="4"/>
      <c r="Q59" s="2"/>
    </row>
    <row r="60" spans="3:20">
      <c r="C60" s="515" t="s">
        <v>587</v>
      </c>
      <c r="H60" s="384" t="s">
        <v>79</v>
      </c>
      <c r="I60" s="4"/>
      <c r="J60" s="4"/>
      <c r="K60" s="4"/>
      <c r="L60" s="4"/>
      <c r="M60" s="4"/>
      <c r="N60" s="4"/>
      <c r="O60" s="4"/>
      <c r="P60" s="4">
        <f t="shared" ref="P60" si="8">P53*16%</f>
        <v>0</v>
      </c>
      <c r="S60" s="2"/>
    </row>
    <row r="61" spans="3:20">
      <c r="C61" s="515" t="s">
        <v>594</v>
      </c>
      <c r="H61" s="384" t="s">
        <v>505</v>
      </c>
      <c r="I61" s="4">
        <v>20</v>
      </c>
      <c r="J61" s="4"/>
      <c r="K61" s="4">
        <v>20</v>
      </c>
      <c r="L61" s="4"/>
      <c r="M61" s="4">
        <v>20</v>
      </c>
      <c r="N61" s="4">
        <v>20</v>
      </c>
      <c r="O61" s="4"/>
      <c r="P61" s="4"/>
      <c r="Q61" s="432"/>
      <c r="S61" s="2"/>
    </row>
    <row r="62" spans="3:20">
      <c r="H62" s="384" t="s">
        <v>506</v>
      </c>
      <c r="I62" s="523">
        <v>20.65</v>
      </c>
      <c r="J62" s="4">
        <v>3.64</v>
      </c>
      <c r="K62" s="4">
        <v>27.83</v>
      </c>
      <c r="L62" s="4"/>
      <c r="M62" s="4">
        <v>9.2799999999999994</v>
      </c>
      <c r="N62" s="4">
        <v>18.55</v>
      </c>
      <c r="O62" s="4"/>
      <c r="P62" s="4"/>
      <c r="S62" s="2"/>
    </row>
    <row r="63" spans="3:20">
      <c r="H63" s="384" t="s">
        <v>507</v>
      </c>
      <c r="I63" s="4">
        <v>42</v>
      </c>
      <c r="J63" s="4"/>
      <c r="K63" s="4">
        <v>42</v>
      </c>
      <c r="L63" s="4"/>
      <c r="M63" s="4">
        <v>42</v>
      </c>
      <c r="N63" s="4">
        <v>42</v>
      </c>
      <c r="O63" s="4"/>
      <c r="P63" s="4"/>
      <c r="S63" s="432"/>
    </row>
    <row r="64" spans="3:20">
      <c r="H64" s="384" t="s">
        <v>55</v>
      </c>
      <c r="I64" s="4">
        <v>40</v>
      </c>
      <c r="J64" s="4">
        <v>4.4000000000000004</v>
      </c>
      <c r="K64" s="4">
        <v>40</v>
      </c>
      <c r="L64" s="4"/>
      <c r="M64" s="4">
        <v>40</v>
      </c>
      <c r="N64" s="4"/>
      <c r="O64" s="4"/>
      <c r="P64" s="4"/>
      <c r="S64" s="432"/>
    </row>
    <row r="65" spans="3:20">
      <c r="H65" s="506" t="s">
        <v>539</v>
      </c>
      <c r="I65" s="507">
        <v>3.87</v>
      </c>
      <c r="J65" s="4"/>
      <c r="K65" s="4"/>
      <c r="M65" s="4"/>
      <c r="N65" s="4"/>
      <c r="O65" s="4"/>
      <c r="P65" s="4"/>
    </row>
    <row r="66" spans="3:20">
      <c r="I66" s="2">
        <f>SUM(I57:I65)</f>
        <v>143.01</v>
      </c>
      <c r="J66" s="2">
        <f t="shared" ref="J66:K66" si="9">SUM(J57:J65)</f>
        <v>8.0400000000000009</v>
      </c>
      <c r="K66" s="2">
        <f t="shared" si="9"/>
        <v>175.17000000000002</v>
      </c>
      <c r="M66" s="2">
        <f t="shared" ref="M66:P66" si="10">SUM(M57:M65)</f>
        <v>139.75</v>
      </c>
      <c r="N66" s="2">
        <f t="shared" si="10"/>
        <v>111.3</v>
      </c>
      <c r="O66" s="2">
        <f t="shared" si="10"/>
        <v>0</v>
      </c>
      <c r="P66" s="2">
        <f t="shared" si="10"/>
        <v>0</v>
      </c>
      <c r="Q66" s="400">
        <f>SUM(M66:P66)</f>
        <v>251.05</v>
      </c>
    </row>
    <row r="67" spans="3:20">
      <c r="I67" s="2">
        <f>G56-I66</f>
        <v>0</v>
      </c>
    </row>
    <row r="70" spans="3:20">
      <c r="C70" s="3" t="s">
        <v>573</v>
      </c>
      <c r="F70" s="8" t="s">
        <v>585</v>
      </c>
      <c r="G70" s="2">
        <v>146.49</v>
      </c>
      <c r="I70" s="165" t="s">
        <v>537</v>
      </c>
      <c r="J70" s="2" t="s">
        <v>266</v>
      </c>
      <c r="K70" s="2" t="s">
        <v>538</v>
      </c>
      <c r="M70" s="648" t="s">
        <v>540</v>
      </c>
      <c r="N70" s="648"/>
      <c r="O70" s="648"/>
      <c r="P70" s="648"/>
    </row>
    <row r="71" spans="3:20">
      <c r="C71" s="515" t="s">
        <v>588</v>
      </c>
      <c r="G71" s="384"/>
      <c r="H71" s="384" t="s">
        <v>328</v>
      </c>
      <c r="I71" s="4">
        <v>3</v>
      </c>
      <c r="J71" s="4"/>
      <c r="K71" s="4">
        <v>3</v>
      </c>
      <c r="L71" s="4"/>
      <c r="M71" s="4">
        <v>3</v>
      </c>
      <c r="N71" s="4"/>
      <c r="O71" s="4"/>
      <c r="P71" s="4"/>
      <c r="S71" s="3" t="s">
        <v>565</v>
      </c>
      <c r="T71" s="3" t="s">
        <v>328</v>
      </c>
    </row>
    <row r="72" spans="3:20">
      <c r="C72" s="515" t="s">
        <v>589</v>
      </c>
      <c r="G72" s="384"/>
      <c r="H72" s="384" t="s">
        <v>371</v>
      </c>
      <c r="I72" s="202"/>
      <c r="J72" s="4"/>
      <c r="K72" s="4">
        <v>28.15</v>
      </c>
      <c r="L72" s="4"/>
      <c r="M72" s="4">
        <v>28.15</v>
      </c>
      <c r="N72" s="4"/>
      <c r="O72" s="4"/>
      <c r="P72" s="4"/>
      <c r="Q72" s="432"/>
      <c r="S72" s="3">
        <v>16.45</v>
      </c>
      <c r="T72" s="3" t="s">
        <v>574</v>
      </c>
    </row>
    <row r="73" spans="3:20">
      <c r="C73" s="515" t="s">
        <v>595</v>
      </c>
      <c r="G73" s="165"/>
      <c r="H73" s="384" t="s">
        <v>62</v>
      </c>
      <c r="I73" s="4">
        <v>16.45</v>
      </c>
      <c r="J73" s="4"/>
      <c r="K73" s="4">
        <v>18.61</v>
      </c>
      <c r="L73" s="4"/>
      <c r="M73" s="4">
        <v>18.61</v>
      </c>
      <c r="N73" s="4"/>
      <c r="O73" s="4"/>
      <c r="P73" s="4"/>
      <c r="Q73" s="2"/>
      <c r="S73" s="3">
        <v>27.89</v>
      </c>
      <c r="T73" s="3" t="s">
        <v>575</v>
      </c>
    </row>
    <row r="74" spans="3:20">
      <c r="H74" s="384" t="s">
        <v>79</v>
      </c>
      <c r="I74" s="4"/>
      <c r="J74" s="4"/>
      <c r="K74" s="4"/>
      <c r="L74" s="4"/>
      <c r="M74" s="4"/>
      <c r="N74" s="4"/>
      <c r="O74" s="4"/>
      <c r="P74" s="4">
        <f t="shared" ref="P74" si="11">P67*16%</f>
        <v>0</v>
      </c>
      <c r="S74" s="2"/>
    </row>
    <row r="75" spans="3:20">
      <c r="H75" s="384" t="s">
        <v>505</v>
      </c>
      <c r="I75" s="4">
        <v>20</v>
      </c>
      <c r="J75" s="4"/>
      <c r="K75" s="4">
        <v>20</v>
      </c>
      <c r="L75" s="4"/>
      <c r="M75" s="4">
        <v>20</v>
      </c>
      <c r="N75" s="4"/>
      <c r="O75" s="4"/>
      <c r="P75" s="4"/>
      <c r="Q75" s="432"/>
      <c r="S75" s="2"/>
    </row>
    <row r="76" spans="3:20">
      <c r="H76" s="384" t="s">
        <v>506</v>
      </c>
      <c r="I76" s="523">
        <v>32.81</v>
      </c>
      <c r="J76" s="4">
        <v>3.99</v>
      </c>
      <c r="K76" s="4">
        <v>36.33</v>
      </c>
      <c r="L76" s="4"/>
      <c r="M76" s="4">
        <v>36.33</v>
      </c>
      <c r="N76" s="4"/>
      <c r="O76" s="4"/>
      <c r="P76" s="4"/>
      <c r="S76" s="2"/>
    </row>
    <row r="77" spans="3:20">
      <c r="H77" s="384" t="s">
        <v>507</v>
      </c>
      <c r="I77" s="4">
        <v>30</v>
      </c>
      <c r="J77" s="4"/>
      <c r="K77" s="4">
        <v>30</v>
      </c>
      <c r="L77" s="4"/>
      <c r="M77" s="4">
        <v>30</v>
      </c>
      <c r="N77" s="4"/>
      <c r="O77" s="4"/>
      <c r="P77" s="4"/>
      <c r="S77" s="432"/>
    </row>
    <row r="78" spans="3:20">
      <c r="H78" s="384" t="s">
        <v>55</v>
      </c>
      <c r="I78" s="4">
        <v>30</v>
      </c>
      <c r="J78" s="4">
        <v>3.3</v>
      </c>
      <c r="K78" s="4">
        <v>30</v>
      </c>
      <c r="L78" s="4"/>
      <c r="M78" s="4">
        <v>30</v>
      </c>
      <c r="N78" s="4"/>
      <c r="O78" s="4"/>
      <c r="P78" s="4"/>
      <c r="S78" s="432"/>
    </row>
    <row r="79" spans="3:20">
      <c r="H79" s="506" t="s">
        <v>539</v>
      </c>
      <c r="I79" s="507">
        <v>14.23</v>
      </c>
      <c r="J79" s="4"/>
      <c r="K79" s="4"/>
      <c r="M79" s="4"/>
      <c r="N79" s="4"/>
      <c r="O79" s="4"/>
      <c r="P79" s="4"/>
    </row>
    <row r="80" spans="3:20">
      <c r="I80" s="2">
        <f>SUM(I71:I79)</f>
        <v>146.48999999999998</v>
      </c>
      <c r="J80" s="2">
        <f t="shared" ref="J80:K80" si="12">SUM(J71:J79)</f>
        <v>7.29</v>
      </c>
      <c r="K80" s="2">
        <f t="shared" si="12"/>
        <v>166.08999999999997</v>
      </c>
      <c r="M80" s="2">
        <f t="shared" ref="M80:P80" si="13">SUM(M71:M79)</f>
        <v>166.08999999999997</v>
      </c>
      <c r="N80" s="2">
        <f t="shared" si="13"/>
        <v>0</v>
      </c>
      <c r="O80" s="2">
        <f t="shared" si="13"/>
        <v>0</v>
      </c>
      <c r="P80" s="2">
        <f t="shared" si="13"/>
        <v>0</v>
      </c>
      <c r="Q80" s="400">
        <f>SUM(M80:P80)</f>
        <v>166.08999999999997</v>
      </c>
    </row>
    <row r="81" spans="3:20">
      <c r="I81" s="2">
        <f>G70-I80</f>
        <v>0</v>
      </c>
    </row>
    <row r="84" spans="3:20">
      <c r="C84" s="3" t="s">
        <v>570</v>
      </c>
      <c r="F84" s="8" t="s">
        <v>586</v>
      </c>
      <c r="G84" s="2">
        <v>224.24</v>
      </c>
      <c r="I84" s="165" t="s">
        <v>537</v>
      </c>
      <c r="J84" s="2" t="s">
        <v>266</v>
      </c>
      <c r="K84" s="2" t="s">
        <v>538</v>
      </c>
      <c r="M84" s="648" t="s">
        <v>540</v>
      </c>
      <c r="N84" s="648"/>
      <c r="O84" s="648"/>
      <c r="P84" s="648"/>
    </row>
    <row r="85" spans="3:20">
      <c r="C85" s="515" t="s">
        <v>590</v>
      </c>
      <c r="G85" s="384"/>
      <c r="H85" s="384" t="s">
        <v>328</v>
      </c>
      <c r="I85" s="4">
        <v>3</v>
      </c>
      <c r="J85" s="4"/>
      <c r="K85" s="4">
        <v>3</v>
      </c>
      <c r="L85" s="4"/>
      <c r="M85" s="4">
        <v>3</v>
      </c>
      <c r="N85" s="4">
        <v>3</v>
      </c>
      <c r="O85" s="4"/>
      <c r="P85" s="4"/>
      <c r="S85" s="3" t="s">
        <v>565</v>
      </c>
      <c r="T85" s="3" t="s">
        <v>328</v>
      </c>
    </row>
    <row r="86" spans="3:20">
      <c r="C86" s="3" t="s">
        <v>571</v>
      </c>
      <c r="G86" s="384"/>
      <c r="H86" s="384" t="s">
        <v>371</v>
      </c>
      <c r="I86" s="202"/>
      <c r="J86" s="4"/>
      <c r="K86" s="4">
        <v>83.7</v>
      </c>
      <c r="L86" s="4"/>
      <c r="M86" s="4">
        <v>27.9</v>
      </c>
      <c r="N86" s="4">
        <v>55.8</v>
      </c>
      <c r="O86" s="4"/>
      <c r="P86" s="4"/>
      <c r="Q86" s="432"/>
      <c r="S86" s="3">
        <v>25.52</v>
      </c>
      <c r="T86" s="3" t="s">
        <v>574</v>
      </c>
    </row>
    <row r="87" spans="3:20">
      <c r="C87" s="515" t="s">
        <v>590</v>
      </c>
      <c r="G87" s="165"/>
      <c r="H87" s="384" t="s">
        <v>62</v>
      </c>
      <c r="I87" s="4">
        <v>25.52</v>
      </c>
      <c r="J87" s="4"/>
      <c r="K87" s="4">
        <v>33.6</v>
      </c>
      <c r="L87" s="4"/>
      <c r="M87" s="4">
        <v>22.08</v>
      </c>
      <c r="N87" s="4">
        <v>21.44</v>
      </c>
      <c r="O87" s="4"/>
      <c r="P87" s="4"/>
      <c r="Q87" s="2"/>
      <c r="S87" s="3">
        <v>88.83</v>
      </c>
      <c r="T87" s="3" t="s">
        <v>575</v>
      </c>
    </row>
    <row r="88" spans="3:20">
      <c r="C88" s="515"/>
      <c r="H88" s="384" t="s">
        <v>79</v>
      </c>
      <c r="I88" s="4"/>
      <c r="J88" s="4"/>
      <c r="K88" s="4"/>
      <c r="L88" s="4"/>
      <c r="M88" s="4"/>
      <c r="N88" s="4"/>
      <c r="O88" s="4"/>
      <c r="P88" s="4">
        <f t="shared" ref="P88" si="14">P81*16%</f>
        <v>0</v>
      </c>
      <c r="S88" s="2">
        <v>15.66</v>
      </c>
      <c r="T88" s="3" t="s">
        <v>266</v>
      </c>
    </row>
    <row r="89" spans="3:20">
      <c r="C89" s="515"/>
      <c r="H89" s="384" t="s">
        <v>505</v>
      </c>
      <c r="I89" s="505"/>
      <c r="J89" s="4"/>
      <c r="K89" s="4">
        <v>20</v>
      </c>
      <c r="L89" s="4"/>
      <c r="M89" s="4">
        <v>20</v>
      </c>
      <c r="N89" s="4">
        <v>20</v>
      </c>
      <c r="O89" s="4"/>
      <c r="P89" s="4"/>
      <c r="Q89" s="432"/>
      <c r="S89" s="2"/>
    </row>
    <row r="90" spans="3:20">
      <c r="C90" s="515"/>
      <c r="H90" s="384" t="s">
        <v>506</v>
      </c>
      <c r="I90" s="523">
        <v>104.49</v>
      </c>
      <c r="J90" s="4">
        <v>15.66</v>
      </c>
      <c r="K90" s="4">
        <v>108.01</v>
      </c>
      <c r="L90" s="4"/>
      <c r="M90" s="4">
        <v>36</v>
      </c>
      <c r="N90" s="4">
        <v>72.010000000000005</v>
      </c>
      <c r="O90" s="4"/>
      <c r="P90" s="4"/>
      <c r="S90" s="2"/>
    </row>
    <row r="91" spans="3:20">
      <c r="H91" s="384" t="s">
        <v>507</v>
      </c>
      <c r="I91" s="4">
        <v>42</v>
      </c>
      <c r="J91" s="4"/>
      <c r="K91" s="4">
        <v>42</v>
      </c>
      <c r="L91" s="4"/>
      <c r="M91" s="4">
        <v>42</v>
      </c>
      <c r="N91" s="4">
        <v>42</v>
      </c>
      <c r="O91" s="4"/>
      <c r="P91" s="4"/>
      <c r="S91" s="432"/>
    </row>
    <row r="92" spans="3:20">
      <c r="H92" s="384" t="s">
        <v>55</v>
      </c>
      <c r="I92" s="4">
        <v>40</v>
      </c>
      <c r="J92" s="4">
        <v>4.4000000000000004</v>
      </c>
      <c r="K92" s="4">
        <v>40</v>
      </c>
      <c r="L92" s="4"/>
      <c r="M92" s="4">
        <v>40</v>
      </c>
      <c r="N92" s="4"/>
      <c r="O92" s="4"/>
      <c r="P92" s="4"/>
      <c r="S92" s="432"/>
    </row>
    <row r="93" spans="3:20">
      <c r="H93" s="506" t="s">
        <v>539</v>
      </c>
      <c r="I93" s="507">
        <v>9.23</v>
      </c>
      <c r="J93" s="4"/>
      <c r="K93" s="4"/>
      <c r="M93" s="4"/>
      <c r="N93" s="4"/>
      <c r="O93" s="4"/>
      <c r="P93" s="4"/>
    </row>
    <row r="94" spans="3:20">
      <c r="I94" s="2">
        <f>SUM(I85:I93)</f>
        <v>224.23999999999998</v>
      </c>
      <c r="J94" s="2">
        <f t="shared" ref="J94:K94" si="15">SUM(J85:J93)</f>
        <v>20.060000000000002</v>
      </c>
      <c r="K94" s="2">
        <f t="shared" si="15"/>
        <v>330.31</v>
      </c>
      <c r="M94" s="2">
        <f t="shared" ref="M94:P94" si="16">SUM(M85:M93)</f>
        <v>190.98</v>
      </c>
      <c r="N94" s="2">
        <f t="shared" si="16"/>
        <v>214.25</v>
      </c>
      <c r="O94" s="2">
        <f t="shared" si="16"/>
        <v>0</v>
      </c>
      <c r="P94" s="2">
        <f t="shared" si="16"/>
        <v>0</v>
      </c>
      <c r="Q94" s="400">
        <f>SUM(M94:P94)</f>
        <v>405.23</v>
      </c>
    </row>
    <row r="95" spans="3:20">
      <c r="I95" s="2">
        <f>G84-I94</f>
        <v>0</v>
      </c>
    </row>
    <row r="105" spans="3:3">
      <c r="C105" s="515"/>
    </row>
    <row r="106" spans="3:3">
      <c r="C106" s="515"/>
    </row>
    <row r="107" spans="3:3">
      <c r="C107" s="515"/>
    </row>
    <row r="109" spans="3:3">
      <c r="C109" s="515"/>
    </row>
    <row r="110" spans="3:3">
      <c r="C110" s="515"/>
    </row>
    <row r="111" spans="3:3">
      <c r="C111" s="515"/>
    </row>
    <row r="115" spans="3:3">
      <c r="C115" s="515"/>
    </row>
    <row r="116" spans="3:3">
      <c r="C116" s="515"/>
    </row>
    <row r="118" spans="3:3">
      <c r="C118" s="515"/>
    </row>
    <row r="119" spans="3:3">
      <c r="C119" s="515"/>
    </row>
    <row r="120" spans="3:3">
      <c r="C120" s="91"/>
    </row>
    <row r="121" spans="3:3">
      <c r="C121" s="91"/>
    </row>
    <row r="123" spans="3:3">
      <c r="C123" s="515"/>
    </row>
    <row r="124" spans="3:3">
      <c r="C124" s="515"/>
    </row>
    <row r="125" spans="3:3">
      <c r="C125" s="515"/>
    </row>
    <row r="126" spans="3:3">
      <c r="C126" s="91"/>
    </row>
    <row r="127" spans="3:3">
      <c r="C127" s="91"/>
    </row>
    <row r="129" spans="3:3">
      <c r="C129" s="515"/>
    </row>
    <row r="131" spans="3:3">
      <c r="C131" s="515"/>
    </row>
    <row r="132" spans="3:3">
      <c r="C132" s="91"/>
    </row>
    <row r="133" spans="3:3">
      <c r="C133" s="91"/>
    </row>
  </sheetData>
  <mergeCells count="14">
    <mergeCell ref="M84:P84"/>
    <mergeCell ref="M70:P70"/>
    <mergeCell ref="E1:K1"/>
    <mergeCell ref="M56:P56"/>
    <mergeCell ref="A14:D14"/>
    <mergeCell ref="A1:A2"/>
    <mergeCell ref="B1:B2"/>
    <mergeCell ref="C1:C2"/>
    <mergeCell ref="D1:D2"/>
    <mergeCell ref="M43:P43"/>
    <mergeCell ref="M29:P29"/>
    <mergeCell ref="N1:O1"/>
    <mergeCell ref="L1:M1"/>
    <mergeCell ref="P1:Y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22"/>
  <sheetViews>
    <sheetView workbookViewId="0">
      <pane ySplit="2" topLeftCell="A3" activePane="bottomLeft" state="frozen"/>
      <selection pane="bottomLeft" activeCell="C34" sqref="C33:C34"/>
    </sheetView>
  </sheetViews>
  <sheetFormatPr defaultRowHeight="11.25"/>
  <cols>
    <col min="1" max="2" width="8.140625" style="3" bestFit="1" customWidth="1"/>
    <col min="3" max="3" width="54.8554687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801" t="s">
        <v>19</v>
      </c>
      <c r="B1" s="803" t="s">
        <v>18</v>
      </c>
      <c r="C1" s="805" t="s">
        <v>356</v>
      </c>
      <c r="D1" s="805" t="s">
        <v>86</v>
      </c>
      <c r="E1" s="807" t="s">
        <v>357</v>
      </c>
      <c r="F1" s="808"/>
      <c r="G1" s="808"/>
      <c r="H1" s="809" t="s">
        <v>329</v>
      </c>
      <c r="I1" s="810"/>
      <c r="J1" s="797" t="s">
        <v>330</v>
      </c>
      <c r="K1" s="797"/>
      <c r="L1" s="244"/>
      <c r="M1" s="245"/>
      <c r="N1" s="798" t="s">
        <v>358</v>
      </c>
      <c r="O1" s="798"/>
      <c r="P1" s="798"/>
      <c r="Q1" s="245"/>
      <c r="R1" s="798" t="s">
        <v>359</v>
      </c>
      <c r="S1" s="798"/>
      <c r="T1" s="798"/>
      <c r="U1" s="798"/>
      <c r="V1" s="246"/>
      <c r="W1" s="799" t="s">
        <v>329</v>
      </c>
      <c r="X1" s="799" t="s">
        <v>360</v>
      </c>
      <c r="Y1" s="799" t="s">
        <v>361</v>
      </c>
      <c r="Z1" s="246"/>
      <c r="AA1" s="791" t="s">
        <v>362</v>
      </c>
      <c r="AB1" s="792"/>
      <c r="AC1" s="792"/>
      <c r="AD1" s="792"/>
      <c r="AE1" s="793"/>
    </row>
    <row r="2" spans="1:31" ht="12" thickBot="1">
      <c r="A2" s="802"/>
      <c r="B2" s="804"/>
      <c r="C2" s="806"/>
      <c r="D2" s="806"/>
      <c r="E2" s="203" t="s">
        <v>334</v>
      </c>
      <c r="F2" s="203" t="s">
        <v>340</v>
      </c>
      <c r="G2" s="145" t="s">
        <v>341</v>
      </c>
      <c r="H2" s="204" t="s">
        <v>363</v>
      </c>
      <c r="I2" s="205" t="s">
        <v>364</v>
      </c>
      <c r="J2" s="204" t="s">
        <v>365</v>
      </c>
      <c r="K2" s="206" t="s">
        <v>366</v>
      </c>
      <c r="L2" s="247" t="s">
        <v>367</v>
      </c>
      <c r="M2" s="248"/>
      <c r="N2" s="249" t="s">
        <v>370</v>
      </c>
      <c r="O2" s="249" t="s">
        <v>368</v>
      </c>
      <c r="P2" s="249" t="s">
        <v>369</v>
      </c>
      <c r="Q2" s="248"/>
      <c r="R2" s="250" t="s">
        <v>370</v>
      </c>
      <c r="S2" s="251">
        <v>1.2999999999999999E-2</v>
      </c>
      <c r="T2" s="251">
        <v>6.4999999999999997E-3</v>
      </c>
      <c r="U2" s="252">
        <v>1.25E-3</v>
      </c>
      <c r="V2" s="253"/>
      <c r="W2" s="800"/>
      <c r="X2" s="800"/>
      <c r="Y2" s="800"/>
      <c r="Z2" s="253"/>
      <c r="AA2" s="254" t="s">
        <v>370</v>
      </c>
      <c r="AB2" s="254" t="s">
        <v>368</v>
      </c>
      <c r="AC2" s="255" t="s">
        <v>369</v>
      </c>
      <c r="AD2" s="254" t="s">
        <v>360</v>
      </c>
      <c r="AE2" s="254" t="s">
        <v>361</v>
      </c>
    </row>
    <row r="3" spans="1:31" s="18" customFormat="1">
      <c r="A3" s="121" t="str">
        <f>'1-συμβολαια'!A3</f>
        <v>1ο</v>
      </c>
      <c r="B3" s="121">
        <f>'1-συμβολαια'!B3</f>
        <v>40059</v>
      </c>
      <c r="C3" s="121" t="str">
        <f>'1-συμβολαια'!C3</f>
        <v>πληρεξούσιο</v>
      </c>
      <c r="D3" s="207">
        <f>'1-συμβολαια'!D3</f>
        <v>0</v>
      </c>
      <c r="E3" s="28">
        <f>'8-κ-15-17'!D3</f>
        <v>0</v>
      </c>
      <c r="F3" s="28">
        <f>'8-κ-15-17'!M3</f>
        <v>0</v>
      </c>
      <c r="G3" s="28">
        <f>'8-κ-15-17'!V3</f>
        <v>0</v>
      </c>
      <c r="H3" s="28">
        <f>'2-δικαιώμ'!H3</f>
        <v>0</v>
      </c>
      <c r="I3" s="28">
        <f>'2-δικαιώμ'!I3</f>
        <v>1</v>
      </c>
      <c r="J3" s="28">
        <f>'2-δικαιώμ'!J3</f>
        <v>1</v>
      </c>
      <c r="K3" s="28">
        <f>'2-δικαιώμ'!K3</f>
        <v>0.2</v>
      </c>
      <c r="L3" s="149"/>
      <c r="M3" s="149"/>
      <c r="N3" s="35"/>
      <c r="O3" s="35"/>
      <c r="P3" s="35"/>
      <c r="Q3" s="149"/>
      <c r="R3" s="35"/>
      <c r="S3" s="35"/>
      <c r="T3" s="35"/>
      <c r="U3" s="35"/>
      <c r="V3" s="149"/>
      <c r="W3" s="35">
        <f>'2-δικαιώμ'!H3+'2-δικαιώμ'!I3</f>
        <v>1</v>
      </c>
      <c r="X3" s="35">
        <f>'2-δικαιώμ'!J3</f>
        <v>1</v>
      </c>
      <c r="Y3" s="35">
        <f>'2-δικαιώμ'!K3</f>
        <v>0.2</v>
      </c>
      <c r="Z3" s="149"/>
      <c r="AA3" s="35"/>
      <c r="AB3" s="35"/>
      <c r="AC3" s="35"/>
      <c r="AD3" s="35"/>
      <c r="AE3" s="35"/>
    </row>
    <row r="4" spans="1:31" s="18" customFormat="1">
      <c r="A4" s="121" t="str">
        <f>'1-συμβολαια'!A4</f>
        <v>2ο</v>
      </c>
      <c r="B4" s="121">
        <f>'1-συμβολαια'!B4</f>
        <v>40703</v>
      </c>
      <c r="C4" s="121" t="str">
        <f>'1-συμβολαια'!C4</f>
        <v>κληρονομιάς ΑΠΟΔΟΧΗ</v>
      </c>
      <c r="D4" s="207">
        <f>'1-συμβολαια'!D4</f>
        <v>0</v>
      </c>
      <c r="E4" s="28">
        <f>'8-κ-15-17'!D4</f>
        <v>0</v>
      </c>
      <c r="F4" s="28">
        <f>'8-κ-15-17'!M4</f>
        <v>0</v>
      </c>
      <c r="G4" s="28">
        <f>'8-κ-15-17'!V4</f>
        <v>0</v>
      </c>
      <c r="H4" s="28">
        <f>'2-δικαιώμ'!H4</f>
        <v>0</v>
      </c>
      <c r="I4" s="28">
        <f>'2-δικαιώμ'!I4</f>
        <v>2</v>
      </c>
      <c r="J4" s="28">
        <f>'2-δικαιώμ'!J4</f>
        <v>2</v>
      </c>
      <c r="K4" s="28">
        <f>'2-δικαιώμ'!K4</f>
        <v>0.4</v>
      </c>
      <c r="L4" s="149"/>
      <c r="M4" s="149"/>
      <c r="N4" s="35"/>
      <c r="O4" s="35"/>
      <c r="P4" s="35"/>
      <c r="Q4" s="149"/>
      <c r="R4" s="35"/>
      <c r="S4" s="35"/>
      <c r="T4" s="35"/>
      <c r="U4" s="35"/>
      <c r="V4" s="149"/>
      <c r="W4" s="35">
        <f>'2-δικαιώμ'!H4+'2-δικαιώμ'!I4</f>
        <v>2</v>
      </c>
      <c r="X4" s="35">
        <f>'2-δικαιώμ'!J4</f>
        <v>2</v>
      </c>
      <c r="Y4" s="35">
        <f>'2-δικαιώμ'!K4</f>
        <v>0.4</v>
      </c>
      <c r="Z4" s="149"/>
      <c r="AA4" s="35"/>
      <c r="AB4" s="35"/>
      <c r="AC4" s="35"/>
      <c r="AD4" s="35"/>
      <c r="AE4" s="35"/>
    </row>
    <row r="5" spans="1:31" s="18" customFormat="1">
      <c r="A5" s="121">
        <f>'1-συμβολαια'!A5</f>
        <v>0</v>
      </c>
      <c r="B5" s="121">
        <f>'1-συμβολαια'!B5</f>
        <v>0</v>
      </c>
      <c r="C5" s="121" t="str">
        <f>'1-συμβολαια'!C5</f>
        <v>χρησικτησία αγροτεμαχίων 1,2,3  = 19?? ΑΝΑΔΑΣΜΟΣ</v>
      </c>
      <c r="D5" s="207">
        <f>'1-συμβολαια'!D5</f>
        <v>2100.9416999999999</v>
      </c>
      <c r="E5" s="28">
        <f>'8-κ-15-17'!D5</f>
        <v>0</v>
      </c>
      <c r="F5" s="28">
        <f>'8-κ-15-17'!M5</f>
        <v>13.656121049999999</v>
      </c>
      <c r="G5" s="28">
        <f>'8-κ-15-17'!V5</f>
        <v>2.6261771249999999</v>
      </c>
      <c r="H5" s="28">
        <f>'2-δικαιώμ'!H5</f>
        <v>1.8908475299999998</v>
      </c>
      <c r="I5" s="28">
        <f>'2-δικαιώμ'!I5</f>
        <v>1</v>
      </c>
      <c r="J5" s="28">
        <f>'2-δικαιώμ'!J5</f>
        <v>2.05047085</v>
      </c>
      <c r="K5" s="28">
        <f>'2-δικαιώμ'!K5</f>
        <v>0.41009416999999998</v>
      </c>
      <c r="L5" s="149"/>
      <c r="M5" s="149"/>
      <c r="N5" s="35"/>
      <c r="O5" s="35"/>
      <c r="P5" s="35"/>
      <c r="Q5" s="149"/>
      <c r="R5" s="35"/>
      <c r="S5" s="35"/>
      <c r="T5" s="35"/>
      <c r="U5" s="35"/>
      <c r="V5" s="149"/>
      <c r="W5" s="35">
        <f>'2-δικαιώμ'!H5+'2-δικαιώμ'!I5</f>
        <v>2.8908475299999998</v>
      </c>
      <c r="X5" s="35">
        <f>'2-δικαιώμ'!J5</f>
        <v>2.05047085</v>
      </c>
      <c r="Y5" s="35">
        <f>'2-δικαιώμ'!K5</f>
        <v>0.41009416999999998</v>
      </c>
      <c r="Z5" s="149"/>
      <c r="AA5" s="35"/>
      <c r="AB5" s="35"/>
      <c r="AC5" s="35"/>
      <c r="AD5" s="35"/>
      <c r="AE5" s="35"/>
    </row>
    <row r="6" spans="1:31" s="18" customFormat="1">
      <c r="A6" s="121">
        <f>'1-συμβολαια'!A6</f>
        <v>0</v>
      </c>
      <c r="B6" s="121">
        <f>'1-συμβολαια'!B6</f>
        <v>0</v>
      </c>
      <c r="C6" s="121" t="str">
        <f>'1-συμβολαια'!C6</f>
        <v>χρησικτησία αγροτεμαχίων 4,5,6,7,8,9 = 1955 πατρός ΔΩΡΕΑ άτυπος</v>
      </c>
      <c r="D6" s="207">
        <f>'1-συμβολαια'!D6</f>
        <v>7850.0433000000012</v>
      </c>
      <c r="E6" s="28">
        <f>'8-κ-15-17'!D6</f>
        <v>0</v>
      </c>
      <c r="F6" s="28">
        <f>'8-κ-15-17'!M6</f>
        <v>51.025281450000016</v>
      </c>
      <c r="G6" s="28">
        <f>'8-κ-15-17'!V6</f>
        <v>9.8125541250000019</v>
      </c>
      <c r="H6" s="28">
        <f>'2-δικαιώμ'!H6</f>
        <v>7.0650389700000007</v>
      </c>
      <c r="I6" s="28">
        <f>'2-δικαιώμ'!I6</f>
        <v>1</v>
      </c>
      <c r="J6" s="28">
        <f>'2-δικαιώμ'!J6</f>
        <v>4.9250216500000015</v>
      </c>
      <c r="K6" s="28">
        <f>'2-δικαιώμ'!K6</f>
        <v>0.98500433000000021</v>
      </c>
      <c r="L6" s="149"/>
      <c r="M6" s="149"/>
      <c r="N6" s="35"/>
      <c r="O6" s="35"/>
      <c r="P6" s="35"/>
      <c r="Q6" s="149"/>
      <c r="R6" s="35"/>
      <c r="S6" s="35"/>
      <c r="T6" s="35"/>
      <c r="U6" s="35"/>
      <c r="V6" s="149"/>
      <c r="W6" s="35">
        <f>'2-δικαιώμ'!H6+'2-δικαιώμ'!I6</f>
        <v>8.0650389699999998</v>
      </c>
      <c r="X6" s="35">
        <f>'2-δικαιώμ'!J6</f>
        <v>4.9250216500000015</v>
      </c>
      <c r="Y6" s="35">
        <f>'2-δικαιώμ'!K6</f>
        <v>0.98500433000000021</v>
      </c>
      <c r="Z6" s="149"/>
      <c r="AA6" s="35"/>
      <c r="AB6" s="35"/>
      <c r="AC6" s="35"/>
      <c r="AD6" s="35"/>
      <c r="AE6" s="35"/>
    </row>
    <row r="7" spans="1:31" s="18" customFormat="1">
      <c r="A7" s="121" t="str">
        <f>'1-συμβολαια'!A7</f>
        <v>3ο</v>
      </c>
      <c r="B7" s="121">
        <f>'1-συμβολαια'!B7</f>
        <v>40806</v>
      </c>
      <c r="C7" s="121" t="str">
        <f>'1-συμβολαια'!C7</f>
        <v xml:space="preserve">γονική </v>
      </c>
      <c r="D7" s="207">
        <f>'1-συμβολαια'!D7</f>
        <v>5223.96</v>
      </c>
      <c r="E7" s="28">
        <f>'8-κ-15-17'!D7</f>
        <v>0</v>
      </c>
      <c r="F7" s="28">
        <f>'8-κ-15-17'!M7</f>
        <v>33.955740000000006</v>
      </c>
      <c r="G7" s="28">
        <f>'8-κ-15-17'!V7</f>
        <v>6.5299500000000004</v>
      </c>
      <c r="H7" s="28">
        <f>'2-δικαιώμ'!H7</f>
        <v>4.7015640000000003</v>
      </c>
      <c r="I7" s="28">
        <f>'2-δικαιώμ'!I7</f>
        <v>1</v>
      </c>
      <c r="J7" s="28">
        <f>'2-δικαιώμ'!J7</f>
        <v>3.61198</v>
      </c>
      <c r="K7" s="28">
        <f>'2-δικαιώμ'!K7</f>
        <v>0.72239599999999993</v>
      </c>
      <c r="L7" s="149"/>
      <c r="M7" s="149"/>
      <c r="N7" s="35"/>
      <c r="O7" s="35"/>
      <c r="P7" s="35"/>
      <c r="Q7" s="149"/>
      <c r="R7" s="35"/>
      <c r="S7" s="35"/>
      <c r="T7" s="35"/>
      <c r="U7" s="35"/>
      <c r="V7" s="149"/>
      <c r="W7" s="35">
        <f>'2-δικαιώμ'!H7+'2-δικαιώμ'!I7</f>
        <v>5.7015640000000003</v>
      </c>
      <c r="X7" s="35">
        <f>'2-δικαιώμ'!J7</f>
        <v>3.61198</v>
      </c>
      <c r="Y7" s="35">
        <f>'2-δικαιώμ'!K7</f>
        <v>0.72239599999999993</v>
      </c>
      <c r="Z7" s="149"/>
      <c r="AA7" s="35"/>
      <c r="AB7" s="35"/>
      <c r="AC7" s="35"/>
      <c r="AD7" s="35"/>
      <c r="AE7" s="35"/>
    </row>
    <row r="8" spans="1:31" s="18" customFormat="1">
      <c r="A8" s="121">
        <f>'1-συμβολαια'!A8</f>
        <v>0</v>
      </c>
      <c r="B8" s="121">
        <f>'1-συμβολαια'!B8</f>
        <v>0</v>
      </c>
      <c r="C8" s="121" t="str">
        <f>'1-συμβολαια'!C8</f>
        <v>δωρεά</v>
      </c>
      <c r="D8" s="207">
        <f>'1-συμβολαια'!D8</f>
        <v>10447.92</v>
      </c>
      <c r="E8" s="28">
        <f>'8-κ-15-17'!D8</f>
        <v>0</v>
      </c>
      <c r="F8" s="28">
        <f>'8-κ-15-17'!M8</f>
        <v>67.911480000000012</v>
      </c>
      <c r="G8" s="28">
        <f>'8-κ-15-17'!V8</f>
        <v>13.059900000000001</v>
      </c>
      <c r="H8" s="28">
        <f>'2-δικαιώμ'!H8</f>
        <v>9.4031280000000006</v>
      </c>
      <c r="I8" s="28">
        <f>'2-δικαιώμ'!I8</f>
        <v>1</v>
      </c>
      <c r="J8" s="28">
        <f>'2-δικαιώμ'!J8</f>
        <v>6.2239600000000008</v>
      </c>
      <c r="K8" s="28">
        <f>'2-δικαιώμ'!K8</f>
        <v>1.2447920000000001</v>
      </c>
      <c r="L8" s="149"/>
      <c r="M8" s="149"/>
      <c r="N8" s="35"/>
      <c r="O8" s="35"/>
      <c r="P8" s="35"/>
      <c r="Q8" s="149"/>
      <c r="R8" s="35"/>
      <c r="S8" s="35"/>
      <c r="T8" s="35"/>
      <c r="U8" s="35"/>
      <c r="V8" s="149"/>
      <c r="W8" s="35">
        <f>'2-δικαιώμ'!H8+'2-δικαιώμ'!I8</f>
        <v>10.403128000000001</v>
      </c>
      <c r="X8" s="35">
        <f>'2-δικαιώμ'!J8</f>
        <v>6.2239600000000008</v>
      </c>
      <c r="Y8" s="35">
        <f>'2-δικαιώμ'!K8</f>
        <v>1.2447920000000001</v>
      </c>
      <c r="Z8" s="149"/>
      <c r="AA8" s="35"/>
      <c r="AB8" s="35"/>
      <c r="AC8" s="35"/>
      <c r="AD8" s="35"/>
      <c r="AE8" s="35"/>
    </row>
    <row r="9" spans="1:31" s="18" customFormat="1">
      <c r="A9" s="121" t="str">
        <f>'1-συμβολαια'!A9</f>
        <v>4ο</v>
      </c>
      <c r="B9" s="121">
        <f>'1-συμβολαια'!B9</f>
        <v>40806</v>
      </c>
      <c r="C9" s="121" t="str">
        <f>'1-συμβολαια'!C9</f>
        <v xml:space="preserve">γονική </v>
      </c>
      <c r="D9" s="207">
        <f>'1-συμβολαια'!D9</f>
        <v>927.67</v>
      </c>
      <c r="E9" s="28">
        <f>'8-κ-15-17'!D9</f>
        <v>0</v>
      </c>
      <c r="F9" s="28">
        <f>'8-κ-15-17'!M9</f>
        <v>6.0298550000000004</v>
      </c>
      <c r="G9" s="28">
        <f>'8-κ-15-17'!V9</f>
        <v>1.1595875</v>
      </c>
      <c r="H9" s="28">
        <f>'2-δικαιώμ'!H9</f>
        <v>0.83490299999999995</v>
      </c>
      <c r="I9" s="28">
        <f>'2-δικαιώμ'!I9</f>
        <v>1</v>
      </c>
      <c r="J9" s="28">
        <f>'2-δικαιώμ'!J9</f>
        <v>1.463835</v>
      </c>
      <c r="K9" s="28">
        <f>'2-δικαιώμ'!K9</f>
        <v>0.292767</v>
      </c>
      <c r="L9" s="149"/>
      <c r="M9" s="149"/>
      <c r="N9" s="35"/>
      <c r="O9" s="35"/>
      <c r="P9" s="35"/>
      <c r="Q9" s="149"/>
      <c r="R9" s="35"/>
      <c r="S9" s="35"/>
      <c r="T9" s="35"/>
      <c r="U9" s="35"/>
      <c r="V9" s="149"/>
      <c r="W9" s="35">
        <f>'2-δικαιώμ'!H9+'2-δικαιώμ'!I9</f>
        <v>1.834903</v>
      </c>
      <c r="X9" s="35">
        <f>'2-δικαιώμ'!J9</f>
        <v>1.463835</v>
      </c>
      <c r="Y9" s="35">
        <f>'2-δικαιώμ'!K9</f>
        <v>0.292767</v>
      </c>
      <c r="Z9" s="149"/>
      <c r="AA9" s="35"/>
      <c r="AB9" s="35"/>
      <c r="AC9" s="35"/>
      <c r="AD9" s="35"/>
      <c r="AE9" s="35"/>
    </row>
    <row r="10" spans="1:31" s="18" customFormat="1">
      <c r="A10" s="121">
        <f>'1-συμβολαια'!A10</f>
        <v>0</v>
      </c>
      <c r="B10" s="121">
        <f>'1-συμβολαια'!B10</f>
        <v>0</v>
      </c>
      <c r="C10" s="121" t="str">
        <f>'1-συμβολαια'!C10</f>
        <v>δωρεά</v>
      </c>
      <c r="D10" s="207">
        <f>'1-συμβολαια'!D10</f>
        <v>1855.34</v>
      </c>
      <c r="E10" s="28">
        <f>'8-κ-15-17'!D10</f>
        <v>0</v>
      </c>
      <c r="F10" s="28">
        <f>'8-κ-15-17'!M10</f>
        <v>12.059710000000001</v>
      </c>
      <c r="G10" s="28">
        <f>'8-κ-15-17'!V10</f>
        <v>2.319175</v>
      </c>
      <c r="H10" s="28">
        <f>'2-δικαιώμ'!H10</f>
        <v>1.6698059999999999</v>
      </c>
      <c r="I10" s="28">
        <f>'2-δικαιώμ'!I10</f>
        <v>1</v>
      </c>
      <c r="J10" s="28">
        <f>'2-δικαιώμ'!J10</f>
        <v>1.92767</v>
      </c>
      <c r="K10" s="28">
        <f>'2-δικαιώμ'!K10</f>
        <v>0.38553399999999999</v>
      </c>
      <c r="L10" s="149"/>
      <c r="M10" s="149"/>
      <c r="N10" s="35"/>
      <c r="O10" s="35"/>
      <c r="P10" s="35"/>
      <c r="Q10" s="149"/>
      <c r="R10" s="35"/>
      <c r="S10" s="35"/>
      <c r="T10" s="35"/>
      <c r="U10" s="35"/>
      <c r="V10" s="149"/>
      <c r="W10" s="35">
        <f>'2-δικαιώμ'!H10+'2-δικαιώμ'!I10</f>
        <v>2.6698059999999999</v>
      </c>
      <c r="X10" s="35">
        <f>'2-δικαιώμ'!J10</f>
        <v>1.92767</v>
      </c>
      <c r="Y10" s="35">
        <f>'2-δικαιώμ'!K10</f>
        <v>0.38553399999999999</v>
      </c>
      <c r="Z10" s="149"/>
      <c r="AA10" s="35"/>
      <c r="AB10" s="35"/>
      <c r="AC10" s="35"/>
      <c r="AD10" s="35"/>
      <c r="AE10" s="35"/>
    </row>
    <row r="11" spans="1:31" s="18" customFormat="1">
      <c r="A11" s="121" t="str">
        <f>'1-συμβολαια'!A11</f>
        <v>5ο</v>
      </c>
      <c r="B11" s="121">
        <f>'1-συμβολαια'!B11</f>
        <v>40806</v>
      </c>
      <c r="C11" s="121" t="str">
        <f>'1-συμβολαια'!C11</f>
        <v>δωρεά</v>
      </c>
      <c r="D11" s="207">
        <f>'1-συμβολαια'!D11</f>
        <v>3632.94</v>
      </c>
      <c r="E11" s="28">
        <f>'8-κ-15-17'!D11</f>
        <v>0</v>
      </c>
      <c r="F11" s="28">
        <f>'8-κ-15-17'!M11</f>
        <v>23.614110000000004</v>
      </c>
      <c r="G11" s="28">
        <f>'8-κ-15-17'!V11</f>
        <v>4.541175</v>
      </c>
      <c r="H11" s="28">
        <f>'2-δικαιώμ'!H11</f>
        <v>3.2696459999999998</v>
      </c>
      <c r="I11" s="28">
        <f>'2-δικαιώμ'!I11</f>
        <v>1</v>
      </c>
      <c r="J11" s="28">
        <f>'2-δικαιώμ'!J11</f>
        <v>2.8164700000000003</v>
      </c>
      <c r="K11" s="28">
        <f>'2-δικαιώμ'!K11</f>
        <v>0.56329399999999996</v>
      </c>
      <c r="L11" s="149"/>
      <c r="M11" s="149"/>
      <c r="N11" s="35"/>
      <c r="O11" s="35"/>
      <c r="P11" s="35"/>
      <c r="Q11" s="149"/>
      <c r="R11" s="35"/>
      <c r="S11" s="35"/>
      <c r="T11" s="35"/>
      <c r="U11" s="35"/>
      <c r="V11" s="149"/>
      <c r="W11" s="35">
        <f>'2-δικαιώμ'!H11+'2-δικαιώμ'!I11</f>
        <v>4.2696459999999998</v>
      </c>
      <c r="X11" s="35">
        <f>'2-δικαιώμ'!J11</f>
        <v>2.8164700000000003</v>
      </c>
      <c r="Y11" s="35">
        <f>'2-δικαιώμ'!K11</f>
        <v>0.56329399999999996</v>
      </c>
      <c r="Z11" s="149"/>
      <c r="AA11" s="35"/>
      <c r="AB11" s="35"/>
      <c r="AC11" s="35"/>
      <c r="AD11" s="35"/>
      <c r="AE11" s="35"/>
    </row>
    <row r="12" spans="1:31" s="18" customFormat="1">
      <c r="A12" s="121" t="str">
        <f>'1-συμβολαια'!A12</f>
        <v>6ο</v>
      </c>
      <c r="B12" s="121">
        <f>'1-συμβολαια'!B12</f>
        <v>40806</v>
      </c>
      <c r="C12" s="121" t="str">
        <f>'1-συμβολαια'!C12</f>
        <v xml:space="preserve">γονική </v>
      </c>
      <c r="D12" s="207">
        <f>'1-συμβολαια'!D12</f>
        <v>3600.35</v>
      </c>
      <c r="E12" s="28">
        <f>'8-κ-15-17'!D12</f>
        <v>0</v>
      </c>
      <c r="F12" s="28">
        <f>'8-κ-15-17'!M12</f>
        <v>23.402275000000003</v>
      </c>
      <c r="G12" s="28">
        <f>'8-κ-15-17'!V12</f>
        <v>4.5004375000000003</v>
      </c>
      <c r="H12" s="28">
        <f>'2-δικαιώμ'!H12</f>
        <v>3.2403150000000003</v>
      </c>
      <c r="I12" s="28">
        <f>'2-δικαιώμ'!I12</f>
        <v>1</v>
      </c>
      <c r="J12" s="28">
        <f>'2-δικαιώμ'!J12</f>
        <v>2.8001750000000003</v>
      </c>
      <c r="K12" s="28">
        <f>'2-δικαιώμ'!K12</f>
        <v>0.56003500000000006</v>
      </c>
      <c r="L12" s="149"/>
      <c r="M12" s="149"/>
      <c r="N12" s="35"/>
      <c r="O12" s="35"/>
      <c r="P12" s="35"/>
      <c r="Q12" s="149"/>
      <c r="R12" s="35"/>
      <c r="S12" s="35"/>
      <c r="T12" s="35"/>
      <c r="U12" s="35"/>
      <c r="V12" s="149"/>
      <c r="W12" s="35">
        <f>'2-δικαιώμ'!H12+'2-δικαιώμ'!I12</f>
        <v>4.2403150000000007</v>
      </c>
      <c r="X12" s="35">
        <f>'2-δικαιώμ'!J12</f>
        <v>2.8001750000000003</v>
      </c>
      <c r="Y12" s="35">
        <f>'2-δικαιώμ'!K12</f>
        <v>0.56003500000000006</v>
      </c>
      <c r="Z12" s="149"/>
      <c r="AA12" s="35"/>
      <c r="AB12" s="35"/>
      <c r="AC12" s="35"/>
      <c r="AD12" s="35"/>
      <c r="AE12" s="35"/>
    </row>
    <row r="13" spans="1:31" s="18" customFormat="1">
      <c r="A13" s="121">
        <f>'1-συμβολαια'!A13</f>
        <v>0</v>
      </c>
      <c r="B13" s="121">
        <f>'1-συμβολαια'!B13</f>
        <v>0</v>
      </c>
      <c r="C13" s="121" t="str">
        <f>'1-συμβολαια'!C13</f>
        <v>δωρεά</v>
      </c>
      <c r="D13" s="207">
        <f>'1-συμβολαια'!D13</f>
        <v>7200.7</v>
      </c>
      <c r="E13" s="28">
        <f>'8-κ-15-17'!D13</f>
        <v>0</v>
      </c>
      <c r="F13" s="28">
        <f>'8-κ-15-17'!M13</f>
        <v>46.804550000000006</v>
      </c>
      <c r="G13" s="28">
        <f>'8-κ-15-17'!V13</f>
        <v>9.0008750000000006</v>
      </c>
      <c r="H13" s="28">
        <f>'2-δικαιώμ'!H13</f>
        <v>6.4806300000000006</v>
      </c>
      <c r="I13" s="28">
        <f>'2-δικαιώμ'!I13</f>
        <v>1</v>
      </c>
      <c r="J13" s="28">
        <f>'2-δικαιώμ'!J13</f>
        <v>4.6003500000000006</v>
      </c>
      <c r="K13" s="28">
        <f>'2-δικαιώμ'!K13</f>
        <v>0.92007000000000005</v>
      </c>
      <c r="L13" s="149"/>
      <c r="M13" s="149"/>
      <c r="N13" s="35"/>
      <c r="O13" s="35"/>
      <c r="P13" s="35"/>
      <c r="Q13" s="149"/>
      <c r="R13" s="35"/>
      <c r="S13" s="35"/>
      <c r="T13" s="35"/>
      <c r="U13" s="35"/>
      <c r="V13" s="149"/>
      <c r="W13" s="35">
        <f>'2-δικαιώμ'!H13+'2-δικαιώμ'!I13</f>
        <v>7.4806300000000006</v>
      </c>
      <c r="X13" s="35">
        <f>'2-δικαιώμ'!J13</f>
        <v>4.6003500000000006</v>
      </c>
      <c r="Y13" s="35">
        <f>'2-δικαιώμ'!K13</f>
        <v>0.92007000000000005</v>
      </c>
      <c r="Z13" s="149"/>
      <c r="AA13" s="35"/>
      <c r="AB13" s="35"/>
      <c r="AC13" s="35"/>
      <c r="AD13" s="35"/>
      <c r="AE13" s="35"/>
    </row>
    <row r="14" spans="1:31">
      <c r="A14" s="794" t="str">
        <f>'1-συμβολαια'!A14</f>
        <v>σύνολο</v>
      </c>
      <c r="B14" s="795"/>
      <c r="C14" s="795"/>
      <c r="D14" s="796"/>
      <c r="E14" s="293">
        <f t="shared" ref="E14:K14" si="0">SUM(E3:E13)</f>
        <v>0</v>
      </c>
      <c r="F14" s="293">
        <f t="shared" si="0"/>
        <v>278.45912250000003</v>
      </c>
      <c r="G14" s="293">
        <f t="shared" si="0"/>
        <v>53.549831250000004</v>
      </c>
      <c r="H14" s="293">
        <f t="shared" si="0"/>
        <v>38.555878499999999</v>
      </c>
      <c r="I14" s="293">
        <f t="shared" si="0"/>
        <v>12</v>
      </c>
      <c r="J14" s="293">
        <f t="shared" si="0"/>
        <v>33.419932500000002</v>
      </c>
      <c r="K14" s="293">
        <f t="shared" si="0"/>
        <v>6.6839865000000005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7" spans="3:13">
      <c r="C17" s="91"/>
      <c r="E17" s="2"/>
      <c r="F17" s="2"/>
      <c r="G17" s="2"/>
      <c r="H17" s="2"/>
      <c r="I17" s="2"/>
      <c r="J17" s="2"/>
      <c r="K17" s="2"/>
    </row>
    <row r="18" spans="3:13" ht="15.75">
      <c r="C18" s="91"/>
      <c r="E18" s="2"/>
      <c r="F18" s="2"/>
      <c r="G18" s="2"/>
      <c r="H18" s="136"/>
      <c r="I18" s="280"/>
      <c r="J18" s="281">
        <v>1</v>
      </c>
      <c r="K18" s="5" t="s">
        <v>392</v>
      </c>
      <c r="L18" s="5"/>
      <c r="M18" s="282"/>
    </row>
    <row r="19" spans="3:13">
      <c r="C19" s="91"/>
      <c r="E19" s="2"/>
      <c r="F19" s="2"/>
      <c r="G19" s="2"/>
      <c r="H19" s="4"/>
      <c r="I19" s="167"/>
      <c r="J19" s="300">
        <v>1</v>
      </c>
      <c r="K19" s="5" t="s">
        <v>393</v>
      </c>
      <c r="L19" s="5"/>
      <c r="M19" s="282"/>
    </row>
    <row r="20" spans="3:13" ht="12.75">
      <c r="C20" s="214" t="s">
        <v>479</v>
      </c>
      <c r="E20" s="2"/>
      <c r="F20" s="2"/>
      <c r="G20" s="2"/>
      <c r="H20" s="322"/>
      <c r="I20" s="58"/>
      <c r="J20" s="4">
        <v>0.73</v>
      </c>
      <c r="K20" s="5" t="s">
        <v>135</v>
      </c>
      <c r="L20" s="5"/>
      <c r="M20" s="5"/>
    </row>
    <row r="21" spans="3:13" ht="12.75">
      <c r="C21" s="215" t="s">
        <v>480</v>
      </c>
      <c r="E21" s="2"/>
      <c r="F21" s="2"/>
      <c r="G21" s="2"/>
      <c r="H21" s="322"/>
      <c r="I21" s="58"/>
      <c r="J21" s="4">
        <v>2</v>
      </c>
      <c r="K21" s="5" t="s">
        <v>394</v>
      </c>
      <c r="L21" s="5"/>
      <c r="M21" s="5"/>
    </row>
    <row r="22" spans="3:13" ht="15.75">
      <c r="C22" s="216" t="s">
        <v>389</v>
      </c>
      <c r="E22" s="2"/>
      <c r="F22" s="2"/>
      <c r="G22" s="2"/>
      <c r="H22" s="322"/>
      <c r="I22" s="58"/>
      <c r="J22" s="4">
        <v>3.7</v>
      </c>
      <c r="K22" s="5" t="s">
        <v>395</v>
      </c>
      <c r="L22" s="5"/>
      <c r="M22" s="5"/>
    </row>
  </sheetData>
  <mergeCells count="14">
    <mergeCell ref="AA1:AE1"/>
    <mergeCell ref="A14:D14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40"/>
  <sheetViews>
    <sheetView workbookViewId="0">
      <pane ySplit="2" topLeftCell="A3" activePane="bottomLeft" state="frozen"/>
      <selection pane="bottomLeft" activeCell="C3" sqref="C3:H3"/>
    </sheetView>
  </sheetViews>
  <sheetFormatPr defaultRowHeight="15"/>
  <cols>
    <col min="1" max="1" width="11.5703125" style="103" bestFit="1" customWidth="1"/>
    <col min="2" max="2" width="76.42578125" style="104" bestFit="1" customWidth="1"/>
    <col min="3" max="3" width="13.5703125" style="105" bestFit="1" customWidth="1"/>
    <col min="4" max="5" width="13.5703125" style="105" customWidth="1"/>
    <col min="6" max="6" width="11.5703125" style="105" bestFit="1" customWidth="1"/>
    <col min="7" max="7" width="13.5703125" style="105" bestFit="1" customWidth="1"/>
    <col min="8" max="8" width="13.5703125" style="105" customWidth="1"/>
    <col min="9" max="9" width="7.85546875" style="82" customWidth="1"/>
    <col min="10" max="10" width="10" style="82" customWidth="1"/>
    <col min="11" max="11" width="45" style="82" bestFit="1" customWidth="1"/>
    <col min="12" max="12" width="30.85546875" style="82" customWidth="1"/>
    <col min="13" max="210" width="9.140625" style="98"/>
    <col min="211" max="211" width="9" style="98" bestFit="1" customWidth="1"/>
    <col min="212" max="212" width="9.85546875" style="98" bestFit="1" customWidth="1"/>
    <col min="213" max="213" width="9.140625" style="98" bestFit="1" customWidth="1"/>
    <col min="214" max="214" width="16" style="98" bestFit="1" customWidth="1"/>
    <col min="215" max="215" width="9" style="98" bestFit="1" customWidth="1"/>
    <col min="216" max="216" width="7.85546875" style="98" bestFit="1" customWidth="1"/>
    <col min="217" max="217" width="11.7109375" style="98" bestFit="1" customWidth="1"/>
    <col min="218" max="218" width="14.28515625" style="98" customWidth="1"/>
    <col min="219" max="219" width="11.7109375" style="98" bestFit="1" customWidth="1"/>
    <col min="220" max="220" width="14.140625" style="98" bestFit="1" customWidth="1"/>
    <col min="221" max="221" width="16.7109375" style="98" customWidth="1"/>
    <col min="222" max="222" width="16.5703125" style="98" customWidth="1"/>
    <col min="223" max="224" width="7.85546875" style="98" bestFit="1" customWidth="1"/>
    <col min="225" max="225" width="8" style="98" bestFit="1" customWidth="1"/>
    <col min="226" max="227" width="7.85546875" style="98" bestFit="1" customWidth="1"/>
    <col min="228" max="228" width="9.7109375" style="98" customWidth="1"/>
    <col min="229" max="229" width="12.85546875" style="98" customWidth="1"/>
    <col min="230" max="466" width="9.140625" style="98"/>
    <col min="467" max="467" width="9" style="98" bestFit="1" customWidth="1"/>
    <col min="468" max="468" width="9.85546875" style="98" bestFit="1" customWidth="1"/>
    <col min="469" max="469" width="9.140625" style="98" bestFit="1" customWidth="1"/>
    <col min="470" max="470" width="16" style="98" bestFit="1" customWidth="1"/>
    <col min="471" max="471" width="9" style="98" bestFit="1" customWidth="1"/>
    <col min="472" max="472" width="7.85546875" style="98" bestFit="1" customWidth="1"/>
    <col min="473" max="473" width="11.7109375" style="98" bestFit="1" customWidth="1"/>
    <col min="474" max="474" width="14.28515625" style="98" customWidth="1"/>
    <col min="475" max="475" width="11.7109375" style="98" bestFit="1" customWidth="1"/>
    <col min="476" max="476" width="14.140625" style="98" bestFit="1" customWidth="1"/>
    <col min="477" max="477" width="16.7109375" style="98" customWidth="1"/>
    <col min="478" max="478" width="16.5703125" style="98" customWidth="1"/>
    <col min="479" max="480" width="7.85546875" style="98" bestFit="1" customWidth="1"/>
    <col min="481" max="481" width="8" style="98" bestFit="1" customWidth="1"/>
    <col min="482" max="483" width="7.85546875" style="98" bestFit="1" customWidth="1"/>
    <col min="484" max="484" width="9.7109375" style="98" customWidth="1"/>
    <col min="485" max="485" width="12.85546875" style="98" customWidth="1"/>
    <col min="486" max="722" width="9.140625" style="98"/>
    <col min="723" max="723" width="9" style="98" bestFit="1" customWidth="1"/>
    <col min="724" max="724" width="9.85546875" style="98" bestFit="1" customWidth="1"/>
    <col min="725" max="725" width="9.140625" style="98" bestFit="1" customWidth="1"/>
    <col min="726" max="726" width="16" style="98" bestFit="1" customWidth="1"/>
    <col min="727" max="727" width="9" style="98" bestFit="1" customWidth="1"/>
    <col min="728" max="728" width="7.85546875" style="98" bestFit="1" customWidth="1"/>
    <col min="729" max="729" width="11.7109375" style="98" bestFit="1" customWidth="1"/>
    <col min="730" max="730" width="14.28515625" style="98" customWidth="1"/>
    <col min="731" max="731" width="11.7109375" style="98" bestFit="1" customWidth="1"/>
    <col min="732" max="732" width="14.140625" style="98" bestFit="1" customWidth="1"/>
    <col min="733" max="733" width="16.7109375" style="98" customWidth="1"/>
    <col min="734" max="734" width="16.5703125" style="98" customWidth="1"/>
    <col min="735" max="736" width="7.85546875" style="98" bestFit="1" customWidth="1"/>
    <col min="737" max="737" width="8" style="98" bestFit="1" customWidth="1"/>
    <col min="738" max="739" width="7.85546875" style="98" bestFit="1" customWidth="1"/>
    <col min="740" max="740" width="9.7109375" style="98" customWidth="1"/>
    <col min="741" max="741" width="12.85546875" style="98" customWidth="1"/>
    <col min="742" max="978" width="9.140625" style="98"/>
    <col min="979" max="979" width="9" style="98" bestFit="1" customWidth="1"/>
    <col min="980" max="980" width="9.85546875" style="98" bestFit="1" customWidth="1"/>
    <col min="981" max="981" width="9.140625" style="98" bestFit="1" customWidth="1"/>
    <col min="982" max="982" width="16" style="98" bestFit="1" customWidth="1"/>
    <col min="983" max="983" width="9" style="98" bestFit="1" customWidth="1"/>
    <col min="984" max="984" width="7.85546875" style="98" bestFit="1" customWidth="1"/>
    <col min="985" max="985" width="11.7109375" style="98" bestFit="1" customWidth="1"/>
    <col min="986" max="986" width="14.28515625" style="98" customWidth="1"/>
    <col min="987" max="987" width="11.7109375" style="98" bestFit="1" customWidth="1"/>
    <col min="988" max="988" width="14.140625" style="98" bestFit="1" customWidth="1"/>
    <col min="989" max="989" width="16.7109375" style="98" customWidth="1"/>
    <col min="990" max="990" width="16.5703125" style="98" customWidth="1"/>
    <col min="991" max="992" width="7.85546875" style="98" bestFit="1" customWidth="1"/>
    <col min="993" max="993" width="8" style="98" bestFit="1" customWidth="1"/>
    <col min="994" max="995" width="7.85546875" style="98" bestFit="1" customWidth="1"/>
    <col min="996" max="996" width="9.7109375" style="98" customWidth="1"/>
    <col min="997" max="997" width="12.85546875" style="98" customWidth="1"/>
    <col min="998" max="1234" width="9.140625" style="98"/>
    <col min="1235" max="1235" width="9" style="98" bestFit="1" customWidth="1"/>
    <col min="1236" max="1236" width="9.85546875" style="98" bestFit="1" customWidth="1"/>
    <col min="1237" max="1237" width="9.140625" style="98" bestFit="1" customWidth="1"/>
    <col min="1238" max="1238" width="16" style="98" bestFit="1" customWidth="1"/>
    <col min="1239" max="1239" width="9" style="98" bestFit="1" customWidth="1"/>
    <col min="1240" max="1240" width="7.85546875" style="98" bestFit="1" customWidth="1"/>
    <col min="1241" max="1241" width="11.7109375" style="98" bestFit="1" customWidth="1"/>
    <col min="1242" max="1242" width="14.28515625" style="98" customWidth="1"/>
    <col min="1243" max="1243" width="11.7109375" style="98" bestFit="1" customWidth="1"/>
    <col min="1244" max="1244" width="14.140625" style="98" bestFit="1" customWidth="1"/>
    <col min="1245" max="1245" width="16.7109375" style="98" customWidth="1"/>
    <col min="1246" max="1246" width="16.5703125" style="98" customWidth="1"/>
    <col min="1247" max="1248" width="7.85546875" style="98" bestFit="1" customWidth="1"/>
    <col min="1249" max="1249" width="8" style="98" bestFit="1" customWidth="1"/>
    <col min="1250" max="1251" width="7.85546875" style="98" bestFit="1" customWidth="1"/>
    <col min="1252" max="1252" width="9.7109375" style="98" customWidth="1"/>
    <col min="1253" max="1253" width="12.85546875" style="98" customWidth="1"/>
    <col min="1254" max="1490" width="9.140625" style="98"/>
    <col min="1491" max="1491" width="9" style="98" bestFit="1" customWidth="1"/>
    <col min="1492" max="1492" width="9.85546875" style="98" bestFit="1" customWidth="1"/>
    <col min="1493" max="1493" width="9.140625" style="98" bestFit="1" customWidth="1"/>
    <col min="1494" max="1494" width="16" style="98" bestFit="1" customWidth="1"/>
    <col min="1495" max="1495" width="9" style="98" bestFit="1" customWidth="1"/>
    <col min="1496" max="1496" width="7.85546875" style="98" bestFit="1" customWidth="1"/>
    <col min="1497" max="1497" width="11.7109375" style="98" bestFit="1" customWidth="1"/>
    <col min="1498" max="1498" width="14.28515625" style="98" customWidth="1"/>
    <col min="1499" max="1499" width="11.7109375" style="98" bestFit="1" customWidth="1"/>
    <col min="1500" max="1500" width="14.140625" style="98" bestFit="1" customWidth="1"/>
    <col min="1501" max="1501" width="16.7109375" style="98" customWidth="1"/>
    <col min="1502" max="1502" width="16.5703125" style="98" customWidth="1"/>
    <col min="1503" max="1504" width="7.85546875" style="98" bestFit="1" customWidth="1"/>
    <col min="1505" max="1505" width="8" style="98" bestFit="1" customWidth="1"/>
    <col min="1506" max="1507" width="7.85546875" style="98" bestFit="1" customWidth="1"/>
    <col min="1508" max="1508" width="9.7109375" style="98" customWidth="1"/>
    <col min="1509" max="1509" width="12.85546875" style="98" customWidth="1"/>
    <col min="1510" max="1746" width="9.140625" style="98"/>
    <col min="1747" max="1747" width="9" style="98" bestFit="1" customWidth="1"/>
    <col min="1748" max="1748" width="9.85546875" style="98" bestFit="1" customWidth="1"/>
    <col min="1749" max="1749" width="9.140625" style="98" bestFit="1" customWidth="1"/>
    <col min="1750" max="1750" width="16" style="98" bestFit="1" customWidth="1"/>
    <col min="1751" max="1751" width="9" style="98" bestFit="1" customWidth="1"/>
    <col min="1752" max="1752" width="7.85546875" style="98" bestFit="1" customWidth="1"/>
    <col min="1753" max="1753" width="11.7109375" style="98" bestFit="1" customWidth="1"/>
    <col min="1754" max="1754" width="14.28515625" style="98" customWidth="1"/>
    <col min="1755" max="1755" width="11.7109375" style="98" bestFit="1" customWidth="1"/>
    <col min="1756" max="1756" width="14.140625" style="98" bestFit="1" customWidth="1"/>
    <col min="1757" max="1757" width="16.7109375" style="98" customWidth="1"/>
    <col min="1758" max="1758" width="16.5703125" style="98" customWidth="1"/>
    <col min="1759" max="1760" width="7.85546875" style="98" bestFit="1" customWidth="1"/>
    <col min="1761" max="1761" width="8" style="98" bestFit="1" customWidth="1"/>
    <col min="1762" max="1763" width="7.85546875" style="98" bestFit="1" customWidth="1"/>
    <col min="1764" max="1764" width="9.7109375" style="98" customWidth="1"/>
    <col min="1765" max="1765" width="12.85546875" style="98" customWidth="1"/>
    <col min="1766" max="2002" width="9.140625" style="98"/>
    <col min="2003" max="2003" width="9" style="98" bestFit="1" customWidth="1"/>
    <col min="2004" max="2004" width="9.85546875" style="98" bestFit="1" customWidth="1"/>
    <col min="2005" max="2005" width="9.140625" style="98" bestFit="1" customWidth="1"/>
    <col min="2006" max="2006" width="16" style="98" bestFit="1" customWidth="1"/>
    <col min="2007" max="2007" width="9" style="98" bestFit="1" customWidth="1"/>
    <col min="2008" max="2008" width="7.85546875" style="98" bestFit="1" customWidth="1"/>
    <col min="2009" max="2009" width="11.7109375" style="98" bestFit="1" customWidth="1"/>
    <col min="2010" max="2010" width="14.28515625" style="98" customWidth="1"/>
    <col min="2011" max="2011" width="11.7109375" style="98" bestFit="1" customWidth="1"/>
    <col min="2012" max="2012" width="14.140625" style="98" bestFit="1" customWidth="1"/>
    <col min="2013" max="2013" width="16.7109375" style="98" customWidth="1"/>
    <col min="2014" max="2014" width="16.5703125" style="98" customWidth="1"/>
    <col min="2015" max="2016" width="7.85546875" style="98" bestFit="1" customWidth="1"/>
    <col min="2017" max="2017" width="8" style="98" bestFit="1" customWidth="1"/>
    <col min="2018" max="2019" width="7.85546875" style="98" bestFit="1" customWidth="1"/>
    <col min="2020" max="2020" width="9.7109375" style="98" customWidth="1"/>
    <col min="2021" max="2021" width="12.85546875" style="98" customWidth="1"/>
    <col min="2022" max="2258" width="9.140625" style="98"/>
    <col min="2259" max="2259" width="9" style="98" bestFit="1" customWidth="1"/>
    <col min="2260" max="2260" width="9.85546875" style="98" bestFit="1" customWidth="1"/>
    <col min="2261" max="2261" width="9.140625" style="98" bestFit="1" customWidth="1"/>
    <col min="2262" max="2262" width="16" style="98" bestFit="1" customWidth="1"/>
    <col min="2263" max="2263" width="9" style="98" bestFit="1" customWidth="1"/>
    <col min="2264" max="2264" width="7.85546875" style="98" bestFit="1" customWidth="1"/>
    <col min="2265" max="2265" width="11.7109375" style="98" bestFit="1" customWidth="1"/>
    <col min="2266" max="2266" width="14.28515625" style="98" customWidth="1"/>
    <col min="2267" max="2267" width="11.7109375" style="98" bestFit="1" customWidth="1"/>
    <col min="2268" max="2268" width="14.140625" style="98" bestFit="1" customWidth="1"/>
    <col min="2269" max="2269" width="16.7109375" style="98" customWidth="1"/>
    <col min="2270" max="2270" width="16.5703125" style="98" customWidth="1"/>
    <col min="2271" max="2272" width="7.85546875" style="98" bestFit="1" customWidth="1"/>
    <col min="2273" max="2273" width="8" style="98" bestFit="1" customWidth="1"/>
    <col min="2274" max="2275" width="7.85546875" style="98" bestFit="1" customWidth="1"/>
    <col min="2276" max="2276" width="9.7109375" style="98" customWidth="1"/>
    <col min="2277" max="2277" width="12.85546875" style="98" customWidth="1"/>
    <col min="2278" max="2514" width="9.140625" style="98"/>
    <col min="2515" max="2515" width="9" style="98" bestFit="1" customWidth="1"/>
    <col min="2516" max="2516" width="9.85546875" style="98" bestFit="1" customWidth="1"/>
    <col min="2517" max="2517" width="9.140625" style="98" bestFit="1" customWidth="1"/>
    <col min="2518" max="2518" width="16" style="98" bestFit="1" customWidth="1"/>
    <col min="2519" max="2519" width="9" style="98" bestFit="1" customWidth="1"/>
    <col min="2520" max="2520" width="7.85546875" style="98" bestFit="1" customWidth="1"/>
    <col min="2521" max="2521" width="11.7109375" style="98" bestFit="1" customWidth="1"/>
    <col min="2522" max="2522" width="14.28515625" style="98" customWidth="1"/>
    <col min="2523" max="2523" width="11.7109375" style="98" bestFit="1" customWidth="1"/>
    <col min="2524" max="2524" width="14.140625" style="98" bestFit="1" customWidth="1"/>
    <col min="2525" max="2525" width="16.7109375" style="98" customWidth="1"/>
    <col min="2526" max="2526" width="16.5703125" style="98" customWidth="1"/>
    <col min="2527" max="2528" width="7.85546875" style="98" bestFit="1" customWidth="1"/>
    <col min="2529" max="2529" width="8" style="98" bestFit="1" customWidth="1"/>
    <col min="2530" max="2531" width="7.85546875" style="98" bestFit="1" customWidth="1"/>
    <col min="2532" max="2532" width="9.7109375" style="98" customWidth="1"/>
    <col min="2533" max="2533" width="12.85546875" style="98" customWidth="1"/>
    <col min="2534" max="2770" width="9.140625" style="98"/>
    <col min="2771" max="2771" width="9" style="98" bestFit="1" customWidth="1"/>
    <col min="2772" max="2772" width="9.85546875" style="98" bestFit="1" customWidth="1"/>
    <col min="2773" max="2773" width="9.140625" style="98" bestFit="1" customWidth="1"/>
    <col min="2774" max="2774" width="16" style="98" bestFit="1" customWidth="1"/>
    <col min="2775" max="2775" width="9" style="98" bestFit="1" customWidth="1"/>
    <col min="2776" max="2776" width="7.85546875" style="98" bestFit="1" customWidth="1"/>
    <col min="2777" max="2777" width="11.7109375" style="98" bestFit="1" customWidth="1"/>
    <col min="2778" max="2778" width="14.28515625" style="98" customWidth="1"/>
    <col min="2779" max="2779" width="11.7109375" style="98" bestFit="1" customWidth="1"/>
    <col min="2780" max="2780" width="14.140625" style="98" bestFit="1" customWidth="1"/>
    <col min="2781" max="2781" width="16.7109375" style="98" customWidth="1"/>
    <col min="2782" max="2782" width="16.5703125" style="98" customWidth="1"/>
    <col min="2783" max="2784" width="7.85546875" style="98" bestFit="1" customWidth="1"/>
    <col min="2785" max="2785" width="8" style="98" bestFit="1" customWidth="1"/>
    <col min="2786" max="2787" width="7.85546875" style="98" bestFit="1" customWidth="1"/>
    <col min="2788" max="2788" width="9.7109375" style="98" customWidth="1"/>
    <col min="2789" max="2789" width="12.85546875" style="98" customWidth="1"/>
    <col min="2790" max="3026" width="9.140625" style="98"/>
    <col min="3027" max="3027" width="9" style="98" bestFit="1" customWidth="1"/>
    <col min="3028" max="3028" width="9.85546875" style="98" bestFit="1" customWidth="1"/>
    <col min="3029" max="3029" width="9.140625" style="98" bestFit="1" customWidth="1"/>
    <col min="3030" max="3030" width="16" style="98" bestFit="1" customWidth="1"/>
    <col min="3031" max="3031" width="9" style="98" bestFit="1" customWidth="1"/>
    <col min="3032" max="3032" width="7.85546875" style="98" bestFit="1" customWidth="1"/>
    <col min="3033" max="3033" width="11.7109375" style="98" bestFit="1" customWidth="1"/>
    <col min="3034" max="3034" width="14.28515625" style="98" customWidth="1"/>
    <col min="3035" max="3035" width="11.7109375" style="98" bestFit="1" customWidth="1"/>
    <col min="3036" max="3036" width="14.140625" style="98" bestFit="1" customWidth="1"/>
    <col min="3037" max="3037" width="16.7109375" style="98" customWidth="1"/>
    <col min="3038" max="3038" width="16.5703125" style="98" customWidth="1"/>
    <col min="3039" max="3040" width="7.85546875" style="98" bestFit="1" customWidth="1"/>
    <col min="3041" max="3041" width="8" style="98" bestFit="1" customWidth="1"/>
    <col min="3042" max="3043" width="7.85546875" style="98" bestFit="1" customWidth="1"/>
    <col min="3044" max="3044" width="9.7109375" style="98" customWidth="1"/>
    <col min="3045" max="3045" width="12.85546875" style="98" customWidth="1"/>
    <col min="3046" max="3282" width="9.140625" style="98"/>
    <col min="3283" max="3283" width="9" style="98" bestFit="1" customWidth="1"/>
    <col min="3284" max="3284" width="9.85546875" style="98" bestFit="1" customWidth="1"/>
    <col min="3285" max="3285" width="9.140625" style="98" bestFit="1" customWidth="1"/>
    <col min="3286" max="3286" width="16" style="98" bestFit="1" customWidth="1"/>
    <col min="3287" max="3287" width="9" style="98" bestFit="1" customWidth="1"/>
    <col min="3288" max="3288" width="7.85546875" style="98" bestFit="1" customWidth="1"/>
    <col min="3289" max="3289" width="11.7109375" style="98" bestFit="1" customWidth="1"/>
    <col min="3290" max="3290" width="14.28515625" style="98" customWidth="1"/>
    <col min="3291" max="3291" width="11.7109375" style="98" bestFit="1" customWidth="1"/>
    <col min="3292" max="3292" width="14.140625" style="98" bestFit="1" customWidth="1"/>
    <col min="3293" max="3293" width="16.7109375" style="98" customWidth="1"/>
    <col min="3294" max="3294" width="16.5703125" style="98" customWidth="1"/>
    <col min="3295" max="3296" width="7.85546875" style="98" bestFit="1" customWidth="1"/>
    <col min="3297" max="3297" width="8" style="98" bestFit="1" customWidth="1"/>
    <col min="3298" max="3299" width="7.85546875" style="98" bestFit="1" customWidth="1"/>
    <col min="3300" max="3300" width="9.7109375" style="98" customWidth="1"/>
    <col min="3301" max="3301" width="12.85546875" style="98" customWidth="1"/>
    <col min="3302" max="3538" width="9.140625" style="98"/>
    <col min="3539" max="3539" width="9" style="98" bestFit="1" customWidth="1"/>
    <col min="3540" max="3540" width="9.85546875" style="98" bestFit="1" customWidth="1"/>
    <col min="3541" max="3541" width="9.140625" style="98" bestFit="1" customWidth="1"/>
    <col min="3542" max="3542" width="16" style="98" bestFit="1" customWidth="1"/>
    <col min="3543" max="3543" width="9" style="98" bestFit="1" customWidth="1"/>
    <col min="3544" max="3544" width="7.85546875" style="98" bestFit="1" customWidth="1"/>
    <col min="3545" max="3545" width="11.7109375" style="98" bestFit="1" customWidth="1"/>
    <col min="3546" max="3546" width="14.28515625" style="98" customWidth="1"/>
    <col min="3547" max="3547" width="11.7109375" style="98" bestFit="1" customWidth="1"/>
    <col min="3548" max="3548" width="14.140625" style="98" bestFit="1" customWidth="1"/>
    <col min="3549" max="3549" width="16.7109375" style="98" customWidth="1"/>
    <col min="3550" max="3550" width="16.5703125" style="98" customWidth="1"/>
    <col min="3551" max="3552" width="7.85546875" style="98" bestFit="1" customWidth="1"/>
    <col min="3553" max="3553" width="8" style="98" bestFit="1" customWidth="1"/>
    <col min="3554" max="3555" width="7.85546875" style="98" bestFit="1" customWidth="1"/>
    <col min="3556" max="3556" width="9.7109375" style="98" customWidth="1"/>
    <col min="3557" max="3557" width="12.85546875" style="98" customWidth="1"/>
    <col min="3558" max="3794" width="9.140625" style="98"/>
    <col min="3795" max="3795" width="9" style="98" bestFit="1" customWidth="1"/>
    <col min="3796" max="3796" width="9.85546875" style="98" bestFit="1" customWidth="1"/>
    <col min="3797" max="3797" width="9.140625" style="98" bestFit="1" customWidth="1"/>
    <col min="3798" max="3798" width="16" style="98" bestFit="1" customWidth="1"/>
    <col min="3799" max="3799" width="9" style="98" bestFit="1" customWidth="1"/>
    <col min="3800" max="3800" width="7.85546875" style="98" bestFit="1" customWidth="1"/>
    <col min="3801" max="3801" width="11.7109375" style="98" bestFit="1" customWidth="1"/>
    <col min="3802" max="3802" width="14.28515625" style="98" customWidth="1"/>
    <col min="3803" max="3803" width="11.7109375" style="98" bestFit="1" customWidth="1"/>
    <col min="3804" max="3804" width="14.140625" style="98" bestFit="1" customWidth="1"/>
    <col min="3805" max="3805" width="16.7109375" style="98" customWidth="1"/>
    <col min="3806" max="3806" width="16.5703125" style="98" customWidth="1"/>
    <col min="3807" max="3808" width="7.85546875" style="98" bestFit="1" customWidth="1"/>
    <col min="3809" max="3809" width="8" style="98" bestFit="1" customWidth="1"/>
    <col min="3810" max="3811" width="7.85546875" style="98" bestFit="1" customWidth="1"/>
    <col min="3812" max="3812" width="9.7109375" style="98" customWidth="1"/>
    <col min="3813" max="3813" width="12.85546875" style="98" customWidth="1"/>
    <col min="3814" max="4050" width="9.140625" style="98"/>
    <col min="4051" max="4051" width="9" style="98" bestFit="1" customWidth="1"/>
    <col min="4052" max="4052" width="9.85546875" style="98" bestFit="1" customWidth="1"/>
    <col min="4053" max="4053" width="9.140625" style="98" bestFit="1" customWidth="1"/>
    <col min="4054" max="4054" width="16" style="98" bestFit="1" customWidth="1"/>
    <col min="4055" max="4055" width="9" style="98" bestFit="1" customWidth="1"/>
    <col min="4056" max="4056" width="7.85546875" style="98" bestFit="1" customWidth="1"/>
    <col min="4057" max="4057" width="11.7109375" style="98" bestFit="1" customWidth="1"/>
    <col min="4058" max="4058" width="14.28515625" style="98" customWidth="1"/>
    <col min="4059" max="4059" width="11.7109375" style="98" bestFit="1" customWidth="1"/>
    <col min="4060" max="4060" width="14.140625" style="98" bestFit="1" customWidth="1"/>
    <col min="4061" max="4061" width="16.7109375" style="98" customWidth="1"/>
    <col min="4062" max="4062" width="16.5703125" style="98" customWidth="1"/>
    <col min="4063" max="4064" width="7.85546875" style="98" bestFit="1" customWidth="1"/>
    <col min="4065" max="4065" width="8" style="98" bestFit="1" customWidth="1"/>
    <col min="4066" max="4067" width="7.85546875" style="98" bestFit="1" customWidth="1"/>
    <col min="4068" max="4068" width="9.7109375" style="98" customWidth="1"/>
    <col min="4069" max="4069" width="12.85546875" style="98" customWidth="1"/>
    <col min="4070" max="4306" width="9.140625" style="98"/>
    <col min="4307" max="4307" width="9" style="98" bestFit="1" customWidth="1"/>
    <col min="4308" max="4308" width="9.85546875" style="98" bestFit="1" customWidth="1"/>
    <col min="4309" max="4309" width="9.140625" style="98" bestFit="1" customWidth="1"/>
    <col min="4310" max="4310" width="16" style="98" bestFit="1" customWidth="1"/>
    <col min="4311" max="4311" width="9" style="98" bestFit="1" customWidth="1"/>
    <col min="4312" max="4312" width="7.85546875" style="98" bestFit="1" customWidth="1"/>
    <col min="4313" max="4313" width="11.7109375" style="98" bestFit="1" customWidth="1"/>
    <col min="4314" max="4314" width="14.28515625" style="98" customWidth="1"/>
    <col min="4315" max="4315" width="11.7109375" style="98" bestFit="1" customWidth="1"/>
    <col min="4316" max="4316" width="14.140625" style="98" bestFit="1" customWidth="1"/>
    <col min="4317" max="4317" width="16.7109375" style="98" customWidth="1"/>
    <col min="4318" max="4318" width="16.5703125" style="98" customWidth="1"/>
    <col min="4319" max="4320" width="7.85546875" style="98" bestFit="1" customWidth="1"/>
    <col min="4321" max="4321" width="8" style="98" bestFit="1" customWidth="1"/>
    <col min="4322" max="4323" width="7.85546875" style="98" bestFit="1" customWidth="1"/>
    <col min="4324" max="4324" width="9.7109375" style="98" customWidth="1"/>
    <col min="4325" max="4325" width="12.85546875" style="98" customWidth="1"/>
    <col min="4326" max="4562" width="9.140625" style="98"/>
    <col min="4563" max="4563" width="9" style="98" bestFit="1" customWidth="1"/>
    <col min="4564" max="4564" width="9.85546875" style="98" bestFit="1" customWidth="1"/>
    <col min="4565" max="4565" width="9.140625" style="98" bestFit="1" customWidth="1"/>
    <col min="4566" max="4566" width="16" style="98" bestFit="1" customWidth="1"/>
    <col min="4567" max="4567" width="9" style="98" bestFit="1" customWidth="1"/>
    <col min="4568" max="4568" width="7.85546875" style="98" bestFit="1" customWidth="1"/>
    <col min="4569" max="4569" width="11.7109375" style="98" bestFit="1" customWidth="1"/>
    <col min="4570" max="4570" width="14.28515625" style="98" customWidth="1"/>
    <col min="4571" max="4571" width="11.7109375" style="98" bestFit="1" customWidth="1"/>
    <col min="4572" max="4572" width="14.140625" style="98" bestFit="1" customWidth="1"/>
    <col min="4573" max="4573" width="16.7109375" style="98" customWidth="1"/>
    <col min="4574" max="4574" width="16.5703125" style="98" customWidth="1"/>
    <col min="4575" max="4576" width="7.85546875" style="98" bestFit="1" customWidth="1"/>
    <col min="4577" max="4577" width="8" style="98" bestFit="1" customWidth="1"/>
    <col min="4578" max="4579" width="7.85546875" style="98" bestFit="1" customWidth="1"/>
    <col min="4580" max="4580" width="9.7109375" style="98" customWidth="1"/>
    <col min="4581" max="4581" width="12.85546875" style="98" customWidth="1"/>
    <col min="4582" max="4818" width="9.140625" style="98"/>
    <col min="4819" max="4819" width="9" style="98" bestFit="1" customWidth="1"/>
    <col min="4820" max="4820" width="9.85546875" style="98" bestFit="1" customWidth="1"/>
    <col min="4821" max="4821" width="9.140625" style="98" bestFit="1" customWidth="1"/>
    <col min="4822" max="4822" width="16" style="98" bestFit="1" customWidth="1"/>
    <col min="4823" max="4823" width="9" style="98" bestFit="1" customWidth="1"/>
    <col min="4824" max="4824" width="7.85546875" style="98" bestFit="1" customWidth="1"/>
    <col min="4825" max="4825" width="11.7109375" style="98" bestFit="1" customWidth="1"/>
    <col min="4826" max="4826" width="14.28515625" style="98" customWidth="1"/>
    <col min="4827" max="4827" width="11.7109375" style="98" bestFit="1" customWidth="1"/>
    <col min="4828" max="4828" width="14.140625" style="98" bestFit="1" customWidth="1"/>
    <col min="4829" max="4829" width="16.7109375" style="98" customWidth="1"/>
    <col min="4830" max="4830" width="16.5703125" style="98" customWidth="1"/>
    <col min="4831" max="4832" width="7.85546875" style="98" bestFit="1" customWidth="1"/>
    <col min="4833" max="4833" width="8" style="98" bestFit="1" customWidth="1"/>
    <col min="4834" max="4835" width="7.85546875" style="98" bestFit="1" customWidth="1"/>
    <col min="4836" max="4836" width="9.7109375" style="98" customWidth="1"/>
    <col min="4837" max="4837" width="12.85546875" style="98" customWidth="1"/>
    <col min="4838" max="5074" width="9.140625" style="98"/>
    <col min="5075" max="5075" width="9" style="98" bestFit="1" customWidth="1"/>
    <col min="5076" max="5076" width="9.85546875" style="98" bestFit="1" customWidth="1"/>
    <col min="5077" max="5077" width="9.140625" style="98" bestFit="1" customWidth="1"/>
    <col min="5078" max="5078" width="16" style="98" bestFit="1" customWidth="1"/>
    <col min="5079" max="5079" width="9" style="98" bestFit="1" customWidth="1"/>
    <col min="5080" max="5080" width="7.85546875" style="98" bestFit="1" customWidth="1"/>
    <col min="5081" max="5081" width="11.7109375" style="98" bestFit="1" customWidth="1"/>
    <col min="5082" max="5082" width="14.28515625" style="98" customWidth="1"/>
    <col min="5083" max="5083" width="11.7109375" style="98" bestFit="1" customWidth="1"/>
    <col min="5084" max="5084" width="14.140625" style="98" bestFit="1" customWidth="1"/>
    <col min="5085" max="5085" width="16.7109375" style="98" customWidth="1"/>
    <col min="5086" max="5086" width="16.5703125" style="98" customWidth="1"/>
    <col min="5087" max="5088" width="7.85546875" style="98" bestFit="1" customWidth="1"/>
    <col min="5089" max="5089" width="8" style="98" bestFit="1" customWidth="1"/>
    <col min="5090" max="5091" width="7.85546875" style="98" bestFit="1" customWidth="1"/>
    <col min="5092" max="5092" width="9.7109375" style="98" customWidth="1"/>
    <col min="5093" max="5093" width="12.85546875" style="98" customWidth="1"/>
    <col min="5094" max="5330" width="9.140625" style="98"/>
    <col min="5331" max="5331" width="9" style="98" bestFit="1" customWidth="1"/>
    <col min="5332" max="5332" width="9.85546875" style="98" bestFit="1" customWidth="1"/>
    <col min="5333" max="5333" width="9.140625" style="98" bestFit="1" customWidth="1"/>
    <col min="5334" max="5334" width="16" style="98" bestFit="1" customWidth="1"/>
    <col min="5335" max="5335" width="9" style="98" bestFit="1" customWidth="1"/>
    <col min="5336" max="5336" width="7.85546875" style="98" bestFit="1" customWidth="1"/>
    <col min="5337" max="5337" width="11.7109375" style="98" bestFit="1" customWidth="1"/>
    <col min="5338" max="5338" width="14.28515625" style="98" customWidth="1"/>
    <col min="5339" max="5339" width="11.7109375" style="98" bestFit="1" customWidth="1"/>
    <col min="5340" max="5340" width="14.140625" style="98" bestFit="1" customWidth="1"/>
    <col min="5341" max="5341" width="16.7109375" style="98" customWidth="1"/>
    <col min="5342" max="5342" width="16.5703125" style="98" customWidth="1"/>
    <col min="5343" max="5344" width="7.85546875" style="98" bestFit="1" customWidth="1"/>
    <col min="5345" max="5345" width="8" style="98" bestFit="1" customWidth="1"/>
    <col min="5346" max="5347" width="7.85546875" style="98" bestFit="1" customWidth="1"/>
    <col min="5348" max="5348" width="9.7109375" style="98" customWidth="1"/>
    <col min="5349" max="5349" width="12.85546875" style="98" customWidth="1"/>
    <col min="5350" max="5586" width="9.140625" style="98"/>
    <col min="5587" max="5587" width="9" style="98" bestFit="1" customWidth="1"/>
    <col min="5588" max="5588" width="9.85546875" style="98" bestFit="1" customWidth="1"/>
    <col min="5589" max="5589" width="9.140625" style="98" bestFit="1" customWidth="1"/>
    <col min="5590" max="5590" width="16" style="98" bestFit="1" customWidth="1"/>
    <col min="5591" max="5591" width="9" style="98" bestFit="1" customWidth="1"/>
    <col min="5592" max="5592" width="7.85546875" style="98" bestFit="1" customWidth="1"/>
    <col min="5593" max="5593" width="11.7109375" style="98" bestFit="1" customWidth="1"/>
    <col min="5594" max="5594" width="14.28515625" style="98" customWidth="1"/>
    <col min="5595" max="5595" width="11.7109375" style="98" bestFit="1" customWidth="1"/>
    <col min="5596" max="5596" width="14.140625" style="98" bestFit="1" customWidth="1"/>
    <col min="5597" max="5597" width="16.7109375" style="98" customWidth="1"/>
    <col min="5598" max="5598" width="16.5703125" style="98" customWidth="1"/>
    <col min="5599" max="5600" width="7.85546875" style="98" bestFit="1" customWidth="1"/>
    <col min="5601" max="5601" width="8" style="98" bestFit="1" customWidth="1"/>
    <col min="5602" max="5603" width="7.85546875" style="98" bestFit="1" customWidth="1"/>
    <col min="5604" max="5604" width="9.7109375" style="98" customWidth="1"/>
    <col min="5605" max="5605" width="12.85546875" style="98" customWidth="1"/>
    <col min="5606" max="5842" width="9.140625" style="98"/>
    <col min="5843" max="5843" width="9" style="98" bestFit="1" customWidth="1"/>
    <col min="5844" max="5844" width="9.85546875" style="98" bestFit="1" customWidth="1"/>
    <col min="5845" max="5845" width="9.140625" style="98" bestFit="1" customWidth="1"/>
    <col min="5846" max="5846" width="16" style="98" bestFit="1" customWidth="1"/>
    <col min="5847" max="5847" width="9" style="98" bestFit="1" customWidth="1"/>
    <col min="5848" max="5848" width="7.85546875" style="98" bestFit="1" customWidth="1"/>
    <col min="5849" max="5849" width="11.7109375" style="98" bestFit="1" customWidth="1"/>
    <col min="5850" max="5850" width="14.28515625" style="98" customWidth="1"/>
    <col min="5851" max="5851" width="11.7109375" style="98" bestFit="1" customWidth="1"/>
    <col min="5852" max="5852" width="14.140625" style="98" bestFit="1" customWidth="1"/>
    <col min="5853" max="5853" width="16.7109375" style="98" customWidth="1"/>
    <col min="5854" max="5854" width="16.5703125" style="98" customWidth="1"/>
    <col min="5855" max="5856" width="7.85546875" style="98" bestFit="1" customWidth="1"/>
    <col min="5857" max="5857" width="8" style="98" bestFit="1" customWidth="1"/>
    <col min="5858" max="5859" width="7.85546875" style="98" bestFit="1" customWidth="1"/>
    <col min="5860" max="5860" width="9.7109375" style="98" customWidth="1"/>
    <col min="5861" max="5861" width="12.85546875" style="98" customWidth="1"/>
    <col min="5862" max="6098" width="9.140625" style="98"/>
    <col min="6099" max="6099" width="9" style="98" bestFit="1" customWidth="1"/>
    <col min="6100" max="6100" width="9.85546875" style="98" bestFit="1" customWidth="1"/>
    <col min="6101" max="6101" width="9.140625" style="98" bestFit="1" customWidth="1"/>
    <col min="6102" max="6102" width="16" style="98" bestFit="1" customWidth="1"/>
    <col min="6103" max="6103" width="9" style="98" bestFit="1" customWidth="1"/>
    <col min="6104" max="6104" width="7.85546875" style="98" bestFit="1" customWidth="1"/>
    <col min="6105" max="6105" width="11.7109375" style="98" bestFit="1" customWidth="1"/>
    <col min="6106" max="6106" width="14.28515625" style="98" customWidth="1"/>
    <col min="6107" max="6107" width="11.7109375" style="98" bestFit="1" customWidth="1"/>
    <col min="6108" max="6108" width="14.140625" style="98" bestFit="1" customWidth="1"/>
    <col min="6109" max="6109" width="16.7109375" style="98" customWidth="1"/>
    <col min="6110" max="6110" width="16.5703125" style="98" customWidth="1"/>
    <col min="6111" max="6112" width="7.85546875" style="98" bestFit="1" customWidth="1"/>
    <col min="6113" max="6113" width="8" style="98" bestFit="1" customWidth="1"/>
    <col min="6114" max="6115" width="7.85546875" style="98" bestFit="1" customWidth="1"/>
    <col min="6116" max="6116" width="9.7109375" style="98" customWidth="1"/>
    <col min="6117" max="6117" width="12.85546875" style="98" customWidth="1"/>
    <col min="6118" max="6354" width="9.140625" style="98"/>
    <col min="6355" max="6355" width="9" style="98" bestFit="1" customWidth="1"/>
    <col min="6356" max="6356" width="9.85546875" style="98" bestFit="1" customWidth="1"/>
    <col min="6357" max="6357" width="9.140625" style="98" bestFit="1" customWidth="1"/>
    <col min="6358" max="6358" width="16" style="98" bestFit="1" customWidth="1"/>
    <col min="6359" max="6359" width="9" style="98" bestFit="1" customWidth="1"/>
    <col min="6360" max="6360" width="7.85546875" style="98" bestFit="1" customWidth="1"/>
    <col min="6361" max="6361" width="11.7109375" style="98" bestFit="1" customWidth="1"/>
    <col min="6362" max="6362" width="14.28515625" style="98" customWidth="1"/>
    <col min="6363" max="6363" width="11.7109375" style="98" bestFit="1" customWidth="1"/>
    <col min="6364" max="6364" width="14.140625" style="98" bestFit="1" customWidth="1"/>
    <col min="6365" max="6365" width="16.7109375" style="98" customWidth="1"/>
    <col min="6366" max="6366" width="16.5703125" style="98" customWidth="1"/>
    <col min="6367" max="6368" width="7.85546875" style="98" bestFit="1" customWidth="1"/>
    <col min="6369" max="6369" width="8" style="98" bestFit="1" customWidth="1"/>
    <col min="6370" max="6371" width="7.85546875" style="98" bestFit="1" customWidth="1"/>
    <col min="6372" max="6372" width="9.7109375" style="98" customWidth="1"/>
    <col min="6373" max="6373" width="12.85546875" style="98" customWidth="1"/>
    <col min="6374" max="6610" width="9.140625" style="98"/>
    <col min="6611" max="6611" width="9" style="98" bestFit="1" customWidth="1"/>
    <col min="6612" max="6612" width="9.85546875" style="98" bestFit="1" customWidth="1"/>
    <col min="6613" max="6613" width="9.140625" style="98" bestFit="1" customWidth="1"/>
    <col min="6614" max="6614" width="16" style="98" bestFit="1" customWidth="1"/>
    <col min="6615" max="6615" width="9" style="98" bestFit="1" customWidth="1"/>
    <col min="6616" max="6616" width="7.85546875" style="98" bestFit="1" customWidth="1"/>
    <col min="6617" max="6617" width="11.7109375" style="98" bestFit="1" customWidth="1"/>
    <col min="6618" max="6618" width="14.28515625" style="98" customWidth="1"/>
    <col min="6619" max="6619" width="11.7109375" style="98" bestFit="1" customWidth="1"/>
    <col min="6620" max="6620" width="14.140625" style="98" bestFit="1" customWidth="1"/>
    <col min="6621" max="6621" width="16.7109375" style="98" customWidth="1"/>
    <col min="6622" max="6622" width="16.5703125" style="98" customWidth="1"/>
    <col min="6623" max="6624" width="7.85546875" style="98" bestFit="1" customWidth="1"/>
    <col min="6625" max="6625" width="8" style="98" bestFit="1" customWidth="1"/>
    <col min="6626" max="6627" width="7.85546875" style="98" bestFit="1" customWidth="1"/>
    <col min="6628" max="6628" width="9.7109375" style="98" customWidth="1"/>
    <col min="6629" max="6629" width="12.85546875" style="98" customWidth="1"/>
    <col min="6630" max="6866" width="9.140625" style="98"/>
    <col min="6867" max="6867" width="9" style="98" bestFit="1" customWidth="1"/>
    <col min="6868" max="6868" width="9.85546875" style="98" bestFit="1" customWidth="1"/>
    <col min="6869" max="6869" width="9.140625" style="98" bestFit="1" customWidth="1"/>
    <col min="6870" max="6870" width="16" style="98" bestFit="1" customWidth="1"/>
    <col min="6871" max="6871" width="9" style="98" bestFit="1" customWidth="1"/>
    <col min="6872" max="6872" width="7.85546875" style="98" bestFit="1" customWidth="1"/>
    <col min="6873" max="6873" width="11.7109375" style="98" bestFit="1" customWidth="1"/>
    <col min="6874" max="6874" width="14.28515625" style="98" customWidth="1"/>
    <col min="6875" max="6875" width="11.7109375" style="98" bestFit="1" customWidth="1"/>
    <col min="6876" max="6876" width="14.140625" style="98" bestFit="1" customWidth="1"/>
    <col min="6877" max="6877" width="16.7109375" style="98" customWidth="1"/>
    <col min="6878" max="6878" width="16.5703125" style="98" customWidth="1"/>
    <col min="6879" max="6880" width="7.85546875" style="98" bestFit="1" customWidth="1"/>
    <col min="6881" max="6881" width="8" style="98" bestFit="1" customWidth="1"/>
    <col min="6882" max="6883" width="7.85546875" style="98" bestFit="1" customWidth="1"/>
    <col min="6884" max="6884" width="9.7109375" style="98" customWidth="1"/>
    <col min="6885" max="6885" width="12.85546875" style="98" customWidth="1"/>
    <col min="6886" max="7122" width="9.140625" style="98"/>
    <col min="7123" max="7123" width="9" style="98" bestFit="1" customWidth="1"/>
    <col min="7124" max="7124" width="9.85546875" style="98" bestFit="1" customWidth="1"/>
    <col min="7125" max="7125" width="9.140625" style="98" bestFit="1" customWidth="1"/>
    <col min="7126" max="7126" width="16" style="98" bestFit="1" customWidth="1"/>
    <col min="7127" max="7127" width="9" style="98" bestFit="1" customWidth="1"/>
    <col min="7128" max="7128" width="7.85546875" style="98" bestFit="1" customWidth="1"/>
    <col min="7129" max="7129" width="11.7109375" style="98" bestFit="1" customWidth="1"/>
    <col min="7130" max="7130" width="14.28515625" style="98" customWidth="1"/>
    <col min="7131" max="7131" width="11.7109375" style="98" bestFit="1" customWidth="1"/>
    <col min="7132" max="7132" width="14.140625" style="98" bestFit="1" customWidth="1"/>
    <col min="7133" max="7133" width="16.7109375" style="98" customWidth="1"/>
    <col min="7134" max="7134" width="16.5703125" style="98" customWidth="1"/>
    <col min="7135" max="7136" width="7.85546875" style="98" bestFit="1" customWidth="1"/>
    <col min="7137" max="7137" width="8" style="98" bestFit="1" customWidth="1"/>
    <col min="7138" max="7139" width="7.85546875" style="98" bestFit="1" customWidth="1"/>
    <col min="7140" max="7140" width="9.7109375" style="98" customWidth="1"/>
    <col min="7141" max="7141" width="12.85546875" style="98" customWidth="1"/>
    <col min="7142" max="7378" width="9.140625" style="98"/>
    <col min="7379" max="7379" width="9" style="98" bestFit="1" customWidth="1"/>
    <col min="7380" max="7380" width="9.85546875" style="98" bestFit="1" customWidth="1"/>
    <col min="7381" max="7381" width="9.140625" style="98" bestFit="1" customWidth="1"/>
    <col min="7382" max="7382" width="16" style="98" bestFit="1" customWidth="1"/>
    <col min="7383" max="7383" width="9" style="98" bestFit="1" customWidth="1"/>
    <col min="7384" max="7384" width="7.85546875" style="98" bestFit="1" customWidth="1"/>
    <col min="7385" max="7385" width="11.7109375" style="98" bestFit="1" customWidth="1"/>
    <col min="7386" max="7386" width="14.28515625" style="98" customWidth="1"/>
    <col min="7387" max="7387" width="11.7109375" style="98" bestFit="1" customWidth="1"/>
    <col min="7388" max="7388" width="14.140625" style="98" bestFit="1" customWidth="1"/>
    <col min="7389" max="7389" width="16.7109375" style="98" customWidth="1"/>
    <col min="7390" max="7390" width="16.5703125" style="98" customWidth="1"/>
    <col min="7391" max="7392" width="7.85546875" style="98" bestFit="1" customWidth="1"/>
    <col min="7393" max="7393" width="8" style="98" bestFit="1" customWidth="1"/>
    <col min="7394" max="7395" width="7.85546875" style="98" bestFit="1" customWidth="1"/>
    <col min="7396" max="7396" width="9.7109375" style="98" customWidth="1"/>
    <col min="7397" max="7397" width="12.85546875" style="98" customWidth="1"/>
    <col min="7398" max="7634" width="9.140625" style="98"/>
    <col min="7635" max="7635" width="9" style="98" bestFit="1" customWidth="1"/>
    <col min="7636" max="7636" width="9.85546875" style="98" bestFit="1" customWidth="1"/>
    <col min="7637" max="7637" width="9.140625" style="98" bestFit="1" customWidth="1"/>
    <col min="7638" max="7638" width="16" style="98" bestFit="1" customWidth="1"/>
    <col min="7639" max="7639" width="9" style="98" bestFit="1" customWidth="1"/>
    <col min="7640" max="7640" width="7.85546875" style="98" bestFit="1" customWidth="1"/>
    <col min="7641" max="7641" width="11.7109375" style="98" bestFit="1" customWidth="1"/>
    <col min="7642" max="7642" width="14.28515625" style="98" customWidth="1"/>
    <col min="7643" max="7643" width="11.7109375" style="98" bestFit="1" customWidth="1"/>
    <col min="7644" max="7644" width="14.140625" style="98" bestFit="1" customWidth="1"/>
    <col min="7645" max="7645" width="16.7109375" style="98" customWidth="1"/>
    <col min="7646" max="7646" width="16.5703125" style="98" customWidth="1"/>
    <col min="7647" max="7648" width="7.85546875" style="98" bestFit="1" customWidth="1"/>
    <col min="7649" max="7649" width="8" style="98" bestFit="1" customWidth="1"/>
    <col min="7650" max="7651" width="7.85546875" style="98" bestFit="1" customWidth="1"/>
    <col min="7652" max="7652" width="9.7109375" style="98" customWidth="1"/>
    <col min="7653" max="7653" width="12.85546875" style="98" customWidth="1"/>
    <col min="7654" max="7890" width="9.140625" style="98"/>
    <col min="7891" max="7891" width="9" style="98" bestFit="1" customWidth="1"/>
    <col min="7892" max="7892" width="9.85546875" style="98" bestFit="1" customWidth="1"/>
    <col min="7893" max="7893" width="9.140625" style="98" bestFit="1" customWidth="1"/>
    <col min="7894" max="7894" width="16" style="98" bestFit="1" customWidth="1"/>
    <col min="7895" max="7895" width="9" style="98" bestFit="1" customWidth="1"/>
    <col min="7896" max="7896" width="7.85546875" style="98" bestFit="1" customWidth="1"/>
    <col min="7897" max="7897" width="11.7109375" style="98" bestFit="1" customWidth="1"/>
    <col min="7898" max="7898" width="14.28515625" style="98" customWidth="1"/>
    <col min="7899" max="7899" width="11.7109375" style="98" bestFit="1" customWidth="1"/>
    <col min="7900" max="7900" width="14.140625" style="98" bestFit="1" customWidth="1"/>
    <col min="7901" max="7901" width="16.7109375" style="98" customWidth="1"/>
    <col min="7902" max="7902" width="16.5703125" style="98" customWidth="1"/>
    <col min="7903" max="7904" width="7.85546875" style="98" bestFit="1" customWidth="1"/>
    <col min="7905" max="7905" width="8" style="98" bestFit="1" customWidth="1"/>
    <col min="7906" max="7907" width="7.85546875" style="98" bestFit="1" customWidth="1"/>
    <col min="7908" max="7908" width="9.7109375" style="98" customWidth="1"/>
    <col min="7909" max="7909" width="12.85546875" style="98" customWidth="1"/>
    <col min="7910" max="8146" width="9.140625" style="98"/>
    <col min="8147" max="8147" width="9" style="98" bestFit="1" customWidth="1"/>
    <col min="8148" max="8148" width="9.85546875" style="98" bestFit="1" customWidth="1"/>
    <col min="8149" max="8149" width="9.140625" style="98" bestFit="1" customWidth="1"/>
    <col min="8150" max="8150" width="16" style="98" bestFit="1" customWidth="1"/>
    <col min="8151" max="8151" width="9" style="98" bestFit="1" customWidth="1"/>
    <col min="8152" max="8152" width="7.85546875" style="98" bestFit="1" customWidth="1"/>
    <col min="8153" max="8153" width="11.7109375" style="98" bestFit="1" customWidth="1"/>
    <col min="8154" max="8154" width="14.28515625" style="98" customWidth="1"/>
    <col min="8155" max="8155" width="11.7109375" style="98" bestFit="1" customWidth="1"/>
    <col min="8156" max="8156" width="14.140625" style="98" bestFit="1" customWidth="1"/>
    <col min="8157" max="8157" width="16.7109375" style="98" customWidth="1"/>
    <col min="8158" max="8158" width="16.5703125" style="98" customWidth="1"/>
    <col min="8159" max="8160" width="7.85546875" style="98" bestFit="1" customWidth="1"/>
    <col min="8161" max="8161" width="8" style="98" bestFit="1" customWidth="1"/>
    <col min="8162" max="8163" width="7.85546875" style="98" bestFit="1" customWidth="1"/>
    <col min="8164" max="8164" width="9.7109375" style="98" customWidth="1"/>
    <col min="8165" max="8165" width="12.85546875" style="98" customWidth="1"/>
    <col min="8166" max="8402" width="9.140625" style="98"/>
    <col min="8403" max="8403" width="9" style="98" bestFit="1" customWidth="1"/>
    <col min="8404" max="8404" width="9.85546875" style="98" bestFit="1" customWidth="1"/>
    <col min="8405" max="8405" width="9.140625" style="98" bestFit="1" customWidth="1"/>
    <col min="8406" max="8406" width="16" style="98" bestFit="1" customWidth="1"/>
    <col min="8407" max="8407" width="9" style="98" bestFit="1" customWidth="1"/>
    <col min="8408" max="8408" width="7.85546875" style="98" bestFit="1" customWidth="1"/>
    <col min="8409" max="8409" width="11.7109375" style="98" bestFit="1" customWidth="1"/>
    <col min="8410" max="8410" width="14.28515625" style="98" customWidth="1"/>
    <col min="8411" max="8411" width="11.7109375" style="98" bestFit="1" customWidth="1"/>
    <col min="8412" max="8412" width="14.140625" style="98" bestFit="1" customWidth="1"/>
    <col min="8413" max="8413" width="16.7109375" style="98" customWidth="1"/>
    <col min="8414" max="8414" width="16.5703125" style="98" customWidth="1"/>
    <col min="8415" max="8416" width="7.85546875" style="98" bestFit="1" customWidth="1"/>
    <col min="8417" max="8417" width="8" style="98" bestFit="1" customWidth="1"/>
    <col min="8418" max="8419" width="7.85546875" style="98" bestFit="1" customWidth="1"/>
    <col min="8420" max="8420" width="9.7109375" style="98" customWidth="1"/>
    <col min="8421" max="8421" width="12.85546875" style="98" customWidth="1"/>
    <col min="8422" max="8658" width="9.140625" style="98"/>
    <col min="8659" max="8659" width="9" style="98" bestFit="1" customWidth="1"/>
    <col min="8660" max="8660" width="9.85546875" style="98" bestFit="1" customWidth="1"/>
    <col min="8661" max="8661" width="9.140625" style="98" bestFit="1" customWidth="1"/>
    <col min="8662" max="8662" width="16" style="98" bestFit="1" customWidth="1"/>
    <col min="8663" max="8663" width="9" style="98" bestFit="1" customWidth="1"/>
    <col min="8664" max="8664" width="7.85546875" style="98" bestFit="1" customWidth="1"/>
    <col min="8665" max="8665" width="11.7109375" style="98" bestFit="1" customWidth="1"/>
    <col min="8666" max="8666" width="14.28515625" style="98" customWidth="1"/>
    <col min="8667" max="8667" width="11.7109375" style="98" bestFit="1" customWidth="1"/>
    <col min="8668" max="8668" width="14.140625" style="98" bestFit="1" customWidth="1"/>
    <col min="8669" max="8669" width="16.7109375" style="98" customWidth="1"/>
    <col min="8670" max="8670" width="16.5703125" style="98" customWidth="1"/>
    <col min="8671" max="8672" width="7.85546875" style="98" bestFit="1" customWidth="1"/>
    <col min="8673" max="8673" width="8" style="98" bestFit="1" customWidth="1"/>
    <col min="8674" max="8675" width="7.85546875" style="98" bestFit="1" customWidth="1"/>
    <col min="8676" max="8676" width="9.7109375" style="98" customWidth="1"/>
    <col min="8677" max="8677" width="12.85546875" style="98" customWidth="1"/>
    <col min="8678" max="8914" width="9.140625" style="98"/>
    <col min="8915" max="8915" width="9" style="98" bestFit="1" customWidth="1"/>
    <col min="8916" max="8916" width="9.85546875" style="98" bestFit="1" customWidth="1"/>
    <col min="8917" max="8917" width="9.140625" style="98" bestFit="1" customWidth="1"/>
    <col min="8918" max="8918" width="16" style="98" bestFit="1" customWidth="1"/>
    <col min="8919" max="8919" width="9" style="98" bestFit="1" customWidth="1"/>
    <col min="8920" max="8920" width="7.85546875" style="98" bestFit="1" customWidth="1"/>
    <col min="8921" max="8921" width="11.7109375" style="98" bestFit="1" customWidth="1"/>
    <col min="8922" max="8922" width="14.28515625" style="98" customWidth="1"/>
    <col min="8923" max="8923" width="11.7109375" style="98" bestFit="1" customWidth="1"/>
    <col min="8924" max="8924" width="14.140625" style="98" bestFit="1" customWidth="1"/>
    <col min="8925" max="8925" width="16.7109375" style="98" customWidth="1"/>
    <col min="8926" max="8926" width="16.5703125" style="98" customWidth="1"/>
    <col min="8927" max="8928" width="7.85546875" style="98" bestFit="1" customWidth="1"/>
    <col min="8929" max="8929" width="8" style="98" bestFit="1" customWidth="1"/>
    <col min="8930" max="8931" width="7.85546875" style="98" bestFit="1" customWidth="1"/>
    <col min="8932" max="8932" width="9.7109375" style="98" customWidth="1"/>
    <col min="8933" max="8933" width="12.85546875" style="98" customWidth="1"/>
    <col min="8934" max="9170" width="9.140625" style="98"/>
    <col min="9171" max="9171" width="9" style="98" bestFit="1" customWidth="1"/>
    <col min="9172" max="9172" width="9.85546875" style="98" bestFit="1" customWidth="1"/>
    <col min="9173" max="9173" width="9.140625" style="98" bestFit="1" customWidth="1"/>
    <col min="9174" max="9174" width="16" style="98" bestFit="1" customWidth="1"/>
    <col min="9175" max="9175" width="9" style="98" bestFit="1" customWidth="1"/>
    <col min="9176" max="9176" width="7.85546875" style="98" bestFit="1" customWidth="1"/>
    <col min="9177" max="9177" width="11.7109375" style="98" bestFit="1" customWidth="1"/>
    <col min="9178" max="9178" width="14.28515625" style="98" customWidth="1"/>
    <col min="9179" max="9179" width="11.7109375" style="98" bestFit="1" customWidth="1"/>
    <col min="9180" max="9180" width="14.140625" style="98" bestFit="1" customWidth="1"/>
    <col min="9181" max="9181" width="16.7109375" style="98" customWidth="1"/>
    <col min="9182" max="9182" width="16.5703125" style="98" customWidth="1"/>
    <col min="9183" max="9184" width="7.85546875" style="98" bestFit="1" customWidth="1"/>
    <col min="9185" max="9185" width="8" style="98" bestFit="1" customWidth="1"/>
    <col min="9186" max="9187" width="7.85546875" style="98" bestFit="1" customWidth="1"/>
    <col min="9188" max="9188" width="9.7109375" style="98" customWidth="1"/>
    <col min="9189" max="9189" width="12.85546875" style="98" customWidth="1"/>
    <col min="9190" max="9426" width="9.140625" style="98"/>
    <col min="9427" max="9427" width="9" style="98" bestFit="1" customWidth="1"/>
    <col min="9428" max="9428" width="9.85546875" style="98" bestFit="1" customWidth="1"/>
    <col min="9429" max="9429" width="9.140625" style="98" bestFit="1" customWidth="1"/>
    <col min="9430" max="9430" width="16" style="98" bestFit="1" customWidth="1"/>
    <col min="9431" max="9431" width="9" style="98" bestFit="1" customWidth="1"/>
    <col min="9432" max="9432" width="7.85546875" style="98" bestFit="1" customWidth="1"/>
    <col min="9433" max="9433" width="11.7109375" style="98" bestFit="1" customWidth="1"/>
    <col min="9434" max="9434" width="14.28515625" style="98" customWidth="1"/>
    <col min="9435" max="9435" width="11.7109375" style="98" bestFit="1" customWidth="1"/>
    <col min="9436" max="9436" width="14.140625" style="98" bestFit="1" customWidth="1"/>
    <col min="9437" max="9437" width="16.7109375" style="98" customWidth="1"/>
    <col min="9438" max="9438" width="16.5703125" style="98" customWidth="1"/>
    <col min="9439" max="9440" width="7.85546875" style="98" bestFit="1" customWidth="1"/>
    <col min="9441" max="9441" width="8" style="98" bestFit="1" customWidth="1"/>
    <col min="9442" max="9443" width="7.85546875" style="98" bestFit="1" customWidth="1"/>
    <col min="9444" max="9444" width="9.7109375" style="98" customWidth="1"/>
    <col min="9445" max="9445" width="12.85546875" style="98" customWidth="1"/>
    <col min="9446" max="9682" width="9.140625" style="98"/>
    <col min="9683" max="9683" width="9" style="98" bestFit="1" customWidth="1"/>
    <col min="9684" max="9684" width="9.85546875" style="98" bestFit="1" customWidth="1"/>
    <col min="9685" max="9685" width="9.140625" style="98" bestFit="1" customWidth="1"/>
    <col min="9686" max="9686" width="16" style="98" bestFit="1" customWidth="1"/>
    <col min="9687" max="9687" width="9" style="98" bestFit="1" customWidth="1"/>
    <col min="9688" max="9688" width="7.85546875" style="98" bestFit="1" customWidth="1"/>
    <col min="9689" max="9689" width="11.7109375" style="98" bestFit="1" customWidth="1"/>
    <col min="9690" max="9690" width="14.28515625" style="98" customWidth="1"/>
    <col min="9691" max="9691" width="11.7109375" style="98" bestFit="1" customWidth="1"/>
    <col min="9692" max="9692" width="14.140625" style="98" bestFit="1" customWidth="1"/>
    <col min="9693" max="9693" width="16.7109375" style="98" customWidth="1"/>
    <col min="9694" max="9694" width="16.5703125" style="98" customWidth="1"/>
    <col min="9695" max="9696" width="7.85546875" style="98" bestFit="1" customWidth="1"/>
    <col min="9697" max="9697" width="8" style="98" bestFit="1" customWidth="1"/>
    <col min="9698" max="9699" width="7.85546875" style="98" bestFit="1" customWidth="1"/>
    <col min="9700" max="9700" width="9.7109375" style="98" customWidth="1"/>
    <col min="9701" max="9701" width="12.85546875" style="98" customWidth="1"/>
    <col min="9702" max="9938" width="9.140625" style="98"/>
    <col min="9939" max="9939" width="9" style="98" bestFit="1" customWidth="1"/>
    <col min="9940" max="9940" width="9.85546875" style="98" bestFit="1" customWidth="1"/>
    <col min="9941" max="9941" width="9.140625" style="98" bestFit="1" customWidth="1"/>
    <col min="9942" max="9942" width="16" style="98" bestFit="1" customWidth="1"/>
    <col min="9943" max="9943" width="9" style="98" bestFit="1" customWidth="1"/>
    <col min="9944" max="9944" width="7.85546875" style="98" bestFit="1" customWidth="1"/>
    <col min="9945" max="9945" width="11.7109375" style="98" bestFit="1" customWidth="1"/>
    <col min="9946" max="9946" width="14.28515625" style="98" customWidth="1"/>
    <col min="9947" max="9947" width="11.7109375" style="98" bestFit="1" customWidth="1"/>
    <col min="9948" max="9948" width="14.140625" style="98" bestFit="1" customWidth="1"/>
    <col min="9949" max="9949" width="16.7109375" style="98" customWidth="1"/>
    <col min="9950" max="9950" width="16.5703125" style="98" customWidth="1"/>
    <col min="9951" max="9952" width="7.85546875" style="98" bestFit="1" customWidth="1"/>
    <col min="9953" max="9953" width="8" style="98" bestFit="1" customWidth="1"/>
    <col min="9954" max="9955" width="7.85546875" style="98" bestFit="1" customWidth="1"/>
    <col min="9956" max="9956" width="9.7109375" style="98" customWidth="1"/>
    <col min="9957" max="9957" width="12.85546875" style="98" customWidth="1"/>
    <col min="9958" max="10194" width="9.140625" style="98"/>
    <col min="10195" max="10195" width="9" style="98" bestFit="1" customWidth="1"/>
    <col min="10196" max="10196" width="9.85546875" style="98" bestFit="1" customWidth="1"/>
    <col min="10197" max="10197" width="9.140625" style="98" bestFit="1" customWidth="1"/>
    <col min="10198" max="10198" width="16" style="98" bestFit="1" customWidth="1"/>
    <col min="10199" max="10199" width="9" style="98" bestFit="1" customWidth="1"/>
    <col min="10200" max="10200" width="7.85546875" style="98" bestFit="1" customWidth="1"/>
    <col min="10201" max="10201" width="11.7109375" style="98" bestFit="1" customWidth="1"/>
    <col min="10202" max="10202" width="14.28515625" style="98" customWidth="1"/>
    <col min="10203" max="10203" width="11.7109375" style="98" bestFit="1" customWidth="1"/>
    <col min="10204" max="10204" width="14.140625" style="98" bestFit="1" customWidth="1"/>
    <col min="10205" max="10205" width="16.7109375" style="98" customWidth="1"/>
    <col min="10206" max="10206" width="16.5703125" style="98" customWidth="1"/>
    <col min="10207" max="10208" width="7.85546875" style="98" bestFit="1" customWidth="1"/>
    <col min="10209" max="10209" width="8" style="98" bestFit="1" customWidth="1"/>
    <col min="10210" max="10211" width="7.85546875" style="98" bestFit="1" customWidth="1"/>
    <col min="10212" max="10212" width="9.7109375" style="98" customWidth="1"/>
    <col min="10213" max="10213" width="12.85546875" style="98" customWidth="1"/>
    <col min="10214" max="10450" width="9.140625" style="98"/>
    <col min="10451" max="10451" width="9" style="98" bestFit="1" customWidth="1"/>
    <col min="10452" max="10452" width="9.85546875" style="98" bestFit="1" customWidth="1"/>
    <col min="10453" max="10453" width="9.140625" style="98" bestFit="1" customWidth="1"/>
    <col min="10454" max="10454" width="16" style="98" bestFit="1" customWidth="1"/>
    <col min="10455" max="10455" width="9" style="98" bestFit="1" customWidth="1"/>
    <col min="10456" max="10456" width="7.85546875" style="98" bestFit="1" customWidth="1"/>
    <col min="10457" max="10457" width="11.7109375" style="98" bestFit="1" customWidth="1"/>
    <col min="10458" max="10458" width="14.28515625" style="98" customWidth="1"/>
    <col min="10459" max="10459" width="11.7109375" style="98" bestFit="1" customWidth="1"/>
    <col min="10460" max="10460" width="14.140625" style="98" bestFit="1" customWidth="1"/>
    <col min="10461" max="10461" width="16.7109375" style="98" customWidth="1"/>
    <col min="10462" max="10462" width="16.5703125" style="98" customWidth="1"/>
    <col min="10463" max="10464" width="7.85546875" style="98" bestFit="1" customWidth="1"/>
    <col min="10465" max="10465" width="8" style="98" bestFit="1" customWidth="1"/>
    <col min="10466" max="10467" width="7.85546875" style="98" bestFit="1" customWidth="1"/>
    <col min="10468" max="10468" width="9.7109375" style="98" customWidth="1"/>
    <col min="10469" max="10469" width="12.85546875" style="98" customWidth="1"/>
    <col min="10470" max="10706" width="9.140625" style="98"/>
    <col min="10707" max="10707" width="9" style="98" bestFit="1" customWidth="1"/>
    <col min="10708" max="10708" width="9.85546875" style="98" bestFit="1" customWidth="1"/>
    <col min="10709" max="10709" width="9.140625" style="98" bestFit="1" customWidth="1"/>
    <col min="10710" max="10710" width="16" style="98" bestFit="1" customWidth="1"/>
    <col min="10711" max="10711" width="9" style="98" bestFit="1" customWidth="1"/>
    <col min="10712" max="10712" width="7.85546875" style="98" bestFit="1" customWidth="1"/>
    <col min="10713" max="10713" width="11.7109375" style="98" bestFit="1" customWidth="1"/>
    <col min="10714" max="10714" width="14.28515625" style="98" customWidth="1"/>
    <col min="10715" max="10715" width="11.7109375" style="98" bestFit="1" customWidth="1"/>
    <col min="10716" max="10716" width="14.140625" style="98" bestFit="1" customWidth="1"/>
    <col min="10717" max="10717" width="16.7109375" style="98" customWidth="1"/>
    <col min="10718" max="10718" width="16.5703125" style="98" customWidth="1"/>
    <col min="10719" max="10720" width="7.85546875" style="98" bestFit="1" customWidth="1"/>
    <col min="10721" max="10721" width="8" style="98" bestFit="1" customWidth="1"/>
    <col min="10722" max="10723" width="7.85546875" style="98" bestFit="1" customWidth="1"/>
    <col min="10724" max="10724" width="9.7109375" style="98" customWidth="1"/>
    <col min="10725" max="10725" width="12.85546875" style="98" customWidth="1"/>
    <col min="10726" max="10962" width="9.140625" style="98"/>
    <col min="10963" max="10963" width="9" style="98" bestFit="1" customWidth="1"/>
    <col min="10964" max="10964" width="9.85546875" style="98" bestFit="1" customWidth="1"/>
    <col min="10965" max="10965" width="9.140625" style="98" bestFit="1" customWidth="1"/>
    <col min="10966" max="10966" width="16" style="98" bestFit="1" customWidth="1"/>
    <col min="10967" max="10967" width="9" style="98" bestFit="1" customWidth="1"/>
    <col min="10968" max="10968" width="7.85546875" style="98" bestFit="1" customWidth="1"/>
    <col min="10969" max="10969" width="11.7109375" style="98" bestFit="1" customWidth="1"/>
    <col min="10970" max="10970" width="14.28515625" style="98" customWidth="1"/>
    <col min="10971" max="10971" width="11.7109375" style="98" bestFit="1" customWidth="1"/>
    <col min="10972" max="10972" width="14.140625" style="98" bestFit="1" customWidth="1"/>
    <col min="10973" max="10973" width="16.7109375" style="98" customWidth="1"/>
    <col min="10974" max="10974" width="16.5703125" style="98" customWidth="1"/>
    <col min="10975" max="10976" width="7.85546875" style="98" bestFit="1" customWidth="1"/>
    <col min="10977" max="10977" width="8" style="98" bestFit="1" customWidth="1"/>
    <col min="10978" max="10979" width="7.85546875" style="98" bestFit="1" customWidth="1"/>
    <col min="10980" max="10980" width="9.7109375" style="98" customWidth="1"/>
    <col min="10981" max="10981" width="12.85546875" style="98" customWidth="1"/>
    <col min="10982" max="11218" width="9.140625" style="98"/>
    <col min="11219" max="11219" width="9" style="98" bestFit="1" customWidth="1"/>
    <col min="11220" max="11220" width="9.85546875" style="98" bestFit="1" customWidth="1"/>
    <col min="11221" max="11221" width="9.140625" style="98" bestFit="1" customWidth="1"/>
    <col min="11222" max="11222" width="16" style="98" bestFit="1" customWidth="1"/>
    <col min="11223" max="11223" width="9" style="98" bestFit="1" customWidth="1"/>
    <col min="11224" max="11224" width="7.85546875" style="98" bestFit="1" customWidth="1"/>
    <col min="11225" max="11225" width="11.7109375" style="98" bestFit="1" customWidth="1"/>
    <col min="11226" max="11226" width="14.28515625" style="98" customWidth="1"/>
    <col min="11227" max="11227" width="11.7109375" style="98" bestFit="1" customWidth="1"/>
    <col min="11228" max="11228" width="14.140625" style="98" bestFit="1" customWidth="1"/>
    <col min="11229" max="11229" width="16.7109375" style="98" customWidth="1"/>
    <col min="11230" max="11230" width="16.5703125" style="98" customWidth="1"/>
    <col min="11231" max="11232" width="7.85546875" style="98" bestFit="1" customWidth="1"/>
    <col min="11233" max="11233" width="8" style="98" bestFit="1" customWidth="1"/>
    <col min="11234" max="11235" width="7.85546875" style="98" bestFit="1" customWidth="1"/>
    <col min="11236" max="11236" width="9.7109375" style="98" customWidth="1"/>
    <col min="11237" max="11237" width="12.85546875" style="98" customWidth="1"/>
    <col min="11238" max="11474" width="9.140625" style="98"/>
    <col min="11475" max="11475" width="9" style="98" bestFit="1" customWidth="1"/>
    <col min="11476" max="11476" width="9.85546875" style="98" bestFit="1" customWidth="1"/>
    <col min="11477" max="11477" width="9.140625" style="98" bestFit="1" customWidth="1"/>
    <col min="11478" max="11478" width="16" style="98" bestFit="1" customWidth="1"/>
    <col min="11479" max="11479" width="9" style="98" bestFit="1" customWidth="1"/>
    <col min="11480" max="11480" width="7.85546875" style="98" bestFit="1" customWidth="1"/>
    <col min="11481" max="11481" width="11.7109375" style="98" bestFit="1" customWidth="1"/>
    <col min="11482" max="11482" width="14.28515625" style="98" customWidth="1"/>
    <col min="11483" max="11483" width="11.7109375" style="98" bestFit="1" customWidth="1"/>
    <col min="11484" max="11484" width="14.140625" style="98" bestFit="1" customWidth="1"/>
    <col min="11485" max="11485" width="16.7109375" style="98" customWidth="1"/>
    <col min="11486" max="11486" width="16.5703125" style="98" customWidth="1"/>
    <col min="11487" max="11488" width="7.85546875" style="98" bestFit="1" customWidth="1"/>
    <col min="11489" max="11489" width="8" style="98" bestFit="1" customWidth="1"/>
    <col min="11490" max="11491" width="7.85546875" style="98" bestFit="1" customWidth="1"/>
    <col min="11492" max="11492" width="9.7109375" style="98" customWidth="1"/>
    <col min="11493" max="11493" width="12.85546875" style="98" customWidth="1"/>
    <col min="11494" max="11730" width="9.140625" style="98"/>
    <col min="11731" max="11731" width="9" style="98" bestFit="1" customWidth="1"/>
    <col min="11732" max="11732" width="9.85546875" style="98" bestFit="1" customWidth="1"/>
    <col min="11733" max="11733" width="9.140625" style="98" bestFit="1" customWidth="1"/>
    <col min="11734" max="11734" width="16" style="98" bestFit="1" customWidth="1"/>
    <col min="11735" max="11735" width="9" style="98" bestFit="1" customWidth="1"/>
    <col min="11736" max="11736" width="7.85546875" style="98" bestFit="1" customWidth="1"/>
    <col min="11737" max="11737" width="11.7109375" style="98" bestFit="1" customWidth="1"/>
    <col min="11738" max="11738" width="14.28515625" style="98" customWidth="1"/>
    <col min="11739" max="11739" width="11.7109375" style="98" bestFit="1" customWidth="1"/>
    <col min="11740" max="11740" width="14.140625" style="98" bestFit="1" customWidth="1"/>
    <col min="11741" max="11741" width="16.7109375" style="98" customWidth="1"/>
    <col min="11742" max="11742" width="16.5703125" style="98" customWidth="1"/>
    <col min="11743" max="11744" width="7.85546875" style="98" bestFit="1" customWidth="1"/>
    <col min="11745" max="11745" width="8" style="98" bestFit="1" customWidth="1"/>
    <col min="11746" max="11747" width="7.85546875" style="98" bestFit="1" customWidth="1"/>
    <col min="11748" max="11748" width="9.7109375" style="98" customWidth="1"/>
    <col min="11749" max="11749" width="12.85546875" style="98" customWidth="1"/>
    <col min="11750" max="11986" width="9.140625" style="98"/>
    <col min="11987" max="11987" width="9" style="98" bestFit="1" customWidth="1"/>
    <col min="11988" max="11988" width="9.85546875" style="98" bestFit="1" customWidth="1"/>
    <col min="11989" max="11989" width="9.140625" style="98" bestFit="1" customWidth="1"/>
    <col min="11990" max="11990" width="16" style="98" bestFit="1" customWidth="1"/>
    <col min="11991" max="11991" width="9" style="98" bestFit="1" customWidth="1"/>
    <col min="11992" max="11992" width="7.85546875" style="98" bestFit="1" customWidth="1"/>
    <col min="11993" max="11993" width="11.7109375" style="98" bestFit="1" customWidth="1"/>
    <col min="11994" max="11994" width="14.28515625" style="98" customWidth="1"/>
    <col min="11995" max="11995" width="11.7109375" style="98" bestFit="1" customWidth="1"/>
    <col min="11996" max="11996" width="14.140625" style="98" bestFit="1" customWidth="1"/>
    <col min="11997" max="11997" width="16.7109375" style="98" customWidth="1"/>
    <col min="11998" max="11998" width="16.5703125" style="98" customWidth="1"/>
    <col min="11999" max="12000" width="7.85546875" style="98" bestFit="1" customWidth="1"/>
    <col min="12001" max="12001" width="8" style="98" bestFit="1" customWidth="1"/>
    <col min="12002" max="12003" width="7.85546875" style="98" bestFit="1" customWidth="1"/>
    <col min="12004" max="12004" width="9.7109375" style="98" customWidth="1"/>
    <col min="12005" max="12005" width="12.85546875" style="98" customWidth="1"/>
    <col min="12006" max="12242" width="9.140625" style="98"/>
    <col min="12243" max="12243" width="9" style="98" bestFit="1" customWidth="1"/>
    <col min="12244" max="12244" width="9.85546875" style="98" bestFit="1" customWidth="1"/>
    <col min="12245" max="12245" width="9.140625" style="98" bestFit="1" customWidth="1"/>
    <col min="12246" max="12246" width="16" style="98" bestFit="1" customWidth="1"/>
    <col min="12247" max="12247" width="9" style="98" bestFit="1" customWidth="1"/>
    <col min="12248" max="12248" width="7.85546875" style="98" bestFit="1" customWidth="1"/>
    <col min="12249" max="12249" width="11.7109375" style="98" bestFit="1" customWidth="1"/>
    <col min="12250" max="12250" width="14.28515625" style="98" customWidth="1"/>
    <col min="12251" max="12251" width="11.7109375" style="98" bestFit="1" customWidth="1"/>
    <col min="12252" max="12252" width="14.140625" style="98" bestFit="1" customWidth="1"/>
    <col min="12253" max="12253" width="16.7109375" style="98" customWidth="1"/>
    <col min="12254" max="12254" width="16.5703125" style="98" customWidth="1"/>
    <col min="12255" max="12256" width="7.85546875" style="98" bestFit="1" customWidth="1"/>
    <col min="12257" max="12257" width="8" style="98" bestFit="1" customWidth="1"/>
    <col min="12258" max="12259" width="7.85546875" style="98" bestFit="1" customWidth="1"/>
    <col min="12260" max="12260" width="9.7109375" style="98" customWidth="1"/>
    <col min="12261" max="12261" width="12.85546875" style="98" customWidth="1"/>
    <col min="12262" max="12498" width="9.140625" style="98"/>
    <col min="12499" max="12499" width="9" style="98" bestFit="1" customWidth="1"/>
    <col min="12500" max="12500" width="9.85546875" style="98" bestFit="1" customWidth="1"/>
    <col min="12501" max="12501" width="9.140625" style="98" bestFit="1" customWidth="1"/>
    <col min="12502" max="12502" width="16" style="98" bestFit="1" customWidth="1"/>
    <col min="12503" max="12503" width="9" style="98" bestFit="1" customWidth="1"/>
    <col min="12504" max="12504" width="7.85546875" style="98" bestFit="1" customWidth="1"/>
    <col min="12505" max="12505" width="11.7109375" style="98" bestFit="1" customWidth="1"/>
    <col min="12506" max="12506" width="14.28515625" style="98" customWidth="1"/>
    <col min="12507" max="12507" width="11.7109375" style="98" bestFit="1" customWidth="1"/>
    <col min="12508" max="12508" width="14.140625" style="98" bestFit="1" customWidth="1"/>
    <col min="12509" max="12509" width="16.7109375" style="98" customWidth="1"/>
    <col min="12510" max="12510" width="16.5703125" style="98" customWidth="1"/>
    <col min="12511" max="12512" width="7.85546875" style="98" bestFit="1" customWidth="1"/>
    <col min="12513" max="12513" width="8" style="98" bestFit="1" customWidth="1"/>
    <col min="12514" max="12515" width="7.85546875" style="98" bestFit="1" customWidth="1"/>
    <col min="12516" max="12516" width="9.7109375" style="98" customWidth="1"/>
    <col min="12517" max="12517" width="12.85546875" style="98" customWidth="1"/>
    <col min="12518" max="12754" width="9.140625" style="98"/>
    <col min="12755" max="12755" width="9" style="98" bestFit="1" customWidth="1"/>
    <col min="12756" max="12756" width="9.85546875" style="98" bestFit="1" customWidth="1"/>
    <col min="12757" max="12757" width="9.140625" style="98" bestFit="1" customWidth="1"/>
    <col min="12758" max="12758" width="16" style="98" bestFit="1" customWidth="1"/>
    <col min="12759" max="12759" width="9" style="98" bestFit="1" customWidth="1"/>
    <col min="12760" max="12760" width="7.85546875" style="98" bestFit="1" customWidth="1"/>
    <col min="12761" max="12761" width="11.7109375" style="98" bestFit="1" customWidth="1"/>
    <col min="12762" max="12762" width="14.28515625" style="98" customWidth="1"/>
    <col min="12763" max="12763" width="11.7109375" style="98" bestFit="1" customWidth="1"/>
    <col min="12764" max="12764" width="14.140625" style="98" bestFit="1" customWidth="1"/>
    <col min="12765" max="12765" width="16.7109375" style="98" customWidth="1"/>
    <col min="12766" max="12766" width="16.5703125" style="98" customWidth="1"/>
    <col min="12767" max="12768" width="7.85546875" style="98" bestFit="1" customWidth="1"/>
    <col min="12769" max="12769" width="8" style="98" bestFit="1" customWidth="1"/>
    <col min="12770" max="12771" width="7.85546875" style="98" bestFit="1" customWidth="1"/>
    <col min="12772" max="12772" width="9.7109375" style="98" customWidth="1"/>
    <col min="12773" max="12773" width="12.85546875" style="98" customWidth="1"/>
    <col min="12774" max="13010" width="9.140625" style="98"/>
    <col min="13011" max="13011" width="9" style="98" bestFit="1" customWidth="1"/>
    <col min="13012" max="13012" width="9.85546875" style="98" bestFit="1" customWidth="1"/>
    <col min="13013" max="13013" width="9.140625" style="98" bestFit="1" customWidth="1"/>
    <col min="13014" max="13014" width="16" style="98" bestFit="1" customWidth="1"/>
    <col min="13015" max="13015" width="9" style="98" bestFit="1" customWidth="1"/>
    <col min="13016" max="13016" width="7.85546875" style="98" bestFit="1" customWidth="1"/>
    <col min="13017" max="13017" width="11.7109375" style="98" bestFit="1" customWidth="1"/>
    <col min="13018" max="13018" width="14.28515625" style="98" customWidth="1"/>
    <col min="13019" max="13019" width="11.7109375" style="98" bestFit="1" customWidth="1"/>
    <col min="13020" max="13020" width="14.140625" style="98" bestFit="1" customWidth="1"/>
    <col min="13021" max="13021" width="16.7109375" style="98" customWidth="1"/>
    <col min="13022" max="13022" width="16.5703125" style="98" customWidth="1"/>
    <col min="13023" max="13024" width="7.85546875" style="98" bestFit="1" customWidth="1"/>
    <col min="13025" max="13025" width="8" style="98" bestFit="1" customWidth="1"/>
    <col min="13026" max="13027" width="7.85546875" style="98" bestFit="1" customWidth="1"/>
    <col min="13028" max="13028" width="9.7109375" style="98" customWidth="1"/>
    <col min="13029" max="13029" width="12.85546875" style="98" customWidth="1"/>
    <col min="13030" max="13266" width="9.140625" style="98"/>
    <col min="13267" max="13267" width="9" style="98" bestFit="1" customWidth="1"/>
    <col min="13268" max="13268" width="9.85546875" style="98" bestFit="1" customWidth="1"/>
    <col min="13269" max="13269" width="9.140625" style="98" bestFit="1" customWidth="1"/>
    <col min="13270" max="13270" width="16" style="98" bestFit="1" customWidth="1"/>
    <col min="13271" max="13271" width="9" style="98" bestFit="1" customWidth="1"/>
    <col min="13272" max="13272" width="7.85546875" style="98" bestFit="1" customWidth="1"/>
    <col min="13273" max="13273" width="11.7109375" style="98" bestFit="1" customWidth="1"/>
    <col min="13274" max="13274" width="14.28515625" style="98" customWidth="1"/>
    <col min="13275" max="13275" width="11.7109375" style="98" bestFit="1" customWidth="1"/>
    <col min="13276" max="13276" width="14.140625" style="98" bestFit="1" customWidth="1"/>
    <col min="13277" max="13277" width="16.7109375" style="98" customWidth="1"/>
    <col min="13278" max="13278" width="16.5703125" style="98" customWidth="1"/>
    <col min="13279" max="13280" width="7.85546875" style="98" bestFit="1" customWidth="1"/>
    <col min="13281" max="13281" width="8" style="98" bestFit="1" customWidth="1"/>
    <col min="13282" max="13283" width="7.85546875" style="98" bestFit="1" customWidth="1"/>
    <col min="13284" max="13284" width="9.7109375" style="98" customWidth="1"/>
    <col min="13285" max="13285" width="12.85546875" style="98" customWidth="1"/>
    <col min="13286" max="13522" width="9.140625" style="98"/>
    <col min="13523" max="13523" width="9" style="98" bestFit="1" customWidth="1"/>
    <col min="13524" max="13524" width="9.85546875" style="98" bestFit="1" customWidth="1"/>
    <col min="13525" max="13525" width="9.140625" style="98" bestFit="1" customWidth="1"/>
    <col min="13526" max="13526" width="16" style="98" bestFit="1" customWidth="1"/>
    <col min="13527" max="13527" width="9" style="98" bestFit="1" customWidth="1"/>
    <col min="13528" max="13528" width="7.85546875" style="98" bestFit="1" customWidth="1"/>
    <col min="13529" max="13529" width="11.7109375" style="98" bestFit="1" customWidth="1"/>
    <col min="13530" max="13530" width="14.28515625" style="98" customWidth="1"/>
    <col min="13531" max="13531" width="11.7109375" style="98" bestFit="1" customWidth="1"/>
    <col min="13532" max="13532" width="14.140625" style="98" bestFit="1" customWidth="1"/>
    <col min="13533" max="13533" width="16.7109375" style="98" customWidth="1"/>
    <col min="13534" max="13534" width="16.5703125" style="98" customWidth="1"/>
    <col min="13535" max="13536" width="7.85546875" style="98" bestFit="1" customWidth="1"/>
    <col min="13537" max="13537" width="8" style="98" bestFit="1" customWidth="1"/>
    <col min="13538" max="13539" width="7.85546875" style="98" bestFit="1" customWidth="1"/>
    <col min="13540" max="13540" width="9.7109375" style="98" customWidth="1"/>
    <col min="13541" max="13541" width="12.85546875" style="98" customWidth="1"/>
    <col min="13542" max="13778" width="9.140625" style="98"/>
    <col min="13779" max="13779" width="9" style="98" bestFit="1" customWidth="1"/>
    <col min="13780" max="13780" width="9.85546875" style="98" bestFit="1" customWidth="1"/>
    <col min="13781" max="13781" width="9.140625" style="98" bestFit="1" customWidth="1"/>
    <col min="13782" max="13782" width="16" style="98" bestFit="1" customWidth="1"/>
    <col min="13783" max="13783" width="9" style="98" bestFit="1" customWidth="1"/>
    <col min="13784" max="13784" width="7.85546875" style="98" bestFit="1" customWidth="1"/>
    <col min="13785" max="13785" width="11.7109375" style="98" bestFit="1" customWidth="1"/>
    <col min="13786" max="13786" width="14.28515625" style="98" customWidth="1"/>
    <col min="13787" max="13787" width="11.7109375" style="98" bestFit="1" customWidth="1"/>
    <col min="13788" max="13788" width="14.140625" style="98" bestFit="1" customWidth="1"/>
    <col min="13789" max="13789" width="16.7109375" style="98" customWidth="1"/>
    <col min="13790" max="13790" width="16.5703125" style="98" customWidth="1"/>
    <col min="13791" max="13792" width="7.85546875" style="98" bestFit="1" customWidth="1"/>
    <col min="13793" max="13793" width="8" style="98" bestFit="1" customWidth="1"/>
    <col min="13794" max="13795" width="7.85546875" style="98" bestFit="1" customWidth="1"/>
    <col min="13796" max="13796" width="9.7109375" style="98" customWidth="1"/>
    <col min="13797" max="13797" width="12.85546875" style="98" customWidth="1"/>
    <col min="13798" max="14034" width="9.140625" style="98"/>
    <col min="14035" max="14035" width="9" style="98" bestFit="1" customWidth="1"/>
    <col min="14036" max="14036" width="9.85546875" style="98" bestFit="1" customWidth="1"/>
    <col min="14037" max="14037" width="9.140625" style="98" bestFit="1" customWidth="1"/>
    <col min="14038" max="14038" width="16" style="98" bestFit="1" customWidth="1"/>
    <col min="14039" max="14039" width="9" style="98" bestFit="1" customWidth="1"/>
    <col min="14040" max="14040" width="7.85546875" style="98" bestFit="1" customWidth="1"/>
    <col min="14041" max="14041" width="11.7109375" style="98" bestFit="1" customWidth="1"/>
    <col min="14042" max="14042" width="14.28515625" style="98" customWidth="1"/>
    <col min="14043" max="14043" width="11.7109375" style="98" bestFit="1" customWidth="1"/>
    <col min="14044" max="14044" width="14.140625" style="98" bestFit="1" customWidth="1"/>
    <col min="14045" max="14045" width="16.7109375" style="98" customWidth="1"/>
    <col min="14046" max="14046" width="16.5703125" style="98" customWidth="1"/>
    <col min="14047" max="14048" width="7.85546875" style="98" bestFit="1" customWidth="1"/>
    <col min="14049" max="14049" width="8" style="98" bestFit="1" customWidth="1"/>
    <col min="14050" max="14051" width="7.85546875" style="98" bestFit="1" customWidth="1"/>
    <col min="14052" max="14052" width="9.7109375" style="98" customWidth="1"/>
    <col min="14053" max="14053" width="12.85546875" style="98" customWidth="1"/>
    <col min="14054" max="14290" width="9.140625" style="98"/>
    <col min="14291" max="14291" width="9" style="98" bestFit="1" customWidth="1"/>
    <col min="14292" max="14292" width="9.85546875" style="98" bestFit="1" customWidth="1"/>
    <col min="14293" max="14293" width="9.140625" style="98" bestFit="1" customWidth="1"/>
    <col min="14294" max="14294" width="16" style="98" bestFit="1" customWidth="1"/>
    <col min="14295" max="14295" width="9" style="98" bestFit="1" customWidth="1"/>
    <col min="14296" max="14296" width="7.85546875" style="98" bestFit="1" customWidth="1"/>
    <col min="14297" max="14297" width="11.7109375" style="98" bestFit="1" customWidth="1"/>
    <col min="14298" max="14298" width="14.28515625" style="98" customWidth="1"/>
    <col min="14299" max="14299" width="11.7109375" style="98" bestFit="1" customWidth="1"/>
    <col min="14300" max="14300" width="14.140625" style="98" bestFit="1" customWidth="1"/>
    <col min="14301" max="14301" width="16.7109375" style="98" customWidth="1"/>
    <col min="14302" max="14302" width="16.5703125" style="98" customWidth="1"/>
    <col min="14303" max="14304" width="7.85546875" style="98" bestFit="1" customWidth="1"/>
    <col min="14305" max="14305" width="8" style="98" bestFit="1" customWidth="1"/>
    <col min="14306" max="14307" width="7.85546875" style="98" bestFit="1" customWidth="1"/>
    <col min="14308" max="14308" width="9.7109375" style="98" customWidth="1"/>
    <col min="14309" max="14309" width="12.85546875" style="98" customWidth="1"/>
    <col min="14310" max="14546" width="9.140625" style="98"/>
    <col min="14547" max="14547" width="9" style="98" bestFit="1" customWidth="1"/>
    <col min="14548" max="14548" width="9.85546875" style="98" bestFit="1" customWidth="1"/>
    <col min="14549" max="14549" width="9.140625" style="98" bestFit="1" customWidth="1"/>
    <col min="14550" max="14550" width="16" style="98" bestFit="1" customWidth="1"/>
    <col min="14551" max="14551" width="9" style="98" bestFit="1" customWidth="1"/>
    <col min="14552" max="14552" width="7.85546875" style="98" bestFit="1" customWidth="1"/>
    <col min="14553" max="14553" width="11.7109375" style="98" bestFit="1" customWidth="1"/>
    <col min="14554" max="14554" width="14.28515625" style="98" customWidth="1"/>
    <col min="14555" max="14555" width="11.7109375" style="98" bestFit="1" customWidth="1"/>
    <col min="14556" max="14556" width="14.140625" style="98" bestFit="1" customWidth="1"/>
    <col min="14557" max="14557" width="16.7109375" style="98" customWidth="1"/>
    <col min="14558" max="14558" width="16.5703125" style="98" customWidth="1"/>
    <col min="14559" max="14560" width="7.85546875" style="98" bestFit="1" customWidth="1"/>
    <col min="14561" max="14561" width="8" style="98" bestFit="1" customWidth="1"/>
    <col min="14562" max="14563" width="7.85546875" style="98" bestFit="1" customWidth="1"/>
    <col min="14564" max="14564" width="9.7109375" style="98" customWidth="1"/>
    <col min="14565" max="14565" width="12.85546875" style="98" customWidth="1"/>
    <col min="14566" max="14802" width="9.140625" style="98"/>
    <col min="14803" max="14803" width="9" style="98" bestFit="1" customWidth="1"/>
    <col min="14804" max="14804" width="9.85546875" style="98" bestFit="1" customWidth="1"/>
    <col min="14805" max="14805" width="9.140625" style="98" bestFit="1" customWidth="1"/>
    <col min="14806" max="14806" width="16" style="98" bestFit="1" customWidth="1"/>
    <col min="14807" max="14807" width="9" style="98" bestFit="1" customWidth="1"/>
    <col min="14808" max="14808" width="7.85546875" style="98" bestFit="1" customWidth="1"/>
    <col min="14809" max="14809" width="11.7109375" style="98" bestFit="1" customWidth="1"/>
    <col min="14810" max="14810" width="14.28515625" style="98" customWidth="1"/>
    <col min="14811" max="14811" width="11.7109375" style="98" bestFit="1" customWidth="1"/>
    <col min="14812" max="14812" width="14.140625" style="98" bestFit="1" customWidth="1"/>
    <col min="14813" max="14813" width="16.7109375" style="98" customWidth="1"/>
    <col min="14814" max="14814" width="16.5703125" style="98" customWidth="1"/>
    <col min="14815" max="14816" width="7.85546875" style="98" bestFit="1" customWidth="1"/>
    <col min="14817" max="14817" width="8" style="98" bestFit="1" customWidth="1"/>
    <col min="14818" max="14819" width="7.85546875" style="98" bestFit="1" customWidth="1"/>
    <col min="14820" max="14820" width="9.7109375" style="98" customWidth="1"/>
    <col min="14821" max="14821" width="12.85546875" style="98" customWidth="1"/>
    <col min="14822" max="15058" width="9.140625" style="98"/>
    <col min="15059" max="15059" width="9" style="98" bestFit="1" customWidth="1"/>
    <col min="15060" max="15060" width="9.85546875" style="98" bestFit="1" customWidth="1"/>
    <col min="15061" max="15061" width="9.140625" style="98" bestFit="1" customWidth="1"/>
    <col min="15062" max="15062" width="16" style="98" bestFit="1" customWidth="1"/>
    <col min="15063" max="15063" width="9" style="98" bestFit="1" customWidth="1"/>
    <col min="15064" max="15064" width="7.85546875" style="98" bestFit="1" customWidth="1"/>
    <col min="15065" max="15065" width="11.7109375" style="98" bestFit="1" customWidth="1"/>
    <col min="15066" max="15066" width="14.28515625" style="98" customWidth="1"/>
    <col min="15067" max="15067" width="11.7109375" style="98" bestFit="1" customWidth="1"/>
    <col min="15068" max="15068" width="14.140625" style="98" bestFit="1" customWidth="1"/>
    <col min="15069" max="15069" width="16.7109375" style="98" customWidth="1"/>
    <col min="15070" max="15070" width="16.5703125" style="98" customWidth="1"/>
    <col min="15071" max="15072" width="7.85546875" style="98" bestFit="1" customWidth="1"/>
    <col min="15073" max="15073" width="8" style="98" bestFit="1" customWidth="1"/>
    <col min="15074" max="15075" width="7.85546875" style="98" bestFit="1" customWidth="1"/>
    <col min="15076" max="15076" width="9.7109375" style="98" customWidth="1"/>
    <col min="15077" max="15077" width="12.85546875" style="98" customWidth="1"/>
    <col min="15078" max="15314" width="9.140625" style="98"/>
    <col min="15315" max="15315" width="9" style="98" bestFit="1" customWidth="1"/>
    <col min="15316" max="15316" width="9.85546875" style="98" bestFit="1" customWidth="1"/>
    <col min="15317" max="15317" width="9.140625" style="98" bestFit="1" customWidth="1"/>
    <col min="15318" max="15318" width="16" style="98" bestFit="1" customWidth="1"/>
    <col min="15319" max="15319" width="9" style="98" bestFit="1" customWidth="1"/>
    <col min="15320" max="15320" width="7.85546875" style="98" bestFit="1" customWidth="1"/>
    <col min="15321" max="15321" width="11.7109375" style="98" bestFit="1" customWidth="1"/>
    <col min="15322" max="15322" width="14.28515625" style="98" customWidth="1"/>
    <col min="15323" max="15323" width="11.7109375" style="98" bestFit="1" customWidth="1"/>
    <col min="15324" max="15324" width="14.140625" style="98" bestFit="1" customWidth="1"/>
    <col min="15325" max="15325" width="16.7109375" style="98" customWidth="1"/>
    <col min="15326" max="15326" width="16.5703125" style="98" customWidth="1"/>
    <col min="15327" max="15328" width="7.85546875" style="98" bestFit="1" customWidth="1"/>
    <col min="15329" max="15329" width="8" style="98" bestFit="1" customWidth="1"/>
    <col min="15330" max="15331" width="7.85546875" style="98" bestFit="1" customWidth="1"/>
    <col min="15332" max="15332" width="9.7109375" style="98" customWidth="1"/>
    <col min="15333" max="15333" width="12.85546875" style="98" customWidth="1"/>
    <col min="15334" max="15570" width="9.140625" style="98"/>
    <col min="15571" max="15571" width="9" style="98" bestFit="1" customWidth="1"/>
    <col min="15572" max="15572" width="9.85546875" style="98" bestFit="1" customWidth="1"/>
    <col min="15573" max="15573" width="9.140625" style="98" bestFit="1" customWidth="1"/>
    <col min="15574" max="15574" width="16" style="98" bestFit="1" customWidth="1"/>
    <col min="15575" max="15575" width="9" style="98" bestFit="1" customWidth="1"/>
    <col min="15576" max="15576" width="7.85546875" style="98" bestFit="1" customWidth="1"/>
    <col min="15577" max="15577" width="11.7109375" style="98" bestFit="1" customWidth="1"/>
    <col min="15578" max="15578" width="14.28515625" style="98" customWidth="1"/>
    <col min="15579" max="15579" width="11.7109375" style="98" bestFit="1" customWidth="1"/>
    <col min="15580" max="15580" width="14.140625" style="98" bestFit="1" customWidth="1"/>
    <col min="15581" max="15581" width="16.7109375" style="98" customWidth="1"/>
    <col min="15582" max="15582" width="16.5703125" style="98" customWidth="1"/>
    <col min="15583" max="15584" width="7.85546875" style="98" bestFit="1" customWidth="1"/>
    <col min="15585" max="15585" width="8" style="98" bestFit="1" customWidth="1"/>
    <col min="15586" max="15587" width="7.85546875" style="98" bestFit="1" customWidth="1"/>
    <col min="15588" max="15588" width="9.7109375" style="98" customWidth="1"/>
    <col min="15589" max="15589" width="12.85546875" style="98" customWidth="1"/>
    <col min="15590" max="15826" width="9.140625" style="98"/>
    <col min="15827" max="15827" width="9" style="98" bestFit="1" customWidth="1"/>
    <col min="15828" max="15828" width="9.85546875" style="98" bestFit="1" customWidth="1"/>
    <col min="15829" max="15829" width="9.140625" style="98" bestFit="1" customWidth="1"/>
    <col min="15830" max="15830" width="16" style="98" bestFit="1" customWidth="1"/>
    <col min="15831" max="15831" width="9" style="98" bestFit="1" customWidth="1"/>
    <col min="15832" max="15832" width="7.85546875" style="98" bestFit="1" customWidth="1"/>
    <col min="15833" max="15833" width="11.7109375" style="98" bestFit="1" customWidth="1"/>
    <col min="15834" max="15834" width="14.28515625" style="98" customWidth="1"/>
    <col min="15835" max="15835" width="11.7109375" style="98" bestFit="1" customWidth="1"/>
    <col min="15836" max="15836" width="14.140625" style="98" bestFit="1" customWidth="1"/>
    <col min="15837" max="15837" width="16.7109375" style="98" customWidth="1"/>
    <col min="15838" max="15838" width="16.5703125" style="98" customWidth="1"/>
    <col min="15839" max="15840" width="7.85546875" style="98" bestFit="1" customWidth="1"/>
    <col min="15841" max="15841" width="8" style="98" bestFit="1" customWidth="1"/>
    <col min="15842" max="15843" width="7.85546875" style="98" bestFit="1" customWidth="1"/>
    <col min="15844" max="15844" width="9.7109375" style="98" customWidth="1"/>
    <col min="15845" max="15845" width="12.85546875" style="98" customWidth="1"/>
    <col min="15846" max="16082" width="9.140625" style="98"/>
    <col min="16083" max="16083" width="9" style="98" bestFit="1" customWidth="1"/>
    <col min="16084" max="16084" width="9.85546875" style="98" bestFit="1" customWidth="1"/>
    <col min="16085" max="16085" width="9.140625" style="98" bestFit="1" customWidth="1"/>
    <col min="16086" max="16086" width="16" style="98" bestFit="1" customWidth="1"/>
    <col min="16087" max="16087" width="9" style="98" bestFit="1" customWidth="1"/>
    <col min="16088" max="16088" width="7.85546875" style="98" bestFit="1" customWidth="1"/>
    <col min="16089" max="16089" width="11.7109375" style="98" bestFit="1" customWidth="1"/>
    <col min="16090" max="16090" width="14.28515625" style="98" customWidth="1"/>
    <col min="16091" max="16091" width="11.7109375" style="98" bestFit="1" customWidth="1"/>
    <col min="16092" max="16092" width="14.140625" style="98" bestFit="1" customWidth="1"/>
    <col min="16093" max="16093" width="16.7109375" style="98" customWidth="1"/>
    <col min="16094" max="16094" width="16.5703125" style="98" customWidth="1"/>
    <col min="16095" max="16096" width="7.85546875" style="98" bestFit="1" customWidth="1"/>
    <col min="16097" max="16097" width="8" style="98" bestFit="1" customWidth="1"/>
    <col min="16098" max="16099" width="7.85546875" style="98" bestFit="1" customWidth="1"/>
    <col min="16100" max="16100" width="9.7109375" style="98" customWidth="1"/>
    <col min="16101" max="16101" width="12.85546875" style="98" customWidth="1"/>
    <col min="16102" max="16384" width="9.140625" style="98"/>
  </cols>
  <sheetData>
    <row r="1" spans="1:14" s="100" customFormat="1" ht="15.75" customHeight="1">
      <c r="A1" s="682" t="s">
        <v>1</v>
      </c>
      <c r="B1" s="815" t="s">
        <v>0</v>
      </c>
      <c r="C1" s="814" t="s">
        <v>488</v>
      </c>
      <c r="D1" s="814"/>
      <c r="E1" s="814"/>
      <c r="F1" s="814"/>
      <c r="G1" s="814"/>
      <c r="H1" s="817" t="s">
        <v>251</v>
      </c>
      <c r="I1" s="811" t="s">
        <v>29</v>
      </c>
      <c r="J1" s="812"/>
      <c r="K1" s="812"/>
      <c r="L1" s="813"/>
    </row>
    <row r="2" spans="1:14" ht="16.5" thickBot="1">
      <c r="A2" s="683"/>
      <c r="B2" s="816"/>
      <c r="C2" s="101" t="s">
        <v>23</v>
      </c>
      <c r="D2" s="101" t="s">
        <v>503</v>
      </c>
      <c r="E2" s="101" t="s">
        <v>47</v>
      </c>
      <c r="F2" s="106" t="s">
        <v>9</v>
      </c>
      <c r="G2" s="108" t="s">
        <v>33</v>
      </c>
      <c r="H2" s="818"/>
      <c r="I2" s="142"/>
      <c r="J2" s="142"/>
      <c r="K2" s="142"/>
      <c r="L2" s="143"/>
    </row>
    <row r="3" spans="1:14" s="133" customFormat="1" ht="15.75" thickBot="1">
      <c r="A3" s="465" t="str">
        <f>'1-συμβολαια'!A3</f>
        <v>1ο</v>
      </c>
      <c r="B3" s="497" t="str">
        <f>'1-συμβολαια'!C3</f>
        <v>πληρεξούσιο</v>
      </c>
      <c r="C3" s="647"/>
      <c r="D3" s="647"/>
      <c r="E3" s="647"/>
      <c r="F3" s="647"/>
      <c r="G3" s="647"/>
      <c r="H3" s="647"/>
      <c r="I3" s="316" t="s">
        <v>249</v>
      </c>
      <c r="J3" s="316"/>
      <c r="K3" s="334"/>
      <c r="L3" s="399"/>
    </row>
    <row r="4" spans="1:14" s="133" customFormat="1">
      <c r="A4" s="499" t="str">
        <f>'1-συμβολαια'!A4</f>
        <v>2ο</v>
      </c>
      <c r="B4" s="401" t="str">
        <f>'1-συμβολαια'!C4</f>
        <v>κληρονομιάς ΑΠΟΔΟΧΗ</v>
      </c>
      <c r="C4" s="355">
        <f>'1-συμβολαια'!L4*16%</f>
        <v>80.912000000000006</v>
      </c>
      <c r="D4" s="355">
        <f>'2-δικαιώμ'!N4*16%+'5-αντίγρ'!O4*16%</f>
        <v>2.2880000000000003</v>
      </c>
      <c r="E4" s="355">
        <f t="shared" ref="E4:E5" si="0">C4+D4</f>
        <v>83.2</v>
      </c>
      <c r="F4" s="355">
        <v>11.03</v>
      </c>
      <c r="G4" s="355">
        <f t="shared" ref="G4:G5" si="1">E4-F4</f>
        <v>72.17</v>
      </c>
      <c r="H4" s="355">
        <f>'13-ντιΜιΧο'!BY4*16%</f>
        <v>333.98559999999998</v>
      </c>
      <c r="I4" s="316"/>
      <c r="J4" s="316"/>
      <c r="K4" s="334"/>
      <c r="L4" s="260"/>
    </row>
    <row r="5" spans="1:14" s="133" customFormat="1">
      <c r="A5" s="500">
        <f>'1-συμβολαια'!A5</f>
        <v>0</v>
      </c>
      <c r="B5" s="352" t="str">
        <f>'1-συμβολαια'!C5</f>
        <v>χρησικτησία αγροτεμαχίων 1,2,3  = 19?? ΑΝΑΔΑΣΜΟΣ</v>
      </c>
      <c r="C5" s="327">
        <f>'1-συμβολαια'!L5*16%</f>
        <v>13.705280711999999</v>
      </c>
      <c r="D5" s="355">
        <f>'2-δικαιώμ'!N5*16%+'5-αντίγρ'!O5*16%</f>
        <v>0.85622600800000004</v>
      </c>
      <c r="E5" s="355">
        <f t="shared" si="0"/>
        <v>14.561506719999999</v>
      </c>
      <c r="F5" s="355"/>
      <c r="G5" s="355">
        <f t="shared" si="1"/>
        <v>14.561506719999999</v>
      </c>
      <c r="H5" s="355">
        <f>'13-ντιΜιΧο'!BY5*16%</f>
        <v>52.140799999999999</v>
      </c>
      <c r="I5" s="316" t="s">
        <v>249</v>
      </c>
      <c r="J5" s="316" t="s">
        <v>250</v>
      </c>
      <c r="K5" s="334"/>
      <c r="L5" s="260"/>
    </row>
    <row r="6" spans="1:14" s="133" customFormat="1" ht="15.75" thickBot="1">
      <c r="A6" s="501">
        <f>'1-συμβολαια'!A6</f>
        <v>0</v>
      </c>
      <c r="B6" s="498" t="str">
        <f>'1-συμβολαια'!C6</f>
        <v>χρησικτησία αγροτεμαχίων 4,5,6,7,8,9 = 1955 πατρός ΔΩΡΕΑ άτυπος</v>
      </c>
      <c r="C6" s="470">
        <f>'1-συμβολαια'!L6*16%</f>
        <v>21.524058887999999</v>
      </c>
      <c r="D6" s="470">
        <f>'2-δικαιώμ'!N6*16%+'5-αντίγρ'!O6*16%</f>
        <v>2.2360103920000003</v>
      </c>
      <c r="E6" s="470">
        <f t="shared" ref="E6:E10" si="2">C6+D6</f>
        <v>23.76006928</v>
      </c>
      <c r="F6" s="470"/>
      <c r="G6" s="470">
        <f t="shared" ref="G6:G10" si="3">E6-F6</f>
        <v>23.76006928</v>
      </c>
      <c r="H6" s="470">
        <f>'13-ντιΜιΧο'!BY6*16%</f>
        <v>106.4464</v>
      </c>
      <c r="I6" s="542" t="s">
        <v>249</v>
      </c>
      <c r="J6" s="542" t="s">
        <v>250</v>
      </c>
      <c r="K6" s="580"/>
      <c r="L6" s="260"/>
    </row>
    <row r="7" spans="1:14" s="133" customFormat="1">
      <c r="A7" s="519" t="str">
        <f>'1-συμβολαια'!A7</f>
        <v>3ο</v>
      </c>
      <c r="B7" s="401" t="str">
        <f>'1-συμβολαια'!C7</f>
        <v xml:space="preserve">γονική </v>
      </c>
      <c r="C7" s="355">
        <f>'1-συμβολαια'!L7*16%</f>
        <v>72.064585600000001</v>
      </c>
      <c r="D7" s="355">
        <f>'2-δικαιώμ'!N7*16%+'5-αντίγρ'!O7*16%</f>
        <v>4.7737503999999999</v>
      </c>
      <c r="E7" s="355">
        <f t="shared" si="2"/>
        <v>76.838335999999998</v>
      </c>
      <c r="F7" s="355">
        <v>34.909999999999997</v>
      </c>
      <c r="G7" s="355">
        <f t="shared" si="3"/>
        <v>41.928336000000002</v>
      </c>
      <c r="H7" s="355">
        <f>'13-ντιΜιΧο'!BY7*16%</f>
        <v>147.2192</v>
      </c>
      <c r="I7" s="388"/>
      <c r="J7" s="388"/>
      <c r="K7" s="579"/>
      <c r="L7" s="260"/>
    </row>
    <row r="8" spans="1:14" s="133" customFormat="1" ht="15.75" thickBot="1">
      <c r="A8" s="520">
        <f>'1-συμβολαια'!A8</f>
        <v>0</v>
      </c>
      <c r="B8" s="498" t="str">
        <f>'1-συμβολαια'!C8</f>
        <v>δωρεά</v>
      </c>
      <c r="C8" s="470">
        <f>'1-συμβολαια'!L8*16%</f>
        <v>64.417171199999999</v>
      </c>
      <c r="D8" s="470">
        <f>'2-δικαιώμ'!N8*16%+'5-αντίγρ'!O8*16%</f>
        <v>2.8595008000000002</v>
      </c>
      <c r="E8" s="470">
        <f t="shared" si="2"/>
        <v>67.276672000000005</v>
      </c>
      <c r="F8" s="470"/>
      <c r="G8" s="470">
        <f t="shared" si="3"/>
        <v>67.276672000000005</v>
      </c>
      <c r="H8" s="470">
        <f>'13-ντιΜιΧο'!BY8*16%</f>
        <v>71.507199999999997</v>
      </c>
      <c r="I8" s="316" t="s">
        <v>249</v>
      </c>
      <c r="J8" s="316" t="s">
        <v>250</v>
      </c>
      <c r="K8" s="334"/>
      <c r="L8" s="260"/>
    </row>
    <row r="9" spans="1:14" s="133" customFormat="1">
      <c r="A9" s="499" t="str">
        <f>'1-συμβολαια'!A9</f>
        <v>4ο</v>
      </c>
      <c r="B9" s="401" t="str">
        <f>'1-συμβολαια'!C9</f>
        <v xml:space="preserve">γονική </v>
      </c>
      <c r="C9" s="355">
        <f>'1-συμβολαια'!L9*16%</f>
        <v>62.413631200000005</v>
      </c>
      <c r="D9" s="355">
        <f>'2-δικαιώμ'!N9*16%+'5-αντίγρ'!O9*16%</f>
        <v>3.3906408000000003</v>
      </c>
      <c r="E9" s="355">
        <f t="shared" si="2"/>
        <v>65.804272000000012</v>
      </c>
      <c r="F9" s="355">
        <v>13.49</v>
      </c>
      <c r="G9" s="355">
        <f t="shared" si="3"/>
        <v>52.31427200000001</v>
      </c>
      <c r="H9" s="355">
        <f>'13-ντιΜιΧο'!BY9*16%</f>
        <v>121.384</v>
      </c>
      <c r="I9" s="316"/>
      <c r="J9" s="316"/>
      <c r="K9" s="334"/>
      <c r="L9" s="260"/>
    </row>
    <row r="10" spans="1:14" s="133" customFormat="1" ht="15.75" thickBot="1">
      <c r="A10" s="501">
        <f>'1-συμβολαια'!A10</f>
        <v>0</v>
      </c>
      <c r="B10" s="498" t="str">
        <f>'1-συμβολαια'!C10</f>
        <v>δωρεά</v>
      </c>
      <c r="C10" s="470">
        <f>'1-συμβολαια'!L10*16%</f>
        <v>50.811262399999997</v>
      </c>
      <c r="D10" s="470">
        <f>'2-δικαιώμ'!N10*16%+'5-αντίγρ'!O10*16%</f>
        <v>0.79728160000000003</v>
      </c>
      <c r="E10" s="470">
        <f t="shared" si="2"/>
        <v>51.608543999999995</v>
      </c>
      <c r="F10" s="470"/>
      <c r="G10" s="470">
        <f t="shared" si="3"/>
        <v>51.608543999999995</v>
      </c>
      <c r="H10" s="470">
        <f>'13-ντιΜιΧο'!BY10*16%</f>
        <v>49.671999999999997</v>
      </c>
      <c r="I10" s="542" t="s">
        <v>249</v>
      </c>
      <c r="J10" s="542" t="s">
        <v>250</v>
      </c>
      <c r="K10" s="580"/>
      <c r="L10" s="260"/>
    </row>
    <row r="11" spans="1:14" s="133" customFormat="1" ht="15.75" thickBot="1">
      <c r="A11" s="465" t="str">
        <f>'1-συμβολαια'!A11</f>
        <v>5ο</v>
      </c>
      <c r="B11" s="497" t="str">
        <f>'1-συμβολαια'!C11</f>
        <v>δωρεά</v>
      </c>
      <c r="C11" s="466">
        <f>'1-συμβολαια'!L11*16%</f>
        <v>55.804798400000003</v>
      </c>
      <c r="D11" s="466">
        <f>'2-δικαιώμ'!N11*16%+'5-αντίγρ'!O11*16%</f>
        <v>2.8079056000000002</v>
      </c>
      <c r="E11" s="466">
        <f t="shared" ref="E11:E13" si="4">C11+D11</f>
        <v>58.612704000000001</v>
      </c>
      <c r="F11" s="466">
        <v>16.45</v>
      </c>
      <c r="G11" s="466">
        <f t="shared" ref="G11:G13" si="5">E11-F11</f>
        <v>42.162704000000005</v>
      </c>
      <c r="H11" s="602">
        <f>'13-ντιΜιΧο'!BY11*16%</f>
        <v>138.73600000000002</v>
      </c>
      <c r="I11" s="388"/>
      <c r="J11" s="388"/>
      <c r="K11" s="579"/>
      <c r="L11" s="260"/>
    </row>
    <row r="12" spans="1:14" s="133" customFormat="1">
      <c r="A12" s="499" t="str">
        <f>'1-συμβολαια'!A12</f>
        <v>6ο</v>
      </c>
      <c r="B12" s="401" t="str">
        <f>'1-συμβολαια'!C12</f>
        <v xml:space="preserve">γονική </v>
      </c>
      <c r="C12" s="355">
        <f>'1-συμβολαια'!L12*16%</f>
        <v>66.048476000000008</v>
      </c>
      <c r="D12" s="355">
        <f>'2-δικαιώμ'!N12*16%+'5-αντίγρ'!O12*16%</f>
        <v>4.0320840000000002</v>
      </c>
      <c r="E12" s="355">
        <f t="shared" si="4"/>
        <v>70.080560000000006</v>
      </c>
      <c r="F12" s="355">
        <v>25.52</v>
      </c>
      <c r="G12" s="355">
        <f t="shared" si="5"/>
        <v>44.560560000000009</v>
      </c>
      <c r="H12" s="355">
        <f>'13-ντιΜιΧο'!BY12*16%</f>
        <v>107.78399999999999</v>
      </c>
      <c r="I12" s="316"/>
      <c r="J12" s="316"/>
      <c r="K12" s="334"/>
      <c r="L12" s="260"/>
    </row>
    <row r="13" spans="1:14" s="133" customFormat="1" ht="15.75" thickBot="1">
      <c r="A13" s="501">
        <f>'1-συμβολαια'!A13</f>
        <v>0</v>
      </c>
      <c r="B13" s="498" t="str">
        <f>'1-συμβολαια'!C13</f>
        <v>δωρεά</v>
      </c>
      <c r="C13" s="470">
        <f>'1-συμβολαια'!L13*16%</f>
        <v>58.080951999999996</v>
      </c>
      <c r="D13" s="470">
        <f>'2-δικαιώμ'!N13*16%+'5-αντίγρ'!O13*16%</f>
        <v>2.080168</v>
      </c>
      <c r="E13" s="470">
        <f t="shared" si="4"/>
        <v>60.161119999999997</v>
      </c>
      <c r="F13" s="470"/>
      <c r="G13" s="470">
        <f t="shared" si="5"/>
        <v>60.161119999999997</v>
      </c>
      <c r="H13" s="470">
        <f>'13-ντιΜιΧο'!BY13*16%</f>
        <v>36.071999999999996</v>
      </c>
      <c r="I13" s="316" t="s">
        <v>249</v>
      </c>
      <c r="J13" s="316" t="s">
        <v>250</v>
      </c>
      <c r="K13" s="334"/>
      <c r="L13" s="260"/>
    </row>
    <row r="14" spans="1:14" ht="15.75">
      <c r="A14" s="713" t="s">
        <v>47</v>
      </c>
      <c r="B14" s="714"/>
      <c r="C14" s="426">
        <f t="shared" ref="C14:H14" si="6">SUM(C3:C13)</f>
        <v>545.78221639999992</v>
      </c>
      <c r="D14" s="426">
        <f t="shared" si="6"/>
        <v>26.121567600000006</v>
      </c>
      <c r="E14" s="426">
        <f t="shared" si="6"/>
        <v>571.90378400000009</v>
      </c>
      <c r="F14" s="426">
        <f t="shared" si="6"/>
        <v>101.39999999999999</v>
      </c>
      <c r="G14" s="426">
        <f t="shared" si="6"/>
        <v>470.50378400000005</v>
      </c>
      <c r="H14" s="426">
        <f t="shared" si="6"/>
        <v>1164.9471999999998</v>
      </c>
    </row>
    <row r="15" spans="1:14" ht="15.75" customHeight="1">
      <c r="I15" s="148"/>
      <c r="J15" s="148"/>
      <c r="K15" s="148"/>
      <c r="L15" s="148"/>
      <c r="M15" s="133"/>
      <c r="N15" s="133"/>
    </row>
    <row r="16" spans="1:14" ht="15.75" customHeight="1">
      <c r="I16" s="149" t="s">
        <v>103</v>
      </c>
      <c r="K16" s="86"/>
      <c r="L16" s="406"/>
      <c r="M16" s="168"/>
      <c r="N16" s="168"/>
    </row>
    <row r="17" spans="2:14" ht="15.75">
      <c r="J17" s="167" t="s">
        <v>247</v>
      </c>
      <c r="K17" s="86"/>
      <c r="L17" s="407"/>
      <c r="M17" s="61"/>
      <c r="N17" s="133"/>
    </row>
    <row r="18" spans="2:14">
      <c r="K18" s="149" t="s">
        <v>248</v>
      </c>
      <c r="L18" s="86"/>
      <c r="M18" s="133"/>
      <c r="N18" s="133"/>
    </row>
    <row r="19" spans="2:14">
      <c r="I19" s="86"/>
      <c r="J19" s="86"/>
      <c r="K19" s="86"/>
    </row>
    <row r="20" spans="2:14">
      <c r="B20" s="220"/>
      <c r="I20" s="86"/>
      <c r="J20" s="86"/>
      <c r="K20" s="86"/>
    </row>
    <row r="21" spans="2:14">
      <c r="B21" s="219"/>
      <c r="K21" s="86"/>
    </row>
    <row r="22" spans="2:14">
      <c r="K22" s="86"/>
    </row>
    <row r="23" spans="2:14">
      <c r="K23" s="86"/>
    </row>
    <row r="24" spans="2:14">
      <c r="I24" s="4"/>
      <c r="J24" s="86"/>
      <c r="K24" s="86"/>
    </row>
    <row r="25" spans="2:14">
      <c r="I25" s="86"/>
      <c r="J25" s="167"/>
      <c r="K25" s="86"/>
    </row>
    <row r="26" spans="2:14">
      <c r="I26" s="86"/>
      <c r="J26" s="86"/>
      <c r="K26" s="4"/>
    </row>
    <row r="27" spans="2:14">
      <c r="K27" s="86"/>
    </row>
    <row r="28" spans="2:14">
      <c r="K28" s="86"/>
    </row>
    <row r="29" spans="2:14">
      <c r="K29" s="86"/>
    </row>
    <row r="30" spans="2:14">
      <c r="K30" s="86"/>
    </row>
    <row r="31" spans="2:14">
      <c r="K31" s="86"/>
    </row>
    <row r="32" spans="2:14">
      <c r="K32" s="86"/>
    </row>
    <row r="33" spans="11:11">
      <c r="K33" s="86"/>
    </row>
    <row r="34" spans="11:11">
      <c r="K34" s="86"/>
    </row>
    <row r="35" spans="11:11">
      <c r="K35" s="86"/>
    </row>
    <row r="36" spans="11:11">
      <c r="K36" s="86"/>
    </row>
    <row r="37" spans="11:11">
      <c r="K37" s="86"/>
    </row>
    <row r="38" spans="11:11">
      <c r="K38" s="86"/>
    </row>
    <row r="39" spans="11:11">
      <c r="K39" s="86"/>
    </row>
    <row r="40" spans="11:11">
      <c r="K40" s="86"/>
    </row>
  </sheetData>
  <mergeCells count="6">
    <mergeCell ref="I1:L1"/>
    <mergeCell ref="A14:B14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23"/>
  <sheetViews>
    <sheetView workbookViewId="0">
      <pane ySplit="2" topLeftCell="A3" activePane="bottomLeft" state="frozen"/>
      <selection pane="bottomLeft" activeCell="H20" sqref="H20"/>
    </sheetView>
  </sheetViews>
  <sheetFormatPr defaultRowHeight="11.25"/>
  <cols>
    <col min="1" max="1" width="10.42578125" style="8" bestFit="1" customWidth="1"/>
    <col min="2" max="2" width="71.42578125" style="91" bestFit="1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682" t="s">
        <v>1</v>
      </c>
      <c r="B1" s="684" t="s">
        <v>0</v>
      </c>
      <c r="C1" s="659" t="s">
        <v>7</v>
      </c>
      <c r="D1" s="824" t="s">
        <v>45</v>
      </c>
      <c r="E1" s="825"/>
      <c r="F1" s="826" t="s">
        <v>404</v>
      </c>
      <c r="G1" s="827"/>
      <c r="H1" s="822" t="s">
        <v>57</v>
      </c>
      <c r="I1" s="819" t="s">
        <v>29</v>
      </c>
      <c r="J1" s="820"/>
      <c r="K1" s="821"/>
    </row>
    <row r="2" spans="1:17" ht="34.5" customHeight="1" thickBot="1">
      <c r="A2" s="683"/>
      <c r="B2" s="685"/>
      <c r="C2" s="660"/>
      <c r="D2" s="368" t="s">
        <v>328</v>
      </c>
      <c r="E2" s="227" t="s">
        <v>91</v>
      </c>
      <c r="F2" s="226" t="s">
        <v>328</v>
      </c>
      <c r="G2" s="225" t="s">
        <v>33</v>
      </c>
      <c r="H2" s="823"/>
      <c r="I2" s="712"/>
      <c r="J2" s="676"/>
      <c r="K2" s="677"/>
    </row>
    <row r="3" spans="1:17" s="348" customFormat="1" ht="15" thickBot="1">
      <c r="A3" s="581" t="str">
        <f>'1-συμβολαια'!A3</f>
        <v>1ο</v>
      </c>
      <c r="B3" s="582" t="str">
        <f>'1-συμβολαια'!C3</f>
        <v>πληρεξούσιο</v>
      </c>
      <c r="C3" s="583">
        <f>'1-συμβολαια'!D3</f>
        <v>0</v>
      </c>
      <c r="D3" s="584"/>
      <c r="E3" s="584"/>
      <c r="F3" s="584"/>
      <c r="G3" s="585"/>
      <c r="H3" s="585">
        <v>0.5</v>
      </c>
      <c r="I3" s="312" t="s">
        <v>139</v>
      </c>
      <c r="J3" s="366">
        <v>21</v>
      </c>
      <c r="K3" s="346"/>
    </row>
    <row r="4" spans="1:17" s="348" customFormat="1" ht="14.25">
      <c r="A4" s="586" t="str">
        <f>'1-συμβολαια'!A4</f>
        <v>2ο</v>
      </c>
      <c r="B4" s="408" t="str">
        <f>'1-συμβολαια'!C4</f>
        <v>κληρονομιάς ΑΠΟΔΟΧΗ</v>
      </c>
      <c r="C4" s="349">
        <f>'1-συμβολαια'!D4</f>
        <v>0</v>
      </c>
      <c r="D4" s="409"/>
      <c r="E4" s="409"/>
      <c r="F4" s="350">
        <v>0.5</v>
      </c>
      <c r="G4" s="350"/>
      <c r="H4" s="350"/>
      <c r="I4" s="312"/>
      <c r="J4" s="312"/>
      <c r="K4" s="74"/>
    </row>
    <row r="5" spans="1:17" s="348" customFormat="1" ht="14.25">
      <c r="A5" s="587">
        <f>'1-συμβολαια'!A5</f>
        <v>0</v>
      </c>
      <c r="B5" s="347" t="str">
        <f>'1-συμβολαια'!C5</f>
        <v>χρησικτησία αγροτεμαχίων 1,2,3  = 19?? ΑΝΑΔΑΣΜΟΣ</v>
      </c>
      <c r="C5" s="349">
        <f>'1-συμβολαια'!D5</f>
        <v>2100.9416999999999</v>
      </c>
      <c r="D5" s="410"/>
      <c r="E5" s="410"/>
      <c r="F5" s="410"/>
      <c r="G5" s="350"/>
      <c r="H5" s="350">
        <v>3</v>
      </c>
      <c r="I5" s="312" t="s">
        <v>139</v>
      </c>
      <c r="J5" s="312" t="s">
        <v>134</v>
      </c>
      <c r="K5" s="74"/>
    </row>
    <row r="6" spans="1:17" s="348" customFormat="1" ht="15" thickBot="1">
      <c r="A6" s="588">
        <f>'1-συμβολαια'!A6</f>
        <v>0</v>
      </c>
      <c r="B6" s="589" t="str">
        <f>'1-συμβολαια'!C6</f>
        <v>χρησικτησία αγροτεμαχίων 4,5,6,7,8,9 = 1955 πατρός ΔΩΡΕΑ άτυπος</v>
      </c>
      <c r="C6" s="590">
        <f>'1-συμβολαια'!D6</f>
        <v>7850.0433000000012</v>
      </c>
      <c r="D6" s="591"/>
      <c r="E6" s="591"/>
      <c r="F6" s="591"/>
      <c r="G6" s="592"/>
      <c r="H6" s="350">
        <v>3</v>
      </c>
      <c r="I6" s="312" t="s">
        <v>139</v>
      </c>
      <c r="J6" s="312" t="s">
        <v>134</v>
      </c>
      <c r="K6" s="74"/>
    </row>
    <row r="7" spans="1:17" s="348" customFormat="1" ht="14.25">
      <c r="A7" s="594" t="str">
        <f>'1-συμβολαια'!A7</f>
        <v>3ο</v>
      </c>
      <c r="B7" s="408" t="str">
        <f>'1-συμβολαια'!C7</f>
        <v xml:space="preserve">γονική </v>
      </c>
      <c r="C7" s="349">
        <f>'1-συμβολαια'!D7</f>
        <v>5223.96</v>
      </c>
      <c r="D7" s="350">
        <v>3</v>
      </c>
      <c r="E7" s="350">
        <v>0.5</v>
      </c>
      <c r="F7" s="409"/>
      <c r="G7" s="350"/>
      <c r="H7" s="350"/>
      <c r="I7" s="312"/>
      <c r="J7" s="312" t="s">
        <v>134</v>
      </c>
      <c r="K7" s="74"/>
    </row>
    <row r="8" spans="1:17" s="348" customFormat="1" ht="14.25">
      <c r="A8" s="595">
        <f>'1-συμβολαια'!A8</f>
        <v>0</v>
      </c>
      <c r="B8" s="347" t="str">
        <f>'1-συμβολαια'!C8</f>
        <v>δωρεά</v>
      </c>
      <c r="C8" s="349">
        <f>'1-συμβολαια'!D8</f>
        <v>10447.92</v>
      </c>
      <c r="D8" s="410"/>
      <c r="E8" s="410"/>
      <c r="F8" s="410"/>
      <c r="G8" s="350"/>
      <c r="H8" s="350">
        <v>3</v>
      </c>
      <c r="I8" s="312" t="s">
        <v>139</v>
      </c>
      <c r="J8" s="312" t="s">
        <v>134</v>
      </c>
      <c r="K8" s="74"/>
    </row>
    <row r="9" spans="1:17" s="348" customFormat="1" ht="14.25">
      <c r="A9" s="587" t="str">
        <f>'1-συμβολαια'!A9</f>
        <v>4ο</v>
      </c>
      <c r="B9" s="347" t="str">
        <f>'1-συμβολαια'!C9</f>
        <v xml:space="preserve">γονική </v>
      </c>
      <c r="C9" s="349">
        <f>'1-συμβολαια'!D9</f>
        <v>927.67</v>
      </c>
      <c r="D9" s="350">
        <v>3</v>
      </c>
      <c r="E9" s="350">
        <v>0.5</v>
      </c>
      <c r="F9" s="410"/>
      <c r="G9" s="350"/>
      <c r="H9" s="350"/>
      <c r="I9" s="312"/>
      <c r="J9" s="312" t="s">
        <v>134</v>
      </c>
      <c r="K9" s="74"/>
    </row>
    <row r="10" spans="1:17" s="348" customFormat="1" ht="15" thickBot="1">
      <c r="A10" s="588">
        <f>'1-συμβολαια'!A10</f>
        <v>0</v>
      </c>
      <c r="B10" s="589" t="str">
        <f>'1-συμβολαια'!C10</f>
        <v>δωρεά</v>
      </c>
      <c r="C10" s="590">
        <f>'1-συμβολαια'!D10</f>
        <v>1855.34</v>
      </c>
      <c r="D10" s="591"/>
      <c r="E10" s="591"/>
      <c r="F10" s="591"/>
      <c r="G10" s="592"/>
      <c r="H10" s="592">
        <v>3</v>
      </c>
      <c r="I10" s="312" t="s">
        <v>139</v>
      </c>
      <c r="J10" s="312" t="s">
        <v>134</v>
      </c>
      <c r="K10" s="74"/>
    </row>
    <row r="11" spans="1:17" s="348" customFormat="1" ht="15" thickBot="1">
      <c r="A11" s="581" t="str">
        <f>'1-συμβολαια'!A11</f>
        <v>5ο</v>
      </c>
      <c r="B11" s="582" t="str">
        <f>'1-συμβολαια'!C11</f>
        <v>δωρεά</v>
      </c>
      <c r="C11" s="583">
        <f>'1-συμβολαια'!D11</f>
        <v>3632.94</v>
      </c>
      <c r="D11" s="585">
        <v>3</v>
      </c>
      <c r="E11" s="585">
        <v>0.5</v>
      </c>
      <c r="F11" s="584"/>
      <c r="G11" s="585"/>
      <c r="H11" s="585"/>
      <c r="I11" s="312"/>
      <c r="J11" s="312" t="s">
        <v>134</v>
      </c>
      <c r="K11" s="74"/>
    </row>
    <row r="12" spans="1:17" s="348" customFormat="1" ht="14.25">
      <c r="A12" s="586" t="str">
        <f>'1-συμβολαια'!A12</f>
        <v>6ο</v>
      </c>
      <c r="B12" s="408" t="str">
        <f>'1-συμβολαια'!C12</f>
        <v xml:space="preserve">γονική </v>
      </c>
      <c r="C12" s="349">
        <f>'1-συμβολαια'!D12</f>
        <v>3600.35</v>
      </c>
      <c r="D12" s="350">
        <v>3</v>
      </c>
      <c r="E12" s="350">
        <v>0.5</v>
      </c>
      <c r="F12" s="409"/>
      <c r="G12" s="350"/>
      <c r="H12" s="350"/>
      <c r="I12" s="312"/>
      <c r="J12" s="312" t="s">
        <v>134</v>
      </c>
      <c r="K12" s="74"/>
    </row>
    <row r="13" spans="1:17" s="348" customFormat="1" ht="15" thickBot="1">
      <c r="A13" s="588">
        <f>'1-συμβολαια'!A13</f>
        <v>0</v>
      </c>
      <c r="B13" s="589" t="str">
        <f>'1-συμβολαια'!C13</f>
        <v>δωρεά</v>
      </c>
      <c r="C13" s="590">
        <f>'1-συμβολαια'!D13</f>
        <v>7200.7</v>
      </c>
      <c r="D13" s="591"/>
      <c r="E13" s="591"/>
      <c r="F13" s="591"/>
      <c r="G13" s="592"/>
      <c r="H13" s="592">
        <v>3</v>
      </c>
      <c r="I13" s="312" t="s">
        <v>139</v>
      </c>
      <c r="J13" s="312" t="s">
        <v>134</v>
      </c>
      <c r="K13" s="74"/>
    </row>
    <row r="14" spans="1:17" ht="15.75">
      <c r="A14" s="713" t="s">
        <v>56</v>
      </c>
      <c r="B14" s="714"/>
      <c r="C14" s="714"/>
      <c r="D14" s="593">
        <f>SUM(D3:D13)</f>
        <v>12</v>
      </c>
      <c r="E14" s="593">
        <f>SUM(E3:E13)</f>
        <v>2</v>
      </c>
      <c r="F14" s="593">
        <f>SUM(F3:F13)</f>
        <v>0.5</v>
      </c>
      <c r="G14" s="593">
        <f>SUM(G3:G13)</f>
        <v>0</v>
      </c>
      <c r="H14" s="593">
        <f>SUM(H3:H13)</f>
        <v>15.5</v>
      </c>
    </row>
    <row r="15" spans="1:17" ht="15.75">
      <c r="I15" s="123" t="s">
        <v>104</v>
      </c>
      <c r="J15" s="136"/>
      <c r="K15" s="136"/>
      <c r="L15" s="119"/>
      <c r="M15" s="119"/>
      <c r="N15" s="119"/>
      <c r="O15" s="119"/>
      <c r="P15" s="5"/>
    </row>
    <row r="16" spans="1:17" ht="15.75">
      <c r="I16" s="229"/>
      <c r="J16" s="136" t="s">
        <v>105</v>
      </c>
      <c r="K16" s="136"/>
      <c r="L16" s="136"/>
      <c r="M16" s="136"/>
      <c r="N16" s="136"/>
      <c r="O16" s="136"/>
      <c r="P16" s="229"/>
      <c r="Q16" s="228"/>
    </row>
    <row r="17" spans="2:17" ht="15.75">
      <c r="B17" s="220"/>
      <c r="I17" s="229"/>
      <c r="J17" s="229"/>
      <c r="K17" s="230"/>
      <c r="L17" s="230"/>
      <c r="M17" s="230"/>
      <c r="N17" s="230"/>
      <c r="O17" s="230"/>
      <c r="P17" s="230"/>
      <c r="Q17" s="228"/>
    </row>
    <row r="18" spans="2:17" ht="15.75">
      <c r="B18" s="219"/>
      <c r="I18" s="229"/>
      <c r="J18" s="229"/>
      <c r="K18" s="136"/>
      <c r="L18" s="230"/>
      <c r="M18" s="230"/>
      <c r="N18" s="136"/>
      <c r="O18" s="136"/>
      <c r="P18" s="136"/>
      <c r="Q18" s="228"/>
    </row>
    <row r="19" spans="2:17" ht="15.75">
      <c r="I19" s="229"/>
      <c r="J19" s="229"/>
      <c r="K19" s="230"/>
      <c r="L19" s="230"/>
      <c r="M19" s="230"/>
      <c r="N19" s="230"/>
      <c r="O19" s="230"/>
      <c r="P19" s="230"/>
      <c r="Q19" s="228"/>
    </row>
    <row r="20" spans="2:17" ht="15.75">
      <c r="B20" s="128"/>
      <c r="L20" s="124"/>
      <c r="Q20" s="228"/>
    </row>
    <row r="21" spans="2:17" ht="15.75">
      <c r="B21" s="129"/>
      <c r="L21" s="124"/>
    </row>
    <row r="22" spans="2:17" ht="15.75">
      <c r="L22" s="124"/>
    </row>
    <row r="23" spans="2:17" ht="15.75">
      <c r="L23" s="124"/>
    </row>
  </sheetData>
  <mergeCells count="8">
    <mergeCell ref="I1:K2"/>
    <mergeCell ref="H1:H2"/>
    <mergeCell ref="A14:C1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43"/>
  <sheetViews>
    <sheetView workbookViewId="0">
      <pane ySplit="2" topLeftCell="A3" activePane="bottomLeft" state="frozen"/>
      <selection pane="bottomLeft" activeCell="C22" sqref="C22"/>
    </sheetView>
  </sheetViews>
  <sheetFormatPr defaultRowHeight="15"/>
  <cols>
    <col min="1" max="1" width="11.5703125" style="103" bestFit="1" customWidth="1"/>
    <col min="2" max="2" width="64.7109375" style="104" customWidth="1"/>
    <col min="3" max="3" width="14.28515625" style="105" customWidth="1"/>
    <col min="4" max="4" width="14.1406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19" width="7.140625" style="102" customWidth="1"/>
    <col min="20" max="20" width="9.140625" style="102" customWidth="1"/>
    <col min="21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682" t="s">
        <v>1</v>
      </c>
      <c r="B1" s="815" t="s">
        <v>0</v>
      </c>
      <c r="C1" s="814" t="s">
        <v>146</v>
      </c>
      <c r="D1" s="814"/>
      <c r="E1" s="814"/>
      <c r="F1" s="828" t="s">
        <v>29</v>
      </c>
      <c r="G1" s="829"/>
      <c r="H1" s="829"/>
      <c r="I1" s="829"/>
      <c r="J1" s="829"/>
      <c r="K1" s="829"/>
      <c r="L1" s="829"/>
      <c r="M1" s="829"/>
      <c r="N1" s="829"/>
      <c r="O1" s="829"/>
      <c r="P1" s="829"/>
      <c r="Q1" s="829"/>
      <c r="R1" s="829"/>
      <c r="S1" s="829"/>
      <c r="T1" s="829"/>
      <c r="U1" s="829"/>
      <c r="V1" s="830"/>
    </row>
    <row r="2" spans="1:22" ht="16.5" thickBot="1">
      <c r="A2" s="683"/>
      <c r="B2" s="816"/>
      <c r="C2" s="101" t="s">
        <v>23</v>
      </c>
      <c r="D2" s="106" t="s">
        <v>9</v>
      </c>
      <c r="E2" s="108" t="s">
        <v>33</v>
      </c>
      <c r="F2" s="270">
        <v>61</v>
      </c>
      <c r="G2" s="270">
        <v>62</v>
      </c>
      <c r="H2" s="270">
        <v>63</v>
      </c>
      <c r="I2" s="271">
        <v>64</v>
      </c>
      <c r="J2" s="272" t="s">
        <v>427</v>
      </c>
      <c r="K2" s="272" t="s">
        <v>428</v>
      </c>
      <c r="L2" s="272" t="s">
        <v>429</v>
      </c>
      <c r="M2" s="273">
        <v>65</v>
      </c>
      <c r="N2" s="274" t="s">
        <v>430</v>
      </c>
      <c r="O2" s="274" t="s">
        <v>431</v>
      </c>
      <c r="P2" s="274" t="s">
        <v>432</v>
      </c>
      <c r="Q2" s="274" t="s">
        <v>541</v>
      </c>
      <c r="R2" s="274" t="s">
        <v>433</v>
      </c>
      <c r="S2" s="270" t="s">
        <v>434</v>
      </c>
      <c r="T2" s="169">
        <v>67</v>
      </c>
      <c r="U2" s="169"/>
      <c r="V2" s="269"/>
    </row>
    <row r="3" spans="1:22" s="133" customFormat="1" ht="15.75" thickBot="1">
      <c r="A3" s="465" t="str">
        <f>'1-συμβολαια'!A3</f>
        <v>1ο</v>
      </c>
      <c r="B3" s="497" t="str">
        <f>'1-συμβολαια'!C3</f>
        <v>πληρεξούσιο</v>
      </c>
      <c r="C3" s="466"/>
      <c r="D3" s="466"/>
      <c r="E3" s="466"/>
      <c r="F3" s="546"/>
      <c r="G3" s="546"/>
      <c r="H3" s="607"/>
      <c r="I3" s="608"/>
      <c r="J3" s="608"/>
      <c r="K3" s="608"/>
      <c r="L3" s="608"/>
      <c r="M3" s="608"/>
      <c r="N3" s="546"/>
      <c r="O3" s="374"/>
      <c r="P3" s="374"/>
      <c r="Q3" s="374"/>
      <c r="R3" s="374"/>
      <c r="S3" s="374"/>
      <c r="T3" s="374"/>
      <c r="U3" s="374"/>
      <c r="V3" s="374"/>
    </row>
    <row r="4" spans="1:22" s="133" customFormat="1">
      <c r="A4" s="499" t="str">
        <f>'1-συμβολαια'!A4</f>
        <v>2ο</v>
      </c>
      <c r="B4" s="596" t="str">
        <f>'1-συμβολαια'!C4</f>
        <v>κληρονομιάς ΑΠΟΔΟΧΗ</v>
      </c>
      <c r="C4" s="355"/>
      <c r="D4" s="355"/>
      <c r="E4" s="355"/>
      <c r="F4" s="374"/>
      <c r="G4" s="374"/>
      <c r="H4" s="375"/>
      <c r="I4" s="376"/>
      <c r="J4" s="376"/>
      <c r="K4" s="376"/>
      <c r="L4" s="376"/>
      <c r="M4" s="376"/>
      <c r="N4" s="374"/>
      <c r="O4" s="328"/>
      <c r="P4" s="328"/>
      <c r="Q4" s="328"/>
      <c r="R4" s="328"/>
      <c r="S4" s="328"/>
      <c r="T4" s="328"/>
      <c r="U4" s="328"/>
      <c r="V4" s="328"/>
    </row>
    <row r="5" spans="1:22" s="133" customFormat="1">
      <c r="A5" s="500">
        <f>'1-συμβολαια'!A5</f>
        <v>0</v>
      </c>
      <c r="B5" s="411" t="str">
        <f>'1-συμβολαια'!C5</f>
        <v>χρησικτησία αγροτεμαχίων 1,2,3  = 19?? ΑΝΑΔΑΣΜΟΣ</v>
      </c>
      <c r="C5" s="327">
        <f>'1-συμβολαια'!L5</f>
        <v>85.658004449999993</v>
      </c>
      <c r="D5" s="355">
        <f>'1-συμβολαια'!N5</f>
        <v>0</v>
      </c>
      <c r="E5" s="355">
        <f t="shared" ref="E5:E6" si="0">C5-D5</f>
        <v>85.658004449999993</v>
      </c>
      <c r="F5" s="328">
        <v>61</v>
      </c>
      <c r="G5" s="328">
        <v>62</v>
      </c>
      <c r="H5" s="353"/>
      <c r="I5" s="354"/>
      <c r="J5" s="354"/>
      <c r="K5" s="354"/>
      <c r="L5" s="354"/>
      <c r="M5" s="354"/>
      <c r="N5" s="328"/>
      <c r="O5" s="328"/>
      <c r="P5" s="328"/>
      <c r="Q5" s="328"/>
      <c r="R5" s="328"/>
      <c r="S5" s="328"/>
      <c r="T5" s="328"/>
      <c r="U5" s="328"/>
      <c r="V5" s="328"/>
    </row>
    <row r="6" spans="1:22" s="133" customFormat="1" ht="15.75" thickBot="1">
      <c r="A6" s="501">
        <f>'1-συμβολαια'!A6</f>
        <v>0</v>
      </c>
      <c r="B6" s="597" t="str">
        <f>'1-συμβολαια'!C6</f>
        <v>χρησικτησία αγροτεμαχίων 4,5,6,7,8,9 = 1955 πατρός ΔΩΡΕΑ άτυπος</v>
      </c>
      <c r="C6" s="470">
        <f>'1-συμβολαια'!L6</f>
        <v>134.52536805</v>
      </c>
      <c r="D6" s="470">
        <f>'1-συμβολαια'!N6</f>
        <v>0</v>
      </c>
      <c r="E6" s="470">
        <f t="shared" si="0"/>
        <v>134.52536805</v>
      </c>
      <c r="F6" s="547">
        <v>61</v>
      </c>
      <c r="G6" s="547">
        <v>62</v>
      </c>
      <c r="H6" s="598"/>
      <c r="I6" s="599"/>
      <c r="J6" s="599"/>
      <c r="K6" s="599"/>
      <c r="L6" s="599"/>
      <c r="M6" s="599"/>
      <c r="N6" s="547"/>
      <c r="O6" s="547"/>
      <c r="P6" s="328"/>
      <c r="Q6" s="328"/>
      <c r="R6" s="328"/>
      <c r="S6" s="328"/>
      <c r="T6" s="328"/>
      <c r="U6" s="328"/>
      <c r="V6" s="328"/>
    </row>
    <row r="7" spans="1:22" s="133" customFormat="1">
      <c r="A7" s="519" t="str">
        <f>'1-συμβολαια'!A7</f>
        <v>3ο</v>
      </c>
      <c r="B7" s="596" t="str">
        <f>'1-συμβολαια'!C7</f>
        <v xml:space="preserve">γονική </v>
      </c>
      <c r="C7" s="355"/>
      <c r="D7" s="355"/>
      <c r="E7" s="355"/>
      <c r="F7" s="374"/>
      <c r="G7" s="374"/>
      <c r="H7" s="375"/>
      <c r="I7" s="376"/>
      <c r="J7" s="376"/>
      <c r="K7" s="376"/>
      <c r="L7" s="376"/>
      <c r="M7" s="376"/>
      <c r="N7" s="374"/>
      <c r="O7" s="374"/>
      <c r="P7" s="328"/>
      <c r="Q7" s="328"/>
      <c r="R7" s="328"/>
      <c r="S7" s="328"/>
      <c r="T7" s="328"/>
      <c r="U7" s="328"/>
      <c r="V7" s="328"/>
    </row>
    <row r="8" spans="1:22" s="133" customFormat="1" ht="15.75" thickBot="1">
      <c r="A8" s="520">
        <f>'1-συμβολαια'!A8</f>
        <v>0</v>
      </c>
      <c r="B8" s="597" t="str">
        <f>'1-συμβολαια'!C8</f>
        <v>δωρεά</v>
      </c>
      <c r="C8" s="470"/>
      <c r="D8" s="470"/>
      <c r="E8" s="470"/>
      <c r="F8" s="547"/>
      <c r="G8" s="547"/>
      <c r="H8" s="598"/>
      <c r="I8" s="599"/>
      <c r="J8" s="599"/>
      <c r="K8" s="599"/>
      <c r="L8" s="599"/>
      <c r="M8" s="599"/>
      <c r="N8" s="328"/>
      <c r="O8" s="328"/>
      <c r="P8" s="328"/>
      <c r="Q8" s="328"/>
      <c r="R8" s="328"/>
      <c r="S8" s="328"/>
      <c r="T8" s="328"/>
      <c r="U8" s="328"/>
      <c r="V8" s="328"/>
    </row>
    <row r="9" spans="1:22" s="133" customFormat="1">
      <c r="A9" s="499" t="str">
        <f>'1-συμβολαια'!A9</f>
        <v>4ο</v>
      </c>
      <c r="B9" s="596" t="str">
        <f>'1-συμβολαια'!C9</f>
        <v xml:space="preserve">γονική </v>
      </c>
      <c r="C9" s="355"/>
      <c r="D9" s="355"/>
      <c r="E9" s="355"/>
      <c r="F9" s="374"/>
      <c r="G9" s="374"/>
      <c r="H9" s="375"/>
      <c r="I9" s="376"/>
      <c r="J9" s="376"/>
      <c r="K9" s="376"/>
      <c r="L9" s="376"/>
      <c r="M9" s="376"/>
      <c r="N9" s="328"/>
      <c r="O9" s="328"/>
      <c r="P9" s="328"/>
      <c r="Q9" s="328"/>
      <c r="R9" s="328"/>
      <c r="S9" s="328"/>
      <c r="T9" s="328"/>
      <c r="U9" s="328"/>
      <c r="V9" s="328"/>
    </row>
    <row r="10" spans="1:22" s="133" customFormat="1" ht="15.75" thickBot="1">
      <c r="A10" s="501">
        <f>'1-συμβολαια'!A10</f>
        <v>0</v>
      </c>
      <c r="B10" s="597" t="str">
        <f>'1-συμβολαια'!C10</f>
        <v>δωρεά</v>
      </c>
      <c r="C10" s="470"/>
      <c r="D10" s="470"/>
      <c r="E10" s="470"/>
      <c r="F10" s="547"/>
      <c r="G10" s="547"/>
      <c r="H10" s="598"/>
      <c r="I10" s="599"/>
      <c r="J10" s="599"/>
      <c r="K10" s="599"/>
      <c r="L10" s="599"/>
      <c r="M10" s="599"/>
      <c r="N10" s="547"/>
      <c r="O10" s="328"/>
      <c r="P10" s="328"/>
      <c r="Q10" s="328"/>
      <c r="R10" s="328"/>
      <c r="S10" s="328"/>
      <c r="T10" s="328"/>
      <c r="U10" s="328"/>
      <c r="V10" s="328"/>
    </row>
    <row r="11" spans="1:22" s="133" customFormat="1" ht="15.75" thickBot="1">
      <c r="A11" s="600" t="str">
        <f>'1-συμβολαια'!A11</f>
        <v>5ο</v>
      </c>
      <c r="B11" s="601" t="str">
        <f>'1-συμβολαια'!C11</f>
        <v>δωρεά</v>
      </c>
      <c r="C11" s="602"/>
      <c r="D11" s="602"/>
      <c r="E11" s="602"/>
      <c r="F11" s="603"/>
      <c r="G11" s="603"/>
      <c r="H11" s="604"/>
      <c r="I11" s="605"/>
      <c r="J11" s="605"/>
      <c r="K11" s="605"/>
      <c r="L11" s="605"/>
      <c r="M11" s="605"/>
      <c r="N11" s="374"/>
      <c r="O11" s="328"/>
      <c r="P11" s="328"/>
      <c r="Q11" s="328"/>
      <c r="R11" s="328"/>
      <c r="S11" s="328"/>
      <c r="T11" s="328"/>
      <c r="U11" s="328"/>
      <c r="V11" s="328"/>
    </row>
    <row r="12" spans="1:22" s="133" customFormat="1">
      <c r="A12" s="499" t="str">
        <f>'1-συμβολαια'!A12</f>
        <v>6ο</v>
      </c>
      <c r="B12" s="596" t="str">
        <f>'1-συμβολαια'!C12</f>
        <v xml:space="preserve">γονική </v>
      </c>
      <c r="C12" s="355"/>
      <c r="D12" s="355"/>
      <c r="E12" s="355"/>
      <c r="F12" s="374"/>
      <c r="G12" s="374"/>
      <c r="H12" s="375"/>
      <c r="I12" s="376"/>
      <c r="J12" s="376"/>
      <c r="K12" s="376"/>
      <c r="L12" s="376"/>
      <c r="M12" s="376"/>
      <c r="N12" s="328"/>
      <c r="O12" s="328"/>
      <c r="P12" s="328"/>
      <c r="Q12" s="328"/>
      <c r="R12" s="328"/>
      <c r="S12" s="328"/>
      <c r="T12" s="328"/>
      <c r="U12" s="328"/>
      <c r="V12" s="328"/>
    </row>
    <row r="13" spans="1:22" s="133" customFormat="1" ht="15.75" thickBot="1">
      <c r="A13" s="501">
        <f>'1-συμβολαια'!A13</f>
        <v>0</v>
      </c>
      <c r="B13" s="597" t="str">
        <f>'1-συμβολαια'!C13</f>
        <v>δωρεά</v>
      </c>
      <c r="C13" s="470"/>
      <c r="D13" s="470"/>
      <c r="E13" s="470"/>
      <c r="F13" s="547"/>
      <c r="G13" s="547"/>
      <c r="H13" s="598"/>
      <c r="I13" s="599"/>
      <c r="J13" s="599"/>
      <c r="K13" s="599"/>
      <c r="L13" s="599"/>
      <c r="M13" s="599"/>
      <c r="N13" s="547"/>
      <c r="O13" s="547"/>
      <c r="P13" s="328"/>
      <c r="Q13" s="328"/>
      <c r="R13" s="328"/>
      <c r="S13" s="328"/>
      <c r="T13" s="328"/>
      <c r="U13" s="328"/>
      <c r="V13" s="328"/>
    </row>
    <row r="14" spans="1:22" ht="15.75">
      <c r="A14" s="713" t="s">
        <v>47</v>
      </c>
      <c r="B14" s="714"/>
      <c r="C14" s="426">
        <f>SUM(C3:C13)</f>
        <v>220.18337249999999</v>
      </c>
      <c r="D14" s="426">
        <f>SUM(D3:D13)</f>
        <v>0</v>
      </c>
      <c r="E14" s="426">
        <f>SUM(E3:E13)</f>
        <v>220.18337249999999</v>
      </c>
      <c r="I14" s="606">
        <f t="shared" ref="I14:T14" si="1">SUM(I3:I13)</f>
        <v>0</v>
      </c>
      <c r="J14" s="606">
        <f t="shared" si="1"/>
        <v>0</v>
      </c>
      <c r="K14" s="606">
        <f t="shared" si="1"/>
        <v>0</v>
      </c>
      <c r="L14" s="606">
        <f t="shared" si="1"/>
        <v>0</v>
      </c>
      <c r="M14" s="606">
        <f t="shared" si="1"/>
        <v>0</v>
      </c>
      <c r="N14" s="606">
        <f t="shared" si="1"/>
        <v>0</v>
      </c>
      <c r="O14" s="606">
        <f t="shared" si="1"/>
        <v>0</v>
      </c>
      <c r="P14" s="69">
        <f t="shared" si="1"/>
        <v>0</v>
      </c>
      <c r="Q14" s="69">
        <f t="shared" si="1"/>
        <v>0</v>
      </c>
      <c r="R14" s="69">
        <f t="shared" si="1"/>
        <v>0</v>
      </c>
      <c r="S14" s="69">
        <f t="shared" si="1"/>
        <v>0</v>
      </c>
      <c r="T14" s="69">
        <f t="shared" si="1"/>
        <v>0</v>
      </c>
    </row>
    <row r="15" spans="1:22"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</row>
    <row r="16" spans="1:22" ht="15.75">
      <c r="F16" s="153" t="s">
        <v>252</v>
      </c>
      <c r="G16" s="123"/>
      <c r="H16" s="275"/>
      <c r="I16" s="275"/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5"/>
      <c r="U16" s="275"/>
      <c r="V16" s="276"/>
    </row>
    <row r="17" spans="2:22" ht="15.75">
      <c r="F17" s="277"/>
      <c r="G17" s="136" t="s">
        <v>253</v>
      </c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6"/>
    </row>
    <row r="18" spans="2:22" ht="15.75">
      <c r="F18" s="276"/>
      <c r="G18" s="276"/>
      <c r="H18" s="153" t="s">
        <v>254</v>
      </c>
      <c r="I18" s="123"/>
      <c r="J18" s="123"/>
      <c r="K18" s="123"/>
      <c r="L18" s="275"/>
      <c r="M18" s="275"/>
      <c r="N18" s="275"/>
      <c r="O18" s="275"/>
      <c r="P18" s="275"/>
      <c r="Q18" s="275"/>
      <c r="R18" s="275"/>
      <c r="S18" s="275"/>
      <c r="T18" s="275"/>
      <c r="U18" s="275"/>
      <c r="V18" s="276"/>
    </row>
    <row r="19" spans="2:22" ht="15.75">
      <c r="F19" s="276"/>
      <c r="G19" s="277"/>
      <c r="H19" s="276"/>
      <c r="I19" s="136" t="s">
        <v>275</v>
      </c>
      <c r="J19" s="136"/>
      <c r="K19" s="136"/>
      <c r="L19" s="278"/>
      <c r="M19" s="278"/>
      <c r="N19" s="278"/>
      <c r="O19" s="278"/>
      <c r="P19" s="278"/>
      <c r="Q19" s="278"/>
      <c r="R19" s="278"/>
      <c r="S19" s="278"/>
      <c r="T19" s="278"/>
      <c r="U19" s="275"/>
      <c r="V19" s="276"/>
    </row>
    <row r="20" spans="2:22" ht="15.75">
      <c r="F20" s="276"/>
      <c r="G20" s="277"/>
      <c r="H20" s="276"/>
      <c r="I20" s="136"/>
      <c r="J20" s="153" t="s">
        <v>435</v>
      </c>
      <c r="K20" s="136"/>
      <c r="L20" s="278"/>
      <c r="M20" s="278"/>
      <c r="N20" s="278"/>
      <c r="O20" s="278"/>
      <c r="P20" s="278"/>
      <c r="Q20" s="278"/>
      <c r="R20" s="278"/>
      <c r="S20" s="278"/>
      <c r="T20" s="278"/>
      <c r="U20" s="275"/>
      <c r="V20" s="276"/>
    </row>
    <row r="21" spans="2:22" ht="15.75">
      <c r="F21" s="276"/>
      <c r="G21" s="277"/>
      <c r="H21" s="276"/>
      <c r="I21" s="136"/>
      <c r="J21" s="136"/>
      <c r="K21" s="136" t="s">
        <v>436</v>
      </c>
      <c r="L21" s="278"/>
      <c r="M21" s="278"/>
      <c r="N21" s="278"/>
      <c r="O21" s="278"/>
      <c r="P21" s="278"/>
      <c r="Q21" s="278"/>
      <c r="R21" s="278"/>
      <c r="S21" s="278"/>
      <c r="T21" s="278"/>
      <c r="U21" s="275"/>
      <c r="V21" s="276"/>
    </row>
    <row r="22" spans="2:22" ht="15.75">
      <c r="F22" s="276"/>
      <c r="G22" s="276"/>
      <c r="H22" s="275"/>
      <c r="I22" s="278"/>
      <c r="J22" s="278"/>
      <c r="K22" s="278"/>
      <c r="L22" s="153" t="s">
        <v>437</v>
      </c>
      <c r="M22" s="278"/>
      <c r="N22" s="278"/>
      <c r="O22" s="278"/>
      <c r="P22" s="278"/>
      <c r="Q22" s="278"/>
      <c r="R22" s="278"/>
      <c r="S22" s="278"/>
      <c r="T22" s="278"/>
      <c r="U22" s="275"/>
      <c r="V22" s="276"/>
    </row>
    <row r="23" spans="2:22" ht="15.75">
      <c r="C23" s="105">
        <f>SUM(C15:C16)</f>
        <v>0</v>
      </c>
      <c r="F23" s="275"/>
      <c r="G23" s="275"/>
      <c r="H23" s="275"/>
      <c r="I23" s="278"/>
      <c r="J23" s="278"/>
      <c r="K23" s="278"/>
      <c r="L23" s="278"/>
      <c r="M23" s="136" t="s">
        <v>276</v>
      </c>
      <c r="N23" s="278"/>
      <c r="O23" s="278"/>
      <c r="P23" s="278"/>
      <c r="Q23" s="278"/>
      <c r="R23" s="278"/>
      <c r="S23" s="278"/>
      <c r="T23" s="278"/>
      <c r="U23" s="275"/>
      <c r="V23" s="276"/>
    </row>
    <row r="24" spans="2:22" ht="15.75">
      <c r="F24" s="276"/>
      <c r="G24" s="276"/>
      <c r="H24" s="275"/>
      <c r="I24" s="278"/>
      <c r="J24" s="278"/>
      <c r="K24" s="278"/>
      <c r="L24" s="278"/>
      <c r="M24" s="278"/>
      <c r="N24" s="153" t="s">
        <v>438</v>
      </c>
      <c r="O24" s="278"/>
      <c r="P24" s="278"/>
      <c r="Q24" s="278"/>
      <c r="R24" s="278"/>
      <c r="S24" s="278"/>
      <c r="T24" s="278"/>
      <c r="U24" s="275"/>
      <c r="V24" s="276"/>
    </row>
    <row r="25" spans="2:22" ht="15.75">
      <c r="F25" s="276"/>
      <c r="G25" s="276"/>
      <c r="H25" s="275"/>
      <c r="I25" s="278"/>
      <c r="J25" s="278"/>
      <c r="K25" s="278"/>
      <c r="L25" s="278"/>
      <c r="M25" s="278"/>
      <c r="N25" s="278"/>
      <c r="O25" s="136" t="s">
        <v>439</v>
      </c>
      <c r="P25" s="278"/>
      <c r="Q25" s="278"/>
      <c r="R25" s="278"/>
      <c r="S25" s="278"/>
      <c r="T25" s="278"/>
      <c r="U25" s="275"/>
      <c r="V25" s="276"/>
    </row>
    <row r="26" spans="2:22" ht="15.75">
      <c r="F26" s="276"/>
      <c r="G26" s="276"/>
      <c r="H26" s="275"/>
      <c r="I26" s="278"/>
      <c r="J26" s="278"/>
      <c r="K26" s="278"/>
      <c r="L26" s="278"/>
      <c r="M26" s="278"/>
      <c r="N26" s="278"/>
      <c r="O26" s="278"/>
      <c r="P26" s="153" t="s">
        <v>277</v>
      </c>
      <c r="Q26" s="278"/>
      <c r="R26" s="278"/>
      <c r="S26" s="278"/>
      <c r="T26" s="278"/>
      <c r="U26" s="275"/>
      <c r="V26" s="276"/>
    </row>
    <row r="27" spans="2:22" ht="15.75">
      <c r="F27" s="276"/>
      <c r="G27" s="276"/>
      <c r="H27" s="275"/>
      <c r="I27" s="278"/>
      <c r="J27" s="278"/>
      <c r="K27" s="278"/>
      <c r="L27" s="278"/>
      <c r="M27" s="278"/>
      <c r="N27" s="278"/>
      <c r="O27" s="278"/>
      <c r="P27" s="278"/>
      <c r="Q27" s="136" t="s">
        <v>278</v>
      </c>
      <c r="R27" s="136"/>
      <c r="S27" s="136"/>
      <c r="T27" s="278"/>
      <c r="U27" s="275"/>
      <c r="V27" s="276"/>
    </row>
    <row r="28" spans="2:22" ht="15.75">
      <c r="F28" s="276"/>
      <c r="G28" s="276"/>
      <c r="H28" s="275"/>
      <c r="I28" s="278"/>
      <c r="J28" s="278"/>
      <c r="K28" s="278"/>
      <c r="L28" s="278"/>
      <c r="M28" s="278"/>
      <c r="N28" s="278"/>
      <c r="O28" s="278"/>
      <c r="P28" s="278"/>
      <c r="Q28" s="278"/>
      <c r="R28" s="153" t="s">
        <v>279</v>
      </c>
      <c r="S28" s="278"/>
      <c r="T28" s="278"/>
      <c r="U28" s="275"/>
      <c r="V28" s="276"/>
    </row>
    <row r="29" spans="2:22" ht="15.75">
      <c r="F29" s="276"/>
      <c r="G29" s="276"/>
      <c r="H29" s="275"/>
      <c r="I29" s="278"/>
      <c r="J29" s="278"/>
      <c r="K29" s="278"/>
      <c r="L29" s="278"/>
      <c r="M29" s="278"/>
      <c r="N29" s="278"/>
      <c r="O29" s="278"/>
      <c r="P29" s="278"/>
      <c r="Q29" s="278"/>
      <c r="R29" s="278"/>
      <c r="S29" s="136" t="s">
        <v>280</v>
      </c>
      <c r="T29" s="278"/>
      <c r="U29" s="275"/>
      <c r="V29" s="276"/>
    </row>
    <row r="30" spans="2:22" ht="15.75">
      <c r="F30" s="276"/>
      <c r="G30" s="276"/>
      <c r="H30" s="275"/>
      <c r="I30" s="278"/>
      <c r="J30" s="278"/>
      <c r="K30" s="278"/>
      <c r="L30" s="278"/>
      <c r="M30" s="278"/>
      <c r="N30" s="278"/>
      <c r="O30" s="278"/>
      <c r="P30" s="278"/>
      <c r="Q30" s="278"/>
      <c r="R30" s="278"/>
      <c r="S30" s="278"/>
      <c r="T30" s="153" t="s">
        <v>440</v>
      </c>
      <c r="U30" s="275"/>
      <c r="V30" s="276"/>
    </row>
    <row r="31" spans="2:22">
      <c r="F31" s="276"/>
      <c r="G31" s="276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  <c r="V31" s="276"/>
    </row>
    <row r="32" spans="2:22" ht="15.75" customHeight="1">
      <c r="B32" s="220"/>
      <c r="C32" s="301"/>
      <c r="D32" s="303"/>
      <c r="E32" s="302"/>
      <c r="F32" s="302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2:21" ht="15.75" customHeight="1">
      <c r="B33" s="219"/>
      <c r="C33" s="109"/>
      <c r="D33" s="303"/>
      <c r="E33" s="302"/>
      <c r="F33" s="302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2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2:21"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  <row r="36" spans="2:21"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</row>
    <row r="37" spans="2:21">
      <c r="D37" s="303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</row>
    <row r="38" spans="2:21"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</row>
    <row r="39" spans="2:21">
      <c r="H39" s="117"/>
      <c r="I39" s="117"/>
      <c r="J39" s="117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</row>
    <row r="40" spans="2:21">
      <c r="H40" s="117"/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</row>
    <row r="41" spans="2:21">
      <c r="H41" s="117"/>
      <c r="I41" s="117"/>
      <c r="J41" s="117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</row>
    <row r="42" spans="2:21"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</row>
    <row r="43" spans="2:21"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</row>
  </sheetData>
  <mergeCells count="5">
    <mergeCell ref="A1:A2"/>
    <mergeCell ref="B1:B2"/>
    <mergeCell ref="C1:E1"/>
    <mergeCell ref="A14:B14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A65"/>
  <sheetViews>
    <sheetView workbookViewId="0">
      <pane ySplit="2" topLeftCell="A3" activePane="bottomLeft" state="frozen"/>
      <selection pane="bottomLeft" activeCell="A33" sqref="A33"/>
    </sheetView>
  </sheetViews>
  <sheetFormatPr defaultRowHeight="11.25"/>
  <cols>
    <col min="1" max="1" width="9" style="8" customWidth="1"/>
    <col min="2" max="2" width="49.85546875" style="139" bestFit="1" customWidth="1"/>
    <col min="3" max="3" width="9.42578125" style="2" bestFit="1" customWidth="1"/>
    <col min="4" max="4" width="9.42578125" style="2" customWidth="1"/>
    <col min="5" max="5" width="9.42578125" style="82" customWidth="1"/>
    <col min="6" max="6" width="8.140625" style="82" customWidth="1"/>
    <col min="7" max="7" width="10.7109375" style="82" customWidth="1"/>
    <col min="8" max="8" width="9.42578125" style="82" customWidth="1"/>
    <col min="9" max="9" width="7.85546875" style="82" customWidth="1"/>
    <col min="10" max="10" width="7.42578125" style="82" customWidth="1"/>
    <col min="11" max="11" width="8" style="82" customWidth="1"/>
    <col min="12" max="18" width="7.140625" style="82" customWidth="1"/>
    <col min="19" max="19" width="9.28515625" style="82" customWidth="1"/>
    <col min="20" max="23" width="7.140625" style="82" customWidth="1"/>
    <col min="24" max="24" width="8.42578125" style="82" customWidth="1"/>
    <col min="25" max="26" width="7.140625" style="82" customWidth="1"/>
    <col min="27" max="27" width="6.140625" style="82" customWidth="1"/>
    <col min="28" max="28" width="7.140625" style="82" customWidth="1"/>
    <col min="29" max="31" width="6.140625" style="82" customWidth="1"/>
    <col min="32" max="32" width="8.7109375" style="82" customWidth="1"/>
    <col min="33" max="33" width="10.140625" style="82" customWidth="1"/>
    <col min="34" max="34" width="16.28515625" style="82" customWidth="1"/>
    <col min="35" max="35" width="9.140625" style="82" customWidth="1"/>
    <col min="36" max="36" width="8.85546875" style="82" customWidth="1"/>
    <col min="37" max="37" width="8.140625" style="82" customWidth="1"/>
    <col min="38" max="38" width="7.7109375" style="82" customWidth="1"/>
    <col min="39" max="39" width="7" style="82" customWidth="1"/>
    <col min="40" max="40" width="6.140625" style="82" customWidth="1"/>
    <col min="41" max="45" width="7.85546875" style="82" customWidth="1"/>
    <col min="46" max="48" width="6.140625" style="82" customWidth="1"/>
    <col min="49" max="49" width="8.28515625" style="82" customWidth="1"/>
    <col min="50" max="50" width="7.85546875" style="82" customWidth="1"/>
    <col min="51" max="51" width="6.140625" style="82" customWidth="1"/>
    <col min="52" max="52" width="7.5703125" style="82" customWidth="1"/>
    <col min="53" max="54" width="6.140625" style="82" customWidth="1"/>
    <col min="55" max="55" width="8" style="82" customWidth="1"/>
    <col min="56" max="57" width="6.140625" style="82" customWidth="1"/>
    <col min="58" max="58" width="7.42578125" style="82" customWidth="1"/>
    <col min="59" max="59" width="8.5703125" style="82" customWidth="1"/>
    <col min="60" max="66" width="6.140625" style="82" customWidth="1"/>
    <col min="67" max="67" width="8.5703125" style="82" customWidth="1"/>
    <col min="68" max="68" width="7" style="82" customWidth="1"/>
    <col min="69" max="69" width="6.140625" style="82" customWidth="1"/>
    <col min="70" max="76" width="10.5703125" style="82" customWidth="1"/>
    <col min="77" max="78" width="12.42578125" style="82" customWidth="1"/>
    <col min="79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9" s="6" customFormat="1" ht="15.75" customHeight="1">
      <c r="A1" s="653" t="s">
        <v>1</v>
      </c>
      <c r="B1" s="845" t="s">
        <v>0</v>
      </c>
      <c r="C1" s="848" t="s">
        <v>94</v>
      </c>
      <c r="D1" s="849"/>
      <c r="E1" s="831" t="s">
        <v>95</v>
      </c>
      <c r="F1" s="831"/>
      <c r="G1" s="831"/>
      <c r="H1" s="832" t="s">
        <v>176</v>
      </c>
      <c r="I1" s="832"/>
      <c r="J1" s="831" t="s">
        <v>180</v>
      </c>
      <c r="K1" s="831"/>
      <c r="L1" s="831"/>
      <c r="M1" s="831"/>
      <c r="N1" s="831"/>
      <c r="O1" s="831"/>
      <c r="P1" s="831"/>
      <c r="Q1" s="831"/>
      <c r="R1" s="831"/>
      <c r="S1" s="831"/>
      <c r="T1" s="831"/>
      <c r="U1" s="831"/>
      <c r="V1" s="831"/>
      <c r="W1" s="831"/>
      <c r="X1" s="831"/>
      <c r="Y1" s="831"/>
      <c r="Z1" s="831"/>
      <c r="AA1" s="831"/>
      <c r="AB1" s="831"/>
      <c r="AC1" s="831"/>
      <c r="AD1" s="831"/>
      <c r="AE1" s="831"/>
      <c r="AF1" s="831"/>
      <c r="AG1" s="831"/>
      <c r="AH1" s="831"/>
      <c r="AI1" s="847" t="s">
        <v>181</v>
      </c>
      <c r="AJ1" s="847"/>
      <c r="AK1" s="847"/>
      <c r="AL1" s="847"/>
      <c r="AM1" s="847"/>
      <c r="AN1" s="847"/>
      <c r="AO1" s="847"/>
      <c r="AP1" s="847"/>
      <c r="AQ1" s="847"/>
      <c r="AR1" s="847"/>
      <c r="AS1" s="847"/>
      <c r="AT1" s="847"/>
      <c r="AU1" s="847"/>
      <c r="AV1" s="847"/>
      <c r="AW1" s="847"/>
      <c r="AX1" s="833" t="s">
        <v>197</v>
      </c>
      <c r="AY1" s="834"/>
      <c r="AZ1" s="834"/>
      <c r="BA1" s="834"/>
      <c r="BB1" s="834"/>
      <c r="BC1" s="835"/>
      <c r="BD1" s="836" t="s">
        <v>201</v>
      </c>
      <c r="BE1" s="837"/>
      <c r="BF1" s="837"/>
      <c r="BG1" s="838"/>
      <c r="BH1" s="844" t="s">
        <v>189</v>
      </c>
      <c r="BI1" s="844"/>
      <c r="BJ1" s="844"/>
      <c r="BK1" s="844"/>
      <c r="BL1" s="844"/>
      <c r="BM1" s="844"/>
      <c r="BN1" s="844"/>
      <c r="BO1" s="844"/>
      <c r="BP1" s="844"/>
      <c r="BQ1" s="844"/>
      <c r="BR1" s="844"/>
      <c r="BS1" s="841" t="s">
        <v>520</v>
      </c>
      <c r="BT1" s="842"/>
      <c r="BU1" s="842"/>
      <c r="BV1" s="842"/>
      <c r="BW1" s="842"/>
      <c r="BX1" s="843"/>
      <c r="BY1" s="839" t="s">
        <v>300</v>
      </c>
      <c r="BZ1" s="840"/>
      <c r="CA1" s="840"/>
    </row>
    <row r="2" spans="1:79" ht="23.25" thickBot="1">
      <c r="A2" s="654"/>
      <c r="B2" s="846"/>
      <c r="C2" s="160"/>
      <c r="D2" s="178" t="s">
        <v>92</v>
      </c>
      <c r="E2" s="142"/>
      <c r="F2" s="179" t="s">
        <v>92</v>
      </c>
      <c r="G2" s="141" t="s">
        <v>175</v>
      </c>
      <c r="H2" s="142"/>
      <c r="I2" s="206" t="s">
        <v>92</v>
      </c>
      <c r="J2" s="142" t="s">
        <v>255</v>
      </c>
      <c r="K2" s="142" t="s">
        <v>256</v>
      </c>
      <c r="L2" s="142" t="s">
        <v>257</v>
      </c>
      <c r="M2" s="142" t="s">
        <v>258</v>
      </c>
      <c r="N2" s="142" t="s">
        <v>259</v>
      </c>
      <c r="O2" s="142" t="s">
        <v>458</v>
      </c>
      <c r="P2" s="142" t="s">
        <v>467</v>
      </c>
      <c r="Q2" s="142" t="s">
        <v>471</v>
      </c>
      <c r="R2" s="142" t="s">
        <v>535</v>
      </c>
      <c r="S2" s="142" t="s">
        <v>260</v>
      </c>
      <c r="T2" s="142" t="s">
        <v>423</v>
      </c>
      <c r="U2" s="142" t="s">
        <v>424</v>
      </c>
      <c r="V2" s="142" t="s">
        <v>452</v>
      </c>
      <c r="W2" s="142" t="s">
        <v>461</v>
      </c>
      <c r="X2" s="142" t="s">
        <v>542</v>
      </c>
      <c r="Y2" s="142" t="s">
        <v>261</v>
      </c>
      <c r="Z2" s="142" t="s">
        <v>262</v>
      </c>
      <c r="AA2" s="142" t="s">
        <v>263</v>
      </c>
      <c r="AB2" s="142" t="s">
        <v>295</v>
      </c>
      <c r="AC2" s="142" t="s">
        <v>293</v>
      </c>
      <c r="AD2" s="142" t="s">
        <v>294</v>
      </c>
      <c r="AE2" s="142"/>
      <c r="AF2" s="142" t="s">
        <v>544</v>
      </c>
      <c r="AG2" s="142" t="s">
        <v>47</v>
      </c>
      <c r="AH2" s="140" t="s">
        <v>29</v>
      </c>
      <c r="AI2" s="142" t="s">
        <v>182</v>
      </c>
      <c r="AJ2" s="142" t="s">
        <v>183</v>
      </c>
      <c r="AK2" s="142" t="s">
        <v>184</v>
      </c>
      <c r="AL2" s="142" t="s">
        <v>186</v>
      </c>
      <c r="AM2" s="142" t="s">
        <v>187</v>
      </c>
      <c r="AN2" s="142" t="s">
        <v>188</v>
      </c>
      <c r="AO2" s="142" t="s">
        <v>281</v>
      </c>
      <c r="AP2" s="142" t="s">
        <v>282</v>
      </c>
      <c r="AQ2" s="142" t="s">
        <v>283</v>
      </c>
      <c r="AR2" s="142" t="s">
        <v>474</v>
      </c>
      <c r="AS2" s="142" t="s">
        <v>454</v>
      </c>
      <c r="AT2" s="142" t="s">
        <v>455</v>
      </c>
      <c r="AU2" s="142"/>
      <c r="AV2" s="142"/>
      <c r="AW2" s="145" t="s">
        <v>47</v>
      </c>
      <c r="AX2" s="142" t="s">
        <v>194</v>
      </c>
      <c r="AY2" s="142" t="s">
        <v>195</v>
      </c>
      <c r="AZ2" s="142" t="s">
        <v>198</v>
      </c>
      <c r="BA2" s="142" t="s">
        <v>196</v>
      </c>
      <c r="BB2" s="142" t="s">
        <v>200</v>
      </c>
      <c r="BC2" s="140" t="s">
        <v>47</v>
      </c>
      <c r="BD2" s="142" t="s">
        <v>205</v>
      </c>
      <c r="BE2" s="142" t="s">
        <v>206</v>
      </c>
      <c r="BF2" s="142" t="s">
        <v>207</v>
      </c>
      <c r="BG2" s="143" t="s">
        <v>47</v>
      </c>
      <c r="BH2" s="142" t="s">
        <v>216</v>
      </c>
      <c r="BI2" s="142" t="s">
        <v>217</v>
      </c>
      <c r="BJ2" s="142" t="s">
        <v>220</v>
      </c>
      <c r="BK2" s="142" t="s">
        <v>225</v>
      </c>
      <c r="BL2" s="142" t="s">
        <v>226</v>
      </c>
      <c r="BM2" s="142" t="s">
        <v>227</v>
      </c>
      <c r="BN2" s="142" t="s">
        <v>296</v>
      </c>
      <c r="BO2" s="142" t="s">
        <v>297</v>
      </c>
      <c r="BP2" s="142" t="s">
        <v>441</v>
      </c>
      <c r="BQ2" s="142" t="s">
        <v>442</v>
      </c>
      <c r="BR2" s="140" t="s">
        <v>47</v>
      </c>
      <c r="BS2" s="160" t="s">
        <v>521</v>
      </c>
      <c r="BT2" s="160" t="s">
        <v>522</v>
      </c>
      <c r="BU2" s="160" t="s">
        <v>523</v>
      </c>
      <c r="BV2" s="160" t="s">
        <v>524</v>
      </c>
      <c r="BW2" s="160" t="s">
        <v>525</v>
      </c>
      <c r="BX2" s="380" t="s">
        <v>526</v>
      </c>
      <c r="BY2" s="160" t="s">
        <v>141</v>
      </c>
      <c r="BZ2" s="298" t="s">
        <v>466</v>
      </c>
      <c r="CA2" s="381" t="s">
        <v>527</v>
      </c>
    </row>
    <row r="3" spans="1:79" s="5" customFormat="1" ht="12" thickBot="1">
      <c r="A3" s="483" t="str">
        <f>'1-συμβολαια'!A3</f>
        <v>1ο</v>
      </c>
      <c r="B3" s="503" t="str">
        <f>'1-συμβολαια'!C3</f>
        <v>πληρεξούσιο</v>
      </c>
      <c r="C3" s="609">
        <f>'5-αντίγρ'!AN3</f>
        <v>0</v>
      </c>
      <c r="D3" s="609">
        <f>'5-αντίγρ'!AM3</f>
        <v>0</v>
      </c>
      <c r="E3" s="610">
        <f>'6-μεταγρ'!P3</f>
        <v>0</v>
      </c>
      <c r="F3" s="610">
        <f>'6-μεταγρ'!N3</f>
        <v>0</v>
      </c>
      <c r="G3" s="610">
        <f>'6-μεταγρ'!Q3</f>
        <v>0</v>
      </c>
      <c r="H3" s="610">
        <f>'7-προςΔΟΥ'!V3</f>
        <v>0</v>
      </c>
      <c r="I3" s="611">
        <f>'7-προςΔΟΥ'!K3</f>
        <v>0</v>
      </c>
      <c r="J3" s="617"/>
      <c r="K3" s="617"/>
      <c r="L3" s="617"/>
      <c r="M3" s="617"/>
      <c r="N3" s="617"/>
      <c r="O3" s="617"/>
      <c r="P3" s="617"/>
      <c r="Q3" s="617"/>
      <c r="R3" s="617"/>
      <c r="S3" s="617"/>
      <c r="T3" s="617"/>
      <c r="U3" s="617"/>
      <c r="V3" s="617"/>
      <c r="W3" s="617"/>
      <c r="X3" s="617"/>
      <c r="Y3" s="617"/>
      <c r="Z3" s="618"/>
      <c r="AA3" s="618"/>
      <c r="AB3" s="617"/>
      <c r="AC3" s="617"/>
      <c r="AD3" s="618"/>
      <c r="AE3" s="618"/>
      <c r="AF3" s="618"/>
      <c r="AG3" s="617">
        <f t="shared" ref="AG3" si="0">SUM(J3:AF3)</f>
        <v>0</v>
      </c>
      <c r="AH3" s="618"/>
      <c r="AI3" s="617"/>
      <c r="AJ3" s="617"/>
      <c r="AK3" s="617">
        <v>30</v>
      </c>
      <c r="AL3" s="617"/>
      <c r="AM3" s="617"/>
      <c r="AN3" s="617"/>
      <c r="AO3" s="617"/>
      <c r="AP3" s="617"/>
      <c r="AQ3" s="617"/>
      <c r="AR3" s="617"/>
      <c r="AS3" s="617"/>
      <c r="AT3" s="617"/>
      <c r="AU3" s="618"/>
      <c r="AV3" s="618"/>
      <c r="AW3" s="617">
        <f t="shared" ref="AW3" si="1">SUM(AI3:AV3)</f>
        <v>30</v>
      </c>
      <c r="AX3" s="617"/>
      <c r="AY3" s="618"/>
      <c r="AZ3" s="617"/>
      <c r="BA3" s="618"/>
      <c r="BB3" s="618"/>
      <c r="BC3" s="617">
        <f t="shared" ref="BC3" si="2">SUM(AX3:BB3)</f>
        <v>0</v>
      </c>
      <c r="BD3" s="618"/>
      <c r="BE3" s="618"/>
      <c r="BF3" s="617"/>
      <c r="BG3" s="618">
        <f t="shared" ref="BG3" si="3">SUM(BD3:BF3)</f>
        <v>0</v>
      </c>
      <c r="BH3" s="618"/>
      <c r="BI3" s="618"/>
      <c r="BJ3" s="618"/>
      <c r="BK3" s="618"/>
      <c r="BL3" s="618"/>
      <c r="BM3" s="618"/>
      <c r="BN3" s="618"/>
      <c r="BO3" s="617"/>
      <c r="BP3" s="617"/>
      <c r="BQ3" s="617">
        <v>0.9</v>
      </c>
      <c r="BR3" s="617">
        <f t="shared" ref="BR3" si="4">SUM(BH3:BQ3)</f>
        <v>0.9</v>
      </c>
      <c r="BS3" s="617"/>
      <c r="BT3" s="617"/>
      <c r="BU3" s="617"/>
      <c r="BV3" s="617"/>
      <c r="BW3" s="617"/>
      <c r="BX3" s="617">
        <f t="shared" ref="BX3" si="5">SUM(BS3:BW3)</f>
        <v>0</v>
      </c>
      <c r="BY3" s="619">
        <f t="shared" ref="BY3" si="6">C3+E3+G3+H3+AG3+AW3+BC3+BG3+BR3+BX3-BZ3</f>
        <v>30.9</v>
      </c>
      <c r="BZ3" s="619">
        <f t="shared" ref="BZ3" si="7">D3+F3+I3+BW3</f>
        <v>0</v>
      </c>
      <c r="CA3" s="646"/>
    </row>
    <row r="4" spans="1:79" s="5" customFormat="1">
      <c r="A4" s="508" t="str">
        <f>'1-συμβολαια'!A4</f>
        <v>2ο</v>
      </c>
      <c r="B4" s="402" t="str">
        <f>'1-συμβολαια'!C4</f>
        <v>κληρονομιάς ΑΠΟΔΟΧΗ</v>
      </c>
      <c r="C4" s="414">
        <f>'5-αντίγρ'!AN4</f>
        <v>55</v>
      </c>
      <c r="D4" s="414">
        <f>'5-αντίγρ'!AM4</f>
        <v>3</v>
      </c>
      <c r="E4" s="297">
        <f>'6-μεταγρ'!P4</f>
        <v>20</v>
      </c>
      <c r="F4" s="297">
        <f>'6-μεταγρ'!N4</f>
        <v>3.96</v>
      </c>
      <c r="G4" s="297">
        <f>'6-μεταγρ'!Q4</f>
        <v>0</v>
      </c>
      <c r="H4" s="297">
        <f>'7-προςΔΟΥ'!V4</f>
        <v>956.17000000000007</v>
      </c>
      <c r="I4" s="265">
        <f>'7-προςΔΟΥ'!K4</f>
        <v>0</v>
      </c>
      <c r="J4" s="297">
        <f>10+10+9*10</f>
        <v>110</v>
      </c>
      <c r="K4" s="297"/>
      <c r="L4" s="297"/>
      <c r="M4" s="297"/>
      <c r="N4" s="297">
        <v>30</v>
      </c>
      <c r="O4" s="297">
        <v>10</v>
      </c>
      <c r="P4" s="297"/>
      <c r="Q4" s="297"/>
      <c r="R4" s="297"/>
      <c r="S4" s="297">
        <v>10</v>
      </c>
      <c r="T4" s="297">
        <v>10</v>
      </c>
      <c r="U4" s="297"/>
      <c r="V4" s="297"/>
      <c r="W4" s="297"/>
      <c r="X4" s="297">
        <f>25+25+9*10</f>
        <v>140</v>
      </c>
      <c r="Y4" s="297">
        <f>25+25+10</f>
        <v>60</v>
      </c>
      <c r="Z4" s="415">
        <f>10+10+10</f>
        <v>30</v>
      </c>
      <c r="AA4" s="415">
        <v>2</v>
      </c>
      <c r="AB4" s="297"/>
      <c r="AC4" s="297"/>
      <c r="AD4" s="415"/>
      <c r="AE4" s="415"/>
      <c r="AF4" s="415">
        <v>450</v>
      </c>
      <c r="AG4" s="297">
        <f t="shared" ref="AG4:AG9" si="8">SUM(J4:AF4)</f>
        <v>852</v>
      </c>
      <c r="AH4" s="415"/>
      <c r="AI4" s="297">
        <v>30</v>
      </c>
      <c r="AJ4" s="297">
        <v>30</v>
      </c>
      <c r="AK4" s="297">
        <v>30</v>
      </c>
      <c r="AL4" s="297"/>
      <c r="AM4" s="297"/>
      <c r="AN4" s="297"/>
      <c r="AO4" s="297"/>
      <c r="AP4" s="297"/>
      <c r="AQ4" s="297">
        <v>30</v>
      </c>
      <c r="AR4" s="297"/>
      <c r="AS4" s="297"/>
      <c r="AT4" s="297"/>
      <c r="AU4" s="415"/>
      <c r="AV4" s="415"/>
      <c r="AW4" s="297">
        <f t="shared" ref="AW4:AW9" si="9">SUM(AI4:AV4)</f>
        <v>120</v>
      </c>
      <c r="AX4" s="297">
        <f>3*10+10</f>
        <v>40</v>
      </c>
      <c r="AY4" s="415"/>
      <c r="AZ4" s="297">
        <f>3*10+10</f>
        <v>40</v>
      </c>
      <c r="BA4" s="415"/>
      <c r="BB4" s="415">
        <v>10</v>
      </c>
      <c r="BC4" s="297">
        <f t="shared" ref="BC4:BC9" si="10">SUM(AX4:BB4)</f>
        <v>90</v>
      </c>
      <c r="BD4" s="415"/>
      <c r="BE4" s="415"/>
      <c r="BF4" s="297"/>
      <c r="BG4" s="415">
        <f t="shared" ref="BG4:BG9" si="11">SUM(BD4:BF4)</f>
        <v>0</v>
      </c>
      <c r="BH4" s="415"/>
      <c r="BI4" s="415"/>
      <c r="BJ4" s="415"/>
      <c r="BK4" s="415"/>
      <c r="BL4" s="415"/>
      <c r="BM4" s="415"/>
      <c r="BN4" s="415"/>
      <c r="BO4" s="297"/>
      <c r="BP4" s="297">
        <v>0.3</v>
      </c>
      <c r="BQ4" s="297">
        <v>0.9</v>
      </c>
      <c r="BR4" s="297">
        <f t="shared" ref="BR4:BR9" si="12">SUM(BH4:BQ4)</f>
        <v>1.2</v>
      </c>
      <c r="BS4" s="297"/>
      <c r="BT4" s="297"/>
      <c r="BU4" s="297"/>
      <c r="BV4" s="297"/>
      <c r="BW4" s="297"/>
      <c r="BX4" s="297">
        <f t="shared" ref="BX4:BX9" si="13">SUM(BS4:BW4)</f>
        <v>0</v>
      </c>
      <c r="BY4" s="413">
        <f t="shared" ref="BY4:BY9" si="14">C4+E4+G4+H4+AG4+AW4+BC4+BG4+BR4+BX4-BZ4</f>
        <v>2087.41</v>
      </c>
      <c r="BZ4" s="413">
        <f t="shared" ref="BZ4:BZ9" si="15">D4+F4+I4+BW4</f>
        <v>6.96</v>
      </c>
      <c r="CA4" s="416">
        <f t="shared" ref="CA4:CA9" si="16">BY4*16%</f>
        <v>333.98559999999998</v>
      </c>
    </row>
    <row r="5" spans="1:79" s="5" customFormat="1">
      <c r="A5" s="508">
        <f>'1-συμβολαια'!A5</f>
        <v>0</v>
      </c>
      <c r="B5" s="402" t="str">
        <f>'1-συμβολαια'!C5</f>
        <v>χρησικτησία αγροτεμαχίων 1,2,3  = 19?? ΑΝΑΔΑΣΜΟΣ</v>
      </c>
      <c r="C5" s="414">
        <f>'5-αντίγρ'!AN5</f>
        <v>0</v>
      </c>
      <c r="D5" s="414">
        <f>'5-αντίγρ'!AM5</f>
        <v>0</v>
      </c>
      <c r="E5" s="297">
        <f>'6-μεταγρ'!P5</f>
        <v>0</v>
      </c>
      <c r="F5" s="297">
        <f>'6-μεταγρ'!N5</f>
        <v>0</v>
      </c>
      <c r="G5" s="297">
        <f>'6-μεταγρ'!Q5</f>
        <v>0</v>
      </c>
      <c r="H5" s="297">
        <f>'7-προςΔΟΥ'!V5</f>
        <v>325.88</v>
      </c>
      <c r="I5" s="265">
        <f>'7-προςΔΟΥ'!K5</f>
        <v>0</v>
      </c>
      <c r="J5" s="297"/>
      <c r="K5" s="297"/>
      <c r="L5" s="297"/>
      <c r="M5" s="297"/>
      <c r="N5" s="297"/>
      <c r="O5" s="297"/>
      <c r="P5" s="297"/>
      <c r="Q5" s="297"/>
      <c r="R5" s="297"/>
      <c r="S5" s="297"/>
      <c r="T5" s="297"/>
      <c r="U5" s="297"/>
      <c r="V5" s="297"/>
      <c r="W5" s="297"/>
      <c r="X5" s="297"/>
      <c r="Y5" s="297"/>
      <c r="Z5" s="415"/>
      <c r="AA5" s="415"/>
      <c r="AB5" s="297"/>
      <c r="AC5" s="297"/>
      <c r="AD5" s="415"/>
      <c r="AE5" s="415"/>
      <c r="AF5" s="415"/>
      <c r="AG5" s="297">
        <f t="shared" si="8"/>
        <v>0</v>
      </c>
      <c r="AH5" s="415"/>
      <c r="AI5" s="297"/>
      <c r="AJ5" s="297"/>
      <c r="AK5" s="297"/>
      <c r="AL5" s="297"/>
      <c r="AM5" s="297"/>
      <c r="AN5" s="297"/>
      <c r="AO5" s="297"/>
      <c r="AP5" s="297"/>
      <c r="AQ5" s="297"/>
      <c r="AR5" s="297"/>
      <c r="AS5" s="297"/>
      <c r="AT5" s="297"/>
      <c r="AU5" s="415"/>
      <c r="AV5" s="415"/>
      <c r="AW5" s="297">
        <f t="shared" si="9"/>
        <v>0</v>
      </c>
      <c r="AX5" s="297"/>
      <c r="AY5" s="415"/>
      <c r="AZ5" s="297"/>
      <c r="BA5" s="415"/>
      <c r="BB5" s="415"/>
      <c r="BC5" s="297">
        <f t="shared" si="10"/>
        <v>0</v>
      </c>
      <c r="BD5" s="415"/>
      <c r="BE5" s="415"/>
      <c r="BF5" s="297"/>
      <c r="BG5" s="415">
        <f t="shared" si="11"/>
        <v>0</v>
      </c>
      <c r="BH5" s="415"/>
      <c r="BI5" s="415"/>
      <c r="BJ5" s="415"/>
      <c r="BK5" s="415"/>
      <c r="BL5" s="415"/>
      <c r="BM5" s="415"/>
      <c r="BN5" s="415"/>
      <c r="BO5" s="297"/>
      <c r="BP5" s="297"/>
      <c r="BQ5" s="297"/>
      <c r="BR5" s="297">
        <f t="shared" si="12"/>
        <v>0</v>
      </c>
      <c r="BS5" s="297"/>
      <c r="BT5" s="297"/>
      <c r="BU5" s="297"/>
      <c r="BV5" s="297"/>
      <c r="BW5" s="297"/>
      <c r="BX5" s="297">
        <f t="shared" si="13"/>
        <v>0</v>
      </c>
      <c r="BY5" s="413">
        <f t="shared" si="14"/>
        <v>325.88</v>
      </c>
      <c r="BZ5" s="413">
        <f t="shared" si="15"/>
        <v>0</v>
      </c>
      <c r="CA5" s="416">
        <f t="shared" si="16"/>
        <v>52.140799999999999</v>
      </c>
    </row>
    <row r="6" spans="1:79" s="5" customFormat="1" ht="12" thickBot="1">
      <c r="A6" s="509">
        <f>'1-συμβολαια'!A6</f>
        <v>0</v>
      </c>
      <c r="B6" s="511" t="str">
        <f>'1-συμβολαια'!C6</f>
        <v>χρησικτησία αγροτεμαχίων 4,5,6,7,8,9 = 1955 πατρός ΔΩΡΕΑ άτυπος</v>
      </c>
      <c r="C6" s="612">
        <f>'5-αντίγρ'!AN6</f>
        <v>35</v>
      </c>
      <c r="D6" s="612">
        <f>'5-αντίγρ'!AM6</f>
        <v>0</v>
      </c>
      <c r="E6" s="613">
        <f>'6-μεταγρ'!P6</f>
        <v>0</v>
      </c>
      <c r="F6" s="613">
        <f>'6-μεταγρ'!N6</f>
        <v>0</v>
      </c>
      <c r="G6" s="613">
        <f>'6-μεταγρ'!Q6</f>
        <v>0</v>
      </c>
      <c r="H6" s="613">
        <f>'7-προςΔΟΥ'!V6</f>
        <v>630.29</v>
      </c>
      <c r="I6" s="614">
        <f>'7-προςΔΟΥ'!K6</f>
        <v>0</v>
      </c>
      <c r="J6" s="613"/>
      <c r="K6" s="613"/>
      <c r="L6" s="613"/>
      <c r="M6" s="613"/>
      <c r="N6" s="613"/>
      <c r="O6" s="613"/>
      <c r="P6" s="613"/>
      <c r="Q6" s="613"/>
      <c r="R6" s="613"/>
      <c r="S6" s="613"/>
      <c r="T6" s="613"/>
      <c r="U6" s="613"/>
      <c r="V6" s="613"/>
      <c r="W6" s="613"/>
      <c r="X6" s="613"/>
      <c r="Y6" s="613"/>
      <c r="Z6" s="620"/>
      <c r="AA6" s="620"/>
      <c r="AB6" s="613"/>
      <c r="AC6" s="613"/>
      <c r="AD6" s="620"/>
      <c r="AE6" s="620"/>
      <c r="AF6" s="620"/>
      <c r="AG6" s="613">
        <f t="shared" si="8"/>
        <v>0</v>
      </c>
      <c r="AH6" s="620"/>
      <c r="AI6" s="613"/>
      <c r="AJ6" s="613"/>
      <c r="AK6" s="613"/>
      <c r="AL6" s="613"/>
      <c r="AM6" s="613"/>
      <c r="AN6" s="613"/>
      <c r="AO6" s="613"/>
      <c r="AP6" s="613"/>
      <c r="AQ6" s="613"/>
      <c r="AR6" s="613"/>
      <c r="AS6" s="613"/>
      <c r="AT6" s="613"/>
      <c r="AU6" s="620"/>
      <c r="AV6" s="620"/>
      <c r="AW6" s="613">
        <f t="shared" si="9"/>
        <v>0</v>
      </c>
      <c r="AX6" s="613"/>
      <c r="AY6" s="620"/>
      <c r="AZ6" s="613"/>
      <c r="BA6" s="620"/>
      <c r="BB6" s="620"/>
      <c r="BC6" s="613">
        <f t="shared" si="10"/>
        <v>0</v>
      </c>
      <c r="BD6" s="620"/>
      <c r="BE6" s="620"/>
      <c r="BF6" s="613"/>
      <c r="BG6" s="620">
        <f t="shared" si="11"/>
        <v>0</v>
      </c>
      <c r="BH6" s="620"/>
      <c r="BI6" s="620"/>
      <c r="BJ6" s="620"/>
      <c r="BK6" s="620"/>
      <c r="BL6" s="620"/>
      <c r="BM6" s="620"/>
      <c r="BN6" s="620"/>
      <c r="BO6" s="613"/>
      <c r="BP6" s="613"/>
      <c r="BQ6" s="613"/>
      <c r="BR6" s="613">
        <f t="shared" si="12"/>
        <v>0</v>
      </c>
      <c r="BS6" s="613"/>
      <c r="BT6" s="613"/>
      <c r="BU6" s="613"/>
      <c r="BV6" s="613"/>
      <c r="BW6" s="613"/>
      <c r="BX6" s="613">
        <f t="shared" si="13"/>
        <v>0</v>
      </c>
      <c r="BY6" s="621">
        <f t="shared" si="14"/>
        <v>665.29</v>
      </c>
      <c r="BZ6" s="621">
        <f t="shared" si="15"/>
        <v>0</v>
      </c>
      <c r="CA6" s="622">
        <f t="shared" si="16"/>
        <v>106.4464</v>
      </c>
    </row>
    <row r="7" spans="1:79" s="5" customFormat="1">
      <c r="A7" s="524" t="str">
        <f>'1-συμβολαια'!A7</f>
        <v>3ο</v>
      </c>
      <c r="B7" s="402" t="str">
        <f>'1-συμβολαια'!C7</f>
        <v xml:space="preserve">γονική </v>
      </c>
      <c r="C7" s="414">
        <f>'5-αντίγρ'!AN7</f>
        <v>205</v>
      </c>
      <c r="D7" s="414">
        <f>'5-αντίγρ'!AM7</f>
        <v>3</v>
      </c>
      <c r="E7" s="297">
        <f>'6-μεταγρ'!P7</f>
        <v>0</v>
      </c>
      <c r="F7" s="297">
        <f>'6-μεταγρ'!N7</f>
        <v>3.96</v>
      </c>
      <c r="G7" s="297">
        <f>'6-μεταγρ'!Q7</f>
        <v>0</v>
      </c>
      <c r="H7" s="297">
        <f>'7-προςΔΟΥ'!V7</f>
        <v>325.88</v>
      </c>
      <c r="I7" s="265">
        <f>'7-προςΔΟΥ'!K7</f>
        <v>0</v>
      </c>
      <c r="J7" s="297">
        <f>3*10</f>
        <v>30</v>
      </c>
      <c r="K7" s="297"/>
      <c r="L7" s="297"/>
      <c r="M7" s="297"/>
      <c r="N7" s="297"/>
      <c r="O7" s="297"/>
      <c r="P7" s="297"/>
      <c r="Q7" s="297"/>
      <c r="R7" s="297"/>
      <c r="S7" s="297">
        <v>10</v>
      </c>
      <c r="T7" s="297">
        <v>10</v>
      </c>
      <c r="U7" s="297"/>
      <c r="V7" s="297"/>
      <c r="W7" s="297"/>
      <c r="X7" s="297"/>
      <c r="Y7" s="297"/>
      <c r="Z7" s="415"/>
      <c r="AA7" s="415"/>
      <c r="AB7" s="297"/>
      <c r="AC7" s="297"/>
      <c r="AD7" s="415"/>
      <c r="AE7" s="415"/>
      <c r="AF7" s="415"/>
      <c r="AG7" s="297">
        <f t="shared" si="8"/>
        <v>50</v>
      </c>
      <c r="AH7" s="415"/>
      <c r="AI7" s="297">
        <v>30</v>
      </c>
      <c r="AJ7" s="297">
        <v>30</v>
      </c>
      <c r="AK7" s="297">
        <v>30</v>
      </c>
      <c r="AL7" s="297"/>
      <c r="AM7" s="297"/>
      <c r="AN7" s="297"/>
      <c r="AO7" s="297"/>
      <c r="AP7" s="297">
        <v>20</v>
      </c>
      <c r="AQ7" s="297">
        <v>30</v>
      </c>
      <c r="AR7" s="297"/>
      <c r="AS7" s="297"/>
      <c r="AT7" s="297"/>
      <c r="AU7" s="415"/>
      <c r="AV7" s="415"/>
      <c r="AW7" s="297">
        <f t="shared" si="9"/>
        <v>140</v>
      </c>
      <c r="AX7" s="297">
        <v>30</v>
      </c>
      <c r="AY7" s="415"/>
      <c r="AZ7" s="297">
        <v>30</v>
      </c>
      <c r="BA7" s="415"/>
      <c r="BB7" s="415">
        <v>20</v>
      </c>
      <c r="BC7" s="297">
        <f t="shared" si="10"/>
        <v>80</v>
      </c>
      <c r="BD7" s="415"/>
      <c r="BE7" s="415"/>
      <c r="BF7" s="297">
        <f>10+10+10</f>
        <v>30</v>
      </c>
      <c r="BG7" s="415">
        <f t="shared" si="11"/>
        <v>30</v>
      </c>
      <c r="BH7" s="415"/>
      <c r="BI7" s="415"/>
      <c r="BJ7" s="415"/>
      <c r="BK7" s="415"/>
      <c r="BL7" s="415"/>
      <c r="BM7" s="415"/>
      <c r="BN7" s="415"/>
      <c r="BO7" s="297">
        <v>30</v>
      </c>
      <c r="BP7" s="297">
        <v>0.3</v>
      </c>
      <c r="BQ7" s="297">
        <v>0.9</v>
      </c>
      <c r="BR7" s="297">
        <f t="shared" si="12"/>
        <v>31.2</v>
      </c>
      <c r="BS7" s="297">
        <v>10</v>
      </c>
      <c r="BT7" s="297">
        <v>10</v>
      </c>
      <c r="BU7" s="297">
        <v>45</v>
      </c>
      <c r="BV7" s="297"/>
      <c r="BW7" s="297">
        <v>8.44</v>
      </c>
      <c r="BX7" s="297">
        <f t="shared" si="13"/>
        <v>73.44</v>
      </c>
      <c r="BY7" s="413">
        <f t="shared" si="14"/>
        <v>920.12</v>
      </c>
      <c r="BZ7" s="413">
        <f t="shared" si="15"/>
        <v>15.399999999999999</v>
      </c>
      <c r="CA7" s="416">
        <f t="shared" si="16"/>
        <v>147.2192</v>
      </c>
    </row>
    <row r="8" spans="1:79" s="5" customFormat="1" ht="12" thickBot="1">
      <c r="A8" s="525">
        <f>'1-συμβολαια'!A8</f>
        <v>0</v>
      </c>
      <c r="B8" s="511" t="str">
        <f>'1-συμβολαια'!C8</f>
        <v>δωρεά</v>
      </c>
      <c r="C8" s="612">
        <f>'5-αντίγρ'!AN8</f>
        <v>45</v>
      </c>
      <c r="D8" s="612">
        <f>'5-αντίγρ'!AM8</f>
        <v>0</v>
      </c>
      <c r="E8" s="613">
        <f>'6-μεταγρ'!P8</f>
        <v>0</v>
      </c>
      <c r="F8" s="613">
        <f>'6-μεταγρ'!N8</f>
        <v>3.96</v>
      </c>
      <c r="G8" s="613">
        <f>'6-μεταγρ'!Q8</f>
        <v>0</v>
      </c>
      <c r="H8" s="613">
        <f>'7-προςΔΟΥ'!V8</f>
        <v>325.88</v>
      </c>
      <c r="I8" s="614">
        <f>'7-προςΔΟΥ'!K8</f>
        <v>0</v>
      </c>
      <c r="J8" s="613">
        <f t="shared" ref="J8:J11" si="17">3*10</f>
        <v>30</v>
      </c>
      <c r="K8" s="613"/>
      <c r="L8" s="613"/>
      <c r="M8" s="613"/>
      <c r="N8" s="613"/>
      <c r="O8" s="613"/>
      <c r="P8" s="613"/>
      <c r="Q8" s="613"/>
      <c r="R8" s="613"/>
      <c r="S8" s="613">
        <v>10</v>
      </c>
      <c r="T8" s="613">
        <v>10</v>
      </c>
      <c r="U8" s="613"/>
      <c r="V8" s="613"/>
      <c r="W8" s="613"/>
      <c r="X8" s="613"/>
      <c r="Y8" s="613"/>
      <c r="Z8" s="620"/>
      <c r="AA8" s="620"/>
      <c r="AB8" s="613"/>
      <c r="AC8" s="613"/>
      <c r="AD8" s="620"/>
      <c r="AE8" s="620"/>
      <c r="AF8" s="620"/>
      <c r="AG8" s="613">
        <f t="shared" si="8"/>
        <v>50</v>
      </c>
      <c r="AH8" s="620"/>
      <c r="AI8" s="613"/>
      <c r="AJ8" s="613"/>
      <c r="AK8" s="613"/>
      <c r="AL8" s="613"/>
      <c r="AM8" s="613"/>
      <c r="AN8" s="613"/>
      <c r="AO8" s="613"/>
      <c r="AP8" s="613"/>
      <c r="AQ8" s="613"/>
      <c r="AR8" s="613"/>
      <c r="AS8" s="613"/>
      <c r="AT8" s="613"/>
      <c r="AU8" s="620"/>
      <c r="AV8" s="620"/>
      <c r="AW8" s="613">
        <f t="shared" si="9"/>
        <v>0</v>
      </c>
      <c r="AX8" s="613"/>
      <c r="AY8" s="620"/>
      <c r="AZ8" s="613"/>
      <c r="BA8" s="620"/>
      <c r="BB8" s="620"/>
      <c r="BC8" s="613">
        <f t="shared" si="10"/>
        <v>0</v>
      </c>
      <c r="BD8" s="620"/>
      <c r="BE8" s="620"/>
      <c r="BF8" s="613"/>
      <c r="BG8" s="620">
        <f t="shared" si="11"/>
        <v>0</v>
      </c>
      <c r="BH8" s="620"/>
      <c r="BI8" s="620"/>
      <c r="BJ8" s="620"/>
      <c r="BK8" s="620"/>
      <c r="BL8" s="620"/>
      <c r="BM8" s="620"/>
      <c r="BN8" s="620"/>
      <c r="BO8" s="613">
        <v>30</v>
      </c>
      <c r="BP8" s="613"/>
      <c r="BQ8" s="613"/>
      <c r="BR8" s="613">
        <f t="shared" si="12"/>
        <v>30</v>
      </c>
      <c r="BS8" s="613"/>
      <c r="BT8" s="613"/>
      <c r="BU8" s="613"/>
      <c r="BV8" s="613"/>
      <c r="BW8" s="613"/>
      <c r="BX8" s="613">
        <f t="shared" si="13"/>
        <v>0</v>
      </c>
      <c r="BY8" s="621">
        <f t="shared" si="14"/>
        <v>446.92</v>
      </c>
      <c r="BZ8" s="621">
        <f t="shared" si="15"/>
        <v>3.96</v>
      </c>
      <c r="CA8" s="622">
        <f t="shared" si="16"/>
        <v>71.507199999999997</v>
      </c>
    </row>
    <row r="9" spans="1:79" s="5" customFormat="1">
      <c r="A9" s="508" t="str">
        <f>'1-συμβολαια'!A9</f>
        <v>4ο</v>
      </c>
      <c r="B9" s="402" t="str">
        <f>'1-συμβολαια'!C9</f>
        <v xml:space="preserve">γονική </v>
      </c>
      <c r="C9" s="414">
        <f>'5-αντίγρ'!AN9</f>
        <v>180</v>
      </c>
      <c r="D9" s="414">
        <f>'5-αντίγρ'!AM9</f>
        <v>3</v>
      </c>
      <c r="E9" s="297">
        <f>'6-μεταγρ'!P9</f>
        <v>0</v>
      </c>
      <c r="F9" s="297">
        <f>'6-μεταγρ'!N9</f>
        <v>3.96</v>
      </c>
      <c r="G9" s="297">
        <f>'6-μεταγρ'!Q9</f>
        <v>0</v>
      </c>
      <c r="H9" s="297">
        <f>'7-προςΔΟΥ'!V9</f>
        <v>224.41</v>
      </c>
      <c r="I9" s="265">
        <f>'7-προςΔΟΥ'!K9</f>
        <v>0</v>
      </c>
      <c r="J9" s="297">
        <f>2*10</f>
        <v>20</v>
      </c>
      <c r="K9" s="297"/>
      <c r="L9" s="297"/>
      <c r="M9" s="297"/>
      <c r="N9" s="297"/>
      <c r="O9" s="297"/>
      <c r="P9" s="297"/>
      <c r="Q9" s="297"/>
      <c r="R9" s="297"/>
      <c r="S9" s="297">
        <v>10</v>
      </c>
      <c r="T9" s="297">
        <v>10</v>
      </c>
      <c r="U9" s="297"/>
      <c r="V9" s="297"/>
      <c r="W9" s="297"/>
      <c r="X9" s="297"/>
      <c r="Y9" s="297"/>
      <c r="Z9" s="415"/>
      <c r="AA9" s="415"/>
      <c r="AB9" s="297"/>
      <c r="AC9" s="297"/>
      <c r="AD9" s="415"/>
      <c r="AE9" s="415"/>
      <c r="AF9" s="415"/>
      <c r="AG9" s="297">
        <f t="shared" si="8"/>
        <v>40</v>
      </c>
      <c r="AH9" s="415"/>
      <c r="AI9" s="297">
        <v>30</v>
      </c>
      <c r="AJ9" s="297">
        <v>30</v>
      </c>
      <c r="AK9" s="297">
        <v>30</v>
      </c>
      <c r="AL9" s="297"/>
      <c r="AM9" s="297"/>
      <c r="AN9" s="297"/>
      <c r="AO9" s="297"/>
      <c r="AP9" s="297">
        <v>20</v>
      </c>
      <c r="AQ9" s="297">
        <v>30</v>
      </c>
      <c r="AR9" s="297"/>
      <c r="AS9" s="297"/>
      <c r="AT9" s="297"/>
      <c r="AU9" s="415"/>
      <c r="AV9" s="415"/>
      <c r="AW9" s="297">
        <f t="shared" si="9"/>
        <v>140</v>
      </c>
      <c r="AX9" s="297">
        <v>30</v>
      </c>
      <c r="AY9" s="415"/>
      <c r="AZ9" s="297">
        <v>30</v>
      </c>
      <c r="BA9" s="415"/>
      <c r="BB9" s="415">
        <v>20</v>
      </c>
      <c r="BC9" s="297">
        <f t="shared" si="10"/>
        <v>80</v>
      </c>
      <c r="BD9" s="415"/>
      <c r="BE9" s="415"/>
      <c r="BF9" s="297">
        <v>20</v>
      </c>
      <c r="BG9" s="415">
        <f t="shared" si="11"/>
        <v>20</v>
      </c>
      <c r="BH9" s="415"/>
      <c r="BI9" s="415"/>
      <c r="BJ9" s="415"/>
      <c r="BK9" s="415"/>
      <c r="BL9" s="415"/>
      <c r="BM9" s="415"/>
      <c r="BN9" s="415"/>
      <c r="BO9" s="297">
        <v>20</v>
      </c>
      <c r="BP9" s="297">
        <v>0.3</v>
      </c>
      <c r="BQ9" s="297">
        <v>0.9</v>
      </c>
      <c r="BR9" s="297">
        <f t="shared" si="12"/>
        <v>21.2</v>
      </c>
      <c r="BS9" s="297">
        <v>10</v>
      </c>
      <c r="BT9" s="297">
        <v>10</v>
      </c>
      <c r="BU9" s="297">
        <v>40</v>
      </c>
      <c r="BV9" s="297"/>
      <c r="BW9" s="297">
        <v>8.44</v>
      </c>
      <c r="BX9" s="297">
        <f t="shared" si="13"/>
        <v>68.44</v>
      </c>
      <c r="BY9" s="413">
        <f t="shared" si="14"/>
        <v>758.65</v>
      </c>
      <c r="BZ9" s="413">
        <f t="shared" si="15"/>
        <v>15.399999999999999</v>
      </c>
      <c r="CA9" s="416">
        <f t="shared" si="16"/>
        <v>121.384</v>
      </c>
    </row>
    <row r="10" spans="1:79" s="5" customFormat="1" ht="12" thickBot="1">
      <c r="A10" s="509">
        <f>'1-συμβολαια'!A10</f>
        <v>0</v>
      </c>
      <c r="B10" s="511" t="str">
        <f>'1-συμβολαια'!C10</f>
        <v>δωρεά</v>
      </c>
      <c r="C10" s="612">
        <f>'5-αντίγρ'!AN10</f>
        <v>30</v>
      </c>
      <c r="D10" s="612">
        <f>'5-αντίγρ'!AM10</f>
        <v>0</v>
      </c>
      <c r="E10" s="613">
        <f>'6-μεταγρ'!P10</f>
        <v>0</v>
      </c>
      <c r="F10" s="613">
        <f>'6-μεταγρ'!N10</f>
        <v>3.96</v>
      </c>
      <c r="G10" s="613">
        <f>'6-μεταγρ'!Q10</f>
        <v>0</v>
      </c>
      <c r="H10" s="613">
        <f>'7-προςΔΟΥ'!V10</f>
        <v>224.41</v>
      </c>
      <c r="I10" s="614">
        <f>'7-προςΔΟΥ'!K10</f>
        <v>0</v>
      </c>
      <c r="J10" s="613">
        <f>2*10</f>
        <v>20</v>
      </c>
      <c r="K10" s="613"/>
      <c r="L10" s="613"/>
      <c r="M10" s="613"/>
      <c r="N10" s="613"/>
      <c r="O10" s="613"/>
      <c r="P10" s="613"/>
      <c r="Q10" s="613"/>
      <c r="R10" s="613"/>
      <c r="S10" s="613">
        <v>10</v>
      </c>
      <c r="T10" s="613">
        <v>10</v>
      </c>
      <c r="U10" s="613"/>
      <c r="V10" s="613"/>
      <c r="W10" s="613"/>
      <c r="X10" s="613"/>
      <c r="Y10" s="613"/>
      <c r="Z10" s="620"/>
      <c r="AA10" s="620"/>
      <c r="AB10" s="613"/>
      <c r="AC10" s="613"/>
      <c r="AD10" s="620"/>
      <c r="AE10" s="620"/>
      <c r="AF10" s="620"/>
      <c r="AG10" s="613">
        <f t="shared" ref="AG10:AG13" si="18">SUM(J10:AF10)</f>
        <v>40</v>
      </c>
      <c r="AH10" s="620"/>
      <c r="AI10" s="613"/>
      <c r="AJ10" s="613"/>
      <c r="AK10" s="613"/>
      <c r="AL10" s="613"/>
      <c r="AM10" s="613"/>
      <c r="AN10" s="613"/>
      <c r="AO10" s="613"/>
      <c r="AP10" s="613"/>
      <c r="AQ10" s="613"/>
      <c r="AR10" s="613"/>
      <c r="AS10" s="613"/>
      <c r="AT10" s="613"/>
      <c r="AU10" s="620"/>
      <c r="AV10" s="620"/>
      <c r="AW10" s="613">
        <f t="shared" ref="AW10:AW13" si="19">SUM(AI10:AV10)</f>
        <v>0</v>
      </c>
      <c r="AX10" s="613"/>
      <c r="AY10" s="620"/>
      <c r="AZ10" s="613"/>
      <c r="BA10" s="620"/>
      <c r="BB10" s="620"/>
      <c r="BC10" s="613">
        <f t="shared" ref="BC10:BC13" si="20">SUM(AX10:BB10)</f>
        <v>0</v>
      </c>
      <c r="BD10" s="620"/>
      <c r="BE10" s="620"/>
      <c r="BF10" s="613"/>
      <c r="BG10" s="620">
        <f t="shared" ref="BG10:BG13" si="21">SUM(BD10:BF10)</f>
        <v>0</v>
      </c>
      <c r="BH10" s="620"/>
      <c r="BI10" s="620"/>
      <c r="BJ10" s="620"/>
      <c r="BK10" s="620"/>
      <c r="BL10" s="620"/>
      <c r="BM10" s="620"/>
      <c r="BN10" s="620"/>
      <c r="BO10" s="613">
        <v>20</v>
      </c>
      <c r="BP10" s="613"/>
      <c r="BQ10" s="613"/>
      <c r="BR10" s="613">
        <f t="shared" ref="BR10:BR13" si="22">SUM(BH10:BQ10)</f>
        <v>20</v>
      </c>
      <c r="BS10" s="613"/>
      <c r="BT10" s="613"/>
      <c r="BU10" s="613"/>
      <c r="BV10" s="613"/>
      <c r="BW10" s="613"/>
      <c r="BX10" s="613">
        <f t="shared" ref="BX10:BX13" si="23">SUM(BS10:BW10)</f>
        <v>0</v>
      </c>
      <c r="BY10" s="621">
        <f t="shared" ref="BY10:BY13" si="24">C10+E10+G10+H10+AG10+AW10+BC10+BG10+BR10+BX10-BZ10</f>
        <v>310.45</v>
      </c>
      <c r="BZ10" s="621">
        <f t="shared" ref="BZ10:BZ13" si="25">D10+F10+I10+BW10</f>
        <v>3.96</v>
      </c>
      <c r="CA10" s="622">
        <f t="shared" ref="CA10:CA13" si="26">BY10*16%</f>
        <v>49.671999999999997</v>
      </c>
    </row>
    <row r="11" spans="1:79" s="5" customFormat="1" ht="12" thickBot="1">
      <c r="A11" s="615" t="str">
        <f>'1-συμβολαια'!A11</f>
        <v>5ο</v>
      </c>
      <c r="B11" s="616" t="str">
        <f>'1-συμβολαια'!C11</f>
        <v>δωρεά</v>
      </c>
      <c r="C11" s="609">
        <f>'5-αντίγρ'!AN11</f>
        <v>175</v>
      </c>
      <c r="D11" s="609">
        <f>'5-αντίγρ'!AM11</f>
        <v>3</v>
      </c>
      <c r="E11" s="610">
        <f>'6-μεταγρ'!P11</f>
        <v>0</v>
      </c>
      <c r="F11" s="610">
        <f>'6-μεταγρ'!N11</f>
        <v>1.98</v>
      </c>
      <c r="G11" s="610">
        <f>'6-μεταγρ'!Q11</f>
        <v>0</v>
      </c>
      <c r="H11" s="610">
        <f>'7-προςΔΟΥ'!V11</f>
        <v>325.88</v>
      </c>
      <c r="I11" s="611">
        <f>'7-προςΔΟΥ'!K11</f>
        <v>0</v>
      </c>
      <c r="J11" s="610">
        <f t="shared" si="17"/>
        <v>30</v>
      </c>
      <c r="K11" s="610"/>
      <c r="L11" s="610"/>
      <c r="M11" s="610"/>
      <c r="N11" s="610"/>
      <c r="O11" s="610"/>
      <c r="P11" s="610"/>
      <c r="Q11" s="610"/>
      <c r="R11" s="610"/>
      <c r="S11" s="610">
        <v>10</v>
      </c>
      <c r="T11" s="610">
        <v>10</v>
      </c>
      <c r="U11" s="610"/>
      <c r="V11" s="610"/>
      <c r="W11" s="610"/>
      <c r="X11" s="610"/>
      <c r="Y11" s="610"/>
      <c r="Z11" s="623"/>
      <c r="AA11" s="623"/>
      <c r="AB11" s="610"/>
      <c r="AC11" s="610"/>
      <c r="AD11" s="623"/>
      <c r="AE11" s="623"/>
      <c r="AF11" s="623"/>
      <c r="AG11" s="610">
        <f t="shared" si="18"/>
        <v>50</v>
      </c>
      <c r="AH11" s="623"/>
      <c r="AI11" s="610">
        <v>30</v>
      </c>
      <c r="AJ11" s="610">
        <v>30</v>
      </c>
      <c r="AK11" s="610">
        <v>30</v>
      </c>
      <c r="AL11" s="610"/>
      <c r="AM11" s="610"/>
      <c r="AN11" s="610"/>
      <c r="AO11" s="610"/>
      <c r="AP11" s="610">
        <v>20</v>
      </c>
      <c r="AQ11" s="610">
        <v>30</v>
      </c>
      <c r="AR11" s="610"/>
      <c r="AS11" s="610"/>
      <c r="AT11" s="610"/>
      <c r="AU11" s="623"/>
      <c r="AV11" s="623"/>
      <c r="AW11" s="610">
        <f t="shared" si="19"/>
        <v>140</v>
      </c>
      <c r="AX11" s="610">
        <v>30</v>
      </c>
      <c r="AY11" s="623"/>
      <c r="AZ11" s="610">
        <v>30</v>
      </c>
      <c r="BA11" s="623"/>
      <c r="BB11" s="623">
        <v>20</v>
      </c>
      <c r="BC11" s="610">
        <f t="shared" si="20"/>
        <v>80</v>
      </c>
      <c r="BD11" s="623"/>
      <c r="BE11" s="623"/>
      <c r="BF11" s="610">
        <v>20</v>
      </c>
      <c r="BG11" s="623">
        <f t="shared" si="21"/>
        <v>20</v>
      </c>
      <c r="BH11" s="623"/>
      <c r="BI11" s="623"/>
      <c r="BJ11" s="623"/>
      <c r="BK11" s="623"/>
      <c r="BL11" s="623"/>
      <c r="BM11" s="623"/>
      <c r="BN11" s="623"/>
      <c r="BO11" s="610">
        <v>30</v>
      </c>
      <c r="BP11" s="610">
        <v>0.3</v>
      </c>
      <c r="BQ11" s="610">
        <v>0.9</v>
      </c>
      <c r="BR11" s="610">
        <f t="shared" si="22"/>
        <v>31.2</v>
      </c>
      <c r="BS11" s="610">
        <v>10</v>
      </c>
      <c r="BT11" s="610">
        <v>10</v>
      </c>
      <c r="BU11" s="610">
        <v>30</v>
      </c>
      <c r="BV11" s="610"/>
      <c r="BW11" s="610">
        <v>8.44</v>
      </c>
      <c r="BX11" s="610">
        <f t="shared" si="23"/>
        <v>58.44</v>
      </c>
      <c r="BY11" s="624">
        <f t="shared" si="24"/>
        <v>867.1</v>
      </c>
      <c r="BZ11" s="624">
        <f t="shared" si="25"/>
        <v>13.42</v>
      </c>
      <c r="CA11" s="625">
        <f t="shared" si="26"/>
        <v>138.73600000000002</v>
      </c>
    </row>
    <row r="12" spans="1:79" s="5" customFormat="1">
      <c r="A12" s="508" t="str">
        <f>'1-συμβολαια'!A12</f>
        <v>6ο</v>
      </c>
      <c r="B12" s="402" t="str">
        <f>'1-συμβολαια'!C12</f>
        <v xml:space="preserve">γονική </v>
      </c>
      <c r="C12" s="414">
        <f>'5-αντίγρ'!AN12</f>
        <v>165</v>
      </c>
      <c r="D12" s="414">
        <f>'5-αντίγρ'!AM12</f>
        <v>3</v>
      </c>
      <c r="E12" s="297">
        <f>'6-μεταγρ'!P12</f>
        <v>0</v>
      </c>
      <c r="F12" s="297">
        <f>'6-μεταγρ'!N12</f>
        <v>3.96</v>
      </c>
      <c r="G12" s="297">
        <f>'6-μεταγρ'!Q12</f>
        <v>0</v>
      </c>
      <c r="H12" s="297">
        <f>'7-προςΔΟΥ'!V12</f>
        <v>174.41</v>
      </c>
      <c r="I12" s="265">
        <f>'7-προςΔΟΥ'!K12</f>
        <v>0</v>
      </c>
      <c r="J12" s="297">
        <v>10</v>
      </c>
      <c r="K12" s="297"/>
      <c r="L12" s="297"/>
      <c r="M12" s="297"/>
      <c r="N12" s="297"/>
      <c r="O12" s="297"/>
      <c r="P12" s="297"/>
      <c r="Q12" s="297"/>
      <c r="R12" s="297"/>
      <c r="S12" s="297">
        <v>10</v>
      </c>
      <c r="T12" s="297">
        <v>10</v>
      </c>
      <c r="U12" s="297"/>
      <c r="V12" s="297"/>
      <c r="W12" s="297"/>
      <c r="X12" s="297"/>
      <c r="Y12" s="297"/>
      <c r="Z12" s="415"/>
      <c r="AA12" s="415"/>
      <c r="AB12" s="297"/>
      <c r="AC12" s="297"/>
      <c r="AD12" s="415"/>
      <c r="AE12" s="415"/>
      <c r="AF12" s="415"/>
      <c r="AG12" s="297">
        <f t="shared" si="18"/>
        <v>30</v>
      </c>
      <c r="AH12" s="415"/>
      <c r="AI12" s="297">
        <v>30</v>
      </c>
      <c r="AJ12" s="297">
        <v>30</v>
      </c>
      <c r="AK12" s="297">
        <v>30</v>
      </c>
      <c r="AL12" s="297"/>
      <c r="AM12" s="297"/>
      <c r="AN12" s="297"/>
      <c r="AO12" s="297"/>
      <c r="AP12" s="297">
        <v>20</v>
      </c>
      <c r="AQ12" s="297">
        <v>30</v>
      </c>
      <c r="AR12" s="297"/>
      <c r="AS12" s="297"/>
      <c r="AT12" s="297"/>
      <c r="AU12" s="415"/>
      <c r="AV12" s="415"/>
      <c r="AW12" s="297">
        <f t="shared" si="19"/>
        <v>140</v>
      </c>
      <c r="AX12" s="297">
        <v>30</v>
      </c>
      <c r="AY12" s="415"/>
      <c r="AZ12" s="297">
        <v>30</v>
      </c>
      <c r="BA12" s="415"/>
      <c r="BB12" s="415">
        <v>20</v>
      </c>
      <c r="BC12" s="297">
        <f t="shared" si="20"/>
        <v>80</v>
      </c>
      <c r="BD12" s="415"/>
      <c r="BE12" s="415"/>
      <c r="BF12" s="297">
        <v>20</v>
      </c>
      <c r="BG12" s="415">
        <f t="shared" si="21"/>
        <v>20</v>
      </c>
      <c r="BH12" s="415"/>
      <c r="BI12" s="415"/>
      <c r="BJ12" s="415"/>
      <c r="BK12" s="415"/>
      <c r="BL12" s="415"/>
      <c r="BM12" s="415"/>
      <c r="BN12" s="415"/>
      <c r="BO12" s="297">
        <v>10</v>
      </c>
      <c r="BP12" s="297">
        <v>0.3</v>
      </c>
      <c r="BQ12" s="297">
        <v>0.9</v>
      </c>
      <c r="BR12" s="297">
        <f t="shared" si="22"/>
        <v>11.200000000000001</v>
      </c>
      <c r="BS12" s="297">
        <v>10</v>
      </c>
      <c r="BT12" s="297">
        <v>10</v>
      </c>
      <c r="BU12" s="297">
        <v>40</v>
      </c>
      <c r="BV12" s="297"/>
      <c r="BW12" s="297">
        <v>8.44</v>
      </c>
      <c r="BX12" s="297">
        <f t="shared" si="23"/>
        <v>68.44</v>
      </c>
      <c r="BY12" s="413">
        <f t="shared" si="24"/>
        <v>673.65</v>
      </c>
      <c r="BZ12" s="413">
        <f t="shared" si="25"/>
        <v>15.399999999999999</v>
      </c>
      <c r="CA12" s="416">
        <f t="shared" si="26"/>
        <v>107.78399999999999</v>
      </c>
    </row>
    <row r="13" spans="1:79" s="5" customFormat="1" ht="12" thickBot="1">
      <c r="A13" s="509">
        <f>'1-συμβολαια'!A13</f>
        <v>0</v>
      </c>
      <c r="B13" s="511" t="str">
        <f>'1-συμβολαια'!C13</f>
        <v>δωρεά</v>
      </c>
      <c r="C13" s="612">
        <f>'5-αντίγρ'!AN13</f>
        <v>15</v>
      </c>
      <c r="D13" s="612">
        <f>'5-αντίγρ'!AM13</f>
        <v>0</v>
      </c>
      <c r="E13" s="613">
        <f>'6-μεταγρ'!P13</f>
        <v>0</v>
      </c>
      <c r="F13" s="613">
        <f>'6-μεταγρ'!N13</f>
        <v>3.96</v>
      </c>
      <c r="G13" s="613">
        <f>'6-μεταγρ'!Q13</f>
        <v>0</v>
      </c>
      <c r="H13" s="613">
        <f>'7-προςΔΟΥ'!V13</f>
        <v>174.41</v>
      </c>
      <c r="I13" s="614">
        <f>'7-προςΔΟΥ'!K13</f>
        <v>0</v>
      </c>
      <c r="J13" s="613">
        <v>10</v>
      </c>
      <c r="K13" s="613"/>
      <c r="L13" s="613"/>
      <c r="M13" s="613"/>
      <c r="N13" s="613"/>
      <c r="O13" s="613"/>
      <c r="P13" s="613"/>
      <c r="Q13" s="613"/>
      <c r="R13" s="613"/>
      <c r="S13" s="613">
        <v>10</v>
      </c>
      <c r="T13" s="613">
        <v>10</v>
      </c>
      <c r="U13" s="613"/>
      <c r="V13" s="613"/>
      <c r="W13" s="613"/>
      <c r="X13" s="613"/>
      <c r="Y13" s="613"/>
      <c r="Z13" s="620"/>
      <c r="AA13" s="620"/>
      <c r="AB13" s="613"/>
      <c r="AC13" s="613"/>
      <c r="AD13" s="620"/>
      <c r="AE13" s="620"/>
      <c r="AF13" s="620"/>
      <c r="AG13" s="613">
        <f t="shared" si="18"/>
        <v>30</v>
      </c>
      <c r="AH13" s="620"/>
      <c r="AI13" s="613"/>
      <c r="AJ13" s="613"/>
      <c r="AK13" s="613"/>
      <c r="AL13" s="613"/>
      <c r="AM13" s="613"/>
      <c r="AN13" s="613"/>
      <c r="AO13" s="613"/>
      <c r="AP13" s="613"/>
      <c r="AQ13" s="613"/>
      <c r="AR13" s="613"/>
      <c r="AS13" s="613"/>
      <c r="AT13" s="613"/>
      <c r="AU13" s="620"/>
      <c r="AV13" s="620"/>
      <c r="AW13" s="613">
        <f t="shared" si="19"/>
        <v>0</v>
      </c>
      <c r="AX13" s="613"/>
      <c r="AY13" s="620"/>
      <c r="AZ13" s="613"/>
      <c r="BA13" s="620"/>
      <c r="BB13" s="620"/>
      <c r="BC13" s="613">
        <f t="shared" si="20"/>
        <v>0</v>
      </c>
      <c r="BD13" s="620"/>
      <c r="BE13" s="620"/>
      <c r="BF13" s="613"/>
      <c r="BG13" s="620">
        <f t="shared" si="21"/>
        <v>0</v>
      </c>
      <c r="BH13" s="620"/>
      <c r="BI13" s="620"/>
      <c r="BJ13" s="620"/>
      <c r="BK13" s="620"/>
      <c r="BL13" s="620"/>
      <c r="BM13" s="620"/>
      <c r="BN13" s="620"/>
      <c r="BO13" s="613">
        <v>10</v>
      </c>
      <c r="BP13" s="613"/>
      <c r="BQ13" s="613"/>
      <c r="BR13" s="613">
        <f t="shared" si="22"/>
        <v>10</v>
      </c>
      <c r="BS13" s="613"/>
      <c r="BT13" s="613"/>
      <c r="BU13" s="613"/>
      <c r="BV13" s="613"/>
      <c r="BW13" s="613"/>
      <c r="BX13" s="613">
        <f t="shared" si="23"/>
        <v>0</v>
      </c>
      <c r="BY13" s="621">
        <f t="shared" si="24"/>
        <v>225.45</v>
      </c>
      <c r="BZ13" s="621">
        <f t="shared" si="25"/>
        <v>3.96</v>
      </c>
      <c r="CA13" s="622">
        <f t="shared" si="26"/>
        <v>36.071999999999996</v>
      </c>
    </row>
    <row r="14" spans="1:79">
      <c r="A14" s="651" t="s">
        <v>47</v>
      </c>
      <c r="B14" s="652"/>
      <c r="C14" s="425">
        <f t="shared" ref="C14:AG14" si="27">SUM(C3:C13)</f>
        <v>905</v>
      </c>
      <c r="D14" s="425">
        <f t="shared" si="27"/>
        <v>15</v>
      </c>
      <c r="E14" s="425">
        <f t="shared" si="27"/>
        <v>20</v>
      </c>
      <c r="F14" s="425">
        <f t="shared" si="27"/>
        <v>29.700000000000003</v>
      </c>
      <c r="G14" s="425">
        <f t="shared" si="27"/>
        <v>0</v>
      </c>
      <c r="H14" s="425">
        <f t="shared" si="27"/>
        <v>3687.62</v>
      </c>
      <c r="I14" s="425">
        <f t="shared" si="27"/>
        <v>0</v>
      </c>
      <c r="J14" s="425">
        <f t="shared" si="27"/>
        <v>260</v>
      </c>
      <c r="K14" s="425">
        <f t="shared" si="27"/>
        <v>0</v>
      </c>
      <c r="L14" s="425">
        <f t="shared" si="27"/>
        <v>0</v>
      </c>
      <c r="M14" s="425">
        <f t="shared" si="27"/>
        <v>0</v>
      </c>
      <c r="N14" s="425">
        <f t="shared" si="27"/>
        <v>30</v>
      </c>
      <c r="O14" s="425">
        <f t="shared" si="27"/>
        <v>10</v>
      </c>
      <c r="P14" s="425">
        <f t="shared" si="27"/>
        <v>0</v>
      </c>
      <c r="Q14" s="425">
        <f t="shared" si="27"/>
        <v>0</v>
      </c>
      <c r="R14" s="425">
        <f t="shared" si="27"/>
        <v>0</v>
      </c>
      <c r="S14" s="425">
        <f t="shared" si="27"/>
        <v>80</v>
      </c>
      <c r="T14" s="425">
        <f t="shared" si="27"/>
        <v>80</v>
      </c>
      <c r="U14" s="425">
        <f t="shared" si="27"/>
        <v>0</v>
      </c>
      <c r="V14" s="425">
        <f t="shared" si="27"/>
        <v>0</v>
      </c>
      <c r="W14" s="425">
        <f t="shared" si="27"/>
        <v>0</v>
      </c>
      <c r="X14" s="425">
        <f t="shared" si="27"/>
        <v>140</v>
      </c>
      <c r="Y14" s="425">
        <f t="shared" si="27"/>
        <v>60</v>
      </c>
      <c r="Z14" s="425">
        <f t="shared" si="27"/>
        <v>30</v>
      </c>
      <c r="AA14" s="425">
        <f t="shared" si="27"/>
        <v>2</v>
      </c>
      <c r="AB14" s="425">
        <f t="shared" si="27"/>
        <v>0</v>
      </c>
      <c r="AC14" s="425">
        <f t="shared" si="27"/>
        <v>0</v>
      </c>
      <c r="AD14" s="425">
        <f t="shared" si="27"/>
        <v>0</v>
      </c>
      <c r="AE14" s="425">
        <f t="shared" si="27"/>
        <v>0</v>
      </c>
      <c r="AF14" s="425">
        <f t="shared" si="27"/>
        <v>450</v>
      </c>
      <c r="AG14" s="425">
        <f t="shared" si="27"/>
        <v>1142</v>
      </c>
      <c r="AH14" s="425"/>
      <c r="AI14" s="425">
        <f t="shared" ref="AI14:AT14" si="28">SUM(AI3:AI13)</f>
        <v>150</v>
      </c>
      <c r="AJ14" s="425">
        <f t="shared" si="28"/>
        <v>150</v>
      </c>
      <c r="AK14" s="425">
        <f t="shared" si="28"/>
        <v>180</v>
      </c>
      <c r="AL14" s="425">
        <f t="shared" si="28"/>
        <v>0</v>
      </c>
      <c r="AM14" s="425">
        <f t="shared" si="28"/>
        <v>0</v>
      </c>
      <c r="AN14" s="626">
        <f t="shared" si="28"/>
        <v>0</v>
      </c>
      <c r="AO14" s="425">
        <f t="shared" si="28"/>
        <v>0</v>
      </c>
      <c r="AP14" s="425">
        <f t="shared" si="28"/>
        <v>80</v>
      </c>
      <c r="AQ14" s="425">
        <f t="shared" si="28"/>
        <v>150</v>
      </c>
      <c r="AR14" s="425">
        <f t="shared" si="28"/>
        <v>0</v>
      </c>
      <c r="AS14" s="425">
        <f t="shared" si="28"/>
        <v>0</v>
      </c>
      <c r="AT14" s="425">
        <f t="shared" si="28"/>
        <v>0</v>
      </c>
      <c r="AU14" s="425"/>
      <c r="AV14" s="425">
        <f t="shared" ref="AV14:CA14" si="29">SUM(AV3:AV13)</f>
        <v>0</v>
      </c>
      <c r="AW14" s="425">
        <f t="shared" si="29"/>
        <v>710</v>
      </c>
      <c r="AX14" s="425">
        <f t="shared" si="29"/>
        <v>160</v>
      </c>
      <c r="AY14" s="627">
        <f t="shared" si="29"/>
        <v>0</v>
      </c>
      <c r="AZ14" s="425">
        <f t="shared" si="29"/>
        <v>160</v>
      </c>
      <c r="BA14" s="627">
        <f t="shared" si="29"/>
        <v>0</v>
      </c>
      <c r="BB14" s="627">
        <f t="shared" si="29"/>
        <v>90</v>
      </c>
      <c r="BC14" s="425">
        <f t="shared" si="29"/>
        <v>410</v>
      </c>
      <c r="BD14" s="425">
        <f t="shared" si="29"/>
        <v>0</v>
      </c>
      <c r="BE14" s="627">
        <f t="shared" si="29"/>
        <v>0</v>
      </c>
      <c r="BF14" s="425">
        <f t="shared" si="29"/>
        <v>90</v>
      </c>
      <c r="BG14" s="425">
        <f t="shared" si="29"/>
        <v>90</v>
      </c>
      <c r="BH14" s="425">
        <f t="shared" si="29"/>
        <v>0</v>
      </c>
      <c r="BI14" s="425">
        <f t="shared" si="29"/>
        <v>0</v>
      </c>
      <c r="BJ14" s="425">
        <f t="shared" si="29"/>
        <v>0</v>
      </c>
      <c r="BK14" s="425">
        <f t="shared" si="29"/>
        <v>0</v>
      </c>
      <c r="BL14" s="425">
        <f t="shared" si="29"/>
        <v>0</v>
      </c>
      <c r="BM14" s="425">
        <f t="shared" si="29"/>
        <v>0</v>
      </c>
      <c r="BN14" s="425">
        <f t="shared" si="29"/>
        <v>0</v>
      </c>
      <c r="BO14" s="425">
        <f t="shared" si="29"/>
        <v>150</v>
      </c>
      <c r="BP14" s="425">
        <f t="shared" si="29"/>
        <v>1.5</v>
      </c>
      <c r="BQ14" s="425">
        <f t="shared" si="29"/>
        <v>5.4</v>
      </c>
      <c r="BR14" s="425">
        <f t="shared" si="29"/>
        <v>156.89999999999998</v>
      </c>
      <c r="BS14" s="425">
        <f t="shared" si="29"/>
        <v>40</v>
      </c>
      <c r="BT14" s="425">
        <f t="shared" si="29"/>
        <v>40</v>
      </c>
      <c r="BU14" s="425">
        <f t="shared" si="29"/>
        <v>155</v>
      </c>
      <c r="BV14" s="425">
        <f t="shared" si="29"/>
        <v>0</v>
      </c>
      <c r="BW14" s="425">
        <f t="shared" si="29"/>
        <v>33.76</v>
      </c>
      <c r="BX14" s="425">
        <f t="shared" si="29"/>
        <v>268.76</v>
      </c>
      <c r="BY14" s="425">
        <f t="shared" si="29"/>
        <v>7311.8199999999988</v>
      </c>
      <c r="BZ14" s="425">
        <f t="shared" si="29"/>
        <v>78.459999999999994</v>
      </c>
      <c r="CA14" s="425">
        <f t="shared" si="29"/>
        <v>1164.9471999999998</v>
      </c>
    </row>
    <row r="15" spans="1:79" ht="11.25" customHeight="1"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</row>
    <row r="16" spans="1:79" ht="11.25" customHeight="1">
      <c r="C16" s="125"/>
      <c r="D16" s="125"/>
      <c r="E16" s="2"/>
      <c r="F16" s="2"/>
      <c r="G16" s="2"/>
      <c r="H16" s="2"/>
      <c r="I16" s="2"/>
      <c r="J16" s="157" t="s">
        <v>489</v>
      </c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2"/>
      <c r="AH16" s="2"/>
      <c r="AI16" s="18" t="s">
        <v>413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149" t="s">
        <v>190</v>
      </c>
      <c r="AY16" s="2"/>
      <c r="AZ16" s="2"/>
      <c r="BA16" s="2"/>
      <c r="BB16" s="2"/>
      <c r="BC16" s="2"/>
      <c r="BD16" s="149" t="s">
        <v>202</v>
      </c>
      <c r="BE16" s="2"/>
      <c r="BF16" s="2"/>
      <c r="BG16" s="2"/>
      <c r="BH16" s="149" t="s">
        <v>215</v>
      </c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 t="s">
        <v>529</v>
      </c>
      <c r="BT16" s="2"/>
      <c r="BU16" s="2"/>
      <c r="BV16" s="2"/>
      <c r="BW16" s="2"/>
      <c r="BX16" s="2"/>
      <c r="BY16" s="2"/>
      <c r="BZ16" s="2"/>
    </row>
    <row r="17" spans="2:78" ht="11.25" customHeight="1">
      <c r="C17" s="125"/>
      <c r="D17" s="125"/>
      <c r="E17" s="2"/>
      <c r="F17" s="2"/>
      <c r="G17" s="2"/>
      <c r="H17" s="2"/>
      <c r="I17" s="2"/>
      <c r="J17" s="4"/>
      <c r="K17" s="299" t="s">
        <v>490</v>
      </c>
      <c r="L17" s="300"/>
      <c r="M17" s="300"/>
      <c r="N17" s="300"/>
      <c r="O17" s="300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2"/>
      <c r="AH17" s="2"/>
      <c r="AI17" s="2"/>
      <c r="AJ17" s="157" t="s">
        <v>185</v>
      </c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35" t="s">
        <v>193</v>
      </c>
      <c r="AZ17" s="2"/>
      <c r="BA17" s="2"/>
      <c r="BB17" s="2"/>
      <c r="BC17" s="2"/>
      <c r="BD17" s="2"/>
      <c r="BE17" s="234" t="s">
        <v>203</v>
      </c>
      <c r="BF17" s="2"/>
      <c r="BG17" s="2"/>
      <c r="BH17" s="2"/>
      <c r="BI17" s="165" t="s">
        <v>218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 t="s">
        <v>530</v>
      </c>
      <c r="BU17" s="2"/>
      <c r="BV17" s="2"/>
      <c r="BW17" s="2"/>
      <c r="BX17" s="2"/>
      <c r="BY17" s="2"/>
      <c r="BZ17" s="2"/>
    </row>
    <row r="18" spans="2:78" ht="11.25" customHeight="1">
      <c r="B18" s="91"/>
      <c r="C18" s="8" t="s">
        <v>581</v>
      </c>
      <c r="D18" s="3"/>
      <c r="E18" s="2"/>
      <c r="F18" s="2"/>
      <c r="G18" s="2"/>
      <c r="H18" s="2"/>
      <c r="I18" s="2"/>
      <c r="J18" s="4"/>
      <c r="K18" s="300"/>
      <c r="L18" s="299" t="s">
        <v>405</v>
      </c>
      <c r="M18" s="300"/>
      <c r="N18" s="300"/>
      <c r="O18" s="300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2"/>
      <c r="AH18" s="2"/>
      <c r="AI18" s="2"/>
      <c r="AJ18" s="2"/>
      <c r="AK18" s="18" t="s">
        <v>414</v>
      </c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34" t="s">
        <v>191</v>
      </c>
      <c r="BA18" s="2"/>
      <c r="BB18" s="2"/>
      <c r="BC18" s="2"/>
      <c r="BD18" s="2"/>
      <c r="BE18" s="2"/>
      <c r="BF18" s="149" t="s">
        <v>204</v>
      </c>
      <c r="BG18" s="2"/>
      <c r="BH18" s="2"/>
      <c r="BI18" s="2"/>
      <c r="BJ18" s="149" t="s">
        <v>219</v>
      </c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 t="s">
        <v>531</v>
      </c>
      <c r="BV18" s="2"/>
      <c r="BW18" s="2"/>
      <c r="BX18" s="2"/>
      <c r="BY18" s="2"/>
      <c r="BZ18" s="2"/>
    </row>
    <row r="19" spans="2:78" ht="11.25" customHeight="1">
      <c r="B19" s="91"/>
      <c r="C19" s="430" t="s">
        <v>554</v>
      </c>
      <c r="D19" s="3"/>
      <c r="E19" s="2"/>
      <c r="F19" s="2"/>
      <c r="G19" s="2"/>
      <c r="H19" s="2"/>
      <c r="I19" s="2"/>
      <c r="J19" s="4"/>
      <c r="K19" s="300"/>
      <c r="L19" s="300"/>
      <c r="M19" s="300" t="s">
        <v>406</v>
      </c>
      <c r="N19" s="300"/>
      <c r="O19" s="300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2"/>
      <c r="AH19" s="2"/>
      <c r="AI19" s="2"/>
      <c r="AJ19" s="2"/>
      <c r="AK19" s="2"/>
      <c r="AL19" s="114" t="s">
        <v>415</v>
      </c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35" t="s">
        <v>192</v>
      </c>
      <c r="BB19" s="2"/>
      <c r="BC19" s="2"/>
      <c r="BD19" s="2"/>
      <c r="BE19" s="2"/>
      <c r="BF19" s="2"/>
      <c r="BG19" s="2"/>
      <c r="BH19" s="2"/>
      <c r="BI19" s="2"/>
      <c r="BJ19" s="2"/>
      <c r="BK19" s="165" t="s">
        <v>221</v>
      </c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 t="s">
        <v>532</v>
      </c>
      <c r="BW19" s="2"/>
      <c r="BX19" s="2"/>
      <c r="BY19" s="2"/>
      <c r="BZ19" s="2"/>
    </row>
    <row r="20" spans="2:78" ht="11.25" customHeight="1">
      <c r="B20" s="91"/>
      <c r="C20" s="430" t="s">
        <v>555</v>
      </c>
      <c r="D20" s="3"/>
      <c r="E20" s="2"/>
      <c r="F20" s="2"/>
      <c r="G20" s="2"/>
      <c r="H20" s="2"/>
      <c r="I20" s="2"/>
      <c r="J20" s="4"/>
      <c r="K20" s="4"/>
      <c r="L20" s="4"/>
      <c r="M20" s="4"/>
      <c r="N20" s="4" t="s">
        <v>407</v>
      </c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2"/>
      <c r="AH20" s="2"/>
      <c r="AI20" s="2"/>
      <c r="AJ20" s="2"/>
      <c r="AK20" s="2"/>
      <c r="AL20" s="2"/>
      <c r="AM20" s="18" t="s">
        <v>416</v>
      </c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34" t="s">
        <v>199</v>
      </c>
      <c r="BC20" s="2"/>
      <c r="BD20" s="2"/>
      <c r="BE20" s="2"/>
      <c r="BF20" s="2"/>
      <c r="BG20" s="2"/>
      <c r="BH20" s="2"/>
      <c r="BI20" s="2"/>
      <c r="BJ20" s="2"/>
      <c r="BK20" s="2"/>
      <c r="BL20" s="149" t="s">
        <v>222</v>
      </c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 t="s">
        <v>533</v>
      </c>
      <c r="BX20" s="2"/>
      <c r="BY20" s="3"/>
      <c r="BZ20" s="3"/>
    </row>
    <row r="21" spans="2:78" ht="11.25" customHeight="1">
      <c r="B21" s="91"/>
      <c r="D21" s="3"/>
      <c r="E21" s="2"/>
      <c r="F21" s="2"/>
      <c r="G21" s="2"/>
      <c r="H21" s="2"/>
      <c r="I21" s="2"/>
      <c r="J21" s="4"/>
      <c r="K21" s="4"/>
      <c r="L21" s="4"/>
      <c r="M21" s="4"/>
      <c r="N21" s="4"/>
      <c r="O21" s="4" t="s">
        <v>459</v>
      </c>
      <c r="P21" s="4"/>
      <c r="Q21" s="4"/>
      <c r="R21" s="4"/>
      <c r="S21" s="4"/>
      <c r="T21" s="167"/>
      <c r="U21" s="167"/>
      <c r="V21" s="167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2"/>
      <c r="AH21" s="2"/>
      <c r="AI21" s="2"/>
      <c r="AJ21" s="2"/>
      <c r="AK21" s="2"/>
      <c r="AL21" s="2"/>
      <c r="AM21" s="2"/>
      <c r="AN21" s="233" t="s">
        <v>417</v>
      </c>
      <c r="AO21" s="114"/>
      <c r="AP21" s="114"/>
      <c r="AQ21" s="114"/>
      <c r="AR21" s="114"/>
      <c r="AS21" s="114"/>
      <c r="AT21" s="114"/>
      <c r="AU21" s="114"/>
      <c r="AV21" s="114"/>
      <c r="AW21" s="2"/>
      <c r="AX21" s="2"/>
      <c r="AY21" s="2"/>
      <c r="AZ21" s="2"/>
      <c r="BA21" s="2"/>
      <c r="BB21" s="2"/>
      <c r="BC21" s="2"/>
      <c r="BD21" s="2"/>
      <c r="BE21" s="2"/>
      <c r="BF21" s="149" t="s">
        <v>210</v>
      </c>
      <c r="BG21" s="2"/>
      <c r="BH21" s="2"/>
      <c r="BI21" s="2"/>
      <c r="BJ21" s="2"/>
      <c r="BK21" s="2"/>
      <c r="BL21" s="2"/>
      <c r="BM21" s="165" t="s">
        <v>223</v>
      </c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3"/>
      <c r="BZ21" s="3"/>
    </row>
    <row r="22" spans="2:78" ht="11.25" customHeight="1">
      <c r="B22" s="3" t="s">
        <v>587</v>
      </c>
      <c r="C22" s="8" t="s">
        <v>582</v>
      </c>
      <c r="D22" s="3"/>
      <c r="E22" s="2"/>
      <c r="F22" s="2"/>
      <c r="G22" s="2"/>
      <c r="H22" s="2"/>
      <c r="I22" s="2"/>
      <c r="J22" s="4"/>
      <c r="K22" s="4"/>
      <c r="L22" s="4"/>
      <c r="M22" s="4"/>
      <c r="N22" s="4"/>
      <c r="O22" s="4"/>
      <c r="P22" s="4" t="s">
        <v>468</v>
      </c>
      <c r="Q22" s="4"/>
      <c r="R22" s="4"/>
      <c r="S22" s="4"/>
      <c r="T22" s="167"/>
      <c r="U22" s="167"/>
      <c r="V22" s="167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2"/>
      <c r="AH22" s="2"/>
      <c r="AI22" s="2"/>
      <c r="AJ22" s="2"/>
      <c r="AK22" s="2"/>
      <c r="AL22" s="2"/>
      <c r="AM22" s="2"/>
      <c r="AN22" s="2"/>
      <c r="AO22" s="156" t="s">
        <v>418</v>
      </c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35" t="s">
        <v>208</v>
      </c>
      <c r="BG22" s="2"/>
      <c r="BH22" s="2"/>
      <c r="BI22" s="2"/>
      <c r="BJ22" s="2"/>
      <c r="BK22" s="2"/>
      <c r="BL22" s="2"/>
      <c r="BM22" s="165"/>
      <c r="BN22" s="149" t="s">
        <v>224</v>
      </c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3"/>
      <c r="BZ22" s="3"/>
    </row>
    <row r="23" spans="2:78" ht="11.25" customHeight="1">
      <c r="B23" s="3" t="s">
        <v>588</v>
      </c>
      <c r="C23" s="430" t="s">
        <v>556</v>
      </c>
      <c r="D23" s="3"/>
      <c r="E23" s="2"/>
      <c r="F23" s="2"/>
      <c r="G23" s="2"/>
      <c r="H23" s="2"/>
      <c r="I23" s="2"/>
      <c r="J23" s="4"/>
      <c r="K23" s="4"/>
      <c r="L23" s="4"/>
      <c r="M23" s="4"/>
      <c r="N23" s="4"/>
      <c r="O23" s="4"/>
      <c r="P23" s="4"/>
      <c r="Q23" s="4" t="s">
        <v>472</v>
      </c>
      <c r="R23" s="4"/>
      <c r="S23" s="4"/>
      <c r="T23" s="167"/>
      <c r="U23" s="167"/>
      <c r="V23" s="167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2"/>
      <c r="AH23" s="2"/>
      <c r="AI23" s="2"/>
      <c r="AJ23" s="2"/>
      <c r="AK23" s="2"/>
      <c r="AL23" s="2"/>
      <c r="AM23" s="2"/>
      <c r="AN23" s="2"/>
      <c r="AO23" s="2"/>
      <c r="AP23" s="114" t="s">
        <v>456</v>
      </c>
      <c r="AQ23" s="114"/>
      <c r="AR23" s="114"/>
      <c r="AS23" s="114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149" t="s">
        <v>209</v>
      </c>
      <c r="BG23" s="2"/>
      <c r="BH23" s="2"/>
      <c r="BI23" s="2"/>
      <c r="BJ23" s="2"/>
      <c r="BK23" s="2"/>
      <c r="BL23" s="2"/>
      <c r="BM23" s="165"/>
      <c r="BN23" s="4"/>
      <c r="BO23" s="165" t="s">
        <v>528</v>
      </c>
      <c r="BP23" s="165"/>
      <c r="BQ23" s="165"/>
      <c r="BR23" s="2"/>
      <c r="BS23" s="2"/>
      <c r="BT23" s="2"/>
      <c r="BU23" s="2"/>
      <c r="BV23" s="2"/>
      <c r="BW23" s="2"/>
      <c r="BX23" s="2"/>
      <c r="BY23" s="3"/>
      <c r="BZ23" s="3"/>
    </row>
    <row r="24" spans="2:78">
      <c r="B24" s="3" t="s">
        <v>589</v>
      </c>
      <c r="C24" s="430" t="s">
        <v>557</v>
      </c>
      <c r="D24" s="3"/>
      <c r="E24" s="2"/>
      <c r="F24" s="2"/>
      <c r="G24" s="2"/>
      <c r="H24" s="2"/>
      <c r="I24" s="2"/>
      <c r="J24" s="4"/>
      <c r="K24" s="4"/>
      <c r="L24" s="4"/>
      <c r="M24" s="4"/>
      <c r="N24" s="4"/>
      <c r="O24" s="4"/>
      <c r="P24" s="4"/>
      <c r="Q24" s="4"/>
      <c r="R24" s="149" t="s">
        <v>536</v>
      </c>
      <c r="S24" s="167"/>
      <c r="T24" s="167"/>
      <c r="U24" s="167"/>
      <c r="V24" s="167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156" t="s">
        <v>457</v>
      </c>
      <c r="AR24" s="2"/>
      <c r="AS24" s="156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165" t="s">
        <v>211</v>
      </c>
      <c r="BG24" s="2"/>
      <c r="BH24" s="2"/>
      <c r="BI24" s="2"/>
      <c r="BJ24" s="2"/>
      <c r="BK24" s="2"/>
      <c r="BL24" s="2"/>
      <c r="BM24" s="2"/>
      <c r="BN24" s="2"/>
      <c r="BO24" s="2"/>
      <c r="BP24" s="149" t="s">
        <v>444</v>
      </c>
      <c r="BQ24" s="149"/>
      <c r="BR24" s="2"/>
      <c r="BS24" s="2"/>
      <c r="BT24" s="2"/>
      <c r="BU24" s="2"/>
      <c r="BV24" s="2"/>
      <c r="BW24" s="2"/>
      <c r="BX24" s="2"/>
      <c r="BY24" s="3"/>
      <c r="BZ24" s="3"/>
    </row>
    <row r="25" spans="2:78">
      <c r="B25" s="3" t="s">
        <v>590</v>
      </c>
      <c r="C25" s="430"/>
      <c r="D25" s="3"/>
      <c r="E25" s="2"/>
      <c r="F25" s="2"/>
      <c r="G25" s="2"/>
      <c r="H25" s="2"/>
      <c r="I25" s="2"/>
      <c r="J25" s="4"/>
      <c r="K25" s="4"/>
      <c r="L25" s="4"/>
      <c r="M25" s="4"/>
      <c r="N25" s="4"/>
      <c r="O25" s="4"/>
      <c r="P25" s="4"/>
      <c r="Q25" s="4"/>
      <c r="R25" s="4"/>
      <c r="S25" s="167" t="s">
        <v>408</v>
      </c>
      <c r="T25" s="167"/>
      <c r="U25" s="167"/>
      <c r="V25" s="167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2"/>
      <c r="AH25" s="2"/>
      <c r="AI25" s="2"/>
      <c r="AJ25" s="2"/>
      <c r="AK25" s="2"/>
      <c r="AL25" s="2"/>
      <c r="AM25" s="2"/>
      <c r="AN25" s="2"/>
      <c r="AO25" s="2"/>
      <c r="AP25" s="86"/>
      <c r="AQ25" s="86"/>
      <c r="AR25" s="114" t="s">
        <v>473</v>
      </c>
      <c r="AS25" s="114"/>
      <c r="AT25" s="86"/>
      <c r="AU25" s="86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171" t="s">
        <v>264</v>
      </c>
      <c r="BG25" s="2"/>
      <c r="BH25" s="2"/>
      <c r="BI25" s="2"/>
      <c r="BJ25" s="2"/>
      <c r="BK25" s="2"/>
      <c r="BL25" s="2"/>
      <c r="BM25" s="2"/>
      <c r="BN25" s="2"/>
      <c r="BO25" s="86"/>
      <c r="BP25" s="86"/>
      <c r="BQ25" s="167" t="s">
        <v>443</v>
      </c>
      <c r="BR25" s="2"/>
      <c r="BS25" s="2"/>
      <c r="BT25" s="2"/>
      <c r="BU25" s="2"/>
      <c r="BV25" s="2"/>
      <c r="BW25" s="2"/>
      <c r="BX25" s="2"/>
      <c r="BY25" s="3"/>
      <c r="BZ25" s="3"/>
    </row>
    <row r="26" spans="2:78">
      <c r="B26" s="3" t="s">
        <v>591</v>
      </c>
      <c r="D26" s="3"/>
      <c r="E26" s="2"/>
      <c r="F26" s="2"/>
      <c r="G26" s="2"/>
      <c r="H26" s="2"/>
      <c r="I26" s="2"/>
      <c r="J26" s="4"/>
      <c r="K26" s="4"/>
      <c r="L26" s="4"/>
      <c r="M26" s="4"/>
      <c r="N26" s="4"/>
      <c r="O26" s="4"/>
      <c r="P26" s="4"/>
      <c r="Q26" s="4"/>
      <c r="R26" s="4"/>
      <c r="S26" s="4"/>
      <c r="T26" s="4" t="s">
        <v>425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2"/>
      <c r="AH26" s="2"/>
      <c r="AI26" s="2"/>
      <c r="AJ26" s="2"/>
      <c r="AK26" s="2"/>
      <c r="AL26" s="2"/>
      <c r="AM26" s="2"/>
      <c r="AN26" s="2"/>
      <c r="AO26" s="86"/>
      <c r="AP26" s="86"/>
      <c r="AQ26" s="86"/>
      <c r="AR26" s="2"/>
      <c r="AS26" s="114" t="s">
        <v>469</v>
      </c>
      <c r="AT26" s="114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172" t="s">
        <v>265</v>
      </c>
      <c r="BG26" s="2"/>
      <c r="BH26" s="2"/>
      <c r="BI26" s="2"/>
      <c r="BJ26" s="2"/>
      <c r="BK26" s="2"/>
      <c r="BL26" s="2"/>
      <c r="BM26" s="2"/>
      <c r="BN26" s="86"/>
      <c r="BO26" s="86"/>
      <c r="BP26" s="86"/>
      <c r="BQ26" s="86"/>
      <c r="BR26" s="86"/>
      <c r="BS26" s="86"/>
      <c r="BT26" s="86"/>
      <c r="BU26" s="86"/>
      <c r="BV26" s="86"/>
      <c r="BW26" s="86"/>
      <c r="BX26" s="86"/>
      <c r="BY26" s="86"/>
      <c r="BZ26" s="3"/>
    </row>
    <row r="27" spans="2:78">
      <c r="B27" s="3" t="s">
        <v>592</v>
      </c>
      <c r="D27" s="3"/>
      <c r="E27" s="86"/>
      <c r="F27" s="86"/>
      <c r="G27" s="86"/>
      <c r="H27" s="86"/>
      <c r="I27" s="86"/>
      <c r="J27" s="86"/>
      <c r="K27" s="86"/>
      <c r="L27" s="86"/>
      <c r="M27" s="86"/>
      <c r="N27" s="4"/>
      <c r="O27" s="4"/>
      <c r="P27" s="4"/>
      <c r="Q27" s="4"/>
      <c r="R27" s="4"/>
      <c r="S27" s="4"/>
      <c r="T27" s="4"/>
      <c r="U27" s="300" t="s">
        <v>426</v>
      </c>
      <c r="V27" s="167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2"/>
      <c r="AH27" s="2"/>
      <c r="AI27" s="2"/>
      <c r="AJ27" s="2"/>
      <c r="AK27" s="86"/>
      <c r="AL27" s="86"/>
      <c r="AM27" s="86"/>
      <c r="AN27" s="86"/>
      <c r="AO27" s="86"/>
      <c r="AP27" s="86"/>
      <c r="AQ27" s="86"/>
      <c r="AR27" s="2"/>
      <c r="AS27" s="2"/>
      <c r="AT27" s="156" t="s">
        <v>470</v>
      </c>
      <c r="AU27" s="2"/>
      <c r="AV27" s="2"/>
      <c r="AW27" s="2"/>
      <c r="AX27" s="86"/>
      <c r="AY27" s="86"/>
      <c r="AZ27" s="86"/>
      <c r="BA27" s="86"/>
      <c r="BB27" s="86"/>
      <c r="BC27" s="86"/>
      <c r="BD27" s="86"/>
      <c r="BE27" s="86"/>
      <c r="BF27" s="412" t="s">
        <v>266</v>
      </c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3"/>
      <c r="BZ27" s="3"/>
    </row>
    <row r="28" spans="2:78">
      <c r="B28" s="3" t="s">
        <v>593</v>
      </c>
      <c r="D28" s="82"/>
      <c r="J28" s="86"/>
      <c r="K28" s="86"/>
      <c r="L28" s="86"/>
      <c r="M28" s="86"/>
      <c r="N28" s="86"/>
      <c r="O28" s="86"/>
      <c r="P28" s="86"/>
      <c r="Q28" s="86"/>
      <c r="R28" s="86"/>
      <c r="S28" s="4"/>
      <c r="T28" s="4"/>
      <c r="U28" s="4"/>
      <c r="V28" s="149" t="s">
        <v>453</v>
      </c>
      <c r="W28" s="4"/>
      <c r="X28" s="4"/>
      <c r="Y28" s="4"/>
      <c r="Z28" s="4"/>
      <c r="AA28" s="4"/>
      <c r="AB28" s="4"/>
      <c r="AC28" s="4"/>
      <c r="AD28" s="4"/>
      <c r="AE28" s="4"/>
      <c r="AF28" s="4"/>
      <c r="AG28" s="2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  <c r="BU28" s="86"/>
      <c r="BV28" s="86"/>
      <c r="BW28" s="86"/>
      <c r="BX28" s="86"/>
      <c r="BY28" s="3"/>
      <c r="BZ28" s="3"/>
    </row>
    <row r="29" spans="2:78">
      <c r="B29" s="3" t="s">
        <v>594</v>
      </c>
      <c r="D29" s="82"/>
      <c r="L29" s="86"/>
      <c r="M29" s="86"/>
      <c r="N29" s="86"/>
      <c r="O29" s="86"/>
      <c r="P29" s="86"/>
      <c r="Q29" s="86"/>
      <c r="R29" s="86"/>
      <c r="S29" s="4"/>
      <c r="T29" s="4"/>
      <c r="U29" s="4"/>
      <c r="V29" s="4"/>
      <c r="W29" s="167" t="s">
        <v>460</v>
      </c>
      <c r="X29" s="167"/>
      <c r="Y29" s="4"/>
      <c r="Z29" s="4"/>
      <c r="AA29" s="4"/>
      <c r="AB29" s="4"/>
      <c r="AC29" s="4"/>
      <c r="AD29" s="4"/>
      <c r="AE29" s="4"/>
      <c r="AF29" s="4"/>
      <c r="AG29" s="2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  <c r="BU29" s="86"/>
      <c r="BV29" s="86"/>
      <c r="BW29" s="86"/>
      <c r="BX29" s="86"/>
      <c r="BY29" s="3"/>
      <c r="BZ29" s="3"/>
    </row>
    <row r="30" spans="2:78">
      <c r="B30" s="3" t="s">
        <v>595</v>
      </c>
      <c r="D30" s="82"/>
      <c r="L30" s="86"/>
      <c r="M30" s="86"/>
      <c r="N30" s="86"/>
      <c r="O30" s="86"/>
      <c r="P30" s="86"/>
      <c r="Q30" s="86"/>
      <c r="R30" s="86"/>
      <c r="S30" s="4"/>
      <c r="T30" s="4"/>
      <c r="U30" s="4"/>
      <c r="V30" s="4"/>
      <c r="W30" s="4"/>
      <c r="X30" s="4" t="s">
        <v>543</v>
      </c>
      <c r="Y30" s="167"/>
      <c r="Z30" s="4"/>
      <c r="AA30" s="4"/>
      <c r="AB30" s="4"/>
      <c r="AC30" s="4"/>
      <c r="AD30" s="4"/>
      <c r="AE30" s="4"/>
      <c r="AF30" s="4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3"/>
      <c r="BZ30" s="3"/>
    </row>
    <row r="31" spans="2:78">
      <c r="B31" s="91"/>
      <c r="D31" s="82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4"/>
      <c r="X31" s="4"/>
      <c r="Y31" s="167" t="s">
        <v>409</v>
      </c>
      <c r="Z31" s="4"/>
      <c r="AA31" s="4"/>
      <c r="AB31" s="4"/>
      <c r="AC31" s="4"/>
      <c r="AD31" s="4"/>
      <c r="AE31" s="4"/>
      <c r="AF31" s="4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3"/>
      <c r="BZ31" s="3"/>
    </row>
    <row r="32" spans="2:78">
      <c r="B32" s="91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4"/>
      <c r="X32" s="4"/>
      <c r="Y32" s="4"/>
      <c r="Z32" s="4" t="s">
        <v>410</v>
      </c>
      <c r="AA32" s="4"/>
      <c r="AB32" s="4"/>
      <c r="AC32" s="4"/>
      <c r="AD32" s="4"/>
      <c r="AE32" s="4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6"/>
      <c r="BW32" s="86"/>
      <c r="BX32" s="86"/>
    </row>
    <row r="33" spans="2:76">
      <c r="B33" s="3" t="s">
        <v>570</v>
      </c>
      <c r="C33" s="8" t="s">
        <v>583</v>
      </c>
      <c r="K33" s="3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4"/>
      <c r="X33" s="4"/>
      <c r="Y33" s="4"/>
      <c r="Z33" s="4"/>
      <c r="AA33" s="166" t="s">
        <v>411</v>
      </c>
      <c r="AB33" s="4"/>
      <c r="AC33" s="4"/>
      <c r="AD33" s="4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</row>
    <row r="34" spans="2:76">
      <c r="B34" s="515" t="s">
        <v>591</v>
      </c>
      <c r="C34" s="430" t="s">
        <v>566</v>
      </c>
      <c r="K34" s="3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4"/>
      <c r="Z34" s="4"/>
      <c r="AA34" s="4"/>
      <c r="AB34" s="167" t="s">
        <v>476</v>
      </c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</row>
    <row r="35" spans="2:76">
      <c r="B35" s="515" t="s">
        <v>592</v>
      </c>
      <c r="C35" s="430" t="s">
        <v>567</v>
      </c>
      <c r="K35" s="3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149" t="s">
        <v>477</v>
      </c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</row>
    <row r="36" spans="2:76">
      <c r="B36" s="515" t="s">
        <v>596</v>
      </c>
      <c r="C36" s="430" t="s">
        <v>568</v>
      </c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167" t="s">
        <v>412</v>
      </c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</row>
    <row r="37" spans="2:76">
      <c r="B37" s="3" t="s">
        <v>571</v>
      </c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 t="s">
        <v>545</v>
      </c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  <c r="BU37" s="86"/>
      <c r="BV37" s="86"/>
      <c r="BW37" s="86"/>
      <c r="BX37" s="86"/>
    </row>
    <row r="38" spans="2:76">
      <c r="B38" s="515" t="s">
        <v>591</v>
      </c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86"/>
      <c r="BU38" s="86"/>
      <c r="BV38" s="86"/>
      <c r="BW38" s="86"/>
      <c r="BX38" s="86"/>
    </row>
    <row r="39" spans="2:76">
      <c r="B39" s="515" t="s">
        <v>592</v>
      </c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</row>
    <row r="40" spans="2:76">
      <c r="B40" s="515" t="s">
        <v>596</v>
      </c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</row>
    <row r="41" spans="2:76">
      <c r="B41" s="3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6"/>
      <c r="BW41" s="86"/>
      <c r="BX41" s="86"/>
    </row>
    <row r="42" spans="2:76">
      <c r="B42" s="3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</row>
    <row r="43" spans="2:76">
      <c r="B43" s="3" t="s">
        <v>570</v>
      </c>
      <c r="C43" s="8" t="s">
        <v>584</v>
      </c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</row>
    <row r="44" spans="2:76">
      <c r="B44" s="515" t="s">
        <v>587</v>
      </c>
      <c r="C44" s="430" t="s">
        <v>572</v>
      </c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</row>
    <row r="45" spans="2:76">
      <c r="B45" s="515" t="s">
        <v>594</v>
      </c>
      <c r="C45" s="430" t="s">
        <v>567</v>
      </c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86"/>
      <c r="BU45" s="86"/>
      <c r="BV45" s="86"/>
      <c r="BW45" s="86"/>
      <c r="BX45" s="86"/>
    </row>
    <row r="46" spans="2:76">
      <c r="B46" s="3" t="s">
        <v>571</v>
      </c>
      <c r="C46" s="430" t="s">
        <v>568</v>
      </c>
    </row>
    <row r="47" spans="2:76">
      <c r="B47" s="515" t="s">
        <v>587</v>
      </c>
    </row>
    <row r="48" spans="2:76">
      <c r="B48" s="515" t="s">
        <v>594</v>
      </c>
    </row>
    <row r="49" spans="2:3">
      <c r="B49" s="91"/>
    </row>
    <row r="50" spans="2:3">
      <c r="B50" s="91"/>
    </row>
    <row r="51" spans="2:3">
      <c r="B51" s="3" t="s">
        <v>573</v>
      </c>
      <c r="C51" s="8" t="s">
        <v>585</v>
      </c>
    </row>
    <row r="52" spans="2:3">
      <c r="B52" s="515" t="s">
        <v>588</v>
      </c>
      <c r="C52" s="430" t="s">
        <v>556</v>
      </c>
    </row>
    <row r="53" spans="2:3">
      <c r="B53" s="515" t="s">
        <v>589</v>
      </c>
      <c r="C53" s="430" t="s">
        <v>568</v>
      </c>
    </row>
    <row r="54" spans="2:3">
      <c r="B54" s="515" t="s">
        <v>595</v>
      </c>
    </row>
    <row r="55" spans="2:3">
      <c r="B55" s="91"/>
    </row>
    <row r="56" spans="2:3">
      <c r="B56" s="91"/>
    </row>
    <row r="57" spans="2:3">
      <c r="B57" s="3" t="s">
        <v>570</v>
      </c>
      <c r="C57" s="8" t="s">
        <v>586</v>
      </c>
    </row>
    <row r="58" spans="2:3">
      <c r="B58" s="515" t="s">
        <v>590</v>
      </c>
      <c r="C58" s="430" t="s">
        <v>572</v>
      </c>
    </row>
    <row r="59" spans="2:3">
      <c r="B59" s="3" t="s">
        <v>571</v>
      </c>
      <c r="C59" s="430" t="s">
        <v>567</v>
      </c>
    </row>
    <row r="60" spans="2:3">
      <c r="B60" s="515" t="s">
        <v>590</v>
      </c>
      <c r="C60" s="430" t="s">
        <v>568</v>
      </c>
    </row>
    <row r="61" spans="2:3">
      <c r="B61" s="91"/>
    </row>
    <row r="62" spans="2:3">
      <c r="B62" s="91"/>
    </row>
    <row r="63" spans="2:3">
      <c r="B63" s="91"/>
    </row>
    <row r="64" spans="2:3">
      <c r="B64" s="91"/>
    </row>
    <row r="65" spans="2:2">
      <c r="B65" s="91"/>
    </row>
  </sheetData>
  <mergeCells count="13">
    <mergeCell ref="BY1:CA1"/>
    <mergeCell ref="BS1:BX1"/>
    <mergeCell ref="BH1:BR1"/>
    <mergeCell ref="A1:A2"/>
    <mergeCell ref="B1:B2"/>
    <mergeCell ref="J1:AH1"/>
    <mergeCell ref="AI1:AW1"/>
    <mergeCell ref="C1:D1"/>
    <mergeCell ref="A14:B14"/>
    <mergeCell ref="E1:G1"/>
    <mergeCell ref="H1:I1"/>
    <mergeCell ref="AX1:BC1"/>
    <mergeCell ref="BD1:BG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B21"/>
  <sheetViews>
    <sheetView workbookViewId="0">
      <pane ySplit="2" topLeftCell="A3" activePane="bottomLeft" state="frozen"/>
      <selection pane="bottomLeft" activeCell="R3" sqref="R3"/>
    </sheetView>
  </sheetViews>
  <sheetFormatPr defaultRowHeight="11.25"/>
  <cols>
    <col min="1" max="1" width="10.42578125" style="8" bestFit="1" customWidth="1"/>
    <col min="2" max="2" width="10" style="132" customWidth="1"/>
    <col min="3" max="3" width="49.85546875" style="89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855" t="s">
        <v>1</v>
      </c>
      <c r="B1" s="857" t="s">
        <v>2</v>
      </c>
      <c r="C1" s="859" t="s">
        <v>0</v>
      </c>
      <c r="D1" s="861" t="s">
        <v>7</v>
      </c>
      <c r="E1" s="850" t="s">
        <v>6</v>
      </c>
      <c r="F1" s="851"/>
      <c r="G1" s="852" t="s">
        <v>5</v>
      </c>
      <c r="H1" s="853"/>
      <c r="I1" s="850" t="s">
        <v>65</v>
      </c>
      <c r="J1" s="851"/>
      <c r="K1" s="717" t="s">
        <v>9</v>
      </c>
      <c r="L1" s="649" t="s">
        <v>419</v>
      </c>
      <c r="M1" s="865"/>
      <c r="N1" s="866" t="s">
        <v>549</v>
      </c>
      <c r="O1" s="649" t="s">
        <v>83</v>
      </c>
      <c r="P1" s="650"/>
      <c r="Q1" s="650"/>
      <c r="R1" s="650"/>
      <c r="S1" s="650"/>
      <c r="T1" s="650"/>
      <c r="U1" s="865"/>
      <c r="V1" s="862" t="s">
        <v>85</v>
      </c>
      <c r="W1" s="862"/>
      <c r="X1" s="862"/>
    </row>
    <row r="2" spans="1:28" ht="15.75" customHeight="1" thickBot="1">
      <c r="A2" s="856"/>
      <c r="B2" s="858"/>
      <c r="C2" s="860"/>
      <c r="D2" s="660"/>
      <c r="E2" s="62"/>
      <c r="F2" s="37" t="s">
        <v>9</v>
      </c>
      <c r="G2" s="62"/>
      <c r="H2" s="63" t="s">
        <v>9</v>
      </c>
      <c r="I2" s="62"/>
      <c r="J2" s="37" t="s">
        <v>9</v>
      </c>
      <c r="K2" s="718"/>
      <c r="L2" s="306"/>
      <c r="M2" s="170" t="s">
        <v>9</v>
      </c>
      <c r="N2" s="867"/>
      <c r="O2" s="173" t="s">
        <v>142</v>
      </c>
      <c r="P2" s="173" t="s">
        <v>419</v>
      </c>
      <c r="Q2" s="173" t="s">
        <v>371</v>
      </c>
      <c r="R2" s="173" t="s">
        <v>62</v>
      </c>
      <c r="S2" s="173" t="s">
        <v>59</v>
      </c>
      <c r="T2" s="173" t="s">
        <v>141</v>
      </c>
      <c r="U2" s="174" t="s">
        <v>299</v>
      </c>
      <c r="V2" s="863"/>
      <c r="W2" s="864"/>
      <c r="X2" s="175"/>
    </row>
    <row r="3" spans="1:28" s="5" customFormat="1" ht="12" thickBot="1">
      <c r="A3" s="483" t="str">
        <f>'1-συμβολαια'!A3</f>
        <v>1ο</v>
      </c>
      <c r="B3" s="502">
        <f>'1-συμβολαια'!B3</f>
        <v>40059</v>
      </c>
      <c r="C3" s="503" t="str">
        <f>'1-συμβολαια'!C3</f>
        <v>πληρεξούσιο</v>
      </c>
      <c r="D3" s="504">
        <f>'1-συμβολαια'!D3</f>
        <v>0</v>
      </c>
      <c r="E3" s="441"/>
      <c r="F3" s="441"/>
      <c r="G3" s="441"/>
      <c r="H3" s="441"/>
      <c r="I3" s="441"/>
      <c r="J3" s="441"/>
      <c r="K3" s="442"/>
      <c r="L3" s="442">
        <f>'2-δικαιώμ'!N3+'5-αντίγρ'!O3</f>
        <v>4.4000000000000004</v>
      </c>
      <c r="M3" s="442">
        <v>3.96</v>
      </c>
      <c r="N3" s="644">
        <f>'10-φπα'!F3</f>
        <v>0</v>
      </c>
      <c r="O3" s="310">
        <f>'1-συμβολαια'!O3</f>
        <v>37.559999999999995</v>
      </c>
      <c r="P3" s="310">
        <f t="shared" ref="P3" si="0">L3-M3</f>
        <v>0.44000000000000039</v>
      </c>
      <c r="Q3" s="310">
        <f>'8-κ-15-17'!AG3</f>
        <v>0</v>
      </c>
      <c r="R3" s="645">
        <f>'10-φπα'!G3</f>
        <v>0</v>
      </c>
      <c r="S3" s="310">
        <f>'11-χαρτόσ'!H3+'13-ντιΜιΧο'!BZ3</f>
        <v>0.5</v>
      </c>
      <c r="T3" s="310">
        <f>'13-ντιΜιΧο'!BY3</f>
        <v>30.9</v>
      </c>
      <c r="U3" s="645">
        <f>'10-φπα'!H3</f>
        <v>0</v>
      </c>
      <c r="V3" s="266"/>
      <c r="W3" s="259"/>
      <c r="X3" s="262"/>
    </row>
    <row r="4" spans="1:28" s="5" customFormat="1">
      <c r="A4" s="508" t="str">
        <f>'1-συμβολαια'!A4</f>
        <v>2ο</v>
      </c>
      <c r="B4" s="357">
        <f>'1-συμβολαια'!B4</f>
        <v>40703</v>
      </c>
      <c r="C4" s="402" t="str">
        <f>'1-συμβολαια'!C4</f>
        <v>κληρονομιάς ΑΠΟΔΟΧΗ</v>
      </c>
      <c r="D4" s="403">
        <f>'1-συμβολαια'!D4</f>
        <v>0</v>
      </c>
      <c r="E4" s="315"/>
      <c r="F4" s="315"/>
      <c r="G4" s="315"/>
      <c r="H4" s="315"/>
      <c r="I4" s="315"/>
      <c r="J4" s="315"/>
      <c r="K4" s="310"/>
      <c r="L4" s="310">
        <f>'2-δικαιώμ'!N4+'5-αντίγρ'!O4</f>
        <v>14.3</v>
      </c>
      <c r="M4" s="310">
        <v>5.55</v>
      </c>
      <c r="N4" s="310">
        <f>'10-φπα'!F4</f>
        <v>11.03</v>
      </c>
      <c r="O4" s="310">
        <f>'1-συμβολαια'!O4</f>
        <v>442.78</v>
      </c>
      <c r="P4" s="310">
        <f t="shared" ref="P4:P10" si="1">L4-M4</f>
        <v>8.75</v>
      </c>
      <c r="Q4" s="310">
        <f>'8-κ-15-17'!AG4</f>
        <v>0</v>
      </c>
      <c r="R4" s="310">
        <f>'10-φπα'!G4</f>
        <v>72.17</v>
      </c>
      <c r="S4" s="310">
        <f>'11-χαρτόσ'!H4+'13-ντιΜιΧο'!BZ4</f>
        <v>6.96</v>
      </c>
      <c r="T4" s="310">
        <f>'13-ντιΜιΧο'!BY4</f>
        <v>2087.41</v>
      </c>
      <c r="U4" s="310">
        <f>'10-φπα'!H4</f>
        <v>333.98559999999998</v>
      </c>
      <c r="V4" s="266"/>
      <c r="W4" s="259"/>
      <c r="X4" s="262"/>
    </row>
    <row r="5" spans="1:28" s="5" customFormat="1">
      <c r="A5" s="508">
        <f>'1-συμβολαια'!A5</f>
        <v>0</v>
      </c>
      <c r="B5" s="357">
        <f>'1-συμβολαια'!B5</f>
        <v>0</v>
      </c>
      <c r="C5" s="402" t="str">
        <f>'1-συμβολαια'!C5</f>
        <v>χρησικτησία αγροτεμαχίων 1,2,3  = 19?? ΑΝΑΔΑΣΜΟΣ</v>
      </c>
      <c r="D5" s="403">
        <f>'1-συμβολαια'!D5</f>
        <v>2100.9416999999999</v>
      </c>
      <c r="E5" s="315"/>
      <c r="F5" s="315"/>
      <c r="G5" s="315"/>
      <c r="H5" s="315"/>
      <c r="I5" s="315"/>
      <c r="J5" s="315"/>
      <c r="K5" s="310"/>
      <c r="L5" s="310">
        <f>'2-δικαιώμ'!N5+'5-αντίγρ'!O5</f>
        <v>5.35141255</v>
      </c>
      <c r="M5" s="310"/>
      <c r="N5" s="310">
        <f>'10-φπα'!F5</f>
        <v>0</v>
      </c>
      <c r="O5" s="310">
        <f>'1-συμβολαια'!O5</f>
        <v>85.658004449999993</v>
      </c>
      <c r="P5" s="310">
        <f t="shared" si="1"/>
        <v>5.35141255</v>
      </c>
      <c r="Q5" s="310">
        <f>'8-κ-15-17'!AG5</f>
        <v>16.282298175000001</v>
      </c>
      <c r="R5" s="310">
        <f>'10-φπα'!G5</f>
        <v>14.561506719999999</v>
      </c>
      <c r="S5" s="310">
        <f>'11-χαρτόσ'!H5+'13-ντιΜιΧο'!BZ5</f>
        <v>3</v>
      </c>
      <c r="T5" s="310">
        <f>'13-ντιΜιΧο'!BY5</f>
        <v>325.88</v>
      </c>
      <c r="U5" s="310">
        <f>'10-φπα'!H5</f>
        <v>52.140799999999999</v>
      </c>
      <c r="V5" s="266"/>
      <c r="W5" s="259"/>
      <c r="X5" s="262"/>
    </row>
    <row r="6" spans="1:28" s="5" customFormat="1" ht="12" thickBot="1">
      <c r="A6" s="509">
        <f>'1-συμβολαια'!A6</f>
        <v>0</v>
      </c>
      <c r="B6" s="510">
        <f>'1-συμβολαια'!B6</f>
        <v>0</v>
      </c>
      <c r="C6" s="511" t="str">
        <f>'1-συμβολαια'!C6</f>
        <v>χρησικτησία αγροτεμαχίων 4,5,6,7,8,9 = 1955 πατρός ΔΩΡΕΑ άτυπος</v>
      </c>
      <c r="D6" s="512">
        <f>'1-συμβολαια'!D6</f>
        <v>7850.0433000000012</v>
      </c>
      <c r="E6" s="448"/>
      <c r="F6" s="448"/>
      <c r="G6" s="448"/>
      <c r="H6" s="448"/>
      <c r="I6" s="448"/>
      <c r="J6" s="448"/>
      <c r="K6" s="449"/>
      <c r="L6" s="449">
        <f>'2-δικαιώμ'!N6+'5-αντίγρ'!O6</f>
        <v>13.975064950000002</v>
      </c>
      <c r="M6" s="449"/>
      <c r="N6" s="449">
        <f>'10-φπα'!F6</f>
        <v>0</v>
      </c>
      <c r="O6" s="310">
        <f>'1-συμβολαια'!O6</f>
        <v>134.52536805</v>
      </c>
      <c r="P6" s="310">
        <f t="shared" si="1"/>
        <v>13.975064950000002</v>
      </c>
      <c r="Q6" s="310">
        <f>'8-κ-15-17'!AG6</f>
        <v>60.837835575000014</v>
      </c>
      <c r="R6" s="310">
        <f>'10-φπα'!G6</f>
        <v>23.76006928</v>
      </c>
      <c r="S6" s="310">
        <f>'11-χαρτόσ'!H6+'13-ντιΜιΧο'!BZ6</f>
        <v>3</v>
      </c>
      <c r="T6" s="310">
        <f>'13-ντιΜιΧο'!BY6</f>
        <v>665.29</v>
      </c>
      <c r="U6" s="310">
        <f>'10-φπα'!H6</f>
        <v>106.4464</v>
      </c>
      <c r="V6" s="266"/>
      <c r="W6" s="259"/>
      <c r="X6" s="262"/>
    </row>
    <row r="7" spans="1:28" s="5" customFormat="1">
      <c r="A7" s="524" t="str">
        <f>'1-συμβολαια'!A7</f>
        <v>3ο</v>
      </c>
      <c r="B7" s="357">
        <f>'1-συμβολαια'!B7</f>
        <v>40806</v>
      </c>
      <c r="C7" s="402" t="str">
        <f>'1-συμβολαια'!C7</f>
        <v xml:space="preserve">γονική </v>
      </c>
      <c r="D7" s="403">
        <f>'1-συμβολαια'!D7</f>
        <v>5223.96</v>
      </c>
      <c r="E7" s="315"/>
      <c r="F7" s="315"/>
      <c r="G7" s="315"/>
      <c r="H7" s="315"/>
      <c r="I7" s="315"/>
      <c r="J7" s="315"/>
      <c r="K7" s="310"/>
      <c r="L7" s="310">
        <f>'2-δικαιώμ'!N7+'5-αντίγρ'!O7</f>
        <v>29.835940000000001</v>
      </c>
      <c r="M7" s="310">
        <v>23.77</v>
      </c>
      <c r="N7" s="310">
        <f>'10-φπα'!F7</f>
        <v>34.909999999999997</v>
      </c>
      <c r="O7" s="310">
        <f>'1-συμβολαια'!O7</f>
        <v>207.75366</v>
      </c>
      <c r="P7" s="310">
        <f t="shared" si="1"/>
        <v>6.0659400000000012</v>
      </c>
      <c r="Q7" s="310">
        <f>'8-κ-15-17'!AG7</f>
        <v>-4.3099999999967054E-3</v>
      </c>
      <c r="R7" s="310">
        <f>'10-φπα'!G7</f>
        <v>41.928336000000002</v>
      </c>
      <c r="S7" s="310">
        <f>'11-χαρτόσ'!H7+'13-ντιΜιΧο'!BZ7</f>
        <v>15.399999999999999</v>
      </c>
      <c r="T7" s="310">
        <f>'13-ντιΜιΧο'!BY7</f>
        <v>920.12</v>
      </c>
      <c r="U7" s="310">
        <f>'10-φπα'!H7</f>
        <v>147.2192</v>
      </c>
      <c r="V7" s="266"/>
      <c r="W7" s="259"/>
      <c r="X7" s="262"/>
    </row>
    <row r="8" spans="1:28" s="5" customFormat="1" ht="12" thickBot="1">
      <c r="A8" s="525">
        <f>'1-συμβολαια'!A8</f>
        <v>0</v>
      </c>
      <c r="B8" s="510">
        <f>'1-συμβολαια'!B8</f>
        <v>0</v>
      </c>
      <c r="C8" s="511" t="str">
        <f>'1-συμβολαια'!C8</f>
        <v>δωρεά</v>
      </c>
      <c r="D8" s="512">
        <f>'1-συμβολαια'!D8</f>
        <v>10447.92</v>
      </c>
      <c r="E8" s="448"/>
      <c r="F8" s="448"/>
      <c r="G8" s="448"/>
      <c r="H8" s="448"/>
      <c r="I8" s="448"/>
      <c r="J8" s="448"/>
      <c r="K8" s="449"/>
      <c r="L8" s="449">
        <f>'2-δικαιώμ'!N8+'5-αντίγρ'!O8</f>
        <v>17.871880000000001</v>
      </c>
      <c r="M8" s="449"/>
      <c r="N8" s="449">
        <f>'10-φπα'!F8</f>
        <v>0</v>
      </c>
      <c r="O8" s="310">
        <f>'1-συμβολαια'!O8</f>
        <v>402.60732000000002</v>
      </c>
      <c r="P8" s="310">
        <f t="shared" si="1"/>
        <v>17.871880000000001</v>
      </c>
      <c r="Q8" s="310">
        <f>'8-κ-15-17'!AG8</f>
        <v>1.3800000000117052E-3</v>
      </c>
      <c r="R8" s="310">
        <f>'10-φπα'!G8</f>
        <v>67.276672000000005</v>
      </c>
      <c r="S8" s="310">
        <f>'11-χαρτόσ'!H8+'13-ντιΜιΧο'!BZ8</f>
        <v>6.96</v>
      </c>
      <c r="T8" s="310">
        <f>'13-ντιΜιΧο'!BY8</f>
        <v>446.92</v>
      </c>
      <c r="U8" s="310">
        <f>'10-φπα'!H8</f>
        <v>71.507199999999997</v>
      </c>
      <c r="V8" s="266"/>
      <c r="W8" s="259"/>
      <c r="X8" s="262"/>
    </row>
    <row r="9" spans="1:28" s="5" customFormat="1">
      <c r="A9" s="508" t="str">
        <f>'1-συμβολαια'!A9</f>
        <v>4ο</v>
      </c>
      <c r="B9" s="357">
        <f>'1-συμβολαια'!B9</f>
        <v>40806</v>
      </c>
      <c r="C9" s="402" t="str">
        <f>'1-συμβολαια'!C9</f>
        <v xml:space="preserve">γονική </v>
      </c>
      <c r="D9" s="403">
        <f>'1-συμβολαια'!D9</f>
        <v>927.67</v>
      </c>
      <c r="E9" s="315"/>
      <c r="F9" s="315"/>
      <c r="G9" s="315"/>
      <c r="H9" s="315"/>
      <c r="I9" s="315"/>
      <c r="J9" s="315"/>
      <c r="K9" s="310"/>
      <c r="L9" s="310">
        <f>'2-δικαιώμ'!N9+'5-αντίγρ'!O9</f>
        <v>21.191505000000003</v>
      </c>
      <c r="M9" s="310">
        <v>8.0399999999999991</v>
      </c>
      <c r="N9" s="310">
        <f>'10-φπα'!F9</f>
        <v>13.49</v>
      </c>
      <c r="O9" s="310">
        <f>'1-συμβολαια'!O9</f>
        <v>271.60519499999998</v>
      </c>
      <c r="P9" s="310">
        <f t="shared" si="1"/>
        <v>13.151505000000004</v>
      </c>
      <c r="Q9" s="310">
        <f>'8-κ-15-17'!AG9</f>
        <v>-5.575000000002106E-4</v>
      </c>
      <c r="R9" s="310">
        <f>'10-φπα'!G9</f>
        <v>52.31427200000001</v>
      </c>
      <c r="S9" s="310">
        <f>'11-χαρτόσ'!H9+'13-ντιΜιΧο'!BZ9</f>
        <v>15.399999999999999</v>
      </c>
      <c r="T9" s="310">
        <f>'13-ντιΜιΧο'!BY9</f>
        <v>758.65</v>
      </c>
      <c r="U9" s="310">
        <f>'10-φπα'!H9</f>
        <v>121.384</v>
      </c>
      <c r="V9" s="266"/>
      <c r="W9" s="259"/>
      <c r="X9" s="262"/>
    </row>
    <row r="10" spans="1:28" s="5" customFormat="1" ht="12" thickBot="1">
      <c r="A10" s="509">
        <f>'1-συμβολαια'!A10</f>
        <v>0</v>
      </c>
      <c r="B10" s="510">
        <f>'1-συμβολαια'!B10</f>
        <v>0</v>
      </c>
      <c r="C10" s="511" t="str">
        <f>'1-συμβολαια'!C10</f>
        <v>δωρεά</v>
      </c>
      <c r="D10" s="512">
        <f>'1-συμβολαια'!D10</f>
        <v>1855.34</v>
      </c>
      <c r="E10" s="448"/>
      <c r="F10" s="448"/>
      <c r="G10" s="448"/>
      <c r="H10" s="448"/>
      <c r="I10" s="448"/>
      <c r="J10" s="448"/>
      <c r="K10" s="449"/>
      <c r="L10" s="449">
        <f>'2-δικαιώμ'!N10+'5-αντίγρ'!O10</f>
        <v>4.9830100000000002</v>
      </c>
      <c r="M10" s="449"/>
      <c r="N10" s="449">
        <f>'10-φπα'!F10</f>
        <v>0</v>
      </c>
      <c r="O10" s="310">
        <f>'1-συμβολαια'!O10</f>
        <v>317.57038999999997</v>
      </c>
      <c r="P10" s="310">
        <f t="shared" si="1"/>
        <v>4.9830100000000002</v>
      </c>
      <c r="Q10" s="310">
        <f>'8-κ-15-17'!AG10</f>
        <v>-1.1150000000004212E-3</v>
      </c>
      <c r="R10" s="310">
        <f>'10-φπα'!G10</f>
        <v>51.608543999999995</v>
      </c>
      <c r="S10" s="310">
        <f>'11-χαρτόσ'!H10+'13-ντιΜιΧο'!BZ10</f>
        <v>6.96</v>
      </c>
      <c r="T10" s="310">
        <f>'13-ντιΜιΧο'!BY10</f>
        <v>310.45</v>
      </c>
      <c r="U10" s="310">
        <f>'10-φπα'!H10</f>
        <v>49.671999999999997</v>
      </c>
      <c r="V10" s="266"/>
      <c r="W10" s="259"/>
      <c r="X10" s="262"/>
    </row>
    <row r="11" spans="1:28" s="5" customFormat="1" ht="12" thickBot="1">
      <c r="A11" s="483" t="str">
        <f>'1-συμβολαια'!A11</f>
        <v>5ο</v>
      </c>
      <c r="B11" s="502">
        <f>'1-συμβολαια'!B11</f>
        <v>40806</v>
      </c>
      <c r="C11" s="503" t="str">
        <f>'1-συμβολαια'!C11</f>
        <v>δωρεά</v>
      </c>
      <c r="D11" s="504">
        <f>'1-συμβολαια'!D11</f>
        <v>3632.94</v>
      </c>
      <c r="E11" s="441"/>
      <c r="F11" s="441"/>
      <c r="G11" s="441"/>
      <c r="H11" s="441"/>
      <c r="I11" s="441"/>
      <c r="J11" s="441"/>
      <c r="K11" s="442"/>
      <c r="L11" s="442">
        <f>'2-δικαιώμ'!N11+'5-αντίγρ'!O11</f>
        <v>17.549410000000002</v>
      </c>
      <c r="M11" s="442">
        <v>7.29</v>
      </c>
      <c r="N11" s="442">
        <f>'10-φπα'!F11</f>
        <v>16.45</v>
      </c>
      <c r="O11" s="310">
        <f>'1-συμβολαια'!O11</f>
        <v>229.02999</v>
      </c>
      <c r="P11" s="310">
        <f t="shared" ref="P11:P13" si="2">L11-M11</f>
        <v>10.259410000000003</v>
      </c>
      <c r="Q11" s="310">
        <f>'8-κ-15-17'!AG11</f>
        <v>5.285000000004203E-3</v>
      </c>
      <c r="R11" s="310">
        <f>'10-φπα'!G11</f>
        <v>42.162704000000005</v>
      </c>
      <c r="S11" s="310">
        <f>'11-χαρτόσ'!H11+'13-ντιΜιΧο'!BZ11</f>
        <v>13.42</v>
      </c>
      <c r="T11" s="310">
        <f>'13-ντιΜιΧο'!BY11</f>
        <v>867.1</v>
      </c>
      <c r="U11" s="310">
        <f>'10-φπα'!H11</f>
        <v>138.73600000000002</v>
      </c>
      <c r="V11" s="266"/>
      <c r="W11" s="259"/>
      <c r="X11" s="262"/>
    </row>
    <row r="12" spans="1:28" s="5" customFormat="1">
      <c r="A12" s="508" t="str">
        <f>'1-συμβολαια'!A12</f>
        <v>6ο</v>
      </c>
      <c r="B12" s="357">
        <f>'1-συμβολαια'!B12</f>
        <v>40806</v>
      </c>
      <c r="C12" s="402" t="str">
        <f>'1-συμβολαια'!C12</f>
        <v xml:space="preserve">γονική </v>
      </c>
      <c r="D12" s="403">
        <f>'1-συμβολαια'!D12</f>
        <v>3600.35</v>
      </c>
      <c r="E12" s="315"/>
      <c r="F12" s="315"/>
      <c r="G12" s="315"/>
      <c r="H12" s="315"/>
      <c r="I12" s="315"/>
      <c r="J12" s="315"/>
      <c r="K12" s="310"/>
      <c r="L12" s="310">
        <f>'2-δικαιώμ'!N12+'5-αντίγρ'!O12</f>
        <v>25.200525000000003</v>
      </c>
      <c r="M12" s="310">
        <v>20.059999999999999</v>
      </c>
      <c r="N12" s="310">
        <f>'10-φπα'!F12</f>
        <v>25.52</v>
      </c>
      <c r="O12" s="310">
        <f>'1-συμβολαια'!O12</f>
        <v>237.14297500000001</v>
      </c>
      <c r="P12" s="310">
        <f t="shared" si="2"/>
        <v>5.1405250000000038</v>
      </c>
      <c r="Q12" s="310">
        <f>'8-κ-15-17'!AG12</f>
        <v>2.7125000000047805E-3</v>
      </c>
      <c r="R12" s="310">
        <f>'10-φπα'!G12</f>
        <v>44.560560000000009</v>
      </c>
      <c r="S12" s="310">
        <f>'11-χαρτόσ'!H12+'13-ντιΜιΧο'!BZ12</f>
        <v>15.399999999999999</v>
      </c>
      <c r="T12" s="310">
        <f>'13-ντιΜιΧο'!BY12</f>
        <v>673.65</v>
      </c>
      <c r="U12" s="310">
        <f>'10-φπα'!H12</f>
        <v>107.78399999999999</v>
      </c>
      <c r="V12" s="266"/>
      <c r="W12" s="259"/>
      <c r="X12" s="262"/>
    </row>
    <row r="13" spans="1:28" s="5" customFormat="1" ht="12" thickBot="1">
      <c r="A13" s="509">
        <f>'1-συμβολαια'!A13</f>
        <v>0</v>
      </c>
      <c r="B13" s="510">
        <f>'1-συμβολαια'!B13</f>
        <v>0</v>
      </c>
      <c r="C13" s="511" t="str">
        <f>'1-συμβολαια'!C13</f>
        <v>δωρεά</v>
      </c>
      <c r="D13" s="512">
        <f>'1-συμβολαια'!D13</f>
        <v>7200.7</v>
      </c>
      <c r="E13" s="448"/>
      <c r="F13" s="448"/>
      <c r="G13" s="448"/>
      <c r="H13" s="448"/>
      <c r="I13" s="448"/>
      <c r="J13" s="448"/>
      <c r="K13" s="449"/>
      <c r="L13" s="449">
        <f>'2-δικαιώμ'!N13+'5-αντίγρ'!O13</f>
        <v>13.001050000000001</v>
      </c>
      <c r="M13" s="449"/>
      <c r="N13" s="449">
        <f>'10-φπα'!F13</f>
        <v>0</v>
      </c>
      <c r="O13" s="310">
        <f>'1-συμβολαια'!O13</f>
        <v>363.00594999999998</v>
      </c>
      <c r="P13" s="310">
        <f t="shared" si="2"/>
        <v>13.001050000000001</v>
      </c>
      <c r="Q13" s="310">
        <f>'8-κ-15-17'!AG13</f>
        <v>5.4250000000095611E-3</v>
      </c>
      <c r="R13" s="310">
        <f>'10-φπα'!G13</f>
        <v>60.161119999999997</v>
      </c>
      <c r="S13" s="310">
        <f>'11-χαρτόσ'!H13+'13-ντιΜιΧο'!BZ13</f>
        <v>6.96</v>
      </c>
      <c r="T13" s="310">
        <f>'13-ντιΜιΧο'!BY13</f>
        <v>225.45</v>
      </c>
      <c r="U13" s="310">
        <f>'10-φπα'!H13</f>
        <v>36.071999999999996</v>
      </c>
      <c r="V13" s="266"/>
      <c r="W13" s="259"/>
      <c r="X13" s="262"/>
    </row>
    <row r="14" spans="1:28">
      <c r="A14" s="854" t="s">
        <v>56</v>
      </c>
      <c r="B14" s="854"/>
      <c r="C14" s="854"/>
      <c r="D14" s="854"/>
      <c r="E14" s="11">
        <f t="shared" ref="E14:X14" si="3">SUM(E3:E13)</f>
        <v>0</v>
      </c>
      <c r="F14" s="11">
        <f t="shared" si="3"/>
        <v>0</v>
      </c>
      <c r="G14" s="11">
        <f t="shared" si="3"/>
        <v>0</v>
      </c>
      <c r="H14" s="11">
        <f t="shared" si="3"/>
        <v>0</v>
      </c>
      <c r="I14" s="11">
        <f t="shared" si="3"/>
        <v>0</v>
      </c>
      <c r="J14" s="11">
        <f t="shared" si="3"/>
        <v>0</v>
      </c>
      <c r="K14" s="11">
        <f t="shared" si="3"/>
        <v>0</v>
      </c>
      <c r="L14" s="11">
        <f t="shared" si="3"/>
        <v>167.6597975</v>
      </c>
      <c r="M14" s="11">
        <f t="shared" si="3"/>
        <v>68.67</v>
      </c>
      <c r="N14" s="423">
        <f t="shared" si="3"/>
        <v>101.39999999999999</v>
      </c>
      <c r="O14" s="11">
        <f t="shared" si="3"/>
        <v>2729.2388524999997</v>
      </c>
      <c r="P14" s="11">
        <f t="shared" si="3"/>
        <v>98.989797500000023</v>
      </c>
      <c r="Q14" s="11">
        <f t="shared" si="3"/>
        <v>77.128953750000022</v>
      </c>
      <c r="R14" s="423">
        <f t="shared" si="3"/>
        <v>470.50378400000005</v>
      </c>
      <c r="S14" s="424">
        <f t="shared" si="3"/>
        <v>93.96</v>
      </c>
      <c r="T14" s="11">
        <f t="shared" si="3"/>
        <v>7311.8199999999988</v>
      </c>
      <c r="U14" s="423">
        <f t="shared" si="3"/>
        <v>1164.9471999999998</v>
      </c>
      <c r="V14" s="267">
        <f t="shared" si="3"/>
        <v>0</v>
      </c>
      <c r="W14" s="267">
        <f t="shared" si="3"/>
        <v>0</v>
      </c>
      <c r="X14" s="268">
        <f t="shared" si="3"/>
        <v>0</v>
      </c>
    </row>
    <row r="16" spans="1:28">
      <c r="W16" s="83"/>
      <c r="X16" s="83"/>
      <c r="Y16" s="83"/>
      <c r="Z16" s="83"/>
      <c r="AA16" s="83"/>
      <c r="AB16" s="83"/>
    </row>
    <row r="17" spans="1:28">
      <c r="W17" s="83"/>
      <c r="X17" s="83"/>
      <c r="Y17" s="83"/>
      <c r="Z17" s="83"/>
      <c r="AA17" s="83"/>
      <c r="AB17" s="83"/>
    </row>
    <row r="18" spans="1:28" s="5" customFormat="1">
      <c r="A18" s="58"/>
      <c r="B18" s="110"/>
      <c r="C18" s="111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83"/>
      <c r="W18" s="83"/>
      <c r="X18" s="83"/>
      <c r="Y18" s="83"/>
      <c r="Z18" s="83"/>
      <c r="AA18" s="83"/>
      <c r="AB18" s="83"/>
    </row>
    <row r="19" spans="1:28">
      <c r="L19" s="4"/>
    </row>
    <row r="20" spans="1:28">
      <c r="L20" s="4"/>
    </row>
    <row r="21" spans="1:28">
      <c r="L21" s="4"/>
    </row>
  </sheetData>
  <mergeCells count="14">
    <mergeCell ref="V1:X1"/>
    <mergeCell ref="V2:W2"/>
    <mergeCell ref="O1:U1"/>
    <mergeCell ref="N1:N2"/>
    <mergeCell ref="K1:K2"/>
    <mergeCell ref="L1:M1"/>
    <mergeCell ref="E1:F1"/>
    <mergeCell ref="G1:H1"/>
    <mergeCell ref="I1:J1"/>
    <mergeCell ref="A14:D1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8"/>
  <sheetViews>
    <sheetView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71" t="s">
        <v>77</v>
      </c>
      <c r="B1" s="871"/>
      <c r="C1" s="871"/>
      <c r="D1" s="871"/>
      <c r="E1" s="871"/>
      <c r="F1" s="871"/>
      <c r="G1" s="871"/>
      <c r="H1" s="871"/>
      <c r="I1" s="871"/>
      <c r="J1" s="871"/>
      <c r="K1" s="871"/>
      <c r="L1" s="871"/>
      <c r="M1" s="871"/>
      <c r="N1" s="871"/>
      <c r="O1" s="871"/>
      <c r="P1" s="871"/>
      <c r="Q1" s="871"/>
    </row>
    <row r="2" spans="1:17" s="9" customFormat="1" ht="23.25" customHeight="1" thickBot="1">
      <c r="A2" s="239" t="s">
        <v>19</v>
      </c>
      <c r="B2" s="872" t="s">
        <v>29</v>
      </c>
      <c r="C2" s="873"/>
      <c r="D2" s="874"/>
      <c r="E2" s="875" t="s">
        <v>85</v>
      </c>
      <c r="F2" s="876"/>
      <c r="G2" s="876"/>
      <c r="H2" s="877"/>
      <c r="I2" s="878" t="s">
        <v>85</v>
      </c>
      <c r="J2" s="879"/>
      <c r="K2" s="879"/>
      <c r="L2" s="880"/>
      <c r="M2" s="240" t="s">
        <v>38</v>
      </c>
      <c r="N2" s="240" t="s">
        <v>39</v>
      </c>
      <c r="O2" s="240" t="s">
        <v>40</v>
      </c>
      <c r="P2" s="240" t="s">
        <v>41</v>
      </c>
      <c r="Q2" s="240" t="s">
        <v>42</v>
      </c>
    </row>
    <row r="3" spans="1:17" s="18" customFormat="1">
      <c r="A3" s="30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0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0" t="str">
        <f>'1-συμβολαια'!A7</f>
        <v>3ο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0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0" t="str">
        <f>'1-συμβολαια'!A9</f>
        <v>4ο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30">
        <f>'1-συμβολαια'!A10</f>
        <v>0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30" t="str">
        <f>'1-συμβολαια'!A11</f>
        <v>5ο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>
      <c r="A12" s="30" t="str">
        <f>'1-συμβολαια'!A12</f>
        <v>6ο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>
      <c r="A13" s="30">
        <f>'1-συμβολαια'!A13</f>
        <v>0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5" spans="1:17" ht="15.75" customHeight="1">
      <c r="B15" s="868" t="s">
        <v>106</v>
      </c>
      <c r="C15" s="868"/>
      <c r="D15" s="868"/>
      <c r="E15" s="868"/>
      <c r="F15" s="868"/>
      <c r="G15" s="868"/>
      <c r="H15" s="868"/>
      <c r="I15" s="868"/>
      <c r="J15" s="868"/>
      <c r="K15" s="868"/>
      <c r="L15" s="3"/>
      <c r="M15" s="3"/>
      <c r="N15" s="3"/>
      <c r="O15" s="3"/>
      <c r="P15" s="3"/>
      <c r="Q15" s="3"/>
    </row>
    <row r="16" spans="1:17" ht="15.75" customHeight="1">
      <c r="C16" s="870" t="s">
        <v>107</v>
      </c>
      <c r="D16" s="870"/>
      <c r="E16" s="870"/>
      <c r="F16" s="870"/>
      <c r="G16" s="870"/>
      <c r="H16" s="870"/>
      <c r="I16" s="870"/>
      <c r="J16" s="870"/>
      <c r="K16" s="870"/>
      <c r="L16" s="3"/>
      <c r="M16" s="3"/>
      <c r="N16" s="3"/>
      <c r="O16" s="3"/>
      <c r="P16" s="3"/>
      <c r="Q16" s="3"/>
    </row>
    <row r="17" spans="1:23" ht="15.75" customHeight="1">
      <c r="D17" s="868" t="s">
        <v>298</v>
      </c>
      <c r="E17" s="868"/>
      <c r="F17" s="868"/>
      <c r="G17" s="868"/>
      <c r="H17" s="868"/>
      <c r="I17" s="868"/>
      <c r="J17" s="868"/>
      <c r="K17" s="868"/>
      <c r="L17" s="868"/>
      <c r="M17" s="868"/>
      <c r="N17" s="868"/>
      <c r="O17" s="868"/>
      <c r="P17" s="3"/>
      <c r="Q17" s="3"/>
    </row>
    <row r="18" spans="1:23" s="5" customFormat="1" ht="15.75" customHeight="1">
      <c r="A18" s="58"/>
      <c r="B18" s="237"/>
      <c r="C18" s="237"/>
      <c r="D18" s="238"/>
      <c r="E18" s="870" t="s">
        <v>420</v>
      </c>
      <c r="F18" s="870"/>
      <c r="G18" s="870"/>
      <c r="H18" s="870"/>
      <c r="I18" s="870"/>
      <c r="J18" s="870"/>
      <c r="K18" s="870"/>
      <c r="L18" s="870"/>
      <c r="M18" s="870"/>
      <c r="N18" s="3"/>
      <c r="O18" s="3"/>
      <c r="P18" s="3"/>
      <c r="Q18" s="3"/>
    </row>
    <row r="19" spans="1:23" s="5" customFormat="1" ht="15.75" customHeight="1">
      <c r="A19" s="58"/>
      <c r="B19" s="237"/>
      <c r="C19" s="237"/>
      <c r="D19" s="238"/>
      <c r="E19" s="6"/>
      <c r="F19" s="868" t="s">
        <v>129</v>
      </c>
      <c r="G19" s="868"/>
      <c r="H19" s="868"/>
      <c r="I19" s="868"/>
      <c r="J19" s="868"/>
      <c r="K19" s="868"/>
      <c r="L19" s="868"/>
      <c r="M19" s="868"/>
      <c r="N19" s="868"/>
      <c r="O19" s="868"/>
      <c r="P19" s="868"/>
      <c r="Q19" s="3"/>
    </row>
    <row r="20" spans="1:23" s="5" customFormat="1" ht="15.75" customHeight="1">
      <c r="A20" s="58"/>
      <c r="B20" s="237"/>
      <c r="C20" s="237"/>
      <c r="D20" s="238"/>
      <c r="E20" s="6"/>
      <c r="F20" s="6"/>
      <c r="G20" s="870" t="s">
        <v>421</v>
      </c>
      <c r="H20" s="870"/>
      <c r="I20" s="870"/>
      <c r="J20" s="870"/>
      <c r="K20" s="870"/>
      <c r="L20" s="870"/>
      <c r="M20" s="870"/>
      <c r="N20" s="870"/>
      <c r="O20" s="870"/>
      <c r="P20" s="870"/>
      <c r="Q20" s="870"/>
    </row>
    <row r="21" spans="1:23" s="5" customFormat="1" ht="15.75" customHeight="1">
      <c r="A21" s="58"/>
      <c r="B21" s="237"/>
      <c r="C21" s="237"/>
      <c r="D21" s="238"/>
      <c r="E21" s="6"/>
      <c r="F21" s="6"/>
      <c r="G21" s="231"/>
      <c r="H21" s="868" t="s">
        <v>108</v>
      </c>
      <c r="I21" s="868"/>
      <c r="J21" s="868"/>
      <c r="K21" s="868"/>
      <c r="L21" s="868"/>
      <c r="M21" s="868"/>
      <c r="N21" s="868"/>
      <c r="O21" s="3"/>
      <c r="P21" s="3"/>
      <c r="Q21" s="3"/>
      <c r="R21" s="3"/>
      <c r="S21" s="3"/>
      <c r="T21" s="3"/>
      <c r="U21" s="3"/>
      <c r="V21" s="3"/>
      <c r="W21" s="3"/>
    </row>
    <row r="22" spans="1:23" s="5" customFormat="1" ht="15.75" customHeight="1">
      <c r="A22" s="58"/>
      <c r="B22" s="237"/>
      <c r="C22" s="237"/>
      <c r="D22" s="238"/>
      <c r="E22" s="6"/>
      <c r="F22" s="6"/>
      <c r="G22" s="231"/>
      <c r="H22" s="6"/>
      <c r="I22" s="870" t="s">
        <v>109</v>
      </c>
      <c r="J22" s="870"/>
      <c r="K22" s="870"/>
      <c r="L22" s="870"/>
      <c r="M22" s="870"/>
      <c r="N22" s="870"/>
      <c r="O22" s="870"/>
      <c r="P22" s="870"/>
      <c r="Q22" s="870"/>
      <c r="R22" s="870"/>
      <c r="S22" s="3"/>
      <c r="T22" s="3"/>
      <c r="U22" s="3"/>
      <c r="V22" s="3"/>
      <c r="W22" s="3"/>
    </row>
    <row r="23" spans="1:23" s="5" customFormat="1" ht="15.75" customHeight="1">
      <c r="A23" s="58"/>
      <c r="B23" s="237"/>
      <c r="C23" s="237"/>
      <c r="D23" s="238"/>
      <c r="E23" s="6"/>
      <c r="F23" s="6"/>
      <c r="G23" s="231"/>
      <c r="H23" s="6"/>
      <c r="I23" s="6"/>
      <c r="J23" s="868" t="s">
        <v>110</v>
      </c>
      <c r="K23" s="868"/>
      <c r="L23" s="868"/>
      <c r="M23" s="868"/>
      <c r="N23" s="868"/>
      <c r="O23" s="868"/>
      <c r="P23" s="868"/>
      <c r="Q23" s="868"/>
      <c r="R23" s="3"/>
      <c r="S23" s="3"/>
      <c r="T23" s="3"/>
      <c r="U23" s="3"/>
      <c r="V23" s="3"/>
      <c r="W23" s="3"/>
    </row>
    <row r="24" spans="1:23" s="5" customFormat="1" ht="15.75" customHeight="1">
      <c r="A24" s="58"/>
      <c r="B24" s="237"/>
      <c r="C24" s="237"/>
      <c r="D24" s="238"/>
      <c r="E24" s="6"/>
      <c r="F24" s="6"/>
      <c r="G24" s="231"/>
      <c r="H24" s="6"/>
      <c r="I24" s="6"/>
      <c r="J24" s="6"/>
      <c r="K24" s="869" t="s">
        <v>130</v>
      </c>
      <c r="L24" s="869"/>
      <c r="M24" s="869"/>
      <c r="N24" s="869"/>
      <c r="O24" s="869"/>
      <c r="P24" s="869"/>
      <c r="Q24" s="869"/>
      <c r="R24" s="869"/>
      <c r="S24" s="869"/>
      <c r="T24" s="869"/>
      <c r="U24" s="869"/>
      <c r="V24" s="3"/>
      <c r="W24" s="3"/>
    </row>
    <row r="25" spans="1:23" s="5" customFormat="1" ht="15.75" customHeight="1">
      <c r="A25" s="58"/>
      <c r="B25" s="237"/>
      <c r="C25" s="237"/>
      <c r="D25" s="238"/>
      <c r="E25" s="6"/>
      <c r="F25" s="6"/>
      <c r="G25" s="231"/>
      <c r="H25" s="6"/>
      <c r="I25" s="6"/>
      <c r="J25" s="6"/>
      <c r="K25" s="6"/>
      <c r="L25" s="868" t="s">
        <v>111</v>
      </c>
      <c r="M25" s="868"/>
      <c r="N25" s="868"/>
      <c r="O25" s="868"/>
      <c r="P25" s="868"/>
      <c r="Q25" s="868"/>
      <c r="R25" s="868"/>
      <c r="S25" s="868"/>
      <c r="T25" s="3"/>
      <c r="U25" s="3"/>
      <c r="V25" s="3"/>
      <c r="W25" s="3"/>
    </row>
    <row r="26" spans="1:23" s="5" customFormat="1" ht="15.75" customHeight="1">
      <c r="A26" s="58"/>
      <c r="B26" s="237"/>
      <c r="C26" s="237"/>
      <c r="D26" s="238"/>
      <c r="E26" s="6"/>
      <c r="F26" s="6"/>
      <c r="G26" s="231"/>
      <c r="H26" s="6"/>
      <c r="I26" s="6"/>
      <c r="J26" s="6"/>
      <c r="K26" s="6"/>
      <c r="L26" s="3"/>
      <c r="M26" s="870" t="s">
        <v>112</v>
      </c>
      <c r="N26" s="870"/>
      <c r="O26" s="870"/>
      <c r="P26" s="870"/>
      <c r="Q26" s="870"/>
      <c r="R26" s="870"/>
      <c r="S26" s="870"/>
      <c r="T26" s="870"/>
      <c r="U26" s="3"/>
      <c r="V26" s="3"/>
      <c r="W26" s="3"/>
    </row>
    <row r="27" spans="1:23" s="5" customFormat="1" ht="15.75" customHeight="1">
      <c r="A27" s="58"/>
      <c r="B27" s="237"/>
      <c r="C27" s="237"/>
      <c r="D27" s="238"/>
      <c r="E27" s="6"/>
      <c r="F27" s="6"/>
      <c r="G27" s="231"/>
      <c r="H27" s="6"/>
      <c r="I27" s="6"/>
      <c r="J27" s="6"/>
      <c r="K27" s="6"/>
      <c r="L27" s="3"/>
      <c r="M27" s="3"/>
      <c r="N27" s="868" t="s">
        <v>113</v>
      </c>
      <c r="O27" s="868"/>
      <c r="P27" s="868"/>
      <c r="Q27" s="868"/>
      <c r="R27" s="868"/>
      <c r="S27" s="868"/>
      <c r="T27" s="868"/>
      <c r="U27" s="868"/>
      <c r="V27" s="868"/>
      <c r="W27" s="868"/>
    </row>
    <row r="28" spans="1:23" s="5" customFormat="1" ht="15.75" customHeight="1">
      <c r="A28" s="58"/>
      <c r="B28" s="237"/>
      <c r="C28" s="237"/>
      <c r="D28" s="238"/>
      <c r="E28" s="6"/>
      <c r="F28" s="6"/>
      <c r="G28" s="231"/>
      <c r="H28" s="231"/>
      <c r="I28" s="231"/>
      <c r="J28" s="231"/>
      <c r="K28" s="231"/>
      <c r="L28" s="231"/>
      <c r="M28" s="231"/>
      <c r="N28" s="231"/>
      <c r="O28" s="231"/>
      <c r="P28" s="231"/>
      <c r="Q28" s="231"/>
    </row>
  </sheetData>
  <mergeCells count="17">
    <mergeCell ref="H21:N21"/>
    <mergeCell ref="I22:R22"/>
    <mergeCell ref="C16:K16"/>
    <mergeCell ref="D17:O17"/>
    <mergeCell ref="E18:M18"/>
    <mergeCell ref="F19:P19"/>
    <mergeCell ref="G20:Q20"/>
    <mergeCell ref="A1:Q1"/>
    <mergeCell ref="B2:D2"/>
    <mergeCell ref="E2:H2"/>
    <mergeCell ref="I2:L2"/>
    <mergeCell ref="B15:K15"/>
    <mergeCell ref="J23:Q23"/>
    <mergeCell ref="K24:U24"/>
    <mergeCell ref="L25:S25"/>
    <mergeCell ref="M26:T26"/>
    <mergeCell ref="N27:W27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pane ySplit="2" topLeftCell="A3" activePane="bottomLeft" state="frozen"/>
      <selection pane="bottomLeft" activeCell="E31" sqref="E31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871" t="s">
        <v>77</v>
      </c>
      <c r="B1" s="871"/>
      <c r="C1" s="871"/>
      <c r="D1" s="871"/>
      <c r="E1" s="871"/>
      <c r="F1" s="871"/>
      <c r="G1" s="871"/>
      <c r="H1" s="871"/>
      <c r="I1" s="871"/>
      <c r="J1" s="871"/>
      <c r="K1" s="871"/>
      <c r="L1" s="871"/>
      <c r="M1" s="871"/>
      <c r="N1" s="871"/>
      <c r="O1" s="871"/>
      <c r="P1" s="871"/>
      <c r="Q1" s="871"/>
      <c r="R1" s="871"/>
      <c r="S1" s="871"/>
      <c r="T1" s="871"/>
    </row>
    <row r="2" spans="1:20" s="9" customFormat="1" ht="23.25" customHeight="1" thickBot="1">
      <c r="A2" s="239" t="s">
        <v>19</v>
      </c>
      <c r="B2" s="872" t="s">
        <v>29</v>
      </c>
      <c r="C2" s="873"/>
      <c r="D2" s="874"/>
      <c r="E2" s="875" t="s">
        <v>85</v>
      </c>
      <c r="F2" s="876"/>
      <c r="G2" s="877"/>
      <c r="H2" s="882" t="s">
        <v>85</v>
      </c>
      <c r="I2" s="883"/>
      <c r="J2" s="884"/>
      <c r="K2" s="878" t="s">
        <v>85</v>
      </c>
      <c r="L2" s="879"/>
      <c r="M2" s="880"/>
      <c r="N2" s="240" t="s">
        <v>36</v>
      </c>
      <c r="O2" s="240" t="s">
        <v>37</v>
      </c>
      <c r="P2" s="240" t="s">
        <v>38</v>
      </c>
      <c r="Q2" s="240" t="s">
        <v>39</v>
      </c>
      <c r="R2" s="240" t="s">
        <v>40</v>
      </c>
      <c r="S2" s="240" t="s">
        <v>41</v>
      </c>
      <c r="T2" s="240" t="s">
        <v>42</v>
      </c>
    </row>
    <row r="3" spans="1:20" s="18" customFormat="1">
      <c r="A3" s="30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30" t="str">
        <f>'1-συμβολαια'!A4</f>
        <v>2ο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30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30">
        <f>'1-συμβολαια'!A6</f>
        <v>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30" t="str">
        <f>'1-συμβολαια'!A7</f>
        <v>3ο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30">
        <f>'1-συμβολαια'!A8</f>
        <v>0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8" customFormat="1">
      <c r="A9" s="30" t="str">
        <f>'1-συμβολαια'!A9</f>
        <v>4ο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8" customFormat="1">
      <c r="A10" s="30">
        <f>'1-συμβολαια'!A10</f>
        <v>0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8" customFormat="1">
      <c r="A11" s="30" t="str">
        <f>'1-συμβολαια'!A11</f>
        <v>5ο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s="18" customFormat="1">
      <c r="A12" s="30" t="str">
        <f>'1-συμβολαια'!A12</f>
        <v>6ο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</row>
    <row r="13" spans="1:20" s="18" customFormat="1">
      <c r="A13" s="30">
        <f>'1-συμβολαια'!A13</f>
        <v>0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</row>
    <row r="15" spans="1:20" ht="15.75">
      <c r="B15" s="868" t="s">
        <v>114</v>
      </c>
      <c r="C15" s="868"/>
      <c r="D15" s="868"/>
      <c r="E15" s="868"/>
      <c r="F15" s="868"/>
      <c r="G15" s="868"/>
      <c r="H15" s="868"/>
      <c r="I15" s="118"/>
      <c r="J15" s="6"/>
      <c r="K15" s="6"/>
      <c r="L15" s="3"/>
      <c r="M15" s="3"/>
      <c r="N15" s="3"/>
      <c r="O15" s="3"/>
    </row>
    <row r="16" spans="1:20" ht="15.75">
      <c r="B16" s="6"/>
      <c r="C16" s="870" t="s">
        <v>115</v>
      </c>
      <c r="D16" s="870"/>
      <c r="E16" s="870"/>
      <c r="F16" s="870"/>
      <c r="G16" s="870"/>
      <c r="H16" s="870"/>
      <c r="I16" s="870"/>
      <c r="J16" s="6"/>
      <c r="K16" s="6"/>
      <c r="L16" s="3"/>
      <c r="M16" s="3"/>
      <c r="N16" s="3"/>
      <c r="O16" s="3"/>
    </row>
    <row r="17" spans="2:15" ht="15.75" customHeight="1">
      <c r="B17" s="6"/>
      <c r="C17" s="6"/>
      <c r="D17" s="868" t="s">
        <v>116</v>
      </c>
      <c r="E17" s="868"/>
      <c r="F17" s="868"/>
      <c r="G17" s="868"/>
      <c r="H17" s="868"/>
      <c r="I17" s="868"/>
      <c r="J17" s="868"/>
      <c r="K17" s="868"/>
      <c r="L17" s="3"/>
      <c r="M17" s="3"/>
      <c r="N17" s="3"/>
      <c r="O17" s="3"/>
    </row>
    <row r="18" spans="2:15" ht="15.75" customHeight="1">
      <c r="B18" s="6"/>
      <c r="C18" s="6"/>
      <c r="D18" s="6"/>
      <c r="E18" s="881" t="s">
        <v>121</v>
      </c>
      <c r="F18" s="881"/>
      <c r="G18" s="881"/>
      <c r="H18" s="881"/>
      <c r="I18" s="881"/>
      <c r="J18" s="881"/>
      <c r="K18" s="881"/>
      <c r="L18" s="881"/>
      <c r="M18" s="3"/>
      <c r="N18" s="3"/>
      <c r="O18" s="3"/>
    </row>
    <row r="19" spans="2:15" ht="15.75" customHeight="1">
      <c r="B19" s="6"/>
      <c r="C19" s="6"/>
      <c r="D19" s="6"/>
      <c r="E19" s="6"/>
      <c r="F19" s="868" t="s">
        <v>117</v>
      </c>
      <c r="G19" s="868"/>
      <c r="H19" s="868"/>
      <c r="I19" s="868"/>
      <c r="J19" s="868"/>
      <c r="K19" s="868"/>
      <c r="L19" s="868"/>
      <c r="M19" s="3"/>
      <c r="N19" s="3"/>
      <c r="O19" s="3"/>
    </row>
    <row r="20" spans="2:15" ht="15.75" customHeight="1">
      <c r="B20" s="6"/>
      <c r="C20" s="6"/>
      <c r="D20" s="6"/>
      <c r="E20" s="6"/>
      <c r="F20" s="6"/>
      <c r="G20" s="870" t="s">
        <v>118</v>
      </c>
      <c r="H20" s="870"/>
      <c r="I20" s="870"/>
      <c r="J20" s="870"/>
      <c r="K20" s="870"/>
      <c r="L20" s="870"/>
      <c r="M20" s="870"/>
      <c r="N20" s="3"/>
      <c r="O20" s="3"/>
    </row>
    <row r="21" spans="2:15" ht="15.75">
      <c r="B21" s="6"/>
      <c r="C21" s="6"/>
      <c r="D21" s="6"/>
      <c r="E21" s="6"/>
      <c r="F21" s="6"/>
      <c r="G21" s="6"/>
      <c r="H21" s="868" t="s">
        <v>119</v>
      </c>
      <c r="I21" s="868"/>
      <c r="J21" s="868"/>
      <c r="K21" s="868"/>
      <c r="L21" s="868"/>
      <c r="M21" s="868"/>
      <c r="N21" s="868"/>
      <c r="O21" s="3"/>
    </row>
    <row r="22" spans="2:15" ht="15.75">
      <c r="B22" s="6"/>
      <c r="C22" s="6"/>
      <c r="D22" s="6"/>
      <c r="E22" s="6"/>
      <c r="F22" s="6"/>
      <c r="G22" s="6"/>
      <c r="H22" s="6"/>
      <c r="I22" s="870" t="s">
        <v>120</v>
      </c>
      <c r="J22" s="870"/>
      <c r="K22" s="870"/>
      <c r="L22" s="870"/>
      <c r="M22" s="870"/>
      <c r="N22" s="870"/>
      <c r="O22" s="870"/>
    </row>
  </sheetData>
  <mergeCells count="13">
    <mergeCell ref="A1:T1"/>
    <mergeCell ref="B2:D2"/>
    <mergeCell ref="E2:G2"/>
    <mergeCell ref="H2:J2"/>
    <mergeCell ref="K2:M2"/>
    <mergeCell ref="G20:M20"/>
    <mergeCell ref="H21:N21"/>
    <mergeCell ref="I22:O22"/>
    <mergeCell ref="B15:H15"/>
    <mergeCell ref="C16:I16"/>
    <mergeCell ref="D17:K17"/>
    <mergeCell ref="E18:L18"/>
    <mergeCell ref="F19:L19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22"/>
  <sheetViews>
    <sheetView zoomScaleNormal="100" workbookViewId="0">
      <pane ySplit="2" topLeftCell="A3" activePane="bottomLeft" state="frozen"/>
      <selection pane="bottomLeft" activeCell="E22" sqref="E22"/>
    </sheetView>
  </sheetViews>
  <sheetFormatPr defaultRowHeight="11.25"/>
  <cols>
    <col min="1" max="1" width="8.8554687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715" t="s">
        <v>67</v>
      </c>
      <c r="B1" s="715"/>
      <c r="C1" s="891" t="s">
        <v>68</v>
      </c>
      <c r="D1" s="891"/>
      <c r="E1" s="715" t="s">
        <v>0</v>
      </c>
      <c r="F1" s="715"/>
      <c r="G1" s="889" t="s">
        <v>10</v>
      </c>
      <c r="H1" s="889"/>
      <c r="I1" s="889"/>
      <c r="J1" s="715" t="s">
        <v>8</v>
      </c>
      <c r="K1" s="715"/>
      <c r="L1" s="892" t="s">
        <v>422</v>
      </c>
      <c r="M1" s="893"/>
      <c r="N1" s="893"/>
      <c r="O1" s="894"/>
      <c r="P1" s="890" t="s">
        <v>66</v>
      </c>
      <c r="Q1" s="890"/>
      <c r="R1" s="889" t="s">
        <v>55</v>
      </c>
      <c r="S1" s="889"/>
      <c r="T1" s="887" t="s">
        <v>46</v>
      </c>
      <c r="U1" s="885" t="s">
        <v>85</v>
      </c>
      <c r="V1" s="885"/>
      <c r="W1" s="885"/>
      <c r="X1" s="885"/>
      <c r="Y1" s="885"/>
      <c r="Z1" s="885"/>
      <c r="AA1" s="885"/>
      <c r="AB1" s="885"/>
      <c r="AC1" s="885"/>
    </row>
    <row r="2" spans="1:35" s="12" customFormat="1" ht="15.75" customHeight="1" thickBot="1">
      <c r="A2" s="94"/>
      <c r="B2" s="51"/>
      <c r="C2" s="84"/>
      <c r="D2" s="54" t="s">
        <v>69</v>
      </c>
      <c r="E2" s="95"/>
      <c r="F2" s="52" t="s">
        <v>69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69</v>
      </c>
      <c r="L2" s="73" t="s">
        <v>328</v>
      </c>
      <c r="M2" s="73" t="s">
        <v>329</v>
      </c>
      <c r="N2" s="73" t="s">
        <v>330</v>
      </c>
      <c r="O2" s="236" t="s">
        <v>29</v>
      </c>
      <c r="P2" s="60" t="s">
        <v>23</v>
      </c>
      <c r="Q2" s="53" t="s">
        <v>69</v>
      </c>
      <c r="R2" s="73" t="s">
        <v>23</v>
      </c>
      <c r="S2" s="36" t="s">
        <v>69</v>
      </c>
      <c r="T2" s="888"/>
      <c r="U2" s="886"/>
      <c r="V2" s="886"/>
      <c r="W2" s="886"/>
      <c r="X2" s="886"/>
      <c r="Y2" s="886"/>
      <c r="Z2" s="886"/>
      <c r="AA2" s="886"/>
      <c r="AB2" s="886"/>
      <c r="AC2" s="886"/>
    </row>
    <row r="3" spans="1:35" s="18" customFormat="1">
      <c r="A3" s="13" t="str">
        <f>'1-συμβολαια'!A3</f>
        <v>1ο</v>
      </c>
      <c r="B3" s="50"/>
      <c r="C3" s="80">
        <f>'1-συμβολαια'!B3</f>
        <v>40059</v>
      </c>
      <c r="D3" s="19"/>
      <c r="E3" s="90" t="str">
        <f>'1-συμβολαια'!C3</f>
        <v>πληρεξούσιο</v>
      </c>
      <c r="F3" s="14"/>
      <c r="G3" s="15" t="str">
        <f>'4-πολλυπρ'!D3</f>
        <v>219-163 = αδερφός</v>
      </c>
      <c r="H3" s="15" t="str">
        <f>'4-πολλυπρ'!I3</f>
        <v>219-163αδερφή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2ο</v>
      </c>
      <c r="B4" s="50"/>
      <c r="C4" s="80">
        <f>'1-συμβολαια'!B4</f>
        <v>40703</v>
      </c>
      <c r="D4" s="19"/>
      <c r="E4" s="90" t="str">
        <f>'1-συμβολαια'!C4</f>
        <v>κληρονομιάς ΑΠΟΔΟΧΗ</v>
      </c>
      <c r="F4" s="14"/>
      <c r="G4" s="15" t="str">
        <f>'4-πολλυπρ'!D4</f>
        <v>πατήρ</v>
      </c>
      <c r="H4" s="15" t="str">
        <f>'4-πολλυπρ'!I4</f>
        <v>219-163αδερφή</v>
      </c>
      <c r="I4" s="20"/>
      <c r="J4" s="20">
        <f>'1-συμβολαια'!D4</f>
        <v>0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3.3000000000000007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0"/>
      <c r="C5" s="80">
        <f>'1-συμβολαια'!B5</f>
        <v>0</v>
      </c>
      <c r="D5" s="19"/>
      <c r="E5" s="90" t="str">
        <f>'1-συμβολαια'!C5</f>
        <v>χρησικτησία αγροτεμαχίων 1,2,3  = 19?? ΑΝΑΔΑΣΜΟΣ</v>
      </c>
      <c r="F5" s="14"/>
      <c r="G5" s="15" t="str">
        <f>'4-πολλυπρ'!D5</f>
        <v>αναδασμός</v>
      </c>
      <c r="H5" s="15" t="str">
        <f>'4-πολλυπρ'!I5</f>
        <v>πατήρ</v>
      </c>
      <c r="I5" s="20"/>
      <c r="J5" s="20">
        <f>'1-συμβολαια'!D5</f>
        <v>2100.9416999999999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5"/>
      <c r="V5" s="85"/>
      <c r="W5" s="81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0"/>
      <c r="C6" s="80">
        <f>'1-συμβολαια'!B6</f>
        <v>0</v>
      </c>
      <c r="D6" s="19"/>
      <c r="E6" s="90" t="str">
        <f>'1-συμβολαια'!C6</f>
        <v>χρησικτησία αγροτεμαχίων 4,5,6,7,8,9 = 1955 πατρός ΔΩΡΕΑ άτυπος</v>
      </c>
      <c r="F6" s="14"/>
      <c r="G6" s="15" t="str">
        <f>'4-πολλυπρ'!D6</f>
        <v>πατήρ</v>
      </c>
      <c r="H6" s="15" t="str">
        <f>'4-πολλυπρ'!I6</f>
        <v>πατήρ</v>
      </c>
      <c r="I6" s="20"/>
      <c r="J6" s="20">
        <f>'1-συμβολαια'!D6</f>
        <v>7850.0433000000012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5"/>
      <c r="V6" s="85"/>
      <c r="W6" s="81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3ο</v>
      </c>
      <c r="B7" s="50"/>
      <c r="C7" s="80">
        <f>'1-συμβολαια'!B7</f>
        <v>40806</v>
      </c>
      <c r="D7" s="19"/>
      <c r="E7" s="90" t="str">
        <f>'1-συμβολαια'!C7</f>
        <v xml:space="preserve">γονική </v>
      </c>
      <c r="F7" s="14"/>
      <c r="G7" s="15" t="str">
        <f>'4-πολλυπρ'!D7</f>
        <v>219-163αδερφή</v>
      </c>
      <c r="H7" s="15" t="str">
        <f>'4-πολλυπρ'!I7</f>
        <v>ανηψιά</v>
      </c>
      <c r="I7" s="20"/>
      <c r="J7" s="20">
        <f>'1-συμβολαια'!D7</f>
        <v>5223.96</v>
      </c>
      <c r="K7" s="20"/>
      <c r="L7" s="27">
        <f>'11-χαρτόσ'!D7</f>
        <v>3</v>
      </c>
      <c r="M7" s="27"/>
      <c r="N7" s="27"/>
      <c r="O7" s="21"/>
      <c r="P7" s="17" t="e">
        <f>#REF!-R7</f>
        <v>#REF!</v>
      </c>
      <c r="Q7" s="16"/>
      <c r="R7" s="22">
        <f>'5-αντίγρ'!Q7</f>
        <v>14.850000000000001</v>
      </c>
      <c r="S7" s="23"/>
      <c r="T7" s="24"/>
      <c r="U7" s="85"/>
      <c r="V7" s="85"/>
      <c r="W7" s="81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0"/>
      <c r="C8" s="80">
        <f>'1-συμβολαια'!B8</f>
        <v>0</v>
      </c>
      <c r="D8" s="19"/>
      <c r="E8" s="90" t="str">
        <f>'1-συμβολαια'!C8</f>
        <v>δωρεά</v>
      </c>
      <c r="F8" s="14"/>
      <c r="G8" s="15" t="str">
        <f>'4-πολλυπρ'!D8</f>
        <v>219-163</v>
      </c>
      <c r="H8" s="15" t="str">
        <f>'4-πολλυπρ'!I8</f>
        <v>ανηψιά</v>
      </c>
      <c r="I8" s="20"/>
      <c r="J8" s="20">
        <f>'1-συμβολαια'!D8</f>
        <v>10447.92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5"/>
      <c r="V8" s="85"/>
      <c r="W8" s="81"/>
      <c r="X8" s="25"/>
      <c r="Y8" s="25"/>
      <c r="Z8" s="25"/>
      <c r="AA8" s="25"/>
      <c r="AB8" s="25"/>
      <c r="AC8" s="25"/>
    </row>
    <row r="9" spans="1:35" s="18" customFormat="1">
      <c r="A9" s="13" t="str">
        <f>'1-συμβολαια'!A9</f>
        <v>4ο</v>
      </c>
      <c r="B9" s="50"/>
      <c r="C9" s="80">
        <f>'1-συμβολαια'!B9</f>
        <v>40806</v>
      </c>
      <c r="D9" s="19"/>
      <c r="E9" s="90" t="str">
        <f>'1-συμβολαια'!C9</f>
        <v xml:space="preserve">γονική </v>
      </c>
      <c r="F9" s="14"/>
      <c r="G9" s="15" t="str">
        <f>'4-πολλυπρ'!D9</f>
        <v>219-163</v>
      </c>
      <c r="H9" s="15" t="str">
        <f>'4-πολλυπρ'!I9</f>
        <v>κόρη</v>
      </c>
      <c r="I9" s="20"/>
      <c r="J9" s="20">
        <f>'1-συμβολαια'!D9</f>
        <v>927.67</v>
      </c>
      <c r="K9" s="20"/>
      <c r="L9" s="27">
        <f>'11-χαρτόσ'!D9</f>
        <v>3</v>
      </c>
      <c r="M9" s="27"/>
      <c r="N9" s="27"/>
      <c r="O9" s="21"/>
      <c r="P9" s="17" t="e">
        <f>#REF!-R9</f>
        <v>#REF!</v>
      </c>
      <c r="Q9" s="16"/>
      <c r="R9" s="22">
        <f>'5-αντίγρ'!Q9</f>
        <v>13.200000000000001</v>
      </c>
      <c r="S9" s="23"/>
      <c r="T9" s="24"/>
      <c r="U9" s="85"/>
      <c r="V9" s="85"/>
      <c r="W9" s="81"/>
      <c r="X9" s="25"/>
      <c r="Y9" s="25"/>
      <c r="Z9" s="25"/>
      <c r="AA9" s="25"/>
      <c r="AB9" s="25"/>
      <c r="AC9" s="25"/>
    </row>
    <row r="10" spans="1:35" s="18" customFormat="1">
      <c r="A10" s="13">
        <f>'1-συμβολαια'!A10</f>
        <v>0</v>
      </c>
      <c r="B10" s="50"/>
      <c r="C10" s="80">
        <f>'1-συμβολαια'!B10</f>
        <v>0</v>
      </c>
      <c r="D10" s="19"/>
      <c r="E10" s="90" t="str">
        <f>'1-συμβολαια'!C10</f>
        <v>δωρεά</v>
      </c>
      <c r="F10" s="14"/>
      <c r="G10" s="15" t="str">
        <f>'4-πολλυπρ'!D10</f>
        <v>219-163αδερφή</v>
      </c>
      <c r="H10" s="15" t="str">
        <f>'4-πολλυπρ'!I10</f>
        <v>κόρη</v>
      </c>
      <c r="I10" s="20"/>
      <c r="J10" s="20">
        <f>'1-συμβολαια'!D10</f>
        <v>1855.34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0</v>
      </c>
      <c r="S10" s="23"/>
      <c r="T10" s="24"/>
      <c r="U10" s="85"/>
      <c r="V10" s="85"/>
      <c r="W10" s="81"/>
      <c r="X10" s="25"/>
      <c r="Y10" s="25"/>
      <c r="Z10" s="25"/>
      <c r="AA10" s="25"/>
      <c r="AB10" s="25"/>
      <c r="AC10" s="25"/>
    </row>
    <row r="11" spans="1:35" s="18" customFormat="1">
      <c r="A11" s="13" t="str">
        <f>'1-συμβολαια'!A11</f>
        <v>5ο</v>
      </c>
      <c r="B11" s="50"/>
      <c r="C11" s="80">
        <f>'1-συμβολαια'!B11</f>
        <v>40806</v>
      </c>
      <c r="D11" s="19"/>
      <c r="E11" s="90" t="str">
        <f>'1-συμβολαια'!C11</f>
        <v>δωρεά</v>
      </c>
      <c r="F11" s="14"/>
      <c r="G11" s="15" t="str">
        <f>'4-πολλυπρ'!D11</f>
        <v>219-163</v>
      </c>
      <c r="H11" s="15" t="str">
        <f>'4-πολλυπρ'!I11</f>
        <v>219-163 = αδερφός</v>
      </c>
      <c r="I11" s="20"/>
      <c r="J11" s="20">
        <f>'1-συμβολαια'!D11</f>
        <v>3632.94</v>
      </c>
      <c r="K11" s="20"/>
      <c r="L11" s="27">
        <f>'11-χαρτόσ'!D11</f>
        <v>3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6.6000000000000005</v>
      </c>
      <c r="S11" s="23"/>
      <c r="T11" s="24"/>
      <c r="U11" s="85"/>
      <c r="V11" s="85"/>
      <c r="W11" s="81"/>
      <c r="X11" s="25"/>
      <c r="Y11" s="25"/>
      <c r="Z11" s="25"/>
      <c r="AA11" s="25"/>
      <c r="AB11" s="25"/>
      <c r="AC11" s="25"/>
    </row>
    <row r="12" spans="1:35" s="18" customFormat="1">
      <c r="A12" s="13" t="str">
        <f>'1-συμβολαια'!A12</f>
        <v>6ο</v>
      </c>
      <c r="B12" s="50"/>
      <c r="C12" s="80">
        <f>'1-συμβολαια'!B12</f>
        <v>40806</v>
      </c>
      <c r="D12" s="19"/>
      <c r="E12" s="90" t="str">
        <f>'1-συμβολαια'!C12</f>
        <v xml:space="preserve">γονική </v>
      </c>
      <c r="F12" s="14"/>
      <c r="G12" s="15" t="str">
        <f>'4-πολλυπρ'!D12</f>
        <v>219-163</v>
      </c>
      <c r="H12" s="15" t="str">
        <f>'4-πολλυπρ'!I12</f>
        <v>ανηψιός</v>
      </c>
      <c r="I12" s="20"/>
      <c r="J12" s="20">
        <f>'1-συμβολαια'!D12</f>
        <v>3600.35</v>
      </c>
      <c r="K12" s="20"/>
      <c r="L12" s="27">
        <f>'11-χαρτόσ'!D12</f>
        <v>3</v>
      </c>
      <c r="M12" s="27"/>
      <c r="N12" s="27"/>
      <c r="O12" s="21"/>
      <c r="P12" s="17" t="e">
        <f>#REF!-R12</f>
        <v>#REF!</v>
      </c>
      <c r="Q12" s="16"/>
      <c r="R12" s="22">
        <f>'5-αντίγρ'!Q12</f>
        <v>13.200000000000001</v>
      </c>
      <c r="S12" s="23"/>
      <c r="T12" s="24"/>
      <c r="U12" s="85"/>
      <c r="V12" s="85"/>
      <c r="W12" s="81"/>
      <c r="X12" s="25"/>
      <c r="Y12" s="25"/>
      <c r="Z12" s="25"/>
      <c r="AA12" s="25"/>
      <c r="AB12" s="25"/>
      <c r="AC12" s="25"/>
    </row>
    <row r="13" spans="1:35" s="18" customFormat="1">
      <c r="A13" s="13">
        <f>'1-συμβολαια'!A13</f>
        <v>0</v>
      </c>
      <c r="B13" s="50"/>
      <c r="C13" s="80">
        <f>'1-συμβολαια'!B13</f>
        <v>0</v>
      </c>
      <c r="D13" s="19"/>
      <c r="E13" s="90" t="str">
        <f>'1-συμβολαια'!C13</f>
        <v>δωρεά</v>
      </c>
      <c r="F13" s="14"/>
      <c r="G13" s="15" t="str">
        <f>'4-πολλυπρ'!D13</f>
        <v>219-163αδερφή</v>
      </c>
      <c r="H13" s="15" t="str">
        <f>'4-πολλυπρ'!I13</f>
        <v>ανηψιός</v>
      </c>
      <c r="I13" s="20"/>
      <c r="J13" s="20">
        <f>'1-συμβολαια'!D13</f>
        <v>7200.7</v>
      </c>
      <c r="K13" s="20"/>
      <c r="L13" s="27">
        <f>'11-χαρτόσ'!D13</f>
        <v>0</v>
      </c>
      <c r="M13" s="27"/>
      <c r="N13" s="27"/>
      <c r="O13" s="21"/>
      <c r="P13" s="17" t="e">
        <f>#REF!-R13</f>
        <v>#REF!</v>
      </c>
      <c r="Q13" s="16"/>
      <c r="R13" s="22">
        <f>'5-αντίγρ'!Q13</f>
        <v>0</v>
      </c>
      <c r="S13" s="23"/>
      <c r="T13" s="24"/>
      <c r="U13" s="85"/>
      <c r="V13" s="85"/>
      <c r="W13" s="81"/>
      <c r="X13" s="25"/>
      <c r="Y13" s="25"/>
      <c r="Z13" s="25"/>
      <c r="AA13" s="25"/>
      <c r="AB13" s="25"/>
      <c r="AC13" s="25"/>
    </row>
    <row r="14" spans="1:35">
      <c r="A14" s="680" t="s">
        <v>56</v>
      </c>
      <c r="B14" s="681"/>
      <c r="C14" s="681"/>
      <c r="D14" s="681"/>
      <c r="E14" s="681"/>
      <c r="F14" s="681"/>
      <c r="G14" s="681"/>
      <c r="H14" s="681"/>
      <c r="I14" s="681"/>
      <c r="J14" s="681"/>
      <c r="K14" s="45"/>
      <c r="L14" s="1">
        <f>SUM(L3:L13)</f>
        <v>12</v>
      </c>
      <c r="M14" s="1"/>
      <c r="N14" s="1"/>
      <c r="O14" s="1">
        <f>SUM(O3:O13)</f>
        <v>0</v>
      </c>
      <c r="P14" s="38" t="e">
        <f>SUM(P3:P13)</f>
        <v>#REF!</v>
      </c>
      <c r="Q14" s="1">
        <f>SUM(Q3:Q13)</f>
        <v>0</v>
      </c>
      <c r="R14" s="1">
        <f>SUM(R3:R13)</f>
        <v>51.150000000000006</v>
      </c>
      <c r="S14" s="1">
        <f>SUM(S3:S13)</f>
        <v>0</v>
      </c>
      <c r="T14" s="3"/>
      <c r="U14" s="82"/>
      <c r="V14" s="82"/>
    </row>
    <row r="15" spans="1:35">
      <c r="T15" s="120"/>
    </row>
    <row r="16" spans="1:35" ht="15.75" customHeight="1">
      <c r="T16" s="120"/>
      <c r="U16" s="868" t="s">
        <v>122</v>
      </c>
      <c r="V16" s="868"/>
      <c r="W16" s="868"/>
      <c r="X16" s="868"/>
      <c r="Y16" s="868"/>
      <c r="Z16" s="868"/>
      <c r="AA16" s="868"/>
      <c r="AB16" s="868"/>
      <c r="AC16" s="868"/>
      <c r="AD16" s="118"/>
      <c r="AE16" s="118"/>
      <c r="AF16" s="118"/>
      <c r="AG16" s="118"/>
      <c r="AH16" s="113"/>
      <c r="AI16" s="113"/>
    </row>
    <row r="17" spans="20:35" ht="15.75" customHeight="1">
      <c r="T17" s="120"/>
      <c r="U17" s="119"/>
      <c r="V17" s="870" t="s">
        <v>123</v>
      </c>
      <c r="W17" s="870"/>
      <c r="X17" s="870"/>
      <c r="Y17" s="870"/>
      <c r="Z17" s="870"/>
      <c r="AA17" s="870"/>
      <c r="AB17" s="870"/>
      <c r="AC17" s="870"/>
      <c r="AD17" s="870"/>
      <c r="AE17" s="113"/>
      <c r="AF17" s="113"/>
      <c r="AG17" s="113"/>
      <c r="AH17" s="113"/>
      <c r="AI17" s="113"/>
    </row>
    <row r="18" spans="20:35" ht="15.75" customHeight="1">
      <c r="T18" s="120"/>
      <c r="U18" s="119"/>
      <c r="V18" s="119"/>
      <c r="W18" s="868" t="s">
        <v>124</v>
      </c>
      <c r="X18" s="868"/>
      <c r="Y18" s="868"/>
      <c r="Z18" s="868"/>
      <c r="AA18" s="868"/>
      <c r="AB18" s="868"/>
      <c r="AC18" s="868"/>
      <c r="AD18" s="868"/>
      <c r="AE18" s="868"/>
      <c r="AF18" s="113"/>
      <c r="AG18" s="113"/>
      <c r="AH18" s="113"/>
      <c r="AI18" s="113"/>
    </row>
    <row r="19" spans="20:35" ht="15.75">
      <c r="U19" s="119"/>
      <c r="V19" s="119"/>
      <c r="W19" s="119"/>
      <c r="X19" s="870" t="s">
        <v>125</v>
      </c>
      <c r="Y19" s="870"/>
      <c r="Z19" s="870"/>
      <c r="AA19" s="870"/>
      <c r="AB19" s="870"/>
      <c r="AC19" s="870"/>
      <c r="AD19" s="870"/>
      <c r="AE19" s="870"/>
      <c r="AF19" s="870"/>
      <c r="AG19" s="113"/>
      <c r="AH19" s="113"/>
      <c r="AI19" s="113"/>
    </row>
    <row r="20" spans="20:35" ht="15.75">
      <c r="U20" s="119"/>
      <c r="V20" s="119"/>
      <c r="W20" s="119"/>
      <c r="X20" s="119"/>
      <c r="Y20" s="868" t="s">
        <v>126</v>
      </c>
      <c r="Z20" s="868"/>
      <c r="AA20" s="868"/>
      <c r="AB20" s="868"/>
      <c r="AC20" s="868"/>
      <c r="AD20" s="868"/>
      <c r="AE20" s="868"/>
      <c r="AF20" s="868"/>
      <c r="AG20" s="868"/>
      <c r="AH20" s="113"/>
      <c r="AI20" s="113"/>
    </row>
    <row r="21" spans="20:35" ht="15.75">
      <c r="U21" s="119"/>
      <c r="V21" s="119"/>
      <c r="W21" s="119"/>
      <c r="X21" s="119"/>
      <c r="Y21" s="119"/>
      <c r="Z21" s="870" t="s">
        <v>127</v>
      </c>
      <c r="AA21" s="870"/>
      <c r="AB21" s="870"/>
      <c r="AC21" s="870"/>
      <c r="AD21" s="870"/>
      <c r="AE21" s="870"/>
      <c r="AF21" s="870"/>
      <c r="AG21" s="870"/>
      <c r="AH21" s="870"/>
      <c r="AI21" s="113"/>
    </row>
    <row r="22" spans="20:35" ht="15.75">
      <c r="U22" s="119"/>
      <c r="V22" s="119"/>
      <c r="W22" s="119"/>
      <c r="X22" s="119"/>
      <c r="Y22" s="119"/>
      <c r="Z22" s="119"/>
      <c r="AA22" s="868" t="s">
        <v>128</v>
      </c>
      <c r="AB22" s="868"/>
      <c r="AC22" s="868"/>
      <c r="AD22" s="868"/>
      <c r="AE22" s="868"/>
      <c r="AF22" s="868"/>
      <c r="AG22" s="868"/>
      <c r="AH22" s="868"/>
      <c r="AI22" s="868"/>
    </row>
  </sheetData>
  <mergeCells count="18">
    <mergeCell ref="A14:J14"/>
    <mergeCell ref="E1:F1"/>
    <mergeCell ref="P1:Q1"/>
    <mergeCell ref="A1:B1"/>
    <mergeCell ref="C1:D1"/>
    <mergeCell ref="G1:I1"/>
    <mergeCell ref="J1:K1"/>
    <mergeCell ref="L1:O1"/>
    <mergeCell ref="U16:AC16"/>
    <mergeCell ref="V17:AD17"/>
    <mergeCell ref="U1:AC2"/>
    <mergeCell ref="T1:T2"/>
    <mergeCell ref="R1:S1"/>
    <mergeCell ref="W18:AE18"/>
    <mergeCell ref="X19:AF19"/>
    <mergeCell ref="Y20:AG20"/>
    <mergeCell ref="Z21:AH21"/>
    <mergeCell ref="AA22:AI22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16"/>
  <sheetViews>
    <sheetView workbookViewId="0">
      <pane ySplit="2" topLeftCell="A3" activePane="bottomLeft" state="frozen"/>
      <selection pane="bottomLeft" activeCell="G29" sqref="G2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9" customFormat="1" ht="32.25" customHeight="1">
      <c r="A1" s="899" t="s">
        <v>31</v>
      </c>
      <c r="B1" s="900"/>
      <c r="C1" s="900"/>
      <c r="D1" s="900"/>
      <c r="E1" s="901"/>
      <c r="F1" s="902" t="s">
        <v>301</v>
      </c>
      <c r="G1" s="903"/>
      <c r="H1" s="903"/>
      <c r="I1" s="904"/>
      <c r="J1" s="895" t="s">
        <v>302</v>
      </c>
      <c r="K1" s="896"/>
      <c r="L1" s="896"/>
      <c r="M1" s="896"/>
      <c r="N1" s="896"/>
      <c r="O1" s="896"/>
      <c r="P1" s="896"/>
      <c r="Q1" s="896"/>
      <c r="R1" s="896"/>
      <c r="S1" s="896"/>
      <c r="T1" s="896"/>
      <c r="U1" s="896"/>
      <c r="V1" s="896"/>
      <c r="W1" s="896"/>
      <c r="X1" s="896"/>
      <c r="Y1" s="897"/>
      <c r="Z1" s="905" t="s">
        <v>303</v>
      </c>
      <c r="AA1" s="906"/>
      <c r="AB1" s="906"/>
      <c r="AC1" s="907"/>
      <c r="AD1" s="895" t="s">
        <v>304</v>
      </c>
      <c r="AE1" s="896"/>
      <c r="AF1" s="896"/>
      <c r="AG1" s="896"/>
      <c r="AH1" s="896"/>
      <c r="AI1" s="896"/>
      <c r="AJ1" s="896"/>
      <c r="AK1" s="896"/>
      <c r="AL1" s="896"/>
      <c r="AM1" s="896"/>
      <c r="AN1" s="896"/>
      <c r="AO1" s="896"/>
      <c r="AP1" s="896"/>
      <c r="AQ1" s="896"/>
      <c r="AR1" s="896"/>
      <c r="AS1" s="897"/>
      <c r="AT1" s="902" t="s">
        <v>305</v>
      </c>
      <c r="AU1" s="903"/>
      <c r="AV1" s="903"/>
      <c r="AW1" s="904"/>
      <c r="AX1" s="895" t="s">
        <v>306</v>
      </c>
      <c r="AY1" s="896"/>
      <c r="AZ1" s="896"/>
      <c r="BA1" s="896"/>
      <c r="BB1" s="896"/>
      <c r="BC1" s="896"/>
      <c r="BD1" s="896"/>
      <c r="BE1" s="896"/>
      <c r="BF1" s="896"/>
      <c r="BG1" s="896"/>
      <c r="BH1" s="896"/>
      <c r="BI1" s="896"/>
      <c r="BJ1" s="896"/>
      <c r="BK1" s="896"/>
      <c r="BL1" s="896"/>
      <c r="BM1" s="897"/>
    </row>
    <row r="2" spans="1:65" s="4" customFormat="1" ht="23.25" customHeight="1">
      <c r="A2" s="181" t="s">
        <v>19</v>
      </c>
      <c r="B2" s="181" t="s">
        <v>307</v>
      </c>
      <c r="C2" s="182" t="s">
        <v>308</v>
      </c>
      <c r="D2" s="649" t="s">
        <v>29</v>
      </c>
      <c r="E2" s="865"/>
      <c r="F2" s="183" t="s">
        <v>309</v>
      </c>
      <c r="G2" s="181" t="s">
        <v>18</v>
      </c>
      <c r="H2" s="183" t="s">
        <v>23</v>
      </c>
      <c r="I2" s="184" t="s">
        <v>85</v>
      </c>
      <c r="J2" s="185" t="s">
        <v>310</v>
      </c>
      <c r="K2" s="185" t="s">
        <v>311</v>
      </c>
      <c r="L2" s="183" t="s">
        <v>312</v>
      </c>
      <c r="M2" s="183" t="s">
        <v>313</v>
      </c>
      <c r="N2" s="183" t="s">
        <v>314</v>
      </c>
      <c r="O2" s="183" t="s">
        <v>315</v>
      </c>
      <c r="P2" s="183" t="s">
        <v>316</v>
      </c>
      <c r="Q2" s="183" t="s">
        <v>317</v>
      </c>
      <c r="R2" s="183" t="s">
        <v>318</v>
      </c>
      <c r="S2" s="183" t="s">
        <v>319</v>
      </c>
      <c r="T2" s="183" t="s">
        <v>320</v>
      </c>
      <c r="U2" s="183" t="s">
        <v>23</v>
      </c>
      <c r="V2" s="183" t="s">
        <v>321</v>
      </c>
      <c r="W2" s="183" t="s">
        <v>322</v>
      </c>
      <c r="X2" s="183" t="s">
        <v>323</v>
      </c>
      <c r="Y2" s="186" t="s">
        <v>324</v>
      </c>
      <c r="Z2" s="183" t="s">
        <v>309</v>
      </c>
      <c r="AA2" s="181" t="s">
        <v>18</v>
      </c>
      <c r="AB2" s="183" t="s">
        <v>23</v>
      </c>
      <c r="AC2" s="187" t="s">
        <v>85</v>
      </c>
      <c r="AD2" s="185" t="s">
        <v>310</v>
      </c>
      <c r="AE2" s="185" t="s">
        <v>311</v>
      </c>
      <c r="AF2" s="183" t="s">
        <v>312</v>
      </c>
      <c r="AG2" s="183" t="s">
        <v>313</v>
      </c>
      <c r="AH2" s="183" t="s">
        <v>314</v>
      </c>
      <c r="AI2" s="183" t="s">
        <v>315</v>
      </c>
      <c r="AJ2" s="183" t="s">
        <v>316</v>
      </c>
      <c r="AK2" s="183" t="s">
        <v>317</v>
      </c>
      <c r="AL2" s="183" t="s">
        <v>318</v>
      </c>
      <c r="AM2" s="183" t="s">
        <v>319</v>
      </c>
      <c r="AN2" s="183" t="s">
        <v>320</v>
      </c>
      <c r="AO2" s="183" t="s">
        <v>23</v>
      </c>
      <c r="AP2" s="183" t="s">
        <v>321</v>
      </c>
      <c r="AQ2" s="183" t="s">
        <v>322</v>
      </c>
      <c r="AR2" s="183" t="s">
        <v>323</v>
      </c>
      <c r="AS2" s="186" t="s">
        <v>324</v>
      </c>
      <c r="AT2" s="183" t="s">
        <v>309</v>
      </c>
      <c r="AU2" s="181" t="s">
        <v>18</v>
      </c>
      <c r="AV2" s="183" t="s">
        <v>23</v>
      </c>
      <c r="AW2" s="184" t="s">
        <v>85</v>
      </c>
      <c r="AX2" s="185" t="s">
        <v>310</v>
      </c>
      <c r="AY2" s="185" t="s">
        <v>311</v>
      </c>
      <c r="AZ2" s="183" t="s">
        <v>312</v>
      </c>
      <c r="BA2" s="183" t="s">
        <v>313</v>
      </c>
      <c r="BB2" s="183" t="s">
        <v>314</v>
      </c>
      <c r="BC2" s="183" t="s">
        <v>315</v>
      </c>
      <c r="BD2" s="183" t="s">
        <v>316</v>
      </c>
      <c r="BE2" s="183" t="s">
        <v>317</v>
      </c>
      <c r="BF2" s="183" t="s">
        <v>318</v>
      </c>
      <c r="BG2" s="183" t="s">
        <v>319</v>
      </c>
      <c r="BH2" s="183" t="s">
        <v>320</v>
      </c>
      <c r="BI2" s="183" t="s">
        <v>23</v>
      </c>
      <c r="BJ2" s="183" t="s">
        <v>321</v>
      </c>
      <c r="BK2" s="183" t="s">
        <v>322</v>
      </c>
      <c r="BL2" s="183" t="s">
        <v>325</v>
      </c>
      <c r="BM2" s="186" t="s">
        <v>324</v>
      </c>
    </row>
    <row r="3" spans="1:65" s="34" customFormat="1">
      <c r="A3" s="30" t="str">
        <f>'1-συμβολαια'!A3</f>
        <v>1ο</v>
      </c>
      <c r="B3" s="15" t="str">
        <f>'4-πολλυπρ'!D3</f>
        <v>219-163 = αδερφός</v>
      </c>
      <c r="C3" s="15" t="str">
        <f>'4-πολλυπρ'!I3</f>
        <v>219-163αδερφή</v>
      </c>
      <c r="D3" s="32"/>
      <c r="E3" s="30"/>
      <c r="F3" s="30"/>
      <c r="G3" s="31"/>
      <c r="H3" s="30"/>
      <c r="I3" s="30"/>
      <c r="J3" s="30"/>
      <c r="K3" s="138" t="s">
        <v>326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88" t="s">
        <v>326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2ο</v>
      </c>
      <c r="B4" s="15" t="str">
        <f>'4-πολλυπρ'!D4</f>
        <v>πατήρ</v>
      </c>
      <c r="C4" s="15" t="str">
        <f>'4-πολλυπρ'!I4</f>
        <v>219-163αδερφή</v>
      </c>
      <c r="D4" s="32"/>
      <c r="E4" s="30"/>
      <c r="F4" s="30"/>
      <c r="G4" s="31"/>
      <c r="H4" s="30"/>
      <c r="I4" s="30"/>
      <c r="J4" s="30"/>
      <c r="K4" s="138" t="s">
        <v>326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88" t="s">
        <v>326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 t="str">
        <f>'4-πολλυπρ'!D5</f>
        <v>αναδασμός</v>
      </c>
      <c r="C5" s="15" t="str">
        <f>'4-πολλυπρ'!I5</f>
        <v>πατήρ</v>
      </c>
      <c r="D5" s="32"/>
      <c r="E5" s="30"/>
      <c r="F5" s="30"/>
      <c r="G5" s="31"/>
      <c r="H5" s="30"/>
      <c r="I5" s="30"/>
      <c r="J5" s="30"/>
      <c r="K5" s="138" t="s">
        <v>326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88" t="s">
        <v>326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5" t="str">
        <f>'4-πολλυπρ'!D6</f>
        <v>πατήρ</v>
      </c>
      <c r="C6" s="15" t="str">
        <f>'4-πολλυπρ'!I6</f>
        <v>πατήρ</v>
      </c>
      <c r="D6" s="32"/>
      <c r="E6" s="30"/>
      <c r="F6" s="30"/>
      <c r="G6" s="31"/>
      <c r="H6" s="30"/>
      <c r="I6" s="30"/>
      <c r="J6" s="30"/>
      <c r="K6" s="138" t="s">
        <v>326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188" t="s">
        <v>326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 t="str">
        <f>'1-συμβολαια'!A7</f>
        <v>3ο</v>
      </c>
      <c r="B7" s="15" t="str">
        <f>'4-πολλυπρ'!D7</f>
        <v>219-163αδερφή</v>
      </c>
      <c r="C7" s="15" t="str">
        <f>'4-πολλυπρ'!I7</f>
        <v>ανηψιά</v>
      </c>
      <c r="D7" s="32"/>
      <c r="E7" s="30"/>
      <c r="F7" s="30"/>
      <c r="G7" s="31"/>
      <c r="H7" s="30"/>
      <c r="I7" s="30"/>
      <c r="J7" s="30"/>
      <c r="K7" s="138" t="s">
        <v>326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188" t="s">
        <v>326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>
        <f>'1-συμβολαια'!A8</f>
        <v>0</v>
      </c>
      <c r="B8" s="15" t="str">
        <f>'4-πολλυπρ'!D8</f>
        <v>219-163</v>
      </c>
      <c r="C8" s="15" t="str">
        <f>'4-πολλυπρ'!I8</f>
        <v>ανηψιά</v>
      </c>
      <c r="D8" s="32"/>
      <c r="E8" s="30"/>
      <c r="F8" s="30"/>
      <c r="G8" s="31"/>
      <c r="H8" s="30"/>
      <c r="I8" s="30"/>
      <c r="J8" s="30"/>
      <c r="K8" s="138" t="s">
        <v>326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188" t="s">
        <v>326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9" spans="1:65" s="34" customFormat="1">
      <c r="A9" s="30" t="str">
        <f>'1-συμβολαια'!A9</f>
        <v>4ο</v>
      </c>
      <c r="B9" s="15" t="str">
        <f>'4-πολλυπρ'!D9</f>
        <v>219-163</v>
      </c>
      <c r="C9" s="15" t="str">
        <f>'4-πολλυπρ'!I9</f>
        <v>κόρη</v>
      </c>
      <c r="D9" s="32"/>
      <c r="E9" s="30"/>
      <c r="F9" s="30"/>
      <c r="G9" s="31"/>
      <c r="H9" s="30"/>
      <c r="I9" s="30"/>
      <c r="J9" s="30"/>
      <c r="K9" s="138" t="s">
        <v>326</v>
      </c>
      <c r="L9" s="33"/>
      <c r="M9" s="33"/>
      <c r="N9" s="33"/>
      <c r="O9" s="33"/>
      <c r="P9" s="33"/>
      <c r="Q9" s="33"/>
      <c r="R9" s="33"/>
      <c r="S9" s="33"/>
      <c r="T9" s="33"/>
      <c r="U9" s="30"/>
      <c r="V9" s="31"/>
      <c r="W9" s="31"/>
      <c r="X9" s="33"/>
      <c r="Y9" s="33"/>
      <c r="Z9" s="30"/>
      <c r="AA9" s="33"/>
      <c r="AB9" s="30"/>
      <c r="AC9" s="33"/>
      <c r="AD9" s="30"/>
      <c r="AE9" s="188" t="s">
        <v>326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0"/>
      <c r="AU9" s="33"/>
      <c r="AV9" s="30"/>
      <c r="AW9" s="33"/>
      <c r="AX9" s="30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0"/>
      <c r="BJ9" s="33"/>
      <c r="BK9" s="33"/>
      <c r="BL9" s="33"/>
      <c r="BM9" s="33"/>
    </row>
    <row r="10" spans="1:65" s="34" customFormat="1">
      <c r="A10" s="30">
        <f>'1-συμβολαια'!A10</f>
        <v>0</v>
      </c>
      <c r="B10" s="15" t="str">
        <f>'4-πολλυπρ'!D10</f>
        <v>219-163αδερφή</v>
      </c>
      <c r="C10" s="15" t="str">
        <f>'4-πολλυπρ'!I10</f>
        <v>κόρη</v>
      </c>
      <c r="D10" s="32"/>
      <c r="E10" s="30"/>
      <c r="F10" s="30"/>
      <c r="G10" s="31"/>
      <c r="H10" s="30"/>
      <c r="I10" s="30"/>
      <c r="J10" s="30"/>
      <c r="K10" s="138" t="s">
        <v>326</v>
      </c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1"/>
      <c r="W10" s="31"/>
      <c r="X10" s="33"/>
      <c r="Y10" s="33"/>
      <c r="Z10" s="30"/>
      <c r="AA10" s="33"/>
      <c r="AB10" s="30"/>
      <c r="AC10" s="33"/>
      <c r="AD10" s="30"/>
      <c r="AE10" s="188" t="s">
        <v>326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0"/>
      <c r="AU10" s="33"/>
      <c r="AV10" s="30"/>
      <c r="AW10" s="33"/>
      <c r="AX10" s="30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0"/>
      <c r="BJ10" s="33"/>
      <c r="BK10" s="33"/>
      <c r="BL10" s="33"/>
      <c r="BM10" s="33"/>
    </row>
    <row r="11" spans="1:65" s="34" customFormat="1">
      <c r="A11" s="30" t="str">
        <f>'1-συμβολαια'!A11</f>
        <v>5ο</v>
      </c>
      <c r="B11" s="15" t="str">
        <f>'4-πολλυπρ'!D11</f>
        <v>219-163</v>
      </c>
      <c r="C11" s="15" t="str">
        <f>'4-πολλυπρ'!I11</f>
        <v>219-163 = αδερφός</v>
      </c>
      <c r="D11" s="32"/>
      <c r="E11" s="30"/>
      <c r="F11" s="30"/>
      <c r="G11" s="31"/>
      <c r="H11" s="30"/>
      <c r="I11" s="30"/>
      <c r="J11" s="30"/>
      <c r="K11" s="138" t="s">
        <v>326</v>
      </c>
      <c r="L11" s="33"/>
      <c r="M11" s="33"/>
      <c r="N11" s="33"/>
      <c r="O11" s="33"/>
      <c r="P11" s="33"/>
      <c r="Q11" s="33"/>
      <c r="R11" s="33"/>
      <c r="S11" s="33"/>
      <c r="T11" s="33"/>
      <c r="U11" s="30"/>
      <c r="V11" s="31"/>
      <c r="W11" s="31"/>
      <c r="X11" s="33"/>
      <c r="Y11" s="33"/>
      <c r="Z11" s="30"/>
      <c r="AA11" s="33"/>
      <c r="AB11" s="30"/>
      <c r="AC11" s="33"/>
      <c r="AD11" s="30"/>
      <c r="AE11" s="188" t="s">
        <v>326</v>
      </c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0"/>
      <c r="AU11" s="33"/>
      <c r="AV11" s="30"/>
      <c r="AW11" s="33"/>
      <c r="AX11" s="30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0"/>
      <c r="BJ11" s="33"/>
      <c r="BK11" s="33"/>
      <c r="BL11" s="33"/>
      <c r="BM11" s="33"/>
    </row>
    <row r="12" spans="1:65" s="34" customFormat="1">
      <c r="A12" s="30" t="str">
        <f>'1-συμβολαια'!A12</f>
        <v>6ο</v>
      </c>
      <c r="B12" s="15" t="str">
        <f>'4-πολλυπρ'!D12</f>
        <v>219-163</v>
      </c>
      <c r="C12" s="15" t="str">
        <f>'4-πολλυπρ'!I12</f>
        <v>ανηψιός</v>
      </c>
      <c r="D12" s="32"/>
      <c r="E12" s="30"/>
      <c r="F12" s="30"/>
      <c r="G12" s="31"/>
      <c r="H12" s="30"/>
      <c r="I12" s="30"/>
      <c r="J12" s="30"/>
      <c r="K12" s="138" t="s">
        <v>326</v>
      </c>
      <c r="L12" s="33"/>
      <c r="M12" s="33"/>
      <c r="N12" s="33"/>
      <c r="O12" s="33"/>
      <c r="P12" s="33"/>
      <c r="Q12" s="33"/>
      <c r="R12" s="33"/>
      <c r="S12" s="33"/>
      <c r="T12" s="33"/>
      <c r="U12" s="30"/>
      <c r="V12" s="31"/>
      <c r="W12" s="31"/>
      <c r="X12" s="33"/>
      <c r="Y12" s="33"/>
      <c r="Z12" s="30"/>
      <c r="AA12" s="33"/>
      <c r="AB12" s="30"/>
      <c r="AC12" s="33"/>
      <c r="AD12" s="30"/>
      <c r="AE12" s="188" t="s">
        <v>326</v>
      </c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0"/>
      <c r="AU12" s="33"/>
      <c r="AV12" s="30"/>
      <c r="AW12" s="33"/>
      <c r="AX12" s="30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0"/>
      <c r="BJ12" s="33"/>
      <c r="BK12" s="33"/>
      <c r="BL12" s="33"/>
      <c r="BM12" s="33"/>
    </row>
    <row r="13" spans="1:65" s="34" customFormat="1">
      <c r="A13" s="30">
        <f>'1-συμβολαια'!A13</f>
        <v>0</v>
      </c>
      <c r="B13" s="15" t="str">
        <f>'4-πολλυπρ'!D13</f>
        <v>219-163αδερφή</v>
      </c>
      <c r="C13" s="15" t="str">
        <f>'4-πολλυπρ'!I13</f>
        <v>ανηψιός</v>
      </c>
      <c r="D13" s="32"/>
      <c r="E13" s="30"/>
      <c r="F13" s="30"/>
      <c r="G13" s="31"/>
      <c r="H13" s="30"/>
      <c r="I13" s="30"/>
      <c r="J13" s="30"/>
      <c r="K13" s="138" t="s">
        <v>326</v>
      </c>
      <c r="L13" s="33"/>
      <c r="M13" s="33"/>
      <c r="N13" s="33"/>
      <c r="O13" s="33"/>
      <c r="P13" s="33"/>
      <c r="Q13" s="33"/>
      <c r="R13" s="33"/>
      <c r="S13" s="33"/>
      <c r="T13" s="33"/>
      <c r="U13" s="30"/>
      <c r="V13" s="31"/>
      <c r="W13" s="31"/>
      <c r="X13" s="33"/>
      <c r="Y13" s="33"/>
      <c r="Z13" s="30"/>
      <c r="AA13" s="33"/>
      <c r="AB13" s="30"/>
      <c r="AC13" s="33"/>
      <c r="AD13" s="30"/>
      <c r="AE13" s="188" t="s">
        <v>326</v>
      </c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0"/>
      <c r="AU13" s="33"/>
      <c r="AV13" s="30"/>
      <c r="AW13" s="33"/>
      <c r="AX13" s="30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0"/>
      <c r="BJ13" s="33"/>
      <c r="BK13" s="33"/>
      <c r="BL13" s="33"/>
      <c r="BM13" s="33"/>
    </row>
    <row r="15" spans="1:65">
      <c r="F15" s="898" t="s">
        <v>327</v>
      </c>
      <c r="G15" s="898"/>
      <c r="H15" s="898"/>
      <c r="I15" s="898"/>
    </row>
    <row r="16" spans="1:65">
      <c r="F16" s="898"/>
      <c r="G16" s="898"/>
      <c r="H16" s="898"/>
      <c r="I16" s="898"/>
    </row>
  </sheetData>
  <mergeCells count="9">
    <mergeCell ref="AX1:BM1"/>
    <mergeCell ref="D2:E2"/>
    <mergeCell ref="F15:I1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6"/>
  <sheetViews>
    <sheetView workbookViewId="0">
      <pane ySplit="1" topLeftCell="A2" activePane="bottomLeft" state="frozen"/>
      <selection pane="bottomLeft" activeCell="E2" sqref="E2:E12"/>
    </sheetView>
  </sheetViews>
  <sheetFormatPr defaultRowHeight="11.25"/>
  <cols>
    <col min="1" max="1" width="8.42578125" style="3" customWidth="1"/>
    <col min="2" max="2" width="49.85546875" style="3" bestFit="1" customWidth="1"/>
    <col min="3" max="3" width="13.5703125" style="2" customWidth="1"/>
    <col min="4" max="8" width="9.140625" style="3"/>
    <col min="9" max="9" width="31.85546875" style="3" bestFit="1" customWidth="1"/>
    <col min="10" max="16384" width="9.140625" style="3"/>
  </cols>
  <sheetData>
    <row r="1" spans="1:13">
      <c r="A1" s="190"/>
      <c r="B1" s="190"/>
      <c r="C1" s="294"/>
      <c r="D1" s="190" t="s">
        <v>328</v>
      </c>
      <c r="E1" s="670" t="s">
        <v>331</v>
      </c>
      <c r="F1" s="671"/>
      <c r="G1" s="671"/>
      <c r="H1" s="671"/>
      <c r="I1" s="672" t="s">
        <v>332</v>
      </c>
      <c r="J1" s="672"/>
      <c r="K1" s="672"/>
      <c r="L1" s="672"/>
      <c r="M1" s="673"/>
    </row>
    <row r="2" spans="1:13" ht="12" thickBot="1">
      <c r="A2" s="450" t="str">
        <f>'1-συμβολαια'!A3</f>
        <v>1ο</v>
      </c>
      <c r="B2" s="451" t="str">
        <f>'1-συμβολαια'!C3</f>
        <v>πληρεξούσιο</v>
      </c>
      <c r="C2" s="452">
        <f>'1-συμβολαια'!D3</f>
        <v>0</v>
      </c>
      <c r="D2" s="453"/>
      <c r="E2" s="454"/>
      <c r="F2" s="451"/>
      <c r="G2" s="451"/>
      <c r="H2" s="451"/>
      <c r="I2" s="451"/>
      <c r="J2" s="451"/>
      <c r="K2" s="451"/>
      <c r="L2" s="451"/>
      <c r="M2" s="451"/>
    </row>
    <row r="3" spans="1:13">
      <c r="A3" s="455" t="str">
        <f>'1-συμβολαια'!A4</f>
        <v>2ο</v>
      </c>
      <c r="B3" s="389" t="str">
        <f>'1-συμβολαια'!C4</f>
        <v>κληρονομιάς ΑΠΟΔΟΧΗ</v>
      </c>
      <c r="C3" s="390">
        <f>'1-συμβολαια'!D4</f>
        <v>0</v>
      </c>
      <c r="D3" s="390">
        <v>0.5</v>
      </c>
      <c r="E3" s="391">
        <v>44425</v>
      </c>
      <c r="F3" s="389">
        <v>642</v>
      </c>
      <c r="G3" s="389">
        <v>40</v>
      </c>
      <c r="H3" s="389">
        <v>23.98</v>
      </c>
      <c r="I3" s="389"/>
      <c r="J3" s="389"/>
      <c r="K3" s="389"/>
      <c r="L3" s="389"/>
      <c r="M3" s="389"/>
    </row>
    <row r="4" spans="1:13">
      <c r="A4" s="456">
        <f>'1-συμβολαια'!A5</f>
        <v>0</v>
      </c>
      <c r="B4" s="77" t="str">
        <f>'1-συμβολαια'!C5</f>
        <v>χρησικτησία αγροτεμαχίων 1,2,3  = 19?? ΑΝΑΔΑΣΜΟΣ</v>
      </c>
      <c r="C4" s="293">
        <f>'1-συμβολαια'!D5</f>
        <v>2100.9416999999999</v>
      </c>
      <c r="D4" s="428"/>
      <c r="E4" s="421"/>
      <c r="F4" s="77"/>
      <c r="G4" s="77"/>
      <c r="H4" s="77"/>
      <c r="I4" s="77"/>
      <c r="J4" s="77"/>
      <c r="K4" s="77"/>
      <c r="L4" s="77"/>
      <c r="M4" s="77"/>
    </row>
    <row r="5" spans="1:13" ht="12" thickBot="1">
      <c r="A5" s="458">
        <f>'1-συμβολαια'!A6</f>
        <v>0</v>
      </c>
      <c r="B5" s="249" t="str">
        <f>'1-συμβολαια'!C6</f>
        <v>χρησικτησία αγροτεμαχίων 4,5,6,7,8,9 = 1955 πατρός ΔΩΡΕΑ άτυπος</v>
      </c>
      <c r="C5" s="459">
        <f>'1-συμβολαια'!D6</f>
        <v>7850.0433000000012</v>
      </c>
      <c r="D5" s="453"/>
      <c r="E5" s="460"/>
      <c r="F5" s="249"/>
      <c r="G5" s="249"/>
      <c r="H5" s="249"/>
      <c r="I5" s="249"/>
      <c r="J5" s="249"/>
      <c r="K5" s="249"/>
      <c r="L5" s="249"/>
      <c r="M5" s="249"/>
    </row>
    <row r="6" spans="1:13">
      <c r="A6" s="527" t="str">
        <f>'1-συμβολαια'!A7</f>
        <v>3ο</v>
      </c>
      <c r="B6" s="389" t="str">
        <f>'1-συμβολαια'!C7</f>
        <v xml:space="preserve">γονική </v>
      </c>
      <c r="C6" s="390">
        <f>'1-συμβολαια'!D7</f>
        <v>5223.96</v>
      </c>
      <c r="D6" s="457"/>
      <c r="E6" s="391">
        <v>44609</v>
      </c>
      <c r="F6" s="389">
        <v>651</v>
      </c>
      <c r="G6" s="389">
        <v>1</v>
      </c>
      <c r="H6" s="389"/>
      <c r="I6" s="389" t="s">
        <v>576</v>
      </c>
      <c r="J6" s="389"/>
      <c r="K6" s="389"/>
      <c r="L6" s="389"/>
      <c r="M6" s="389" t="s">
        <v>569</v>
      </c>
    </row>
    <row r="7" spans="1:13" ht="12" thickBot="1">
      <c r="A7" s="528">
        <f>'1-συμβολαια'!A8</f>
        <v>0</v>
      </c>
      <c r="B7" s="249" t="str">
        <f>'1-συμβολαια'!C8</f>
        <v>δωρεά</v>
      </c>
      <c r="C7" s="459">
        <f>'1-συμβολαια'!D8</f>
        <v>10447.92</v>
      </c>
      <c r="D7" s="453"/>
      <c r="E7" s="460">
        <v>44609</v>
      </c>
      <c r="F7" s="249">
        <v>651</v>
      </c>
      <c r="G7" s="249">
        <v>2</v>
      </c>
      <c r="H7" s="249"/>
      <c r="I7" s="249"/>
      <c r="J7" s="249"/>
      <c r="K7" s="249"/>
      <c r="L7" s="249"/>
      <c r="M7" s="249"/>
    </row>
    <row r="8" spans="1:13">
      <c r="A8" s="455" t="str">
        <f>'1-συμβολαια'!A9</f>
        <v>4ο</v>
      </c>
      <c r="B8" s="389" t="str">
        <f>'1-συμβολαια'!C9</f>
        <v xml:space="preserve">γονική </v>
      </c>
      <c r="C8" s="390">
        <f>'1-συμβολαια'!D9</f>
        <v>927.67</v>
      </c>
      <c r="D8" s="457"/>
      <c r="E8" s="391">
        <v>44607</v>
      </c>
      <c r="F8" s="389">
        <v>650</v>
      </c>
      <c r="G8" s="389">
        <v>88</v>
      </c>
      <c r="H8" s="389"/>
      <c r="I8" s="389" t="s">
        <v>576</v>
      </c>
      <c r="J8" s="389"/>
      <c r="K8" s="389"/>
      <c r="L8" s="389"/>
      <c r="M8" s="389"/>
    </row>
    <row r="9" spans="1:13" ht="12" thickBot="1">
      <c r="A9" s="458">
        <f>'1-συμβολαια'!A10</f>
        <v>0</v>
      </c>
      <c r="B9" s="249" t="str">
        <f>'1-συμβολαια'!C10</f>
        <v>δωρεά</v>
      </c>
      <c r="C9" s="459">
        <f>'1-συμβολαια'!D10</f>
        <v>1855.34</v>
      </c>
      <c r="D9" s="453"/>
      <c r="E9" s="460">
        <v>44607</v>
      </c>
      <c r="F9" s="249">
        <v>650</v>
      </c>
      <c r="G9" s="249">
        <v>89</v>
      </c>
      <c r="H9" s="249"/>
      <c r="I9" s="249"/>
      <c r="J9" s="249"/>
      <c r="K9" s="249"/>
      <c r="L9" s="249"/>
      <c r="M9" s="249"/>
    </row>
    <row r="10" spans="1:13" ht="12" thickBot="1">
      <c r="A10" s="532" t="str">
        <f>'1-συμβολαια'!A11</f>
        <v>5ο</v>
      </c>
      <c r="B10" s="533" t="str">
        <f>'1-συμβολαια'!C11</f>
        <v>δωρεά</v>
      </c>
      <c r="C10" s="534">
        <f>'1-συμβολαια'!D11</f>
        <v>3632.94</v>
      </c>
      <c r="D10" s="536"/>
      <c r="E10" s="535">
        <v>44446</v>
      </c>
      <c r="F10" s="533">
        <v>643</v>
      </c>
      <c r="G10" s="533">
        <v>31</v>
      </c>
      <c r="H10" s="533">
        <v>67.13</v>
      </c>
      <c r="I10" s="493" t="s">
        <v>576</v>
      </c>
      <c r="J10" s="533"/>
      <c r="K10" s="533"/>
      <c r="L10" s="533"/>
      <c r="M10" s="533"/>
    </row>
    <row r="11" spans="1:13">
      <c r="A11" s="455" t="str">
        <f>'1-συμβολαια'!A12</f>
        <v>6ο</v>
      </c>
      <c r="B11" s="389" t="str">
        <f>'1-συμβολαια'!C12</f>
        <v xml:space="preserve">γονική </v>
      </c>
      <c r="C11" s="390">
        <f>'1-συμβολαια'!D12</f>
        <v>3600.35</v>
      </c>
      <c r="D11" s="457"/>
      <c r="E11" s="391">
        <v>44607</v>
      </c>
      <c r="F11" s="389">
        <v>650</v>
      </c>
      <c r="G11" s="389">
        <v>90</v>
      </c>
      <c r="H11" s="389">
        <v>308.83999999999997</v>
      </c>
      <c r="I11" s="389" t="s">
        <v>576</v>
      </c>
      <c r="J11" s="389"/>
      <c r="K11" s="389"/>
      <c r="L11" s="389"/>
      <c r="M11" s="389"/>
    </row>
    <row r="12" spans="1:13" ht="12" thickBot="1">
      <c r="A12" s="458">
        <f>'1-συμβολαια'!A13</f>
        <v>0</v>
      </c>
      <c r="B12" s="249" t="str">
        <f>'1-συμβολαια'!C13</f>
        <v>δωρεά</v>
      </c>
      <c r="C12" s="459">
        <f>'1-συμβολαια'!D13</f>
        <v>7200.7</v>
      </c>
      <c r="D12" s="453"/>
      <c r="E12" s="460">
        <v>44607</v>
      </c>
      <c r="F12" s="249">
        <v>650</v>
      </c>
      <c r="G12" s="249">
        <v>91</v>
      </c>
      <c r="H12" s="249"/>
      <c r="I12" s="496"/>
      <c r="J12" s="249"/>
      <c r="K12" s="249"/>
      <c r="L12" s="249"/>
      <c r="M12" s="249"/>
    </row>
    <row r="13" spans="1:13">
      <c r="A13" s="667" t="str">
        <f>'1-συμβολαια'!A14</f>
        <v>σύνολο</v>
      </c>
      <c r="B13" s="668"/>
      <c r="C13" s="669"/>
      <c r="D13" s="390">
        <f>SUM(D2:D12)</f>
        <v>0.5</v>
      </c>
    </row>
    <row r="15" spans="1:13">
      <c r="C15" s="2" t="s">
        <v>400</v>
      </c>
    </row>
    <row r="23" spans="3:4">
      <c r="C23" s="4"/>
      <c r="D23" s="5"/>
    </row>
    <row r="24" spans="3:4">
      <c r="C24" s="4"/>
      <c r="D24" s="5"/>
    </row>
    <row r="25" spans="3:4">
      <c r="C25" s="4"/>
      <c r="D25" s="5"/>
    </row>
    <row r="26" spans="3:4">
      <c r="C26" s="220"/>
      <c r="D26" s="5"/>
    </row>
    <row r="27" spans="3:4">
      <c r="C27" s="219"/>
      <c r="D27" s="5"/>
    </row>
    <row r="28" spans="3:4">
      <c r="C28" s="4"/>
      <c r="D28" s="5"/>
    </row>
    <row r="29" spans="3:4">
      <c r="D29" s="5"/>
    </row>
    <row r="30" spans="3:4">
      <c r="D30" s="5"/>
    </row>
    <row r="31" spans="3:4">
      <c r="D31" s="5"/>
    </row>
    <row r="32" spans="3:4">
      <c r="D32" s="5"/>
    </row>
    <row r="33" spans="4:4">
      <c r="D33" s="5"/>
    </row>
    <row r="34" spans="4:4">
      <c r="D34" s="5"/>
    </row>
    <row r="35" spans="4:4">
      <c r="D35" s="5"/>
    </row>
    <row r="36" spans="4:4">
      <c r="D36" s="5"/>
    </row>
  </sheetData>
  <mergeCells count="3">
    <mergeCell ref="A13:C13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82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8.140625" style="8" bestFit="1" customWidth="1"/>
    <col min="2" max="2" width="8.7109375" style="132" bestFit="1" customWidth="1"/>
    <col min="3" max="3" width="49.85546875" style="91" bestFit="1" customWidth="1"/>
    <col min="4" max="4" width="12.85546875" style="3" customWidth="1"/>
    <col min="5" max="5" width="12.42578125" style="3" customWidth="1"/>
    <col min="6" max="6" width="8.140625" style="3" customWidth="1"/>
    <col min="7" max="7" width="7.28515625" style="2" customWidth="1"/>
    <col min="8" max="8" width="8" style="2" customWidth="1"/>
    <col min="9" max="9" width="11.140625" style="2" customWidth="1"/>
    <col min="10" max="10" width="9.7109375" style="2" customWidth="1"/>
    <col min="11" max="11" width="9.42578125" style="2" customWidth="1"/>
    <col min="12" max="12" width="9.42578125" style="2" bestFit="1" customWidth="1"/>
    <col min="13" max="13" width="9.42578125" style="2" customWidth="1"/>
    <col min="14" max="14" width="8.140625" style="2" bestFit="1" customWidth="1"/>
    <col min="15" max="15" width="12.85546875" style="76" customWidth="1"/>
    <col min="16" max="16" width="9.42578125" style="76" bestFit="1" customWidth="1"/>
    <col min="17" max="17" width="10.28515625" style="2" bestFit="1" customWidth="1"/>
    <col min="18" max="18" width="9.42578125" style="2" bestFit="1" customWidth="1"/>
    <col min="19" max="19" width="10.85546875" style="2" customWidth="1"/>
    <col min="20" max="20" width="10.5703125" style="2" customWidth="1"/>
    <col min="21" max="21" width="9.42578125" style="8" bestFit="1" customWidth="1"/>
    <col min="22" max="22" width="9.42578125" style="2" bestFit="1" customWidth="1"/>
    <col min="23" max="23" width="8.28515625" style="8" bestFit="1" customWidth="1"/>
    <col min="24" max="24" width="10.28515625" style="2" bestFit="1" customWidth="1"/>
    <col min="25" max="25" width="8.140625" style="2" bestFit="1" customWidth="1"/>
    <col min="26" max="26" width="10.28515625" style="2" bestFit="1" customWidth="1"/>
    <col min="27" max="27" width="10" style="29" customWidth="1"/>
    <col min="28" max="28" width="11.140625" style="8" bestFit="1" customWidth="1"/>
    <col min="29" max="29" width="21.42578125" style="78" customWidth="1"/>
    <col min="30" max="30" width="7.5703125" style="3" customWidth="1"/>
    <col min="31" max="31" width="9.5703125" style="3" customWidth="1"/>
    <col min="32" max="34" width="6.42578125" style="3" customWidth="1"/>
    <col min="35" max="16384" width="9.140625" style="3"/>
  </cols>
  <sheetData>
    <row r="1" spans="1:34" ht="15.75">
      <c r="A1" s="916" t="s">
        <v>1</v>
      </c>
      <c r="B1" s="918" t="s">
        <v>2</v>
      </c>
      <c r="C1" s="915" t="s">
        <v>0</v>
      </c>
      <c r="D1" s="919" t="s">
        <v>11</v>
      </c>
      <c r="E1" s="913" t="s">
        <v>12</v>
      </c>
      <c r="F1" s="921" t="s">
        <v>496</v>
      </c>
      <c r="G1" s="922"/>
      <c r="H1" s="922"/>
      <c r="I1" s="923" t="s">
        <v>497</v>
      </c>
      <c r="J1" s="909" t="s">
        <v>498</v>
      </c>
      <c r="K1" s="909"/>
      <c r="L1" s="909"/>
      <c r="M1" s="927" t="s">
        <v>141</v>
      </c>
      <c r="N1" s="931" t="s">
        <v>491</v>
      </c>
      <c r="O1" s="932"/>
      <c r="P1" s="932"/>
      <c r="Q1" s="933"/>
      <c r="R1" s="942" t="s">
        <v>492</v>
      </c>
      <c r="S1" s="944" t="s">
        <v>499</v>
      </c>
      <c r="T1" s="936" t="s">
        <v>43</v>
      </c>
      <c r="U1" s="937"/>
      <c r="V1" s="811" t="s">
        <v>58</v>
      </c>
      <c r="W1" s="813"/>
      <c r="X1" s="934" t="s">
        <v>78</v>
      </c>
      <c r="Y1" s="935"/>
      <c r="Z1" s="935"/>
      <c r="AA1" s="938" t="s">
        <v>54</v>
      </c>
      <c r="AB1" s="940" t="s">
        <v>44</v>
      </c>
      <c r="AC1" s="929" t="s">
        <v>81</v>
      </c>
      <c r="AD1" s="924" t="s">
        <v>29</v>
      </c>
      <c r="AE1" s="925"/>
      <c r="AF1" s="925"/>
      <c r="AG1" s="925"/>
      <c r="AH1" s="926"/>
    </row>
    <row r="2" spans="1:34" ht="26.25" thickBot="1">
      <c r="A2" s="917"/>
      <c r="B2" s="656"/>
      <c r="C2" s="685"/>
      <c r="D2" s="920"/>
      <c r="E2" s="914"/>
      <c r="F2" s="243" t="s">
        <v>266</v>
      </c>
      <c r="G2" s="242" t="s">
        <v>92</v>
      </c>
      <c r="H2" s="304" t="s">
        <v>47</v>
      </c>
      <c r="I2" s="752"/>
      <c r="J2" s="177" t="s">
        <v>465</v>
      </c>
      <c r="K2" s="177" t="s">
        <v>141</v>
      </c>
      <c r="L2" s="305" t="s">
        <v>47</v>
      </c>
      <c r="M2" s="928"/>
      <c r="N2" s="70" t="s">
        <v>23</v>
      </c>
      <c r="O2" s="75" t="s">
        <v>82</v>
      </c>
      <c r="P2" s="75" t="s">
        <v>546</v>
      </c>
      <c r="Q2" s="420" t="s">
        <v>547</v>
      </c>
      <c r="R2" s="943"/>
      <c r="S2" s="945"/>
      <c r="T2" s="41" t="s">
        <v>23</v>
      </c>
      <c r="U2" s="362" t="s">
        <v>34</v>
      </c>
      <c r="V2" s="41" t="s">
        <v>23</v>
      </c>
      <c r="W2" s="361" t="s">
        <v>34</v>
      </c>
      <c r="X2" s="41" t="s">
        <v>494</v>
      </c>
      <c r="Y2" s="10" t="s">
        <v>495</v>
      </c>
      <c r="Z2" s="40" t="s">
        <v>33</v>
      </c>
      <c r="AA2" s="939"/>
      <c r="AB2" s="941"/>
      <c r="AC2" s="930"/>
      <c r="AD2" s="924"/>
      <c r="AE2" s="925"/>
      <c r="AF2" s="925"/>
      <c r="AG2" s="925"/>
      <c r="AH2" s="926"/>
    </row>
    <row r="3" spans="1:34" s="5" customFormat="1" ht="12" thickBot="1">
      <c r="A3" s="481" t="str">
        <f>'1-συμβολαια'!A3</f>
        <v>1ο</v>
      </c>
      <c r="B3" s="630">
        <f>'1-συμβολαια'!B3</f>
        <v>40059</v>
      </c>
      <c r="C3" s="482" t="str">
        <f>'1-συμβολαια'!C3</f>
        <v>πληρεξούσιο</v>
      </c>
      <c r="D3" s="476" t="str">
        <f>'4-πολλυπρ'!D3</f>
        <v>219-163 = αδερφός</v>
      </c>
      <c r="E3" s="476" t="str">
        <f>'4-πολλυπρ'!I3</f>
        <v>219-163αδερφή</v>
      </c>
      <c r="F3" s="441">
        <f>'14-βιβλΕσ'!P3</f>
        <v>0.44000000000000039</v>
      </c>
      <c r="G3" s="443">
        <f>'14-βιβλΕσ'!S3</f>
        <v>0.5</v>
      </c>
      <c r="H3" s="443">
        <f t="shared" ref="H3" si="0">F3+G3</f>
        <v>0.94000000000000039</v>
      </c>
      <c r="I3" s="443">
        <f>'8-κ-15-17'!AG3</f>
        <v>0</v>
      </c>
      <c r="J3" s="643"/>
      <c r="K3" s="643"/>
      <c r="L3" s="643"/>
      <c r="M3" s="443">
        <f>'14-βιβλΕσ'!T3</f>
        <v>30.9</v>
      </c>
      <c r="N3" s="443"/>
      <c r="O3" s="532"/>
      <c r="P3" s="532"/>
      <c r="Q3" s="443">
        <f>Z3</f>
        <v>69.400000000000006</v>
      </c>
      <c r="R3" s="632"/>
      <c r="S3" s="443">
        <f>('14-βιβλΕσ'!O3+'14-βιβλΕσ'!P3+'14-βιβλΕσ'!T3)*35%</f>
        <v>24.114999999999995</v>
      </c>
      <c r="T3" s="443">
        <f>Z3</f>
        <v>69.400000000000006</v>
      </c>
      <c r="U3" s="532">
        <v>1118</v>
      </c>
      <c r="V3" s="632"/>
      <c r="W3" s="632"/>
      <c r="X3" s="443">
        <f>'1-συμβολαια'!L3+'1-συμβολαια'!P3+'14-βιβλΕσ'!L3+'14-βιβλΕσ'!N3+'14-βιβλΕσ'!S3+'14-βιβλΕσ'!T3+'14-βιβλΕσ'!U3</f>
        <v>127.4</v>
      </c>
      <c r="Y3" s="443">
        <f>'1-συμβολαια'!M3</f>
        <v>58</v>
      </c>
      <c r="Z3" s="443">
        <f t="shared" ref="Z3" si="1">X3-Y3</f>
        <v>69.400000000000006</v>
      </c>
      <c r="AA3" s="633">
        <v>46080</v>
      </c>
      <c r="AB3" s="532">
        <f>U3+W3</f>
        <v>1118</v>
      </c>
      <c r="AC3" s="635"/>
      <c r="AD3" s="346"/>
      <c r="AE3" s="346"/>
      <c r="AF3" s="346"/>
      <c r="AG3" s="346"/>
      <c r="AH3" s="346"/>
    </row>
    <row r="4" spans="1:34" s="5" customFormat="1">
      <c r="A4" s="486" t="str">
        <f>'1-συμβολαια'!A4</f>
        <v>2ο</v>
      </c>
      <c r="B4" s="358">
        <f>'1-συμβολαια'!B4</f>
        <v>40703</v>
      </c>
      <c r="C4" s="356" t="str">
        <f>'1-συμβολαια'!C4</f>
        <v>κληρονομιάς ΑΠΟΔΟΧΗ</v>
      </c>
      <c r="D4" s="314" t="str">
        <f>'4-πολλυπρ'!D4</f>
        <v>πατήρ</v>
      </c>
      <c r="E4" s="314" t="str">
        <f>'4-πολλυπρ'!I4</f>
        <v>219-163αδερφή</v>
      </c>
      <c r="F4" s="315">
        <f>'14-βιβλΕσ'!P4</f>
        <v>8.75</v>
      </c>
      <c r="G4" s="311">
        <f>'14-βιβλΕσ'!S4</f>
        <v>6.96</v>
      </c>
      <c r="H4" s="311">
        <f t="shared" ref="H4:H9" si="2">F4+G4</f>
        <v>15.71</v>
      </c>
      <c r="I4" s="311">
        <f>'8-κ-15-17'!AG4</f>
        <v>0</v>
      </c>
      <c r="J4" s="311">
        <f>'14-βιβλΕσ'!R4</f>
        <v>72.17</v>
      </c>
      <c r="K4" s="311">
        <f>'14-βιβλΕσ'!U4</f>
        <v>333.98559999999998</v>
      </c>
      <c r="L4" s="311">
        <f t="shared" ref="L4:L9" si="3">J4+K4</f>
        <v>406.15559999999999</v>
      </c>
      <c r="M4" s="311">
        <f>'14-βιβλΕσ'!T4</f>
        <v>2087.41</v>
      </c>
      <c r="N4" s="311">
        <f>Y4</f>
        <v>80</v>
      </c>
      <c r="O4" s="258" t="s">
        <v>579</v>
      </c>
      <c r="P4" s="311">
        <v>262.42</v>
      </c>
      <c r="Q4" s="311">
        <f t="shared" ref="Q4:Q9" si="4">Z4</f>
        <v>2879.8855999999996</v>
      </c>
      <c r="R4" s="363"/>
      <c r="S4" s="311">
        <f>('14-βιβλΕσ'!O4+'14-βιβλΕσ'!P4+'14-βιβλΕσ'!T4)*35%</f>
        <v>888.62899999999979</v>
      </c>
      <c r="T4" s="311">
        <f t="shared" ref="T4:T9" si="5">Z4</f>
        <v>2879.8855999999996</v>
      </c>
      <c r="U4" s="258">
        <v>37884.61185858673</v>
      </c>
      <c r="V4" s="363"/>
      <c r="W4" s="363"/>
      <c r="X4" s="639">
        <f>'1-συμβολαια'!L4+'1-συμβολαια'!P4+'14-βιβλΕσ'!L4+'14-βιβλΕσ'!N4+'14-βιβλΕσ'!S4+'14-βιβλΕσ'!T4+'14-βιβλΕσ'!U4</f>
        <v>2959.8855999999996</v>
      </c>
      <c r="Y4" s="311">
        <f>'1-συμβολαια'!M4</f>
        <v>80</v>
      </c>
      <c r="Z4" s="311">
        <f t="shared" ref="Z4:Z9" si="6">X4-Y4</f>
        <v>2879.8855999999996</v>
      </c>
      <c r="AA4" s="417">
        <v>46080</v>
      </c>
      <c r="AB4" s="258">
        <f t="shared" ref="AB4:AB9" si="7">U4+W4</f>
        <v>37884.61185858673</v>
      </c>
      <c r="AC4" s="418"/>
      <c r="AD4" s="346"/>
      <c r="AE4" s="346"/>
      <c r="AF4" s="346"/>
      <c r="AG4" s="346"/>
      <c r="AH4" s="346"/>
    </row>
    <row r="5" spans="1:34" s="5" customFormat="1">
      <c r="A5" s="486">
        <f>'1-συμβολαια'!A5</f>
        <v>0</v>
      </c>
      <c r="B5" s="358"/>
      <c r="C5" s="356" t="str">
        <f>'1-συμβολαια'!C5</f>
        <v>χρησικτησία αγροτεμαχίων 1,2,3  = 19?? ΑΝΑΔΑΣΜΟΣ</v>
      </c>
      <c r="D5" s="314" t="str">
        <f>'4-πολλυπρ'!D5</f>
        <v>αναδασμός</v>
      </c>
      <c r="E5" s="314" t="str">
        <f>'4-πολλυπρ'!I5</f>
        <v>πατήρ</v>
      </c>
      <c r="F5" s="315">
        <f>'14-βιβλΕσ'!P5</f>
        <v>5.35141255</v>
      </c>
      <c r="G5" s="311">
        <f>'14-βιβλΕσ'!S5</f>
        <v>3</v>
      </c>
      <c r="H5" s="311">
        <f t="shared" si="2"/>
        <v>8.3514125499999992</v>
      </c>
      <c r="I5" s="311">
        <f>'8-κ-15-17'!AG5</f>
        <v>16.282298175000001</v>
      </c>
      <c r="J5" s="311">
        <f>'14-βιβλΕσ'!R5</f>
        <v>14.561506719999999</v>
      </c>
      <c r="K5" s="311">
        <f>'14-βιβλΕσ'!U5</f>
        <v>52.140799999999999</v>
      </c>
      <c r="L5" s="311">
        <f t="shared" si="3"/>
        <v>66.702306719999996</v>
      </c>
      <c r="M5" s="311">
        <f>'14-βιβλΕσ'!T5</f>
        <v>325.88</v>
      </c>
      <c r="N5" s="311">
        <f t="shared" ref="N5:N12" si="8">Y5</f>
        <v>0</v>
      </c>
      <c r="O5" s="258"/>
      <c r="P5" s="311"/>
      <c r="Q5" s="311">
        <f t="shared" si="4"/>
        <v>472.03021699999999</v>
      </c>
      <c r="R5" s="363"/>
      <c r="S5" s="311">
        <f>('14-βιβλΕσ'!O5+'14-βιβλΕσ'!P5+'14-βιβλΕσ'!T5)*35%</f>
        <v>145.91129594999998</v>
      </c>
      <c r="T5" s="311">
        <f t="shared" si="5"/>
        <v>472.03021699999999</v>
      </c>
      <c r="U5" s="258">
        <v>6250.44683821324</v>
      </c>
      <c r="V5" s="363"/>
      <c r="W5" s="363"/>
      <c r="X5" s="344">
        <f>'1-συμβολαια'!L5+'1-συμβολαια'!P5+'14-βιβλΕσ'!L5+'14-βιβλΕσ'!N5+'14-βιβλΕσ'!S5+'14-βιβλΕσ'!T5+'14-βιβλΕσ'!U5</f>
        <v>472.03021699999999</v>
      </c>
      <c r="Y5" s="311">
        <f>'1-συμβολαια'!M5</f>
        <v>0</v>
      </c>
      <c r="Z5" s="311">
        <f t="shared" si="6"/>
        <v>472.03021699999999</v>
      </c>
      <c r="AA5" s="417">
        <v>46080</v>
      </c>
      <c r="AB5" s="258">
        <f t="shared" si="7"/>
        <v>6250.44683821324</v>
      </c>
      <c r="AC5" s="418"/>
      <c r="AD5" s="346"/>
      <c r="AE5" s="346"/>
      <c r="AF5" s="346"/>
      <c r="AG5" s="346"/>
      <c r="AH5" s="346"/>
    </row>
    <row r="6" spans="1:34" s="5" customFormat="1" ht="12" thickBot="1">
      <c r="A6" s="488">
        <f>'1-συμβολαια'!A6</f>
        <v>0</v>
      </c>
      <c r="B6" s="631"/>
      <c r="C6" s="489" t="str">
        <f>'1-συμβολαια'!C6</f>
        <v>χρησικτησία αγροτεμαχίων 4,5,6,7,8,9 = 1955 πατρός ΔΩΡΕΑ άτυπος</v>
      </c>
      <c r="D6" s="479" t="str">
        <f>'4-πολλυπρ'!D6</f>
        <v>πατήρ</v>
      </c>
      <c r="E6" s="479" t="str">
        <f>'4-πολλυπρ'!I6</f>
        <v>πατήρ</v>
      </c>
      <c r="F6" s="448">
        <f>'14-βιβλΕσ'!P6</f>
        <v>13.975064950000002</v>
      </c>
      <c r="G6" s="382">
        <f>'14-βιβλΕσ'!S6</f>
        <v>3</v>
      </c>
      <c r="H6" s="382">
        <f t="shared" si="2"/>
        <v>16.975064950000004</v>
      </c>
      <c r="I6" s="382">
        <f>'8-κ-15-17'!AG6</f>
        <v>60.837835575000014</v>
      </c>
      <c r="J6" s="382">
        <f>'14-βιβλΕσ'!R6</f>
        <v>23.76006928</v>
      </c>
      <c r="K6" s="382">
        <f>'14-βιβλΕσ'!U6</f>
        <v>106.4464</v>
      </c>
      <c r="L6" s="382">
        <f t="shared" si="3"/>
        <v>130.20646927999999</v>
      </c>
      <c r="M6" s="382">
        <f>'14-βιβλΕσ'!T6</f>
        <v>665.29</v>
      </c>
      <c r="N6" s="382">
        <f t="shared" si="8"/>
        <v>0</v>
      </c>
      <c r="O6" s="419"/>
      <c r="P6" s="382"/>
      <c r="Q6" s="382">
        <f t="shared" si="4"/>
        <v>923.23683299999993</v>
      </c>
      <c r="R6" s="636"/>
      <c r="S6" s="382">
        <f>('14-βιβλΕσ'!O6+'14-βιβλΕσ'!P6+'14-βιβλΕσ'!T6)*35%</f>
        <v>284.82665154999995</v>
      </c>
      <c r="T6" s="382">
        <f t="shared" si="5"/>
        <v>923.23683299999993</v>
      </c>
      <c r="U6" s="419">
        <v>12413.874001908178</v>
      </c>
      <c r="V6" s="636"/>
      <c r="W6" s="636"/>
      <c r="X6" s="531">
        <f>'1-συμβολαια'!L6+'1-συμβολαια'!P6+'14-βιβλΕσ'!L6+'14-βιβλΕσ'!N6+'14-βιβλΕσ'!S6+'14-βιβλΕσ'!T6+'14-βιβλΕσ'!U6</f>
        <v>923.23683299999993</v>
      </c>
      <c r="Y6" s="382">
        <f>'1-συμβολαια'!M6</f>
        <v>0</v>
      </c>
      <c r="Z6" s="382">
        <f t="shared" si="6"/>
        <v>923.23683299999993</v>
      </c>
      <c r="AA6" s="637">
        <v>46080</v>
      </c>
      <c r="AB6" s="419">
        <f t="shared" si="7"/>
        <v>12413.874001908178</v>
      </c>
      <c r="AC6" s="638"/>
      <c r="AD6" s="346"/>
      <c r="AE6" s="346"/>
      <c r="AF6" s="346"/>
      <c r="AG6" s="346"/>
      <c r="AH6" s="346"/>
    </row>
    <row r="7" spans="1:34" s="5" customFormat="1">
      <c r="A7" s="517" t="str">
        <f>'1-συμβολαια'!A7</f>
        <v>3ο</v>
      </c>
      <c r="B7" s="358">
        <f>'1-συμβολαια'!B7</f>
        <v>40806</v>
      </c>
      <c r="C7" s="356" t="str">
        <f>'1-συμβολαια'!C7</f>
        <v xml:space="preserve">γονική </v>
      </c>
      <c r="D7" s="314" t="str">
        <f>'4-πολλυπρ'!D7</f>
        <v>219-163αδερφή</v>
      </c>
      <c r="E7" s="314" t="str">
        <f>'4-πολλυπρ'!I7</f>
        <v>ανηψιά</v>
      </c>
      <c r="F7" s="315">
        <f>'14-βιβλΕσ'!P7</f>
        <v>6.0659400000000012</v>
      </c>
      <c r="G7" s="311">
        <f>'14-βιβλΕσ'!S7</f>
        <v>15.399999999999999</v>
      </c>
      <c r="H7" s="311">
        <f t="shared" si="2"/>
        <v>21.46594</v>
      </c>
      <c r="I7" s="311">
        <f>'8-κ-15-17'!AG7</f>
        <v>-4.3099999999967054E-3</v>
      </c>
      <c r="J7" s="311">
        <f>'14-βιβλΕσ'!R7</f>
        <v>41.928336000000002</v>
      </c>
      <c r="K7" s="311">
        <f>'14-βιβλΕσ'!U7</f>
        <v>147.2192</v>
      </c>
      <c r="L7" s="311">
        <f t="shared" si="3"/>
        <v>189.147536</v>
      </c>
      <c r="M7" s="311">
        <f>'14-βιβλΕσ'!T7</f>
        <v>920.12</v>
      </c>
      <c r="N7" s="311">
        <f t="shared" si="8"/>
        <v>304.33</v>
      </c>
      <c r="O7" s="258" t="s">
        <v>580</v>
      </c>
      <c r="P7" s="311">
        <v>1016.25</v>
      </c>
      <c r="Q7" s="311">
        <f t="shared" si="4"/>
        <v>1293.5588</v>
      </c>
      <c r="R7" s="363"/>
      <c r="S7" s="311">
        <f>('14-βιβλΕσ'!O7+'14-βιβλΕσ'!P7+'14-βιβλΕσ'!T7)*35%</f>
        <v>396.87885999999997</v>
      </c>
      <c r="T7" s="311">
        <f t="shared" si="5"/>
        <v>1293.5588</v>
      </c>
      <c r="U7" s="258">
        <v>17946.766094022103</v>
      </c>
      <c r="V7" s="363"/>
      <c r="W7" s="363"/>
      <c r="X7" s="640">
        <f>'1-συμβολαια'!L7+'1-συμβολαια'!P7+'14-βιβλΕσ'!L7+'14-βιβλΕσ'!N7+'14-βιβλΕσ'!S7+'14-βιβλΕσ'!T7+'14-βιβλΕσ'!U7</f>
        <v>1597.8887999999999</v>
      </c>
      <c r="Y7" s="311">
        <f>'1-συμβολαια'!M7</f>
        <v>304.33</v>
      </c>
      <c r="Z7" s="311">
        <f t="shared" si="6"/>
        <v>1293.5588</v>
      </c>
      <c r="AA7" s="417">
        <v>46080</v>
      </c>
      <c r="AB7" s="258">
        <f t="shared" si="7"/>
        <v>17946.766094022103</v>
      </c>
      <c r="AC7" s="418"/>
      <c r="AD7" s="346"/>
      <c r="AE7" s="346"/>
      <c r="AF7" s="346"/>
      <c r="AG7" s="346"/>
      <c r="AH7" s="346"/>
    </row>
    <row r="8" spans="1:34" s="5" customFormat="1" ht="12" thickBot="1">
      <c r="A8" s="518">
        <f>'1-συμβολαια'!A8</f>
        <v>0</v>
      </c>
      <c r="B8" s="631"/>
      <c r="C8" s="489" t="str">
        <f>'1-συμβολαια'!C8</f>
        <v>δωρεά</v>
      </c>
      <c r="D8" s="479" t="str">
        <f>'4-πολλυπρ'!D8</f>
        <v>219-163</v>
      </c>
      <c r="E8" s="479" t="str">
        <f>'4-πολλυπρ'!I8</f>
        <v>ανηψιά</v>
      </c>
      <c r="F8" s="448">
        <f>'14-βιβλΕσ'!P8</f>
        <v>17.871880000000001</v>
      </c>
      <c r="G8" s="382">
        <f>'14-βιβλΕσ'!S8</f>
        <v>6.96</v>
      </c>
      <c r="H8" s="382">
        <f t="shared" si="2"/>
        <v>24.831880000000002</v>
      </c>
      <c r="I8" s="382">
        <f>'8-κ-15-17'!AG8</f>
        <v>1.3800000000117052E-3</v>
      </c>
      <c r="J8" s="382">
        <f>'14-βιβλΕσ'!R8</f>
        <v>67.276672000000005</v>
      </c>
      <c r="K8" s="382">
        <f>'14-βιβλΕσ'!U8</f>
        <v>71.507199999999997</v>
      </c>
      <c r="L8" s="382">
        <f t="shared" si="3"/>
        <v>138.783872</v>
      </c>
      <c r="M8" s="382">
        <f>'14-βιβλΕσ'!T8</f>
        <v>446.92</v>
      </c>
      <c r="N8" s="382">
        <f t="shared" si="8"/>
        <v>0</v>
      </c>
      <c r="O8" s="419"/>
      <c r="P8" s="382"/>
      <c r="Q8" s="382">
        <f t="shared" si="4"/>
        <v>945.8664</v>
      </c>
      <c r="R8" s="636"/>
      <c r="S8" s="382">
        <f>('14-βιβλΕσ'!O8+'14-βιβλΕσ'!P8+'14-βιβλΕσ'!T8)*35%</f>
        <v>303.58972</v>
      </c>
      <c r="T8" s="382">
        <f t="shared" si="5"/>
        <v>945.8664</v>
      </c>
      <c r="U8" s="419">
        <v>12039.607525678075</v>
      </c>
      <c r="V8" s="636"/>
      <c r="W8" s="636"/>
      <c r="X8" s="531">
        <f>'1-συμβολαια'!L8+'1-συμβολαια'!P8+'14-βιβλΕσ'!L8+'14-βιβλΕσ'!N8+'14-βιβλΕσ'!S8+'14-βιβλΕσ'!T8+'14-βιβλΕσ'!U8</f>
        <v>945.8664</v>
      </c>
      <c r="Y8" s="382">
        <f>'1-συμβολαια'!M8</f>
        <v>0</v>
      </c>
      <c r="Z8" s="382">
        <f t="shared" si="6"/>
        <v>945.8664</v>
      </c>
      <c r="AA8" s="637">
        <v>46080</v>
      </c>
      <c r="AB8" s="419">
        <f t="shared" si="7"/>
        <v>12039.607525678075</v>
      </c>
      <c r="AC8" s="638"/>
      <c r="AD8" s="346"/>
      <c r="AE8" s="346"/>
      <c r="AF8" s="346"/>
      <c r="AG8" s="346"/>
      <c r="AH8" s="346"/>
    </row>
    <row r="9" spans="1:34" s="5" customFormat="1">
      <c r="A9" s="486" t="str">
        <f>'1-συμβολαια'!A9</f>
        <v>4ο</v>
      </c>
      <c r="B9" s="358">
        <f>'1-συμβολαια'!B9</f>
        <v>40806</v>
      </c>
      <c r="C9" s="356" t="str">
        <f>'1-συμβολαια'!C9</f>
        <v xml:space="preserve">γονική </v>
      </c>
      <c r="D9" s="314" t="str">
        <f>'4-πολλυπρ'!D9</f>
        <v>219-163</v>
      </c>
      <c r="E9" s="314" t="str">
        <f>'4-πολλυπρ'!I9</f>
        <v>κόρη</v>
      </c>
      <c r="F9" s="315">
        <f>'14-βιβλΕσ'!P9</f>
        <v>13.151505000000004</v>
      </c>
      <c r="G9" s="311">
        <f>'14-βιβλΕσ'!S9</f>
        <v>15.399999999999999</v>
      </c>
      <c r="H9" s="311">
        <f t="shared" si="2"/>
        <v>28.551505000000002</v>
      </c>
      <c r="I9" s="311">
        <f>'8-κ-15-17'!AG9</f>
        <v>-5.575000000002106E-4</v>
      </c>
      <c r="J9" s="311">
        <f>'14-βιβλΕσ'!R9</f>
        <v>52.31427200000001</v>
      </c>
      <c r="K9" s="311">
        <f>'14-βιβλΕσ'!U9</f>
        <v>121.384</v>
      </c>
      <c r="L9" s="311">
        <f t="shared" si="3"/>
        <v>173.698272</v>
      </c>
      <c r="M9" s="311">
        <f>'14-βιβλΕσ'!T9</f>
        <v>758.65</v>
      </c>
      <c r="N9" s="311">
        <f t="shared" si="8"/>
        <v>143.01</v>
      </c>
      <c r="O9" s="258" t="s">
        <v>580</v>
      </c>
      <c r="P9" s="311">
        <v>477.55</v>
      </c>
      <c r="Q9" s="311">
        <f t="shared" si="4"/>
        <v>1177.1906999999999</v>
      </c>
      <c r="R9" s="363"/>
      <c r="S9" s="311">
        <f>('14-βιβλΕσ'!O9+'14-βιβλΕσ'!P9+'14-βιβλΕσ'!T9)*35%</f>
        <v>365.19234499999999</v>
      </c>
      <c r="T9" s="311">
        <f t="shared" si="5"/>
        <v>1177.1906999999999</v>
      </c>
      <c r="U9" s="258">
        <v>15680.19483014592</v>
      </c>
      <c r="V9" s="363"/>
      <c r="W9" s="363"/>
      <c r="X9" s="640">
        <f>'1-συμβολαια'!L9+'1-συμβολαια'!P9+'14-βιβλΕσ'!L9+'14-βιβλΕσ'!N9+'14-βιβλΕσ'!S9+'14-βιβλΕσ'!T9+'14-βιβλΕσ'!U9</f>
        <v>1320.2006999999999</v>
      </c>
      <c r="Y9" s="311">
        <f>'1-συμβολαια'!M9</f>
        <v>143.01</v>
      </c>
      <c r="Z9" s="311">
        <f t="shared" si="6"/>
        <v>1177.1906999999999</v>
      </c>
      <c r="AA9" s="417">
        <v>46080</v>
      </c>
      <c r="AB9" s="258">
        <f t="shared" si="7"/>
        <v>15680.19483014592</v>
      </c>
      <c r="AC9" s="418"/>
      <c r="AD9" s="346"/>
      <c r="AE9" s="346"/>
      <c r="AF9" s="346"/>
      <c r="AG9" s="346"/>
      <c r="AH9" s="346"/>
    </row>
    <row r="10" spans="1:34" s="5" customFormat="1" ht="12" thickBot="1">
      <c r="A10" s="488">
        <f>'1-συμβολαια'!A10</f>
        <v>0</v>
      </c>
      <c r="B10" s="631"/>
      <c r="C10" s="489" t="str">
        <f>'1-συμβολαια'!C10</f>
        <v>δωρεά</v>
      </c>
      <c r="D10" s="479" t="str">
        <f>'4-πολλυπρ'!D10</f>
        <v>219-163αδερφή</v>
      </c>
      <c r="E10" s="479" t="str">
        <f>'4-πολλυπρ'!I10</f>
        <v>κόρη</v>
      </c>
      <c r="F10" s="448">
        <f>'14-βιβλΕσ'!P10</f>
        <v>4.9830100000000002</v>
      </c>
      <c r="G10" s="382">
        <f>'14-βιβλΕσ'!S10</f>
        <v>6.96</v>
      </c>
      <c r="H10" s="382">
        <f t="shared" ref="H10:H13" si="9">F10+G10</f>
        <v>11.943010000000001</v>
      </c>
      <c r="I10" s="382">
        <f>'8-κ-15-17'!AG10</f>
        <v>-1.1150000000004212E-3</v>
      </c>
      <c r="J10" s="382">
        <f>'14-βιβλΕσ'!R10</f>
        <v>51.608543999999995</v>
      </c>
      <c r="K10" s="382">
        <f>'14-βιβλΕσ'!U10</f>
        <v>49.671999999999997</v>
      </c>
      <c r="L10" s="382">
        <f t="shared" ref="L10:L13" si="10">J10+K10</f>
        <v>101.28054399999999</v>
      </c>
      <c r="M10" s="382">
        <f>'14-βιβλΕσ'!T10</f>
        <v>310.45</v>
      </c>
      <c r="N10" s="382">
        <f t="shared" si="8"/>
        <v>0</v>
      </c>
      <c r="O10" s="419"/>
      <c r="P10" s="382"/>
      <c r="Q10" s="382">
        <f t="shared" ref="Q10:Q13" si="11">Z10</f>
        <v>689.63539999999989</v>
      </c>
      <c r="R10" s="636"/>
      <c r="S10" s="382">
        <f>('14-βιβλΕσ'!O10+'14-βιβλΕσ'!P10+'14-βιβλΕσ'!T10)*35%</f>
        <v>221.55118999999996</v>
      </c>
      <c r="T10" s="382">
        <f t="shared" ref="T10:T13" si="12">Z10</f>
        <v>689.63539999999989</v>
      </c>
      <c r="U10" s="419">
        <v>8778.1565479491092</v>
      </c>
      <c r="V10" s="636"/>
      <c r="W10" s="636"/>
      <c r="X10" s="531">
        <f>'1-συμβολαια'!L10+'1-συμβολαια'!P10+'14-βιβλΕσ'!L10+'14-βιβλΕσ'!N10+'14-βιβλΕσ'!S10+'14-βιβλΕσ'!T10+'14-βιβλΕσ'!U10</f>
        <v>689.63539999999989</v>
      </c>
      <c r="Y10" s="382">
        <f>'1-συμβολαια'!M10</f>
        <v>0</v>
      </c>
      <c r="Z10" s="382">
        <f t="shared" ref="Z10:Z13" si="13">X10-Y10</f>
        <v>689.63539999999989</v>
      </c>
      <c r="AA10" s="637">
        <v>46080</v>
      </c>
      <c r="AB10" s="419">
        <f t="shared" ref="AB10:AB13" si="14">U10+W10</f>
        <v>8778.1565479491092</v>
      </c>
      <c r="AC10" s="638"/>
      <c r="AD10" s="346"/>
      <c r="AE10" s="346"/>
      <c r="AF10" s="346"/>
      <c r="AG10" s="346"/>
      <c r="AH10" s="346"/>
    </row>
    <row r="11" spans="1:34" s="5" customFormat="1" ht="12" thickBot="1">
      <c r="A11" s="481" t="str">
        <f>'1-συμβολαια'!A11</f>
        <v>5ο</v>
      </c>
      <c r="B11" s="630">
        <f>'1-συμβολαια'!B11</f>
        <v>40806</v>
      </c>
      <c r="C11" s="482" t="str">
        <f>'1-συμβολαια'!C11</f>
        <v>δωρεά</v>
      </c>
      <c r="D11" s="476" t="str">
        <f>'4-πολλυπρ'!D11</f>
        <v>219-163</v>
      </c>
      <c r="E11" s="476" t="str">
        <f>'4-πολλυπρ'!I11</f>
        <v>219-163 = αδερφός</v>
      </c>
      <c r="F11" s="441">
        <f>'14-βιβλΕσ'!P11</f>
        <v>10.259410000000003</v>
      </c>
      <c r="G11" s="443">
        <f>'14-βιβλΕσ'!S11</f>
        <v>13.42</v>
      </c>
      <c r="H11" s="443">
        <f t="shared" si="9"/>
        <v>23.679410000000004</v>
      </c>
      <c r="I11" s="443">
        <f>'8-κ-15-17'!AG11</f>
        <v>5.285000000004203E-3</v>
      </c>
      <c r="J11" s="443">
        <f>'14-βιβλΕσ'!R11</f>
        <v>42.162704000000005</v>
      </c>
      <c r="K11" s="443">
        <f>'14-βιβλΕσ'!U11</f>
        <v>138.73600000000002</v>
      </c>
      <c r="L11" s="443">
        <f t="shared" si="10"/>
        <v>180.89870400000001</v>
      </c>
      <c r="M11" s="443">
        <f>'14-βιβλΕσ'!T11</f>
        <v>867.1</v>
      </c>
      <c r="N11" s="443">
        <f t="shared" si="8"/>
        <v>146.49</v>
      </c>
      <c r="O11" s="532" t="s">
        <v>579</v>
      </c>
      <c r="P11" s="443">
        <v>470.32</v>
      </c>
      <c r="Q11" s="443">
        <f t="shared" si="11"/>
        <v>1255.5454000000002</v>
      </c>
      <c r="R11" s="632"/>
      <c r="S11" s="443">
        <f>('14-βιβλΕσ'!O11+'14-βιβλΕσ'!P11+'14-βιβλΕσ'!T11)*35%</f>
        <v>387.23629</v>
      </c>
      <c r="T11" s="443">
        <f t="shared" si="12"/>
        <v>1255.5454000000002</v>
      </c>
      <c r="U11" s="532">
        <v>16688.021966698347</v>
      </c>
      <c r="V11" s="632"/>
      <c r="W11" s="632"/>
      <c r="X11" s="443">
        <f>'1-συμβολαια'!L11+'1-συμβολαια'!P11+'14-βιβλΕσ'!L11+'14-βιβλΕσ'!N11+'14-βιβλΕσ'!S11+'14-βιβλΕσ'!T11+'14-βιβλΕσ'!U11</f>
        <v>1402.0354000000002</v>
      </c>
      <c r="Y11" s="443">
        <f>'1-συμβολαια'!M11</f>
        <v>146.49</v>
      </c>
      <c r="Z11" s="443">
        <f t="shared" si="13"/>
        <v>1255.5454000000002</v>
      </c>
      <c r="AA11" s="633">
        <v>46080</v>
      </c>
      <c r="AB11" s="532">
        <f t="shared" si="14"/>
        <v>16688.021966698347</v>
      </c>
      <c r="AC11" s="635"/>
      <c r="AD11" s="346"/>
      <c r="AE11" s="346"/>
      <c r="AF11" s="346"/>
      <c r="AG11" s="346"/>
      <c r="AH11" s="346"/>
    </row>
    <row r="12" spans="1:34" s="5" customFormat="1">
      <c r="A12" s="486" t="str">
        <f>'1-συμβολαια'!A12</f>
        <v>6ο</v>
      </c>
      <c r="B12" s="358">
        <f>'1-συμβολαια'!B12</f>
        <v>40806</v>
      </c>
      <c r="C12" s="356" t="str">
        <f>'1-συμβολαια'!C12</f>
        <v xml:space="preserve">γονική </v>
      </c>
      <c r="D12" s="314" t="str">
        <f>'4-πολλυπρ'!D12</f>
        <v>219-163</v>
      </c>
      <c r="E12" s="314" t="str">
        <f>'4-πολλυπρ'!I12</f>
        <v>ανηψιός</v>
      </c>
      <c r="F12" s="315">
        <f>'14-βιβλΕσ'!P12</f>
        <v>5.1405250000000038</v>
      </c>
      <c r="G12" s="311">
        <f>'14-βιβλΕσ'!S12</f>
        <v>15.399999999999999</v>
      </c>
      <c r="H12" s="311">
        <f t="shared" si="9"/>
        <v>20.540525000000002</v>
      </c>
      <c r="I12" s="311">
        <f>'8-κ-15-17'!AG12</f>
        <v>2.7125000000047805E-3</v>
      </c>
      <c r="J12" s="311">
        <f>'14-βιβλΕσ'!R12</f>
        <v>44.560560000000009</v>
      </c>
      <c r="K12" s="311">
        <f>'14-βιβλΕσ'!U12</f>
        <v>107.78399999999999</v>
      </c>
      <c r="L12" s="311">
        <f t="shared" si="10"/>
        <v>152.34456</v>
      </c>
      <c r="M12" s="311">
        <f>'14-βιβλΕσ'!T12</f>
        <v>673.65</v>
      </c>
      <c r="N12" s="311">
        <f t="shared" si="8"/>
        <v>224.24</v>
      </c>
      <c r="O12" s="258" t="s">
        <v>580</v>
      </c>
      <c r="P12" s="311">
        <v>748.8</v>
      </c>
      <c r="Q12" s="311">
        <f t="shared" si="11"/>
        <v>1036.1175000000001</v>
      </c>
      <c r="R12" s="363"/>
      <c r="S12" s="311">
        <f>('14-βιβλΕσ'!O12+'14-βιβλΕσ'!P12+'14-βιβλΕσ'!T12)*35%</f>
        <v>320.57672499999995</v>
      </c>
      <c r="T12" s="311">
        <f t="shared" si="12"/>
        <v>1036.1175000000001</v>
      </c>
      <c r="U12" s="258">
        <v>14280.016762057186</v>
      </c>
      <c r="V12" s="363"/>
      <c r="W12" s="363"/>
      <c r="X12" s="640">
        <f>'1-συμβολαια'!L12+'1-συμβολαια'!P12+'14-βιβλΕσ'!L12+'14-βιβλΕσ'!N12+'14-βιβλΕσ'!S12+'14-βιβλΕσ'!T12+'14-βιβλΕσ'!U12</f>
        <v>1260.3575000000001</v>
      </c>
      <c r="Y12" s="311">
        <f>'1-συμβολαια'!M12</f>
        <v>224.24</v>
      </c>
      <c r="Z12" s="311">
        <f t="shared" si="13"/>
        <v>1036.1175000000001</v>
      </c>
      <c r="AA12" s="417">
        <v>46080</v>
      </c>
      <c r="AB12" s="258">
        <f t="shared" si="14"/>
        <v>14280.016762057186</v>
      </c>
      <c r="AC12" s="418"/>
      <c r="AD12" s="346"/>
      <c r="AE12" s="346"/>
      <c r="AF12" s="346"/>
      <c r="AG12" s="346"/>
      <c r="AH12" s="346"/>
    </row>
    <row r="13" spans="1:34" s="5" customFormat="1" ht="12" thickBot="1">
      <c r="A13" s="488">
        <f>'1-συμβολαια'!A13</f>
        <v>0</v>
      </c>
      <c r="B13" s="631"/>
      <c r="C13" s="489" t="str">
        <f>'1-συμβολαια'!C13</f>
        <v>δωρεά</v>
      </c>
      <c r="D13" s="479" t="str">
        <f>'4-πολλυπρ'!D13</f>
        <v>219-163αδερφή</v>
      </c>
      <c r="E13" s="479" t="str">
        <f>'4-πολλυπρ'!I13</f>
        <v>ανηψιός</v>
      </c>
      <c r="F13" s="448">
        <f>'14-βιβλΕσ'!P13</f>
        <v>13.001050000000001</v>
      </c>
      <c r="G13" s="382">
        <f>'14-βιβλΕσ'!S13</f>
        <v>6.96</v>
      </c>
      <c r="H13" s="382">
        <f t="shared" si="9"/>
        <v>19.96105</v>
      </c>
      <c r="I13" s="382">
        <f>'8-κ-15-17'!AG13</f>
        <v>5.4250000000095611E-3</v>
      </c>
      <c r="J13" s="382">
        <f>'14-βιβλΕσ'!R13</f>
        <v>60.161119999999997</v>
      </c>
      <c r="K13" s="382">
        <f>'14-βιβλΕσ'!U13</f>
        <v>36.071999999999996</v>
      </c>
      <c r="L13" s="382">
        <f t="shared" si="10"/>
        <v>96.233119999999985</v>
      </c>
      <c r="M13" s="382">
        <f>'14-βιβλΕσ'!T13</f>
        <v>225.45</v>
      </c>
      <c r="N13" s="382"/>
      <c r="O13" s="419"/>
      <c r="P13" s="382"/>
      <c r="Q13" s="382">
        <f t="shared" si="11"/>
        <v>644.48899999999992</v>
      </c>
      <c r="R13" s="636"/>
      <c r="S13" s="382">
        <f>('14-βιβλΕσ'!O13+'14-βιβλΕσ'!P13+'14-βιβλΕσ'!T13)*35%</f>
        <v>210.50994999999998</v>
      </c>
      <c r="T13" s="382">
        <f t="shared" si="12"/>
        <v>644.48899999999992</v>
      </c>
      <c r="U13" s="419">
        <v>8203.4599408208924</v>
      </c>
      <c r="V13" s="636"/>
      <c r="W13" s="636"/>
      <c r="X13" s="531">
        <f>'1-συμβολαια'!L13+'1-συμβολαια'!P13+'14-βιβλΕσ'!L13+'14-βιβλΕσ'!N13+'14-βιβλΕσ'!S13+'14-βιβλΕσ'!T13+'14-βιβλΕσ'!U13</f>
        <v>644.48899999999992</v>
      </c>
      <c r="Y13" s="382">
        <f>'1-συμβολαια'!M13</f>
        <v>0</v>
      </c>
      <c r="Z13" s="382">
        <f t="shared" si="13"/>
        <v>644.48899999999992</v>
      </c>
      <c r="AA13" s="637">
        <v>46080</v>
      </c>
      <c r="AB13" s="419">
        <f t="shared" si="14"/>
        <v>8203.4599408208924</v>
      </c>
      <c r="AC13" s="638"/>
      <c r="AD13" s="346"/>
      <c r="AE13" s="346"/>
      <c r="AF13" s="346"/>
      <c r="AG13" s="346"/>
      <c r="AH13" s="346"/>
    </row>
    <row r="14" spans="1:34">
      <c r="A14" s="910" t="s">
        <v>35</v>
      </c>
      <c r="B14" s="911"/>
      <c r="C14" s="911"/>
      <c r="D14" s="911"/>
      <c r="E14" s="912"/>
      <c r="F14" s="43">
        <f t="shared" ref="F14:N14" si="15">SUM(F3:F13)</f>
        <v>98.989797500000023</v>
      </c>
      <c r="G14" s="43">
        <f t="shared" si="15"/>
        <v>93.96</v>
      </c>
      <c r="H14" s="43">
        <f t="shared" si="15"/>
        <v>192.94979750000005</v>
      </c>
      <c r="I14" s="43">
        <f t="shared" si="15"/>
        <v>77.128953750000022</v>
      </c>
      <c r="J14" s="43">
        <f t="shared" si="15"/>
        <v>470.50378400000005</v>
      </c>
      <c r="K14" s="43">
        <f t="shared" si="15"/>
        <v>1164.9471999999998</v>
      </c>
      <c r="L14" s="43">
        <f t="shared" si="15"/>
        <v>1635.4509840000001</v>
      </c>
      <c r="M14" s="43">
        <f t="shared" si="15"/>
        <v>7311.8199999999988</v>
      </c>
      <c r="N14" s="43">
        <f t="shared" si="15"/>
        <v>898.06999999999994</v>
      </c>
      <c r="O14" s="43"/>
      <c r="P14" s="43">
        <f>SUM(P3:P13)</f>
        <v>2975.34</v>
      </c>
      <c r="Q14" s="43">
        <f>SUM(Q3:Q13)</f>
        <v>11386.95585</v>
      </c>
      <c r="R14" s="628">
        <f t="shared" ref="R14:S14" si="16">SUM(R3:R13)</f>
        <v>0</v>
      </c>
      <c r="S14" s="43">
        <f t="shared" si="16"/>
        <v>3549.0170274999996</v>
      </c>
      <c r="T14" s="43">
        <f t="shared" ref="T14:Z14" si="17">SUM(T3:T13)</f>
        <v>11386.95585</v>
      </c>
      <c r="U14" s="360">
        <f t="shared" si="17"/>
        <v>151283.15636607978</v>
      </c>
      <c r="V14" s="628">
        <f t="shared" si="17"/>
        <v>0</v>
      </c>
      <c r="W14" s="629">
        <f t="shared" si="17"/>
        <v>0</v>
      </c>
      <c r="X14" s="43">
        <f t="shared" si="17"/>
        <v>12343.025849999998</v>
      </c>
      <c r="Y14" s="43">
        <f t="shared" si="17"/>
        <v>956.06999999999994</v>
      </c>
      <c r="Z14" s="43">
        <f t="shared" si="17"/>
        <v>11386.95585</v>
      </c>
      <c r="AA14" s="43"/>
      <c r="AB14" s="360">
        <f>SUM(AB3:AB13)</f>
        <v>151283.15636607978</v>
      </c>
    </row>
    <row r="15" spans="1:34">
      <c r="M15" s="76"/>
      <c r="AB15" s="8">
        <f>SUM(AB4:AB6)</f>
        <v>56548.932698708144</v>
      </c>
    </row>
    <row r="16" spans="1:34">
      <c r="M16" s="130"/>
      <c r="X16" s="130"/>
      <c r="AB16" s="8">
        <f>SUM(AB7:AB8)</f>
        <v>29986.373619700178</v>
      </c>
    </row>
    <row r="17" spans="15:34">
      <c r="T17" s="908" t="s">
        <v>548</v>
      </c>
      <c r="U17" s="908"/>
      <c r="V17" s="908"/>
      <c r="W17" s="908"/>
      <c r="X17" s="130"/>
      <c r="Y17" s="130"/>
      <c r="AA17" s="2"/>
      <c r="AB17" s="8">
        <f>SUM(AB9:AB10)</f>
        <v>24458.351378095031</v>
      </c>
      <c r="AC17" s="2"/>
      <c r="AD17" s="2"/>
      <c r="AE17" s="2"/>
      <c r="AF17" s="29"/>
      <c r="AG17" s="8"/>
      <c r="AH17" s="12"/>
    </row>
    <row r="18" spans="15:34" ht="12" thickBot="1">
      <c r="U18" s="2"/>
      <c r="W18" s="2"/>
      <c r="X18" s="130"/>
      <c r="AA18" s="2"/>
      <c r="AB18" s="8">
        <f>SUM(AB12:AB13)</f>
        <v>22483.476702878077</v>
      </c>
      <c r="AC18" s="2"/>
      <c r="AD18" s="2"/>
      <c r="AE18" s="2"/>
      <c r="AF18" s="29"/>
      <c r="AG18" s="8"/>
      <c r="AH18" s="12"/>
    </row>
    <row r="19" spans="15:34" ht="12" thickBot="1">
      <c r="O19" s="460"/>
      <c r="R19" s="438">
        <v>8914</v>
      </c>
      <c r="S19" s="8"/>
      <c r="T19" s="382">
        <f>H3+I3+L3+S3</f>
        <v>25.054999999999996</v>
      </c>
      <c r="U19" s="419">
        <v>325</v>
      </c>
      <c r="V19" s="382">
        <f>Z3-T19</f>
        <v>44.345000000000013</v>
      </c>
      <c r="W19" s="419">
        <v>136</v>
      </c>
      <c r="X19" s="641"/>
      <c r="Y19" s="641"/>
      <c r="Z19" s="438">
        <v>8914</v>
      </c>
      <c r="AA19" s="2"/>
      <c r="AB19" s="419">
        <f>U19+W19</f>
        <v>461</v>
      </c>
      <c r="AC19" s="2"/>
      <c r="AD19" s="2"/>
      <c r="AE19" s="2"/>
      <c r="AF19" s="29"/>
      <c r="AG19" s="8"/>
      <c r="AH19" s="12"/>
    </row>
    <row r="20" spans="15:34">
      <c r="O20" s="391">
        <v>44425</v>
      </c>
      <c r="R20" s="435">
        <v>10142</v>
      </c>
      <c r="S20" s="8"/>
      <c r="T20" s="311">
        <f t="shared" ref="T20:T29" si="18">H4+I4+L4+S4</f>
        <v>1310.4945999999998</v>
      </c>
      <c r="U20" s="258">
        <v>8529.4550149587867</v>
      </c>
      <c r="V20" s="634">
        <f t="shared" ref="V20:V29" si="19">Z4-T20</f>
        <v>1569.3909999999998</v>
      </c>
      <c r="W20" s="258">
        <v>5145.5554681021022</v>
      </c>
      <c r="X20" s="641"/>
      <c r="Y20" s="641"/>
      <c r="Z20" s="435">
        <v>10142</v>
      </c>
      <c r="AA20" s="2"/>
      <c r="AB20" s="258">
        <f t="shared" ref="AB20:AB29" si="20">U20+W20</f>
        <v>13675.010483060889</v>
      </c>
      <c r="AC20" s="2"/>
      <c r="AD20" s="2"/>
      <c r="AE20" s="2"/>
      <c r="AF20" s="29"/>
      <c r="AG20" s="8"/>
      <c r="AH20" s="12"/>
    </row>
    <row r="21" spans="15:34">
      <c r="O21" s="421"/>
      <c r="R21" s="427"/>
      <c r="S21" s="8"/>
      <c r="T21" s="344">
        <f t="shared" si="18"/>
        <v>237.24731339499999</v>
      </c>
      <c r="U21" s="258">
        <v>1544.1424077767938</v>
      </c>
      <c r="V21" s="344">
        <f t="shared" si="19"/>
        <v>234.782903605</v>
      </c>
      <c r="W21" s="258">
        <v>769.78168822275495</v>
      </c>
      <c r="X21" s="641"/>
      <c r="Y21" s="641"/>
      <c r="Z21" s="427"/>
      <c r="AA21" s="2"/>
      <c r="AB21" s="258">
        <f t="shared" si="20"/>
        <v>2313.9240959995486</v>
      </c>
      <c r="AC21" s="2"/>
      <c r="AD21" s="2"/>
      <c r="AE21" s="2"/>
      <c r="AF21" s="29"/>
      <c r="AG21" s="8"/>
      <c r="AH21" s="12"/>
    </row>
    <row r="22" spans="15:34" ht="12" thickBot="1">
      <c r="O22" s="460"/>
      <c r="R22" s="445"/>
      <c r="T22" s="382">
        <f t="shared" si="18"/>
        <v>492.84602135499995</v>
      </c>
      <c r="U22" s="419">
        <v>3207.7262801761194</v>
      </c>
      <c r="V22" s="382">
        <f t="shared" si="19"/>
        <v>430.39081164499999</v>
      </c>
      <c r="W22" s="419">
        <v>1411.120488317335</v>
      </c>
      <c r="X22" s="641">
        <f>SUM(U20:U22)</f>
        <v>13281.323702911699</v>
      </c>
      <c r="Y22" s="641">
        <f>SUM(W20:W22)</f>
        <v>7326.4576446421925</v>
      </c>
      <c r="Z22" s="445"/>
      <c r="AA22" s="8">
        <f>SUM(AB20:AB22)</f>
        <v>20607.781347553893</v>
      </c>
      <c r="AB22" s="419">
        <f t="shared" si="20"/>
        <v>4618.8467684934549</v>
      </c>
      <c r="AC22" s="2"/>
      <c r="AD22" s="2"/>
      <c r="AE22" s="2"/>
      <c r="AF22" s="29"/>
      <c r="AG22" s="8"/>
    </row>
    <row r="23" spans="15:34">
      <c r="O23" s="391">
        <v>44609</v>
      </c>
      <c r="R23" s="444">
        <v>10364</v>
      </c>
      <c r="T23" s="311">
        <f t="shared" si="18"/>
        <v>607.48802599999999</v>
      </c>
      <c r="U23" s="258">
        <v>3866.2381773335233</v>
      </c>
      <c r="V23" s="311">
        <f t="shared" si="19"/>
        <v>686.07077400000003</v>
      </c>
      <c r="W23" s="258">
        <v>2199.5551780904534</v>
      </c>
      <c r="X23" s="641"/>
      <c r="Y23" s="641"/>
      <c r="Z23" s="444">
        <v>10364</v>
      </c>
      <c r="AA23" s="8"/>
      <c r="AB23" s="258">
        <f t="shared" si="20"/>
        <v>6065.7933554239771</v>
      </c>
      <c r="AC23" s="2"/>
      <c r="AD23" s="2"/>
      <c r="AE23" s="2"/>
      <c r="AF23" s="29"/>
      <c r="AG23" s="8"/>
    </row>
    <row r="24" spans="15:34" ht="12" thickBot="1">
      <c r="O24" s="460">
        <v>44609</v>
      </c>
      <c r="R24" s="516"/>
      <c r="T24" s="382">
        <f t="shared" si="18"/>
        <v>467.20685200000003</v>
      </c>
      <c r="U24" s="419">
        <v>2973.4462089862054</v>
      </c>
      <c r="V24" s="382">
        <f t="shared" si="19"/>
        <v>478.65954799999997</v>
      </c>
      <c r="W24" s="419">
        <v>1534.5910760889446</v>
      </c>
      <c r="X24" s="641">
        <f>SUM(U23:U24)</f>
        <v>6839.6843863197282</v>
      </c>
      <c r="Y24" s="641">
        <f>SUM(W23:W24)</f>
        <v>3734.1462541793981</v>
      </c>
      <c r="Z24" s="516"/>
      <c r="AA24" s="8">
        <f>SUM(AB23:AB24)</f>
        <v>10573.830640499127</v>
      </c>
      <c r="AB24" s="419">
        <f t="shared" si="20"/>
        <v>4508.0372850751501</v>
      </c>
      <c r="AC24" s="2"/>
      <c r="AD24" s="2"/>
      <c r="AE24" s="2"/>
      <c r="AF24" s="29"/>
      <c r="AG24" s="8"/>
    </row>
    <row r="25" spans="15:34">
      <c r="O25" s="391">
        <v>44607</v>
      </c>
      <c r="R25" s="435">
        <v>10365</v>
      </c>
      <c r="T25" s="311">
        <f t="shared" si="18"/>
        <v>567.44156450000003</v>
      </c>
      <c r="U25" s="258">
        <v>3611.3703417682896</v>
      </c>
      <c r="V25" s="311">
        <f t="shared" si="19"/>
        <v>609.74913549999985</v>
      </c>
      <c r="W25" s="258">
        <v>1954.8666393493702</v>
      </c>
      <c r="X25" s="641"/>
      <c r="Y25" s="641"/>
      <c r="Z25" s="435">
        <v>10365</v>
      </c>
      <c r="AA25" s="8"/>
      <c r="AB25" s="258">
        <f t="shared" si="20"/>
        <v>5566.2369811176595</v>
      </c>
      <c r="AC25" s="2"/>
      <c r="AD25" s="2"/>
      <c r="AE25" s="2"/>
      <c r="AF25" s="29"/>
      <c r="AG25" s="8"/>
    </row>
    <row r="26" spans="15:34" ht="12" thickBot="1">
      <c r="O26" s="460">
        <v>44607</v>
      </c>
      <c r="R26" s="445"/>
      <c r="T26" s="382">
        <f t="shared" si="18"/>
        <v>334.77362899999997</v>
      </c>
      <c r="U26" s="419">
        <v>2130.6009827497228</v>
      </c>
      <c r="V26" s="382">
        <f t="shared" si="19"/>
        <v>354.86177099999992</v>
      </c>
      <c r="W26" s="419">
        <v>1137.6931877721956</v>
      </c>
      <c r="X26" s="641">
        <f>SUM(U25:U26)</f>
        <v>5741.9713245180119</v>
      </c>
      <c r="Y26" s="641">
        <f>SUM(W25:W26)</f>
        <v>3092.5598271215658</v>
      </c>
      <c r="Z26" s="445"/>
      <c r="AA26" s="8">
        <f>SUM(AB25:AB26)</f>
        <v>8834.5311516395777</v>
      </c>
      <c r="AB26" s="419">
        <f t="shared" si="20"/>
        <v>3268.2941705219182</v>
      </c>
      <c r="AC26" s="2"/>
      <c r="AD26" s="2"/>
      <c r="AE26" s="2"/>
      <c r="AF26" s="29"/>
      <c r="AG26" s="8"/>
    </row>
    <row r="27" spans="15:34" ht="12" thickBot="1">
      <c r="O27" s="535">
        <v>44446</v>
      </c>
      <c r="R27" s="438">
        <v>10366</v>
      </c>
      <c r="T27" s="443">
        <f t="shared" si="18"/>
        <v>591.81968900000004</v>
      </c>
      <c r="U27" s="532">
        <v>3766.5201251381591</v>
      </c>
      <c r="V27" s="443">
        <f t="shared" si="19"/>
        <v>663.72571100000016</v>
      </c>
      <c r="W27" s="532">
        <v>2127.9165062667685</v>
      </c>
      <c r="X27" s="641"/>
      <c r="Y27" s="641"/>
      <c r="Z27" s="438">
        <v>10366</v>
      </c>
      <c r="AA27" s="8"/>
      <c r="AB27" s="450">
        <f t="shared" si="20"/>
        <v>5894.4366314049275</v>
      </c>
      <c r="AC27" s="2"/>
      <c r="AD27" s="2"/>
      <c r="AE27" s="2"/>
      <c r="AF27" s="29"/>
      <c r="AG27" s="8"/>
    </row>
    <row r="28" spans="15:34">
      <c r="O28" s="391">
        <v>44607</v>
      </c>
      <c r="R28" s="435">
        <v>10367</v>
      </c>
      <c r="T28" s="311">
        <f t="shared" si="18"/>
        <v>493.46452249999993</v>
      </c>
      <c r="U28" s="258">
        <v>3140.5579935647256</v>
      </c>
      <c r="V28" s="311">
        <f t="shared" si="19"/>
        <v>542.65297750000013</v>
      </c>
      <c r="W28" s="258">
        <v>1739.7551561733292</v>
      </c>
      <c r="X28" s="641"/>
      <c r="Y28" s="641"/>
      <c r="Z28" s="435">
        <v>10367</v>
      </c>
      <c r="AA28" s="8"/>
      <c r="AB28" s="258">
        <f t="shared" si="20"/>
        <v>4880.3131497380546</v>
      </c>
      <c r="AC28" s="2"/>
      <c r="AD28" s="2"/>
      <c r="AE28" s="2"/>
      <c r="AF28" s="29"/>
      <c r="AG28" s="8"/>
    </row>
    <row r="29" spans="15:34" ht="12" thickBot="1">
      <c r="O29" s="460">
        <v>44607</v>
      </c>
      <c r="R29" s="445"/>
      <c r="T29" s="344">
        <f t="shared" si="18"/>
        <v>326.70954499999993</v>
      </c>
      <c r="U29" s="258">
        <v>2079.2787046279386</v>
      </c>
      <c r="V29" s="531">
        <f t="shared" si="19"/>
        <v>317.77945499999998</v>
      </c>
      <c r="W29" s="258">
        <v>1018.8066191200442</v>
      </c>
      <c r="X29" s="641">
        <f>SUM(U28:U29)</f>
        <v>5219.8366981926647</v>
      </c>
      <c r="Y29" s="641">
        <f>SUM(W28:W29)</f>
        <v>2758.5617752933731</v>
      </c>
      <c r="Z29" s="445"/>
      <c r="AA29" s="8">
        <f>SUM(AB28:AB29)</f>
        <v>7978.3984734860369</v>
      </c>
      <c r="AB29" s="258">
        <f t="shared" si="20"/>
        <v>3098.0853237479828</v>
      </c>
      <c r="AC29" s="2"/>
      <c r="AD29" s="2"/>
      <c r="AE29" s="2"/>
      <c r="AF29" s="29"/>
      <c r="AG29" s="8"/>
    </row>
    <row r="30" spans="15:34">
      <c r="O30" s="2"/>
      <c r="T30" s="43">
        <f>SUM(T19:T22)</f>
        <v>2065.6429347499998</v>
      </c>
      <c r="U30" s="360">
        <f>SUM(U19:U29)</f>
        <v>35174.336237080264</v>
      </c>
      <c r="V30" s="43">
        <f>SUM(V19:V22)</f>
        <v>2278.9097152499999</v>
      </c>
      <c r="W30" s="360">
        <f>SUM(W19:W29)</f>
        <v>19175.642007503302</v>
      </c>
      <c r="X30" s="641"/>
      <c r="Y30" s="641"/>
      <c r="AA30" s="2"/>
      <c r="AB30" s="360">
        <f>SUM(AB19:AB29)</f>
        <v>54349.978244583566</v>
      </c>
      <c r="AC30" s="2"/>
      <c r="AD30" s="2"/>
      <c r="AE30" s="2"/>
      <c r="AF30" s="29"/>
      <c r="AG30" s="8"/>
    </row>
    <row r="31" spans="15:34">
      <c r="O31" s="2"/>
      <c r="X31" s="641"/>
      <c r="Y31" s="641"/>
      <c r="AG31" s="8"/>
    </row>
    <row r="32" spans="15:34">
      <c r="O32" s="2"/>
      <c r="X32" s="641"/>
      <c r="Y32" s="641"/>
      <c r="AG32" s="8"/>
    </row>
    <row r="33" spans="15:34">
      <c r="O33" s="2"/>
      <c r="X33" s="130"/>
      <c r="AG33" s="8"/>
    </row>
    <row r="34" spans="15:34">
      <c r="O34" s="2"/>
      <c r="X34" s="130"/>
      <c r="AG34" s="8"/>
    </row>
    <row r="35" spans="15:34">
      <c r="O35" s="2"/>
      <c r="X35" s="130"/>
      <c r="AG35" s="8"/>
    </row>
    <row r="36" spans="15:34">
      <c r="O36" s="2"/>
      <c r="X36" s="130"/>
    </row>
    <row r="37" spans="15:34" ht="15">
      <c r="O37" s="2"/>
      <c r="X37" s="130"/>
      <c r="AD37" s="122"/>
      <c r="AE37" s="122"/>
      <c r="AF37" s="122"/>
      <c r="AG37" s="122"/>
      <c r="AH37" s="122"/>
    </row>
    <row r="38" spans="15:34" ht="15">
      <c r="O38" s="2"/>
      <c r="AD38" s="122"/>
      <c r="AE38" s="122"/>
      <c r="AF38" s="122"/>
      <c r="AG38" s="122"/>
      <c r="AH38" s="122"/>
    </row>
    <row r="39" spans="15:34" ht="15">
      <c r="O39" s="2"/>
      <c r="AD39" s="122"/>
      <c r="AE39" s="122"/>
      <c r="AF39" s="122"/>
      <c r="AG39" s="122"/>
      <c r="AH39" s="122"/>
    </row>
    <row r="40" spans="15:34" ht="15">
      <c r="O40" s="2"/>
      <c r="AD40" s="122"/>
      <c r="AE40" s="122"/>
      <c r="AF40" s="122"/>
      <c r="AG40" s="122"/>
      <c r="AH40" s="122"/>
    </row>
    <row r="41" spans="15:34" ht="15">
      <c r="O41" s="2"/>
      <c r="AD41" s="122"/>
      <c r="AE41" s="122"/>
      <c r="AF41" s="122"/>
      <c r="AG41" s="122"/>
      <c r="AH41" s="122"/>
    </row>
    <row r="42" spans="15:34" ht="15">
      <c r="AD42" s="122"/>
      <c r="AE42" s="122"/>
      <c r="AF42" s="122"/>
      <c r="AG42" s="122"/>
      <c r="AH42" s="122"/>
    </row>
    <row r="43" spans="15:34" ht="15">
      <c r="AD43" s="122"/>
      <c r="AE43" s="122"/>
      <c r="AF43" s="122"/>
      <c r="AG43" s="122"/>
      <c r="AH43" s="122"/>
    </row>
    <row r="44" spans="15:34" ht="15">
      <c r="AD44" s="122"/>
      <c r="AE44" s="122"/>
      <c r="AF44" s="122"/>
      <c r="AG44" s="122"/>
      <c r="AH44" s="122"/>
    </row>
    <row r="45" spans="15:34" ht="15">
      <c r="AD45" s="122"/>
      <c r="AE45" s="122"/>
      <c r="AF45" s="122"/>
      <c r="AG45" s="122"/>
      <c r="AH45" s="122"/>
    </row>
    <row r="46" spans="15:34" ht="15">
      <c r="AD46" s="122"/>
      <c r="AE46" s="122"/>
      <c r="AF46" s="122"/>
      <c r="AG46" s="122"/>
      <c r="AH46" s="122"/>
    </row>
    <row r="47" spans="15:34" ht="15">
      <c r="AD47" s="122"/>
      <c r="AE47" s="122"/>
      <c r="AF47" s="122"/>
      <c r="AG47" s="122"/>
      <c r="AH47" s="122"/>
    </row>
    <row r="48" spans="15:34" ht="15">
      <c r="AD48" s="122"/>
      <c r="AE48" s="122"/>
      <c r="AF48" s="122"/>
      <c r="AG48" s="122"/>
      <c r="AH48" s="122"/>
    </row>
    <row r="49" spans="30:34" ht="15">
      <c r="AD49" s="122"/>
      <c r="AE49" s="122"/>
      <c r="AF49" s="122"/>
      <c r="AG49" s="122"/>
      <c r="AH49" s="122"/>
    </row>
    <row r="50" spans="30:34" ht="15.75" customHeight="1">
      <c r="AD50" s="122"/>
      <c r="AE50" s="122"/>
      <c r="AF50" s="122"/>
      <c r="AG50" s="122"/>
      <c r="AH50" s="122"/>
    </row>
    <row r="51" spans="30:34" ht="15">
      <c r="AD51" s="122"/>
      <c r="AE51" s="122"/>
      <c r="AF51" s="122"/>
      <c r="AG51" s="122"/>
      <c r="AH51" s="122"/>
    </row>
    <row r="52" spans="30:34" ht="15">
      <c r="AD52" s="122"/>
      <c r="AE52" s="122"/>
      <c r="AF52" s="122"/>
      <c r="AG52" s="122"/>
      <c r="AH52" s="122"/>
    </row>
    <row r="53" spans="30:34" ht="15">
      <c r="AD53" s="122"/>
      <c r="AE53" s="122"/>
      <c r="AF53" s="122"/>
      <c r="AG53" s="122"/>
      <c r="AH53" s="122"/>
    </row>
    <row r="54" spans="30:34" ht="15.75" customHeight="1">
      <c r="AD54" s="122"/>
      <c r="AE54" s="122"/>
      <c r="AF54" s="122"/>
      <c r="AG54" s="122"/>
      <c r="AH54" s="122"/>
    </row>
    <row r="55" spans="30:34" ht="15">
      <c r="AD55" s="122"/>
      <c r="AE55" s="122"/>
      <c r="AF55" s="122"/>
      <c r="AG55" s="122"/>
      <c r="AH55" s="122"/>
    </row>
    <row r="56" spans="30:34" ht="15">
      <c r="AD56" s="122"/>
      <c r="AE56" s="122"/>
      <c r="AF56" s="122"/>
      <c r="AG56" s="122"/>
      <c r="AH56" s="122"/>
    </row>
    <row r="57" spans="30:34" ht="15">
      <c r="AD57" s="122"/>
      <c r="AE57" s="122"/>
      <c r="AF57" s="122"/>
      <c r="AG57" s="122"/>
      <c r="AH57" s="122"/>
    </row>
    <row r="58" spans="30:34" ht="15">
      <c r="AD58" s="122"/>
      <c r="AE58" s="122"/>
      <c r="AF58" s="122"/>
      <c r="AG58" s="122"/>
      <c r="AH58" s="122"/>
    </row>
    <row r="59" spans="30:34" ht="15">
      <c r="AD59" s="122"/>
      <c r="AE59" s="122"/>
      <c r="AF59" s="122"/>
      <c r="AG59" s="122"/>
      <c r="AH59" s="122"/>
    </row>
    <row r="60" spans="30:34" ht="15">
      <c r="AD60" s="122"/>
      <c r="AE60" s="122"/>
      <c r="AF60" s="122"/>
      <c r="AG60" s="122"/>
      <c r="AH60" s="122"/>
    </row>
    <row r="61" spans="30:34" ht="15">
      <c r="AD61" s="122"/>
      <c r="AE61" s="122"/>
      <c r="AF61" s="122"/>
      <c r="AG61" s="122"/>
      <c r="AH61" s="122"/>
    </row>
    <row r="62" spans="30:34" ht="15">
      <c r="AD62" s="122"/>
      <c r="AE62" s="122"/>
      <c r="AF62" s="122"/>
      <c r="AG62" s="122"/>
      <c r="AH62" s="122"/>
    </row>
    <row r="63" spans="30:34" ht="15">
      <c r="AD63" s="122"/>
      <c r="AE63" s="122"/>
      <c r="AF63" s="122"/>
      <c r="AG63" s="122"/>
      <c r="AH63" s="122"/>
    </row>
    <row r="64" spans="30:34" ht="15">
      <c r="AD64" s="122"/>
      <c r="AE64" s="122"/>
      <c r="AF64" s="122"/>
      <c r="AG64" s="122"/>
      <c r="AH64" s="122"/>
    </row>
    <row r="65" spans="30:34" ht="15">
      <c r="AD65" s="122"/>
      <c r="AE65" s="122"/>
      <c r="AF65" s="122"/>
      <c r="AG65" s="122"/>
      <c r="AH65" s="122"/>
    </row>
    <row r="66" spans="30:34" ht="15">
      <c r="AD66" s="122"/>
      <c r="AE66" s="122"/>
      <c r="AF66" s="122"/>
      <c r="AG66" s="122"/>
      <c r="AH66" s="122"/>
    </row>
    <row r="67" spans="30:34" ht="15">
      <c r="AD67" s="122"/>
      <c r="AE67" s="122"/>
      <c r="AF67" s="122"/>
      <c r="AG67" s="122"/>
      <c r="AH67" s="122"/>
    </row>
    <row r="68" spans="30:34" ht="15">
      <c r="AD68" s="122"/>
      <c r="AE68" s="122"/>
      <c r="AF68" s="122"/>
      <c r="AG68" s="122"/>
      <c r="AH68" s="122"/>
    </row>
    <row r="69" spans="30:34" ht="15">
      <c r="AD69" s="122"/>
      <c r="AE69" s="122"/>
      <c r="AF69" s="122"/>
      <c r="AG69" s="122"/>
      <c r="AH69" s="122"/>
    </row>
    <row r="70" spans="30:34" ht="15">
      <c r="AD70" s="122"/>
      <c r="AE70" s="122"/>
      <c r="AF70" s="122"/>
      <c r="AG70" s="122"/>
      <c r="AH70" s="122"/>
    </row>
    <row r="71" spans="30:34" ht="15">
      <c r="AD71" s="122"/>
      <c r="AE71" s="122"/>
      <c r="AF71" s="122"/>
      <c r="AG71" s="122"/>
      <c r="AH71" s="122"/>
    </row>
    <row r="72" spans="30:34" ht="15">
      <c r="AD72" s="122"/>
      <c r="AE72" s="122"/>
      <c r="AF72" s="122"/>
      <c r="AG72" s="122"/>
      <c r="AH72" s="122"/>
    </row>
    <row r="73" spans="30:34" ht="15">
      <c r="AD73" s="122"/>
      <c r="AE73" s="122"/>
      <c r="AF73" s="122"/>
      <c r="AG73" s="122"/>
      <c r="AH73" s="122"/>
    </row>
    <row r="74" spans="30:34" ht="15">
      <c r="AD74" s="122"/>
      <c r="AE74" s="122"/>
      <c r="AF74" s="122"/>
      <c r="AG74" s="122"/>
      <c r="AH74" s="122"/>
    </row>
    <row r="75" spans="30:34" ht="15">
      <c r="AD75" s="122"/>
      <c r="AE75" s="122"/>
      <c r="AF75" s="122"/>
      <c r="AG75" s="122"/>
      <c r="AH75" s="122"/>
    </row>
    <row r="76" spans="30:34" ht="15">
      <c r="AD76" s="122"/>
      <c r="AE76" s="122"/>
      <c r="AF76" s="122"/>
      <c r="AG76" s="122"/>
      <c r="AH76" s="122"/>
    </row>
    <row r="77" spans="30:34" ht="15">
      <c r="AD77" s="122"/>
      <c r="AE77" s="122"/>
      <c r="AF77" s="122"/>
      <c r="AG77" s="122"/>
      <c r="AH77" s="122"/>
    </row>
    <row r="78" spans="30:34" ht="15">
      <c r="AD78" s="122"/>
      <c r="AE78" s="122"/>
      <c r="AF78" s="122"/>
      <c r="AG78" s="122"/>
      <c r="AH78" s="122"/>
    </row>
    <row r="79" spans="30:34" ht="15">
      <c r="AD79" s="122"/>
      <c r="AE79" s="122"/>
      <c r="AF79" s="122"/>
      <c r="AG79" s="122"/>
      <c r="AH79" s="122"/>
    </row>
    <row r="80" spans="30:34" ht="15">
      <c r="AD80" s="122"/>
      <c r="AE80" s="122"/>
      <c r="AF80" s="122"/>
      <c r="AG80" s="122"/>
      <c r="AH80" s="122"/>
    </row>
    <row r="81" spans="30:34" ht="15">
      <c r="AD81" s="122"/>
      <c r="AE81" s="122"/>
      <c r="AF81" s="122"/>
      <c r="AG81" s="122"/>
      <c r="AH81" s="122"/>
    </row>
    <row r="82" spans="30:34" ht="15">
      <c r="AD82" s="122"/>
      <c r="AE82" s="122"/>
      <c r="AF82" s="122"/>
      <c r="AG82" s="122"/>
      <c r="AH82" s="122"/>
    </row>
  </sheetData>
  <mergeCells count="21">
    <mergeCell ref="AD1:AH2"/>
    <mergeCell ref="M1:M2"/>
    <mergeCell ref="AC1:AC2"/>
    <mergeCell ref="N1:Q1"/>
    <mergeCell ref="X1:Z1"/>
    <mergeCell ref="T1:U1"/>
    <mergeCell ref="V1:W1"/>
    <mergeCell ref="AA1:AA2"/>
    <mergeCell ref="AB1:AB2"/>
    <mergeCell ref="R1:R2"/>
    <mergeCell ref="S1:S2"/>
    <mergeCell ref="T17:W17"/>
    <mergeCell ref="J1:L1"/>
    <mergeCell ref="A14:E14"/>
    <mergeCell ref="E1:E2"/>
    <mergeCell ref="C1:C2"/>
    <mergeCell ref="A1:A2"/>
    <mergeCell ref="B1:B2"/>
    <mergeCell ref="D1:D2"/>
    <mergeCell ref="F1:H1"/>
    <mergeCell ref="I1:I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41"/>
  <sheetViews>
    <sheetView workbookViewId="0">
      <pane ySplit="2" topLeftCell="A3" activePane="bottomLeft" state="frozen"/>
      <selection pane="bottomLeft" activeCell="T32" sqref="T32"/>
    </sheetView>
  </sheetViews>
  <sheetFormatPr defaultRowHeight="11.25"/>
  <cols>
    <col min="1" max="1" width="8.140625" style="8" bestFit="1" customWidth="1"/>
    <col min="2" max="2" width="50.140625" style="91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682" t="s">
        <v>1</v>
      </c>
      <c r="B1" s="684" t="s">
        <v>0</v>
      </c>
      <c r="C1" s="686" t="s">
        <v>7</v>
      </c>
      <c r="D1" s="678" t="s">
        <v>493</v>
      </c>
      <c r="E1" s="679"/>
      <c r="F1" s="679"/>
      <c r="G1" s="679"/>
      <c r="H1" s="679"/>
      <c r="I1" s="679"/>
      <c r="J1" s="679"/>
      <c r="K1" s="679"/>
      <c r="L1" s="688" t="s">
        <v>93</v>
      </c>
      <c r="M1" s="689"/>
      <c r="N1" s="690" t="s">
        <v>266</v>
      </c>
      <c r="O1" s="674"/>
      <c r="P1" s="674"/>
      <c r="Q1" s="674"/>
      <c r="R1" s="674"/>
      <c r="S1" s="674"/>
      <c r="T1" s="674"/>
      <c r="U1" s="674"/>
      <c r="V1" s="674"/>
      <c r="W1" s="675"/>
    </row>
    <row r="2" spans="1:23" s="12" customFormat="1" ht="24" customHeight="1" thickBot="1">
      <c r="A2" s="683"/>
      <c r="B2" s="685"/>
      <c r="C2" s="687"/>
      <c r="D2" s="60" t="s">
        <v>79</v>
      </c>
      <c r="E2" s="60" t="s">
        <v>80</v>
      </c>
      <c r="F2" s="60" t="s">
        <v>373</v>
      </c>
      <c r="G2" s="60" t="s">
        <v>23</v>
      </c>
      <c r="H2" s="210" t="s">
        <v>363</v>
      </c>
      <c r="I2" s="210" t="s">
        <v>364</v>
      </c>
      <c r="J2" s="210" t="s">
        <v>381</v>
      </c>
      <c r="K2" s="211" t="s">
        <v>366</v>
      </c>
      <c r="L2" s="213" t="s">
        <v>382</v>
      </c>
      <c r="M2" s="212" t="s">
        <v>383</v>
      </c>
      <c r="N2" s="691"/>
      <c r="O2" s="676"/>
      <c r="P2" s="676"/>
      <c r="Q2" s="676"/>
      <c r="R2" s="676"/>
      <c r="S2" s="676"/>
      <c r="T2" s="676"/>
      <c r="U2" s="676"/>
      <c r="V2" s="676"/>
      <c r="W2" s="677"/>
    </row>
    <row r="3" spans="1:23" s="5" customFormat="1" ht="12" thickBot="1">
      <c r="A3" s="481" t="str">
        <f>'1-συμβολαια'!A3</f>
        <v>1ο</v>
      </c>
      <c r="B3" s="482" t="str">
        <f>'1-συμβολαια'!C3</f>
        <v>πληρεξούσιο</v>
      </c>
      <c r="C3" s="441">
        <f>'1-συμβολαια'!D3</f>
        <v>0</v>
      </c>
      <c r="D3" s="442">
        <v>20</v>
      </c>
      <c r="E3" s="442"/>
      <c r="F3" s="442">
        <f t="shared" ref="F3" si="0">C3*1%</f>
        <v>0</v>
      </c>
      <c r="G3" s="442">
        <f t="shared" ref="G3" si="1">D3+E3+F3</f>
        <v>20</v>
      </c>
      <c r="H3" s="442">
        <f t="shared" ref="H3" si="2">F3*9%</f>
        <v>0</v>
      </c>
      <c r="I3" s="442">
        <f t="shared" ref="I3" si="3">(D3+E3)*5%</f>
        <v>1</v>
      </c>
      <c r="J3" s="442">
        <f t="shared" ref="J3" si="4">G3*5%</f>
        <v>1</v>
      </c>
      <c r="K3" s="441">
        <f t="shared" ref="K3" si="5">G3*1%</f>
        <v>0.2</v>
      </c>
      <c r="L3" s="441">
        <f t="shared" ref="L3" si="6">G3-N3</f>
        <v>17.8</v>
      </c>
      <c r="M3" s="441">
        <f t="shared" ref="M3" si="7">D3+E3</f>
        <v>20</v>
      </c>
      <c r="N3" s="441">
        <f t="shared" ref="N3" si="8">H3+I3+J3+K3</f>
        <v>2.2000000000000002</v>
      </c>
      <c r="O3" s="540"/>
      <c r="P3" s="540"/>
      <c r="Q3" s="540"/>
      <c r="R3" s="540"/>
      <c r="S3" s="540"/>
      <c r="T3" s="541"/>
      <c r="U3" s="541"/>
      <c r="V3" s="541"/>
      <c r="W3" s="260"/>
    </row>
    <row r="4" spans="1:23" s="5" customFormat="1">
      <c r="A4" s="486" t="str">
        <f>'1-συμβολαια'!A4</f>
        <v>2ο</v>
      </c>
      <c r="B4" s="356" t="str">
        <f>'1-συμβολαια'!C4</f>
        <v>κληρονομιάς ΑΠΟΔΟΧΗ</v>
      </c>
      <c r="C4" s="315">
        <f>'1-συμβολαια'!D4</f>
        <v>0</v>
      </c>
      <c r="D4" s="310">
        <v>40</v>
      </c>
      <c r="E4" s="310"/>
      <c r="F4" s="310">
        <f t="shared" ref="F4:F5" si="9">C4*1%</f>
        <v>0</v>
      </c>
      <c r="G4" s="310">
        <f t="shared" ref="G4:G5" si="10">D4+E4+F4</f>
        <v>40</v>
      </c>
      <c r="H4" s="310">
        <f t="shared" ref="H4:H5" si="11">F4*9%</f>
        <v>0</v>
      </c>
      <c r="I4" s="310">
        <f t="shared" ref="I4:I5" si="12">(D4+E4)*5%</f>
        <v>2</v>
      </c>
      <c r="J4" s="310">
        <f t="shared" ref="J4:J5" si="13">G4*5%</f>
        <v>2</v>
      </c>
      <c r="K4" s="315">
        <f t="shared" ref="K4:K5" si="14">G4*1%</f>
        <v>0.4</v>
      </c>
      <c r="L4" s="315">
        <f t="shared" ref="L4:L5" si="15">G4-N4</f>
        <v>35.6</v>
      </c>
      <c r="M4" s="315">
        <f t="shared" ref="M4:M5" si="16">D4+E4</f>
        <v>40</v>
      </c>
      <c r="N4" s="315">
        <f t="shared" ref="N4:N5" si="17">H4+I4+J4+K4</f>
        <v>4.4000000000000004</v>
      </c>
      <c r="O4" s="388" t="s">
        <v>398</v>
      </c>
      <c r="P4" s="388"/>
      <c r="Q4" s="388"/>
      <c r="R4" s="388"/>
      <c r="S4" s="388"/>
      <c r="T4" s="399"/>
      <c r="U4" s="399"/>
      <c r="V4" s="399"/>
      <c r="W4" s="260"/>
    </row>
    <row r="5" spans="1:23" s="5" customFormat="1">
      <c r="A5" s="487">
        <f>'1-συμβολαια'!A5</f>
        <v>0</v>
      </c>
      <c r="B5" s="313" t="str">
        <f>'1-συμβολαια'!C5</f>
        <v>χρησικτησία αγροτεμαχίων 1,2,3  = 19?? ΑΝΑΔΑΣΜΟΣ</v>
      </c>
      <c r="C5" s="315">
        <f>'1-συμβολαια'!D5</f>
        <v>2100.9416999999999</v>
      </c>
      <c r="D5" s="309"/>
      <c r="E5" s="309">
        <v>20</v>
      </c>
      <c r="F5" s="309">
        <f t="shared" si="9"/>
        <v>21.009416999999999</v>
      </c>
      <c r="G5" s="309">
        <f t="shared" si="10"/>
        <v>41.009416999999999</v>
      </c>
      <c r="H5" s="310">
        <f t="shared" si="11"/>
        <v>1.8908475299999998</v>
      </c>
      <c r="I5" s="310">
        <f t="shared" si="12"/>
        <v>1</v>
      </c>
      <c r="J5" s="310">
        <f t="shared" si="13"/>
        <v>2.05047085</v>
      </c>
      <c r="K5" s="315">
        <f t="shared" si="14"/>
        <v>0.41009416999999998</v>
      </c>
      <c r="L5" s="315">
        <f t="shared" si="15"/>
        <v>35.65800445</v>
      </c>
      <c r="M5" s="315">
        <f t="shared" si="16"/>
        <v>20</v>
      </c>
      <c r="N5" s="315">
        <f t="shared" si="17"/>
        <v>5.35141255</v>
      </c>
      <c r="O5" s="316" t="s">
        <v>398</v>
      </c>
      <c r="P5" s="316" t="s">
        <v>399</v>
      </c>
      <c r="Q5" s="316"/>
      <c r="R5" s="316"/>
      <c r="S5" s="316"/>
      <c r="T5" s="260"/>
      <c r="U5" s="260"/>
      <c r="V5" s="260"/>
      <c r="W5" s="260"/>
    </row>
    <row r="6" spans="1:23" s="5" customFormat="1" ht="12" thickBot="1">
      <c r="A6" s="488">
        <f>'1-συμβολαια'!A6</f>
        <v>0</v>
      </c>
      <c r="B6" s="489" t="str">
        <f>'1-συμβολαια'!C6</f>
        <v>χρησικτησία αγροτεμαχίων 4,5,6,7,8,9 = 1955 πατρός ΔΩΡΕΑ άτυπος</v>
      </c>
      <c r="C6" s="448">
        <f>'1-συμβολαια'!D6</f>
        <v>7850.0433000000012</v>
      </c>
      <c r="D6" s="449"/>
      <c r="E6" s="449">
        <v>20</v>
      </c>
      <c r="F6" s="449">
        <f t="shared" ref="F6:F10" si="18">C6*1%</f>
        <v>78.500433000000015</v>
      </c>
      <c r="G6" s="449">
        <f t="shared" ref="G6:G10" si="19">D6+E6+F6</f>
        <v>98.500433000000015</v>
      </c>
      <c r="H6" s="449">
        <f t="shared" ref="H6:H10" si="20">F6*9%</f>
        <v>7.0650389700000007</v>
      </c>
      <c r="I6" s="449">
        <f t="shared" ref="I6:I10" si="21">(D6+E6)*5%</f>
        <v>1</v>
      </c>
      <c r="J6" s="449">
        <f t="shared" ref="J6:J10" si="22">G6*5%</f>
        <v>4.9250216500000015</v>
      </c>
      <c r="K6" s="448">
        <f t="shared" ref="K6:K10" si="23">G6*1%</f>
        <v>0.98500433000000021</v>
      </c>
      <c r="L6" s="448">
        <f t="shared" ref="L6:L10" si="24">G6-N6</f>
        <v>84.525368050000012</v>
      </c>
      <c r="M6" s="448">
        <f t="shared" ref="M6:M10" si="25">D6+E6</f>
        <v>20</v>
      </c>
      <c r="N6" s="448">
        <f t="shared" ref="N6:N10" si="26">H6+I6+J6+K6</f>
        <v>13.975064950000002</v>
      </c>
      <c r="O6" s="542" t="s">
        <v>398</v>
      </c>
      <c r="P6" s="542" t="s">
        <v>399</v>
      </c>
      <c r="Q6" s="542"/>
      <c r="R6" s="542"/>
      <c r="S6" s="542"/>
      <c r="T6" s="543"/>
      <c r="U6" s="543"/>
      <c r="V6" s="260"/>
      <c r="W6" s="260"/>
    </row>
    <row r="7" spans="1:23" s="5" customFormat="1">
      <c r="A7" s="517" t="str">
        <f>'1-συμβολαια'!A7</f>
        <v>3ο</v>
      </c>
      <c r="B7" s="356" t="str">
        <f>'1-συμβολαια'!C7</f>
        <v xml:space="preserve">γονική </v>
      </c>
      <c r="C7" s="315">
        <f>'1-συμβολαια'!D7</f>
        <v>5223.96</v>
      </c>
      <c r="D7" s="310"/>
      <c r="E7" s="310">
        <v>20</v>
      </c>
      <c r="F7" s="310">
        <f t="shared" si="18"/>
        <v>52.239600000000003</v>
      </c>
      <c r="G7" s="310">
        <f t="shared" si="19"/>
        <v>72.239599999999996</v>
      </c>
      <c r="H7" s="310">
        <f t="shared" si="20"/>
        <v>4.7015640000000003</v>
      </c>
      <c r="I7" s="310">
        <f t="shared" si="21"/>
        <v>1</v>
      </c>
      <c r="J7" s="310">
        <f t="shared" si="22"/>
        <v>3.61198</v>
      </c>
      <c r="K7" s="315">
        <f t="shared" si="23"/>
        <v>0.72239599999999993</v>
      </c>
      <c r="L7" s="315">
        <f t="shared" si="24"/>
        <v>62.203659999999999</v>
      </c>
      <c r="M7" s="315">
        <f t="shared" si="25"/>
        <v>20</v>
      </c>
      <c r="N7" s="315">
        <f t="shared" si="26"/>
        <v>10.03594</v>
      </c>
      <c r="O7" s="388" t="s">
        <v>398</v>
      </c>
      <c r="P7" s="388"/>
      <c r="Q7" s="388"/>
      <c r="R7" s="388"/>
      <c r="S7" s="388" t="s">
        <v>578</v>
      </c>
      <c r="T7" s="399"/>
      <c r="U7" s="399"/>
      <c r="V7" s="260"/>
      <c r="W7" s="260"/>
    </row>
    <row r="8" spans="1:23" s="5" customFormat="1" ht="12" thickBot="1">
      <c r="A8" s="518">
        <f>'1-συμβολαια'!A8</f>
        <v>0</v>
      </c>
      <c r="B8" s="489" t="str">
        <f>'1-συμβολαια'!C8</f>
        <v>δωρεά</v>
      </c>
      <c r="C8" s="448">
        <f>'1-συμβολαια'!D8</f>
        <v>10447.92</v>
      </c>
      <c r="D8" s="449"/>
      <c r="E8" s="449">
        <v>20</v>
      </c>
      <c r="F8" s="449">
        <f t="shared" si="18"/>
        <v>104.47920000000001</v>
      </c>
      <c r="G8" s="449">
        <f t="shared" si="19"/>
        <v>124.47920000000001</v>
      </c>
      <c r="H8" s="449">
        <f t="shared" si="20"/>
        <v>9.4031280000000006</v>
      </c>
      <c r="I8" s="449">
        <f t="shared" si="21"/>
        <v>1</v>
      </c>
      <c r="J8" s="449">
        <f t="shared" si="22"/>
        <v>6.2239600000000008</v>
      </c>
      <c r="K8" s="448">
        <f t="shared" si="23"/>
        <v>1.2447920000000001</v>
      </c>
      <c r="L8" s="448">
        <f t="shared" si="24"/>
        <v>106.60732</v>
      </c>
      <c r="M8" s="448">
        <f t="shared" si="25"/>
        <v>20</v>
      </c>
      <c r="N8" s="448">
        <f t="shared" si="26"/>
        <v>17.871880000000001</v>
      </c>
      <c r="O8" s="542" t="s">
        <v>398</v>
      </c>
      <c r="P8" s="542" t="s">
        <v>399</v>
      </c>
      <c r="Q8" s="542"/>
      <c r="R8" s="542"/>
      <c r="S8" s="542"/>
      <c r="T8" s="543"/>
      <c r="U8" s="543"/>
      <c r="V8" s="543"/>
      <c r="W8" s="260"/>
    </row>
    <row r="9" spans="1:23" s="5" customFormat="1">
      <c r="A9" s="486" t="str">
        <f>'1-συμβολαια'!A9</f>
        <v>4ο</v>
      </c>
      <c r="B9" s="356" t="str">
        <f>'1-συμβολαια'!C9</f>
        <v xml:space="preserve">γονική </v>
      </c>
      <c r="C9" s="315">
        <f>'1-συμβολαια'!D9</f>
        <v>927.67</v>
      </c>
      <c r="D9" s="310"/>
      <c r="E9" s="310">
        <v>20</v>
      </c>
      <c r="F9" s="310">
        <f t="shared" si="18"/>
        <v>9.2766999999999999</v>
      </c>
      <c r="G9" s="310">
        <f t="shared" si="19"/>
        <v>29.276699999999998</v>
      </c>
      <c r="H9" s="310">
        <f t="shared" si="20"/>
        <v>0.83490299999999995</v>
      </c>
      <c r="I9" s="310">
        <f t="shared" si="21"/>
        <v>1</v>
      </c>
      <c r="J9" s="310">
        <f t="shared" si="22"/>
        <v>1.463835</v>
      </c>
      <c r="K9" s="315">
        <f t="shared" si="23"/>
        <v>0.292767</v>
      </c>
      <c r="L9" s="315">
        <f t="shared" si="24"/>
        <v>25.685194999999997</v>
      </c>
      <c r="M9" s="315">
        <f t="shared" si="25"/>
        <v>20</v>
      </c>
      <c r="N9" s="315">
        <f t="shared" si="26"/>
        <v>3.5915050000000002</v>
      </c>
      <c r="O9" s="388" t="s">
        <v>398</v>
      </c>
      <c r="P9" s="388" t="s">
        <v>399</v>
      </c>
      <c r="Q9" s="388"/>
      <c r="R9" s="388"/>
      <c r="S9" s="388" t="s">
        <v>578</v>
      </c>
      <c r="T9" s="399"/>
      <c r="U9" s="399"/>
      <c r="V9" s="399"/>
      <c r="W9" s="260"/>
    </row>
    <row r="10" spans="1:23" s="5" customFormat="1" ht="12" thickBot="1">
      <c r="A10" s="488">
        <f>'1-συμβολαια'!A10</f>
        <v>0</v>
      </c>
      <c r="B10" s="489" t="str">
        <f>'1-συμβολαια'!C10</f>
        <v>δωρεά</v>
      </c>
      <c r="C10" s="448">
        <f>'1-συμβολαια'!D10</f>
        <v>1855.34</v>
      </c>
      <c r="D10" s="449"/>
      <c r="E10" s="449">
        <v>20</v>
      </c>
      <c r="F10" s="449">
        <f t="shared" si="18"/>
        <v>18.5534</v>
      </c>
      <c r="G10" s="449">
        <f t="shared" si="19"/>
        <v>38.553399999999996</v>
      </c>
      <c r="H10" s="449">
        <f t="shared" si="20"/>
        <v>1.6698059999999999</v>
      </c>
      <c r="I10" s="449">
        <f t="shared" si="21"/>
        <v>1</v>
      </c>
      <c r="J10" s="449">
        <f t="shared" si="22"/>
        <v>1.92767</v>
      </c>
      <c r="K10" s="448">
        <f t="shared" si="23"/>
        <v>0.38553399999999999</v>
      </c>
      <c r="L10" s="448">
        <f t="shared" si="24"/>
        <v>33.570389999999996</v>
      </c>
      <c r="M10" s="448">
        <f t="shared" si="25"/>
        <v>20</v>
      </c>
      <c r="N10" s="448">
        <f t="shared" si="26"/>
        <v>4.9830100000000002</v>
      </c>
      <c r="O10" s="542" t="s">
        <v>398</v>
      </c>
      <c r="P10" s="542"/>
      <c r="Q10" s="542"/>
      <c r="R10" s="542"/>
      <c r="S10" s="542"/>
      <c r="T10" s="543"/>
      <c r="U10" s="543"/>
      <c r="V10" s="260"/>
      <c r="W10" s="260"/>
    </row>
    <row r="11" spans="1:23" s="5" customFormat="1" ht="12" thickBot="1">
      <c r="A11" s="481" t="str">
        <f>'1-συμβολαια'!A11</f>
        <v>5ο</v>
      </c>
      <c r="B11" s="482" t="str">
        <f>'1-συμβολαια'!C11</f>
        <v>δωρεά</v>
      </c>
      <c r="C11" s="441">
        <f>'1-συμβολαια'!D11</f>
        <v>3632.94</v>
      </c>
      <c r="D11" s="442"/>
      <c r="E11" s="442">
        <v>20</v>
      </c>
      <c r="F11" s="442">
        <f t="shared" ref="F11:F13" si="27">C11*1%</f>
        <v>36.3294</v>
      </c>
      <c r="G11" s="442">
        <f t="shared" ref="G11:G13" si="28">D11+E11+F11</f>
        <v>56.3294</v>
      </c>
      <c r="H11" s="442">
        <f t="shared" ref="H11:H13" si="29">F11*9%</f>
        <v>3.2696459999999998</v>
      </c>
      <c r="I11" s="442">
        <f t="shared" ref="I11:I13" si="30">(D11+E11)*5%</f>
        <v>1</v>
      </c>
      <c r="J11" s="442">
        <f t="shared" ref="J11:J13" si="31">G11*5%</f>
        <v>2.8164700000000003</v>
      </c>
      <c r="K11" s="441">
        <f t="shared" ref="K11:K13" si="32">G11*1%</f>
        <v>0.56329399999999996</v>
      </c>
      <c r="L11" s="441">
        <f t="shared" ref="L11:L13" si="33">G11-N11</f>
        <v>48.679989999999997</v>
      </c>
      <c r="M11" s="441">
        <f t="shared" ref="M11:M13" si="34">D11+E11</f>
        <v>20</v>
      </c>
      <c r="N11" s="441">
        <f t="shared" ref="N11:N13" si="35">H11+I11+J11+K11</f>
        <v>7.6494100000000005</v>
      </c>
      <c r="O11" s="544" t="s">
        <v>398</v>
      </c>
      <c r="P11" s="544"/>
      <c r="Q11" s="544"/>
      <c r="R11" s="544"/>
      <c r="S11" s="544" t="s">
        <v>578</v>
      </c>
      <c r="T11" s="545"/>
      <c r="U11" s="545"/>
      <c r="V11" s="543"/>
      <c r="W11" s="260"/>
    </row>
    <row r="12" spans="1:23" s="5" customFormat="1">
      <c r="A12" s="538" t="str">
        <f>'1-συμβολαια'!A12</f>
        <v>6ο</v>
      </c>
      <c r="B12" s="356" t="str">
        <f>'1-συμβολαια'!C12</f>
        <v xml:space="preserve">γονική </v>
      </c>
      <c r="C12" s="315">
        <f>'1-συμβολαια'!D12</f>
        <v>3600.35</v>
      </c>
      <c r="D12" s="310"/>
      <c r="E12" s="310">
        <v>20</v>
      </c>
      <c r="F12" s="310">
        <f t="shared" si="27"/>
        <v>36.003500000000003</v>
      </c>
      <c r="G12" s="310">
        <f t="shared" si="28"/>
        <v>56.003500000000003</v>
      </c>
      <c r="H12" s="310">
        <f t="shared" si="29"/>
        <v>3.2403150000000003</v>
      </c>
      <c r="I12" s="310">
        <f t="shared" si="30"/>
        <v>1</v>
      </c>
      <c r="J12" s="310">
        <f t="shared" si="31"/>
        <v>2.8001750000000003</v>
      </c>
      <c r="K12" s="315">
        <f t="shared" si="32"/>
        <v>0.56003500000000006</v>
      </c>
      <c r="L12" s="315">
        <f t="shared" si="33"/>
        <v>48.402974999999998</v>
      </c>
      <c r="M12" s="315">
        <f t="shared" si="34"/>
        <v>20</v>
      </c>
      <c r="N12" s="315">
        <f t="shared" si="35"/>
        <v>7.6005250000000011</v>
      </c>
      <c r="O12" s="388" t="s">
        <v>398</v>
      </c>
      <c r="P12" s="388" t="s">
        <v>399</v>
      </c>
      <c r="Q12" s="388"/>
      <c r="R12" s="388"/>
      <c r="S12" s="388" t="s">
        <v>578</v>
      </c>
      <c r="T12" s="399"/>
      <c r="U12" s="399"/>
      <c r="V12" s="399"/>
      <c r="W12" s="260"/>
    </row>
    <row r="13" spans="1:23" s="5" customFormat="1" ht="12" thickBot="1">
      <c r="A13" s="539">
        <f>'1-συμβολαια'!A13</f>
        <v>0</v>
      </c>
      <c r="B13" s="489" t="str">
        <f>'1-συμβολαια'!C13</f>
        <v>δωρεά</v>
      </c>
      <c r="C13" s="448">
        <f>'1-συμβολαια'!D13</f>
        <v>7200.7</v>
      </c>
      <c r="D13" s="449"/>
      <c r="E13" s="449">
        <v>20</v>
      </c>
      <c r="F13" s="449">
        <f t="shared" si="27"/>
        <v>72.007000000000005</v>
      </c>
      <c r="G13" s="449">
        <f t="shared" si="28"/>
        <v>92.007000000000005</v>
      </c>
      <c r="H13" s="449">
        <f t="shared" si="29"/>
        <v>6.4806300000000006</v>
      </c>
      <c r="I13" s="449">
        <f t="shared" si="30"/>
        <v>1</v>
      </c>
      <c r="J13" s="449">
        <f t="shared" si="31"/>
        <v>4.6003500000000006</v>
      </c>
      <c r="K13" s="448">
        <f t="shared" si="32"/>
        <v>0.92007000000000005</v>
      </c>
      <c r="L13" s="448">
        <f t="shared" si="33"/>
        <v>79.005949999999999</v>
      </c>
      <c r="M13" s="448">
        <f t="shared" si="34"/>
        <v>20</v>
      </c>
      <c r="N13" s="448">
        <f t="shared" si="35"/>
        <v>13.001050000000001</v>
      </c>
      <c r="O13" s="542" t="s">
        <v>398</v>
      </c>
      <c r="P13" s="542" t="s">
        <v>399</v>
      </c>
      <c r="Q13" s="542"/>
      <c r="R13" s="542"/>
      <c r="S13" s="542"/>
      <c r="T13" s="543"/>
      <c r="U13" s="260"/>
      <c r="V13" s="260"/>
      <c r="W13" s="260"/>
    </row>
    <row r="14" spans="1:23">
      <c r="A14" s="680" t="s">
        <v>56</v>
      </c>
      <c r="B14" s="681"/>
      <c r="C14" s="681"/>
      <c r="D14" s="38">
        <f t="shared" ref="D14:N14" si="36">SUM(D3:D13)</f>
        <v>60</v>
      </c>
      <c r="E14" s="38">
        <f t="shared" si="36"/>
        <v>180</v>
      </c>
      <c r="F14" s="38">
        <f t="shared" si="36"/>
        <v>428.39865000000003</v>
      </c>
      <c r="G14" s="38">
        <f t="shared" si="36"/>
        <v>668.39865000000009</v>
      </c>
      <c r="H14" s="38">
        <f t="shared" si="36"/>
        <v>38.555878499999999</v>
      </c>
      <c r="I14" s="38">
        <f t="shared" si="36"/>
        <v>12</v>
      </c>
      <c r="J14" s="38">
        <f t="shared" si="36"/>
        <v>33.419932500000002</v>
      </c>
      <c r="K14" s="38">
        <f t="shared" si="36"/>
        <v>6.6839865000000005</v>
      </c>
      <c r="L14" s="38">
        <f t="shared" si="36"/>
        <v>577.73885250000001</v>
      </c>
      <c r="M14" s="38">
        <f t="shared" si="36"/>
        <v>240</v>
      </c>
      <c r="N14" s="38">
        <f t="shared" si="36"/>
        <v>90.65979750000001</v>
      </c>
    </row>
    <row r="15" spans="1:23">
      <c r="H15" s="58" t="s">
        <v>390</v>
      </c>
      <c r="I15" s="300" t="s">
        <v>79</v>
      </c>
      <c r="J15" s="300">
        <v>1</v>
      </c>
      <c r="K15" s="58" t="s">
        <v>79</v>
      </c>
      <c r="O15" s="125"/>
      <c r="P15" s="125"/>
      <c r="Q15" s="125"/>
      <c r="R15" s="125"/>
      <c r="S15" s="125"/>
      <c r="T15" s="125"/>
      <c r="U15" s="125"/>
      <c r="V15" s="125"/>
    </row>
    <row r="16" spans="1:23">
      <c r="H16" s="300">
        <v>1</v>
      </c>
      <c r="I16" s="300">
        <v>1</v>
      </c>
      <c r="J16" s="197">
        <v>0.15</v>
      </c>
      <c r="K16" s="317" t="s">
        <v>391</v>
      </c>
      <c r="O16" s="155" t="s">
        <v>384</v>
      </c>
      <c r="P16" s="125"/>
      <c r="Q16" s="125"/>
      <c r="R16" s="125"/>
      <c r="S16" s="125"/>
      <c r="T16" s="125"/>
      <c r="U16" s="125"/>
      <c r="V16" s="134"/>
    </row>
    <row r="17" spans="2:23">
      <c r="H17" s="58"/>
      <c r="I17" s="58"/>
      <c r="J17" s="317"/>
      <c r="K17" s="198"/>
      <c r="O17" s="134"/>
      <c r="P17" s="125" t="s">
        <v>385</v>
      </c>
      <c r="Q17" s="134"/>
      <c r="R17" s="134"/>
      <c r="S17" s="134"/>
      <c r="T17" s="134"/>
      <c r="U17" s="134"/>
      <c r="V17" s="134"/>
    </row>
    <row r="18" spans="2:23">
      <c r="O18" s="134"/>
      <c r="P18" s="134"/>
      <c r="Q18" s="125" t="s">
        <v>386</v>
      </c>
      <c r="R18" s="134"/>
      <c r="S18" s="134"/>
      <c r="T18" s="134"/>
      <c r="U18" s="134"/>
      <c r="V18" s="134"/>
    </row>
    <row r="19" spans="2:23" ht="15.75">
      <c r="B19" s="365" t="s">
        <v>504</v>
      </c>
      <c r="O19" s="134"/>
      <c r="P19" s="125"/>
      <c r="Q19" s="134"/>
      <c r="R19" s="155" t="s">
        <v>387</v>
      </c>
      <c r="S19" s="134"/>
      <c r="T19" s="125"/>
      <c r="U19" s="125"/>
      <c r="V19" s="125"/>
      <c r="W19" s="125"/>
    </row>
    <row r="20" spans="2:23">
      <c r="O20" s="134"/>
      <c r="P20" s="125"/>
      <c r="Q20" s="134"/>
      <c r="R20" s="134"/>
      <c r="S20" s="125" t="s">
        <v>388</v>
      </c>
      <c r="T20" s="125"/>
      <c r="U20" s="125"/>
      <c r="V20" s="125"/>
      <c r="W20" s="134"/>
    </row>
    <row r="21" spans="2:23" ht="15.75">
      <c r="B21" s="279" t="s">
        <v>500</v>
      </c>
      <c r="C21" s="323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281">
        <v>1</v>
      </c>
      <c r="P21" s="5" t="s">
        <v>392</v>
      </c>
      <c r="Q21" s="282"/>
      <c r="R21" s="134"/>
      <c r="S21" s="134"/>
      <c r="T21" s="134"/>
      <c r="U21" s="134"/>
      <c r="V21" s="134"/>
      <c r="W21" s="134"/>
    </row>
    <row r="22" spans="2:23" ht="15.75">
      <c r="B22" s="136"/>
      <c r="C22" s="136"/>
      <c r="D22" s="136"/>
      <c r="E22" s="136"/>
      <c r="F22" s="136"/>
      <c r="G22" s="283"/>
      <c r="H22" s="283"/>
      <c r="I22" s="283"/>
      <c r="J22" s="283"/>
      <c r="K22" s="283"/>
      <c r="L22" s="283"/>
      <c r="M22" s="283"/>
      <c r="N22" s="4"/>
      <c r="O22" s="300">
        <v>1.3</v>
      </c>
      <c r="P22" s="5" t="s">
        <v>393</v>
      </c>
      <c r="Q22" s="282"/>
    </row>
    <row r="23" spans="2:23" ht="15.75">
      <c r="B23" s="284"/>
      <c r="C23" s="285"/>
      <c r="D23" s="285"/>
      <c r="E23" s="285"/>
      <c r="F23" s="285"/>
      <c r="G23" s="286"/>
      <c r="H23" s="286"/>
      <c r="I23" s="286"/>
      <c r="J23" s="286"/>
      <c r="K23" s="286"/>
      <c r="L23" s="286"/>
      <c r="N23" s="322"/>
      <c r="O23" s="4">
        <v>0.73</v>
      </c>
      <c r="P23" s="5" t="s">
        <v>135</v>
      </c>
      <c r="Q23" s="5"/>
    </row>
    <row r="24" spans="2:23" ht="15.75">
      <c r="B24" s="284"/>
      <c r="C24" s="285"/>
      <c r="D24" s="285"/>
      <c r="E24" s="285"/>
      <c r="F24" s="285"/>
      <c r="G24" s="285"/>
      <c r="H24" s="287"/>
      <c r="I24" s="287"/>
      <c r="J24" s="287"/>
      <c r="K24" s="287"/>
      <c r="L24" s="61"/>
      <c r="N24" s="322"/>
      <c r="O24" s="4">
        <v>2</v>
      </c>
      <c r="P24" s="5" t="s">
        <v>394</v>
      </c>
      <c r="Q24" s="5"/>
    </row>
    <row r="25" spans="2:23" ht="15.75">
      <c r="B25" s="284"/>
      <c r="C25" s="324" t="s">
        <v>61</v>
      </c>
      <c r="D25" s="221"/>
      <c r="E25" s="283"/>
      <c r="F25" s="287"/>
      <c r="G25" s="287"/>
      <c r="H25" s="287"/>
      <c r="I25" s="288"/>
      <c r="J25" s="285"/>
      <c r="K25" s="285"/>
      <c r="L25" s="287"/>
      <c r="N25" s="322"/>
      <c r="O25" s="4">
        <v>3.7</v>
      </c>
      <c r="P25" s="5" t="s">
        <v>395</v>
      </c>
      <c r="Q25" s="5"/>
    </row>
    <row r="26" spans="2:23" ht="15.75">
      <c r="B26" s="284"/>
      <c r="C26" s="285"/>
      <c r="D26" s="214" t="s">
        <v>479</v>
      </c>
      <c r="E26" s="214"/>
      <c r="F26" s="289"/>
      <c r="G26" s="289"/>
      <c r="H26" s="289"/>
      <c r="I26" s="289"/>
      <c r="J26" s="289"/>
      <c r="K26" s="289"/>
      <c r="L26" s="283"/>
      <c r="N26" s="319">
        <v>0.05</v>
      </c>
      <c r="O26" s="198"/>
      <c r="P26" s="318" t="s">
        <v>462</v>
      </c>
      <c r="Q26" s="318"/>
    </row>
    <row r="27" spans="2:23" ht="15">
      <c r="B27" s="284"/>
      <c r="C27" s="285"/>
      <c r="D27" s="215" t="s">
        <v>480</v>
      </c>
      <c r="E27" s="215"/>
      <c r="F27" s="215"/>
      <c r="G27" s="289"/>
      <c r="H27" s="289"/>
      <c r="I27" s="289"/>
      <c r="J27" s="289"/>
      <c r="K27" s="289"/>
      <c r="L27" s="289"/>
      <c r="N27" s="319">
        <v>0.05</v>
      </c>
      <c r="O27" s="198"/>
      <c r="P27" s="318" t="s">
        <v>463</v>
      </c>
      <c r="Q27" s="318"/>
      <c r="R27" s="3"/>
      <c r="S27" s="3"/>
      <c r="T27" s="3"/>
      <c r="U27" s="3"/>
    </row>
    <row r="28" spans="2:23" ht="15.75">
      <c r="B28" s="284"/>
      <c r="C28" s="285"/>
      <c r="D28" s="216" t="s">
        <v>389</v>
      </c>
      <c r="E28" s="287"/>
      <c r="F28" s="287"/>
      <c r="G28" s="287"/>
      <c r="H28" s="285"/>
      <c r="I28" s="287"/>
      <c r="J28" s="287"/>
      <c r="K28" s="287"/>
      <c r="L28" s="290"/>
      <c r="N28" s="319"/>
      <c r="O28" s="198"/>
      <c r="P28" s="318"/>
      <c r="Q28" s="318"/>
      <c r="R28" s="3"/>
      <c r="S28" s="3"/>
      <c r="T28" s="3"/>
      <c r="U28" s="3"/>
    </row>
    <row r="29" spans="2:23" ht="15">
      <c r="B29" s="284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N29" s="370" t="s">
        <v>508</v>
      </c>
      <c r="O29" s="318"/>
      <c r="P29" s="318" t="s">
        <v>135</v>
      </c>
      <c r="Q29" s="318"/>
      <c r="R29" s="3"/>
      <c r="S29" s="3"/>
      <c r="T29" s="3"/>
      <c r="U29" s="3"/>
    </row>
    <row r="30" spans="2:23">
      <c r="N30" s="371" t="s">
        <v>509</v>
      </c>
      <c r="O30" s="318"/>
      <c r="P30" s="318" t="s">
        <v>136</v>
      </c>
      <c r="Q30" s="318"/>
    </row>
    <row r="31" spans="2:23">
      <c r="N31" s="371" t="s">
        <v>510</v>
      </c>
      <c r="O31" s="318"/>
      <c r="P31" s="318" t="s">
        <v>137</v>
      </c>
      <c r="Q31" s="318"/>
    </row>
    <row r="32" spans="2:23" ht="15">
      <c r="N32" s="371">
        <v>3</v>
      </c>
      <c r="O32" s="320"/>
      <c r="P32" s="318" t="s">
        <v>396</v>
      </c>
      <c r="Q32" s="318"/>
    </row>
    <row r="33" spans="2:17" ht="15">
      <c r="D33" s="2"/>
      <c r="N33" s="371">
        <v>4</v>
      </c>
      <c r="O33" s="320"/>
      <c r="P33" s="318" t="s">
        <v>397</v>
      </c>
      <c r="Q33" s="318"/>
    </row>
    <row r="34" spans="2:17" ht="15">
      <c r="N34" s="371"/>
      <c r="O34" s="321"/>
      <c r="P34" s="320"/>
      <c r="Q34" s="318"/>
    </row>
    <row r="35" spans="2:17">
      <c r="B35" s="220"/>
    </row>
    <row r="36" spans="2:17">
      <c r="B36" s="219"/>
    </row>
    <row r="37" spans="2:17" ht="15">
      <c r="B37" s="128"/>
      <c r="C37" s="4"/>
      <c r="D37" s="58"/>
      <c r="E37" s="4"/>
      <c r="F37" s="4"/>
      <c r="G37" s="58"/>
      <c r="H37" s="58"/>
      <c r="I37" s="58"/>
      <c r="J37" s="58"/>
      <c r="N37" s="8"/>
      <c r="O37" s="291"/>
      <c r="P37" s="5"/>
    </row>
    <row r="38" spans="2:17">
      <c r="B38" s="129"/>
      <c r="C38" s="4"/>
      <c r="D38" s="58"/>
      <c r="E38" s="4"/>
      <c r="F38" s="4"/>
      <c r="G38" s="58"/>
      <c r="H38" s="58"/>
      <c r="I38" s="58"/>
      <c r="J38" s="58"/>
      <c r="N38" s="8"/>
      <c r="O38" s="5"/>
      <c r="P38" s="5"/>
    </row>
    <row r="39" spans="2:17">
      <c r="B39" s="92"/>
      <c r="C39" s="4"/>
      <c r="D39" s="58"/>
      <c r="E39" s="4"/>
      <c r="F39" s="4"/>
      <c r="G39" s="58"/>
      <c r="H39" s="58"/>
      <c r="I39" s="58"/>
      <c r="J39" s="58"/>
      <c r="N39" s="8"/>
      <c r="O39" s="5"/>
      <c r="P39" s="5"/>
    </row>
    <row r="40" spans="2:17">
      <c r="N40" s="8"/>
      <c r="O40" s="5"/>
      <c r="P40" s="5"/>
    </row>
    <row r="41" spans="2:17">
      <c r="N41" s="8"/>
      <c r="O41" s="5"/>
      <c r="P41" s="5"/>
    </row>
  </sheetData>
  <mergeCells count="8">
    <mergeCell ref="O1:W2"/>
    <mergeCell ref="D1:K1"/>
    <mergeCell ref="A14:C1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11.5703125" style="3" bestFit="1" customWidth="1"/>
    <col min="2" max="2" width="77" style="8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701" t="s">
        <v>1</v>
      </c>
      <c r="B1" s="707" t="s">
        <v>0</v>
      </c>
      <c r="C1" s="709" t="s">
        <v>86</v>
      </c>
      <c r="D1" s="703" t="s">
        <v>3</v>
      </c>
      <c r="E1" s="704"/>
      <c r="F1" s="705" t="s">
        <v>481</v>
      </c>
      <c r="G1" s="706"/>
      <c r="H1" s="692" t="s">
        <v>29</v>
      </c>
      <c r="I1" s="693"/>
      <c r="J1" s="693"/>
      <c r="K1" s="693"/>
      <c r="L1" s="693"/>
      <c r="M1" s="693"/>
      <c r="N1" s="694"/>
    </row>
    <row r="2" spans="1:14" s="9" customFormat="1" ht="16.5" thickBot="1">
      <c r="A2" s="702"/>
      <c r="B2" s="708"/>
      <c r="C2" s="710"/>
      <c r="D2" s="48"/>
      <c r="E2" s="59" t="s">
        <v>9</v>
      </c>
      <c r="F2" s="292"/>
      <c r="G2" s="99" t="s">
        <v>9</v>
      </c>
      <c r="H2" s="695"/>
      <c r="I2" s="696"/>
      <c r="J2" s="696"/>
      <c r="K2" s="696"/>
      <c r="L2" s="696"/>
      <c r="M2" s="696"/>
      <c r="N2" s="697"/>
    </row>
    <row r="3" spans="1:14" s="133" customFormat="1" ht="15.75" thickBot="1">
      <c r="A3" s="462" t="str">
        <f>'1-συμβολαια'!A3</f>
        <v>1ο</v>
      </c>
      <c r="B3" s="463" t="str">
        <f>'1-συμβολαια'!C3</f>
        <v>πληρεξούσιο</v>
      </c>
      <c r="C3" s="464">
        <f>'1-συμβολαια'!D3</f>
        <v>0</v>
      </c>
      <c r="D3" s="465">
        <v>4</v>
      </c>
      <c r="E3" s="465">
        <v>4</v>
      </c>
      <c r="F3" s="466">
        <f t="shared" ref="F3:G4" si="0">(D3-1)*6</f>
        <v>18</v>
      </c>
      <c r="G3" s="466">
        <f t="shared" si="0"/>
        <v>18</v>
      </c>
      <c r="H3" s="540"/>
      <c r="I3" s="540"/>
      <c r="J3" s="540"/>
      <c r="K3" s="546"/>
      <c r="L3" s="546"/>
      <c r="M3" s="546"/>
      <c r="N3" s="546"/>
    </row>
    <row r="4" spans="1:14" s="133" customFormat="1" ht="15">
      <c r="A4" s="471" t="str">
        <f>'1-συμβολαια'!A4</f>
        <v>2ο</v>
      </c>
      <c r="B4" s="385" t="str">
        <f>'1-συμβολαια'!C4</f>
        <v>κληρονομιάς ΑΠΟΔΟΧΗ</v>
      </c>
      <c r="C4" s="386">
        <f>'1-συμβολαια'!D4</f>
        <v>0</v>
      </c>
      <c r="D4" s="387">
        <v>6</v>
      </c>
      <c r="E4" s="387">
        <v>6</v>
      </c>
      <c r="F4" s="355">
        <f t="shared" ref="F4:F5" si="1">(D4-1)*6</f>
        <v>30</v>
      </c>
      <c r="G4" s="355">
        <f t="shared" si="0"/>
        <v>30</v>
      </c>
      <c r="H4" s="388"/>
      <c r="I4" s="388" t="s">
        <v>138</v>
      </c>
      <c r="J4" s="388"/>
      <c r="K4" s="374"/>
      <c r="L4" s="374"/>
      <c r="M4" s="374"/>
      <c r="N4" s="374"/>
    </row>
    <row r="5" spans="1:14" s="133" customFormat="1" ht="15">
      <c r="A5" s="472">
        <f>'1-συμβολαια'!A5</f>
        <v>0</v>
      </c>
      <c r="B5" s="325" t="str">
        <f>'1-συμβολαια'!C5</f>
        <v>χρησικτησία αγροτεμαχίων 1,2,3  = 19?? ΑΝΑΔΑΣΜΟΣ</v>
      </c>
      <c r="C5" s="326">
        <f>'1-συμβολαια'!D5</f>
        <v>2100.9416999999999</v>
      </c>
      <c r="D5" s="351">
        <v>6</v>
      </c>
      <c r="E5" s="351"/>
      <c r="F5" s="327">
        <f t="shared" si="1"/>
        <v>30</v>
      </c>
      <c r="G5" s="355"/>
      <c r="H5" s="316" t="s">
        <v>234</v>
      </c>
      <c r="I5" s="316" t="s">
        <v>138</v>
      </c>
      <c r="J5" s="316"/>
      <c r="K5" s="328"/>
      <c r="L5" s="328"/>
      <c r="M5" s="328"/>
      <c r="N5" s="328"/>
    </row>
    <row r="6" spans="1:14" s="133" customFormat="1" ht="15.75" thickBot="1">
      <c r="A6" s="473">
        <f>'1-συμβολαια'!A6</f>
        <v>0</v>
      </c>
      <c r="B6" s="467" t="str">
        <f>'1-συμβολαια'!C6</f>
        <v>χρησικτησία αγροτεμαχίων 4,5,6,7,8,9 = 1955 πατρός ΔΩΡΕΑ άτυπος</v>
      </c>
      <c r="C6" s="468">
        <f>'1-συμβολαια'!D6</f>
        <v>7850.0433000000012</v>
      </c>
      <c r="D6" s="469">
        <v>6</v>
      </c>
      <c r="E6" s="469"/>
      <c r="F6" s="470">
        <f t="shared" ref="F6:F10" si="2">(D6-1)*6</f>
        <v>30</v>
      </c>
      <c r="G6" s="470"/>
      <c r="H6" s="542" t="s">
        <v>234</v>
      </c>
      <c r="I6" s="542" t="s">
        <v>138</v>
      </c>
      <c r="J6" s="542"/>
      <c r="K6" s="547"/>
      <c r="L6" s="547"/>
      <c r="M6" s="547"/>
      <c r="N6" s="328"/>
    </row>
    <row r="7" spans="1:14" s="133" customFormat="1" ht="15">
      <c r="A7" s="513" t="str">
        <f>'1-συμβολαια'!A7</f>
        <v>3ο</v>
      </c>
      <c r="B7" s="385" t="str">
        <f>'1-συμβολαια'!C7</f>
        <v xml:space="preserve">γονική </v>
      </c>
      <c r="C7" s="386">
        <f>'1-συμβολαια'!D7</f>
        <v>5223.96</v>
      </c>
      <c r="D7" s="387">
        <v>9</v>
      </c>
      <c r="E7" s="387">
        <v>9</v>
      </c>
      <c r="F7" s="355">
        <f t="shared" si="2"/>
        <v>48</v>
      </c>
      <c r="G7" s="355">
        <f t="shared" ref="G7:G9" si="3">(E7-1)*6</f>
        <v>48</v>
      </c>
      <c r="H7" s="388"/>
      <c r="I7" s="388"/>
      <c r="J7" s="388"/>
      <c r="K7" s="374"/>
      <c r="L7" s="374"/>
      <c r="M7" s="374"/>
      <c r="N7" s="328"/>
    </row>
    <row r="8" spans="1:14" s="133" customFormat="1" ht="15.75" thickBot="1">
      <c r="A8" s="514">
        <f>'1-συμβολαια'!A8</f>
        <v>0</v>
      </c>
      <c r="B8" s="467" t="str">
        <f>'1-συμβολαια'!C8</f>
        <v>δωρεά</v>
      </c>
      <c r="C8" s="468">
        <f>'1-συμβολαια'!D8</f>
        <v>10447.92</v>
      </c>
      <c r="D8" s="469">
        <v>9</v>
      </c>
      <c r="E8" s="469"/>
      <c r="F8" s="470">
        <f t="shared" si="2"/>
        <v>48</v>
      </c>
      <c r="G8" s="470"/>
      <c r="H8" s="542" t="s">
        <v>234</v>
      </c>
      <c r="I8" s="542" t="s">
        <v>138</v>
      </c>
      <c r="J8" s="542"/>
      <c r="K8" s="547"/>
      <c r="L8" s="547"/>
      <c r="M8" s="328"/>
      <c r="N8" s="328"/>
    </row>
    <row r="9" spans="1:14" s="133" customFormat="1" ht="15">
      <c r="A9" s="471" t="str">
        <f>'1-συμβολαια'!A9</f>
        <v>4ο</v>
      </c>
      <c r="B9" s="385" t="str">
        <f>'1-συμβολαια'!C9</f>
        <v xml:space="preserve">γονική </v>
      </c>
      <c r="C9" s="386">
        <f>'1-συμβολαια'!D9</f>
        <v>927.67</v>
      </c>
      <c r="D9" s="387">
        <v>8</v>
      </c>
      <c r="E9" s="387">
        <v>8</v>
      </c>
      <c r="F9" s="355">
        <f t="shared" si="2"/>
        <v>42</v>
      </c>
      <c r="G9" s="355">
        <f t="shared" si="3"/>
        <v>42</v>
      </c>
      <c r="H9" s="388"/>
      <c r="I9" s="388"/>
      <c r="J9" s="388"/>
      <c r="K9" s="374"/>
      <c r="L9" s="374"/>
      <c r="M9" s="328"/>
      <c r="N9" s="328"/>
    </row>
    <row r="10" spans="1:14" s="133" customFormat="1" ht="15.75" thickBot="1">
      <c r="A10" s="473">
        <f>'1-συμβολαια'!A10</f>
        <v>0</v>
      </c>
      <c r="B10" s="467" t="str">
        <f>'1-συμβολαια'!C10</f>
        <v>δωρεά</v>
      </c>
      <c r="C10" s="468">
        <f>'1-συμβολαια'!D10</f>
        <v>1855.34</v>
      </c>
      <c r="D10" s="469">
        <v>8</v>
      </c>
      <c r="E10" s="469"/>
      <c r="F10" s="470">
        <f t="shared" si="2"/>
        <v>42</v>
      </c>
      <c r="G10" s="470"/>
      <c r="H10" s="542" t="s">
        <v>234</v>
      </c>
      <c r="I10" s="542" t="s">
        <v>138</v>
      </c>
      <c r="J10" s="542"/>
      <c r="K10" s="547"/>
      <c r="L10" s="547"/>
      <c r="M10" s="547"/>
      <c r="N10" s="547"/>
    </row>
    <row r="11" spans="1:14" s="133" customFormat="1" ht="15.75" thickBot="1">
      <c r="A11" s="462" t="str">
        <f>'1-συμβολαια'!A11</f>
        <v>5ο</v>
      </c>
      <c r="B11" s="463" t="str">
        <f>'1-συμβολαια'!C11</f>
        <v>δωρεά</v>
      </c>
      <c r="C11" s="464">
        <f>'1-συμβολαια'!D11</f>
        <v>3632.94</v>
      </c>
      <c r="D11" s="465">
        <v>6</v>
      </c>
      <c r="E11" s="465">
        <v>6</v>
      </c>
      <c r="F11" s="466">
        <f t="shared" ref="F11:F13" si="4">(D11-1)*6</f>
        <v>30</v>
      </c>
      <c r="G11" s="466">
        <f t="shared" ref="G11:G12" si="5">(E11-1)*6</f>
        <v>30</v>
      </c>
      <c r="H11" s="540"/>
      <c r="I11" s="540"/>
      <c r="J11" s="540"/>
      <c r="K11" s="546"/>
      <c r="L11" s="546"/>
      <c r="M11" s="546"/>
      <c r="N11" s="374"/>
    </row>
    <row r="12" spans="1:14" s="133" customFormat="1" ht="15">
      <c r="A12" s="471" t="str">
        <f>'1-συμβολαια'!A12</f>
        <v>6ο</v>
      </c>
      <c r="B12" s="385" t="str">
        <f>'1-συμβολαια'!C12</f>
        <v xml:space="preserve">γονική </v>
      </c>
      <c r="C12" s="386">
        <f>'1-συμβολαια'!D12</f>
        <v>3600.35</v>
      </c>
      <c r="D12" s="387">
        <v>8</v>
      </c>
      <c r="E12" s="387">
        <v>8</v>
      </c>
      <c r="F12" s="355">
        <f t="shared" si="4"/>
        <v>42</v>
      </c>
      <c r="G12" s="355">
        <f t="shared" si="5"/>
        <v>42</v>
      </c>
      <c r="H12" s="388"/>
      <c r="I12" s="388"/>
      <c r="J12" s="388"/>
      <c r="K12" s="374"/>
      <c r="L12" s="374"/>
      <c r="M12" s="374"/>
      <c r="N12" s="328"/>
    </row>
    <row r="13" spans="1:14" s="133" customFormat="1" ht="15.75" thickBot="1">
      <c r="A13" s="473">
        <f>'1-συμβολαια'!A13</f>
        <v>0</v>
      </c>
      <c r="B13" s="467" t="str">
        <f>'1-συμβολαια'!C13</f>
        <v>δωρεά</v>
      </c>
      <c r="C13" s="468">
        <f>'1-συμβολαια'!D13</f>
        <v>7200.7</v>
      </c>
      <c r="D13" s="469">
        <v>8</v>
      </c>
      <c r="E13" s="469"/>
      <c r="F13" s="470">
        <f t="shared" si="4"/>
        <v>42</v>
      </c>
      <c r="G13" s="470"/>
      <c r="H13" s="542" t="s">
        <v>234</v>
      </c>
      <c r="I13" s="542" t="s">
        <v>138</v>
      </c>
      <c r="J13" s="542"/>
      <c r="K13" s="547"/>
      <c r="L13" s="547"/>
      <c r="M13" s="547"/>
      <c r="N13" s="328"/>
    </row>
    <row r="14" spans="1:14" ht="15.75">
      <c r="A14" s="698" t="s">
        <v>60</v>
      </c>
      <c r="B14" s="699"/>
      <c r="C14" s="699"/>
      <c r="D14" s="699"/>
      <c r="E14" s="700"/>
      <c r="F14" s="107">
        <f>SUM(F3:F13)</f>
        <v>402</v>
      </c>
      <c r="G14" s="107">
        <f>SUM(G3:G13)</f>
        <v>210</v>
      </c>
    </row>
    <row r="15" spans="1:14" ht="15.75">
      <c r="H15" s="135" t="s">
        <v>147</v>
      </c>
      <c r="I15" s="136"/>
      <c r="J15" s="136"/>
      <c r="K15" s="136"/>
      <c r="L15" s="136"/>
      <c r="M15" s="136"/>
    </row>
    <row r="16" spans="1:14" ht="15.75">
      <c r="B16" s="295" t="s">
        <v>501</v>
      </c>
      <c r="C16" s="295"/>
      <c r="D16" s="295"/>
      <c r="E16" s="295"/>
      <c r="F16" s="295"/>
      <c r="I16" s="136" t="s">
        <v>148</v>
      </c>
      <c r="J16" s="136"/>
      <c r="K16" s="136"/>
      <c r="L16" s="136"/>
      <c r="M16" s="86"/>
    </row>
    <row r="17" spans="2:10" ht="15.75">
      <c r="B17" s="3"/>
      <c r="C17" s="221" t="s">
        <v>61</v>
      </c>
      <c r="D17" s="3"/>
      <c r="J17" s="135" t="s">
        <v>149</v>
      </c>
    </row>
    <row r="20" spans="2:10">
      <c r="B20" s="220"/>
    </row>
    <row r="21" spans="2:10">
      <c r="B21" s="219"/>
    </row>
  </sheetData>
  <mergeCells count="7">
    <mergeCell ref="H1:N2"/>
    <mergeCell ref="A14:E1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2"/>
  <sheetViews>
    <sheetView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12.7109375" style="8" customWidth="1"/>
    <col min="2" max="2" width="72.140625" style="91" bestFit="1" customWidth="1"/>
    <col min="3" max="3" width="7.28515625" style="8" bestFit="1" customWidth="1"/>
    <col min="4" max="5" width="15.5703125" style="8" bestFit="1" customWidth="1"/>
    <col min="6" max="7" width="4.140625" style="8" bestFit="1" customWidth="1"/>
    <col min="8" max="8" width="7.28515625" style="8" bestFit="1" customWidth="1"/>
    <col min="9" max="9" width="19.28515625" style="8" bestFit="1" customWidth="1"/>
    <col min="10" max="10" width="7.85546875" style="8" bestFit="1" customWidth="1"/>
    <col min="11" max="11" width="15.5703125" style="8" bestFit="1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82" t="s">
        <v>1</v>
      </c>
      <c r="B1" s="684" t="s">
        <v>0</v>
      </c>
      <c r="C1" s="715" t="s">
        <v>11</v>
      </c>
      <c r="D1" s="715"/>
      <c r="E1" s="715"/>
      <c r="F1" s="715"/>
      <c r="G1" s="715"/>
      <c r="H1" s="716" t="s">
        <v>12</v>
      </c>
      <c r="I1" s="716"/>
      <c r="J1" s="716"/>
      <c r="K1" s="716"/>
      <c r="L1" s="716"/>
      <c r="M1" s="716"/>
      <c r="N1" s="716"/>
      <c r="O1" s="719" t="s">
        <v>87</v>
      </c>
      <c r="P1" s="717" t="s">
        <v>235</v>
      </c>
      <c r="Q1" s="711" t="s">
        <v>29</v>
      </c>
      <c r="R1" s="674"/>
      <c r="S1" s="674"/>
      <c r="T1" s="674"/>
      <c r="U1" s="675"/>
    </row>
    <row r="2" spans="1:25" ht="24" customHeight="1" thickBot="1">
      <c r="A2" s="683"/>
      <c r="B2" s="685"/>
      <c r="C2" s="7" t="s">
        <v>47</v>
      </c>
      <c r="D2" s="364" t="s">
        <v>48</v>
      </c>
      <c r="E2" s="364" t="s">
        <v>49</v>
      </c>
      <c r="F2" s="364" t="s">
        <v>50</v>
      </c>
      <c r="G2" s="39" t="s">
        <v>51</v>
      </c>
      <c r="H2" s="364" t="s">
        <v>47</v>
      </c>
      <c r="I2" s="364" t="s">
        <v>48</v>
      </c>
      <c r="J2" s="364" t="s">
        <v>49</v>
      </c>
      <c r="K2" s="364" t="s">
        <v>50</v>
      </c>
      <c r="L2" s="364" t="s">
        <v>51</v>
      </c>
      <c r="M2" s="364" t="s">
        <v>52</v>
      </c>
      <c r="N2" s="40" t="s">
        <v>53</v>
      </c>
      <c r="O2" s="720"/>
      <c r="P2" s="718"/>
      <c r="Q2" s="712"/>
      <c r="R2" s="676"/>
      <c r="S2" s="676"/>
      <c r="T2" s="676"/>
      <c r="U2" s="677"/>
    </row>
    <row r="3" spans="1:25" s="261" customFormat="1" ht="15.75" thickBot="1">
      <c r="A3" s="462" t="str">
        <f>'1-συμβολαια'!A3</f>
        <v>1ο</v>
      </c>
      <c r="B3" s="474" t="str">
        <f>'1-συμβολαια'!C3</f>
        <v>πληρεξούσιο</v>
      </c>
      <c r="C3" s="475"/>
      <c r="D3" s="476" t="s">
        <v>597</v>
      </c>
      <c r="E3" s="476"/>
      <c r="F3" s="476"/>
      <c r="G3" s="476"/>
      <c r="H3" s="476">
        <v>2</v>
      </c>
      <c r="I3" s="476" t="s">
        <v>599</v>
      </c>
      <c r="J3" s="476" t="s">
        <v>598</v>
      </c>
      <c r="K3" s="476"/>
      <c r="L3" s="476"/>
      <c r="M3" s="476"/>
      <c r="N3" s="476"/>
      <c r="O3" s="475">
        <v>1</v>
      </c>
      <c r="P3" s="466">
        <f>O3*('2-δικαιώμ'!M3+'3-φύλλα2α'!F3)</f>
        <v>38</v>
      </c>
      <c r="Q3" s="549" t="s">
        <v>154</v>
      </c>
      <c r="R3" s="549" t="s">
        <v>153</v>
      </c>
      <c r="S3" s="549"/>
      <c r="T3" s="549"/>
      <c r="U3" s="395"/>
    </row>
    <row r="4" spans="1:25" s="261" customFormat="1" ht="15">
      <c r="A4" s="471" t="str">
        <f>'1-συμβολαια'!A4</f>
        <v>2ο</v>
      </c>
      <c r="B4" s="392" t="str">
        <f>'1-συμβολαια'!C4</f>
        <v>κληρονομιάς ΑΠΟΔΟΧΗ</v>
      </c>
      <c r="C4" s="393"/>
      <c r="D4" s="314" t="s">
        <v>559</v>
      </c>
      <c r="E4" s="314"/>
      <c r="F4" s="314"/>
      <c r="G4" s="314"/>
      <c r="H4" s="314"/>
      <c r="I4" s="314" t="s">
        <v>599</v>
      </c>
      <c r="J4" s="642" t="s">
        <v>598</v>
      </c>
      <c r="K4" s="642" t="s">
        <v>597</v>
      </c>
      <c r="L4" s="314"/>
      <c r="M4" s="314"/>
      <c r="N4" s="314"/>
      <c r="O4" s="393">
        <v>2</v>
      </c>
      <c r="P4" s="355">
        <f>O4*('2-δικαιώμ'!M4+'3-φύλλα2α'!F4)</f>
        <v>140</v>
      </c>
      <c r="Q4" s="394" t="s">
        <v>154</v>
      </c>
      <c r="R4" s="394" t="s">
        <v>153</v>
      </c>
      <c r="S4" s="394"/>
      <c r="T4" s="394"/>
      <c r="U4" s="331"/>
    </row>
    <row r="5" spans="1:25" s="261" customFormat="1" ht="15">
      <c r="A5" s="472">
        <f>'1-συμβολαια'!A5</f>
        <v>0</v>
      </c>
      <c r="B5" s="429" t="str">
        <f>'1-συμβολαια'!C5</f>
        <v>χρησικτησία αγροτεμαχίων 1,2,3  = 19?? ΑΝΑΔΑΣΜΟΣ</v>
      </c>
      <c r="C5" s="329"/>
      <c r="D5" s="314" t="s">
        <v>558</v>
      </c>
      <c r="E5" s="314"/>
      <c r="F5" s="314"/>
      <c r="G5" s="257"/>
      <c r="H5" s="257"/>
      <c r="I5" s="314" t="s">
        <v>559</v>
      </c>
      <c r="J5" s="314"/>
      <c r="K5" s="314"/>
      <c r="L5" s="257"/>
      <c r="M5" s="257"/>
      <c r="N5" s="257"/>
      <c r="O5" s="329"/>
      <c r="P5" s="355">
        <f>O5*('2-δικαιώμ'!M5+'3-φύλλα2α'!F5)</f>
        <v>0</v>
      </c>
      <c r="Q5" s="330"/>
      <c r="R5" s="330"/>
      <c r="S5" s="330"/>
      <c r="T5" s="330"/>
      <c r="U5" s="331"/>
    </row>
    <row r="6" spans="1:25" s="261" customFormat="1" ht="15.75" thickBot="1">
      <c r="A6" s="473">
        <f>'1-συμβολαια'!A6</f>
        <v>0</v>
      </c>
      <c r="B6" s="477" t="str">
        <f>'1-συμβολαια'!C6</f>
        <v>χρησικτησία αγροτεμαχίων 4,5,6,7,8,9 = 1955 πατρός ΔΩΡΕΑ άτυπος</v>
      </c>
      <c r="C6" s="478"/>
      <c r="D6" s="479" t="s">
        <v>559</v>
      </c>
      <c r="E6" s="479"/>
      <c r="F6" s="479"/>
      <c r="G6" s="479"/>
      <c r="H6" s="479"/>
      <c r="I6" s="479" t="s">
        <v>559</v>
      </c>
      <c r="J6" s="479"/>
      <c r="K6" s="479"/>
      <c r="L6" s="479"/>
      <c r="M6" s="479"/>
      <c r="N6" s="479"/>
      <c r="O6" s="478"/>
      <c r="P6" s="470">
        <f>O6*('2-δικαιώμ'!M6+'3-φύλλα2α'!F6)</f>
        <v>0</v>
      </c>
      <c r="Q6" s="548"/>
      <c r="R6" s="548"/>
      <c r="S6" s="548"/>
      <c r="T6" s="330"/>
      <c r="U6" s="331"/>
    </row>
    <row r="7" spans="1:25" s="261" customFormat="1" ht="15">
      <c r="A7" s="513" t="str">
        <f>'1-συμβολαια'!A7</f>
        <v>3ο</v>
      </c>
      <c r="B7" s="392" t="str">
        <f>'1-συμβολαια'!C7</f>
        <v xml:space="preserve">γονική </v>
      </c>
      <c r="C7" s="393"/>
      <c r="D7" s="642" t="s">
        <v>599</v>
      </c>
      <c r="E7" s="642"/>
      <c r="F7" s="314"/>
      <c r="G7" s="314"/>
      <c r="H7" s="314"/>
      <c r="I7" s="314" t="s">
        <v>600</v>
      </c>
      <c r="J7" s="314"/>
      <c r="K7" s="314"/>
      <c r="L7" s="314"/>
      <c r="M7" s="314"/>
      <c r="N7" s="314"/>
      <c r="O7" s="393"/>
      <c r="P7" s="355">
        <f>O7*('2-δικαιώμ'!M7+'3-φύλλα2α'!F7)</f>
        <v>0</v>
      </c>
      <c r="Q7" s="394"/>
      <c r="R7" s="394"/>
      <c r="S7" s="394"/>
      <c r="T7" s="330"/>
      <c r="U7" s="331"/>
    </row>
    <row r="8" spans="1:25" s="261" customFormat="1" ht="15.75" thickBot="1">
      <c r="A8" s="514">
        <f>'1-συμβολαια'!A8</f>
        <v>0</v>
      </c>
      <c r="B8" s="477" t="str">
        <f>'1-συμβολαια'!C8</f>
        <v>δωρεά</v>
      </c>
      <c r="C8" s="478"/>
      <c r="D8" s="567" t="s">
        <v>598</v>
      </c>
      <c r="E8" s="567" t="s">
        <v>597</v>
      </c>
      <c r="F8" s="479"/>
      <c r="G8" s="479"/>
      <c r="H8" s="479"/>
      <c r="I8" s="479" t="s">
        <v>600</v>
      </c>
      <c r="J8" s="479"/>
      <c r="K8" s="479"/>
      <c r="L8" s="479"/>
      <c r="M8" s="479"/>
      <c r="N8" s="479"/>
      <c r="O8" s="478">
        <v>1</v>
      </c>
      <c r="P8" s="470">
        <f>O8*('2-δικαιώμ'!M8+'3-φύλλα2α'!F8)</f>
        <v>68</v>
      </c>
      <c r="Q8" s="548" t="s">
        <v>154</v>
      </c>
      <c r="R8" s="548" t="s">
        <v>153</v>
      </c>
      <c r="S8" s="548"/>
      <c r="T8" s="548"/>
      <c r="U8" s="331"/>
    </row>
    <row r="9" spans="1:25" s="261" customFormat="1" ht="15">
      <c r="A9" s="471" t="str">
        <f>'1-συμβολαια'!A9</f>
        <v>4ο</v>
      </c>
      <c r="B9" s="392" t="str">
        <f>'1-συμβολαια'!C9</f>
        <v xml:space="preserve">γονική </v>
      </c>
      <c r="C9" s="393"/>
      <c r="D9" s="642" t="s">
        <v>598</v>
      </c>
      <c r="E9" s="642"/>
      <c r="F9" s="314"/>
      <c r="G9" s="314"/>
      <c r="H9" s="314"/>
      <c r="I9" s="314" t="s">
        <v>601</v>
      </c>
      <c r="J9" s="314"/>
      <c r="K9" s="314"/>
      <c r="L9" s="314"/>
      <c r="M9" s="314"/>
      <c r="N9" s="314"/>
      <c r="O9" s="393"/>
      <c r="P9" s="355">
        <f>O9*('2-δικαιώμ'!M9+'3-φύλλα2α'!F9)</f>
        <v>0</v>
      </c>
      <c r="Q9" s="394"/>
      <c r="R9" s="394"/>
      <c r="S9" s="394"/>
      <c r="T9" s="394"/>
      <c r="U9" s="331"/>
    </row>
    <row r="10" spans="1:25" s="261" customFormat="1" ht="15.75" thickBot="1">
      <c r="A10" s="473">
        <f>'1-συμβολαια'!A10</f>
        <v>0</v>
      </c>
      <c r="B10" s="477" t="str">
        <f>'1-συμβολαια'!C10</f>
        <v>δωρεά</v>
      </c>
      <c r="C10" s="478"/>
      <c r="D10" s="314" t="s">
        <v>599</v>
      </c>
      <c r="E10" s="567" t="s">
        <v>597</v>
      </c>
      <c r="F10" s="479"/>
      <c r="G10" s="479"/>
      <c r="H10" s="479"/>
      <c r="I10" s="479" t="s">
        <v>601</v>
      </c>
      <c r="J10" s="479"/>
      <c r="K10" s="479"/>
      <c r="L10" s="479"/>
      <c r="M10" s="479"/>
      <c r="N10" s="479"/>
      <c r="O10" s="478">
        <v>1</v>
      </c>
      <c r="P10" s="470">
        <f>O10*('2-δικαιώμ'!M10+'3-φύλλα2α'!F10)</f>
        <v>62</v>
      </c>
      <c r="Q10" s="548" t="s">
        <v>154</v>
      </c>
      <c r="R10" s="548" t="s">
        <v>153</v>
      </c>
      <c r="S10" s="548"/>
      <c r="T10" s="548"/>
      <c r="U10" s="331"/>
    </row>
    <row r="11" spans="1:25" s="261" customFormat="1" ht="15.75" thickBot="1">
      <c r="A11" s="462" t="str">
        <f>'1-συμβολαια'!A11</f>
        <v>5ο</v>
      </c>
      <c r="B11" s="474" t="str">
        <f>'1-συμβολαια'!C11</f>
        <v>δωρεά</v>
      </c>
      <c r="C11" s="475"/>
      <c r="D11" s="476" t="s">
        <v>598</v>
      </c>
      <c r="E11" s="476" t="s">
        <v>599</v>
      </c>
      <c r="F11" s="476"/>
      <c r="G11" s="476"/>
      <c r="H11" s="476"/>
      <c r="I11" s="476" t="s">
        <v>597</v>
      </c>
      <c r="J11" s="476"/>
      <c r="K11" s="476"/>
      <c r="L11" s="476"/>
      <c r="M11" s="476"/>
      <c r="N11" s="476"/>
      <c r="O11" s="475">
        <v>1</v>
      </c>
      <c r="P11" s="466">
        <f>O11*('2-δικαιώμ'!M11+'3-φύλλα2α'!F11)</f>
        <v>50</v>
      </c>
      <c r="Q11" s="549" t="s">
        <v>154</v>
      </c>
      <c r="R11" s="549" t="s">
        <v>153</v>
      </c>
      <c r="S11" s="549"/>
      <c r="T11" s="394"/>
      <c r="U11" s="331"/>
    </row>
    <row r="12" spans="1:25" s="261" customFormat="1" ht="15">
      <c r="A12" s="471" t="str">
        <f>'1-συμβολαια'!A12</f>
        <v>6ο</v>
      </c>
      <c r="B12" s="392" t="str">
        <f>'1-συμβολαια'!C12</f>
        <v xml:space="preserve">γονική </v>
      </c>
      <c r="C12" s="393"/>
      <c r="D12" s="642" t="s">
        <v>598</v>
      </c>
      <c r="E12" s="314"/>
      <c r="F12" s="314"/>
      <c r="G12" s="314"/>
      <c r="H12" s="314"/>
      <c r="I12" s="314" t="s">
        <v>602</v>
      </c>
      <c r="J12" s="314"/>
      <c r="K12" s="314"/>
      <c r="L12" s="314"/>
      <c r="M12" s="314"/>
      <c r="N12" s="314"/>
      <c r="O12" s="393"/>
      <c r="P12" s="355">
        <f>O12*('2-δικαιώμ'!M12+'3-φύλλα2α'!F12)</f>
        <v>0</v>
      </c>
      <c r="Q12" s="394"/>
      <c r="R12" s="394"/>
      <c r="S12" s="394"/>
      <c r="T12" s="330"/>
      <c r="U12" s="331"/>
    </row>
    <row r="13" spans="1:25" s="261" customFormat="1" ht="15.75" thickBot="1">
      <c r="A13" s="473">
        <f>'1-συμβολαια'!A13</f>
        <v>0</v>
      </c>
      <c r="B13" s="477" t="str">
        <f>'1-συμβολαια'!C13</f>
        <v>δωρεά</v>
      </c>
      <c r="C13" s="478"/>
      <c r="D13" s="479" t="s">
        <v>599</v>
      </c>
      <c r="E13" s="479" t="s">
        <v>597</v>
      </c>
      <c r="F13" s="479"/>
      <c r="G13" s="479"/>
      <c r="H13" s="479"/>
      <c r="I13" s="479" t="s">
        <v>602</v>
      </c>
      <c r="J13" s="479"/>
      <c r="K13" s="479"/>
      <c r="L13" s="479"/>
      <c r="M13" s="479"/>
      <c r="N13" s="479"/>
      <c r="O13" s="478">
        <v>1</v>
      </c>
      <c r="P13" s="470">
        <f>O13*('2-δικαιώμ'!M13+'3-φύλλα2α'!F13)</f>
        <v>62</v>
      </c>
      <c r="Q13" s="548" t="s">
        <v>154</v>
      </c>
      <c r="R13" s="548" t="s">
        <v>153</v>
      </c>
      <c r="S13" s="548"/>
      <c r="T13" s="548"/>
      <c r="U13" s="331"/>
    </row>
    <row r="14" spans="1:25" ht="15.75">
      <c r="A14" s="713" t="s">
        <v>47</v>
      </c>
      <c r="B14" s="714"/>
      <c r="C14" s="714"/>
      <c r="D14" s="714"/>
      <c r="E14" s="714"/>
      <c r="F14" s="714"/>
      <c r="G14" s="714"/>
      <c r="H14" s="714"/>
      <c r="I14" s="714"/>
      <c r="J14" s="714"/>
      <c r="K14" s="714"/>
      <c r="L14" s="714"/>
      <c r="M14" s="714"/>
      <c r="N14" s="714"/>
      <c r="O14" s="714"/>
      <c r="P14" s="426">
        <f>SUM(P3:P13)</f>
        <v>420</v>
      </c>
    </row>
    <row r="16" spans="1:25" ht="15.75">
      <c r="Q16" s="153" t="s">
        <v>150</v>
      </c>
      <c r="R16" s="123"/>
      <c r="S16" s="123"/>
      <c r="T16" s="123"/>
      <c r="U16" s="123"/>
      <c r="V16" s="123"/>
      <c r="W16" s="123"/>
      <c r="X16" s="123"/>
      <c r="Y16" s="113"/>
    </row>
    <row r="17" spans="2:24" ht="15.75">
      <c r="R17" s="136" t="s">
        <v>151</v>
      </c>
      <c r="S17" s="136"/>
      <c r="T17" s="136"/>
      <c r="U17" s="136"/>
      <c r="V17" s="136"/>
      <c r="W17" s="136"/>
      <c r="X17" s="136"/>
    </row>
    <row r="18" spans="2:24" ht="15.75">
      <c r="S18" s="153" t="s">
        <v>152</v>
      </c>
    </row>
    <row r="21" spans="2:24">
      <c r="B21" s="220"/>
    </row>
    <row r="22" spans="2:24">
      <c r="B22" s="219"/>
    </row>
  </sheetData>
  <mergeCells count="8">
    <mergeCell ref="Q1:U2"/>
    <mergeCell ref="A14:O1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62"/>
  <sheetViews>
    <sheetView workbookViewId="0">
      <pane ySplit="2" topLeftCell="A17" activePane="bottomLeft" state="frozen"/>
      <selection pane="bottomLeft" activeCell="B24" sqref="B24:B64"/>
    </sheetView>
  </sheetViews>
  <sheetFormatPr defaultRowHeight="11.25"/>
  <cols>
    <col min="1" max="1" width="10.28515625" style="8" customWidth="1"/>
    <col min="2" max="2" width="50.7109375" style="91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9.28515625" style="2" customWidth="1"/>
    <col min="9" max="9" width="10.140625" style="2" customWidth="1"/>
    <col min="10" max="11" width="7.28515625" style="2" customWidth="1"/>
    <col min="12" max="12" width="6.85546875" style="2" customWidth="1"/>
    <col min="13" max="13" width="8.28515625" style="2" customWidth="1"/>
    <col min="14" max="14" width="10.5703125" style="2" customWidth="1"/>
    <col min="15" max="15" width="7.85546875" style="2" customWidth="1"/>
    <col min="16" max="16" width="10.28515625" style="2" customWidth="1"/>
    <col min="17" max="17" width="13.28515625" style="2" customWidth="1"/>
    <col min="18" max="18" width="9.5703125" style="341" customWidth="1"/>
    <col min="19" max="19" width="7.28515625" style="341" customWidth="1"/>
    <col min="20" max="20" width="8.7109375" style="341" customWidth="1"/>
    <col min="21" max="21" width="7.28515625" style="341" customWidth="1"/>
    <col min="22" max="22" width="8.42578125" style="341" customWidth="1"/>
    <col min="23" max="23" width="7.140625" style="341" customWidth="1"/>
    <col min="24" max="24" width="6.28515625" style="341" customWidth="1"/>
    <col min="25" max="25" width="5.85546875" style="341" customWidth="1"/>
    <col min="26" max="26" width="6.42578125" style="341" customWidth="1"/>
    <col min="27" max="27" width="6.7109375" style="341" customWidth="1"/>
    <col min="28" max="28" width="6.42578125" style="341" customWidth="1"/>
    <col min="29" max="29" width="6.28515625" style="341" customWidth="1"/>
    <col min="30" max="30" width="9" style="341" customWidth="1"/>
    <col min="31" max="31" width="9.140625" style="341" customWidth="1"/>
    <col min="32" max="32" width="8" style="341" customWidth="1"/>
    <col min="33" max="33" width="6.28515625" style="341" customWidth="1"/>
    <col min="34" max="34" width="7.5703125" style="341" customWidth="1"/>
    <col min="35" max="38" width="6.28515625" style="341" customWidth="1"/>
    <col min="39" max="39" width="7.5703125" style="341" customWidth="1"/>
    <col min="40" max="40" width="11.7109375" style="341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53" t="s">
        <v>1</v>
      </c>
      <c r="B1" s="723" t="s">
        <v>0</v>
      </c>
      <c r="C1" s="659" t="s">
        <v>7</v>
      </c>
      <c r="D1" s="725" t="s">
        <v>3</v>
      </c>
      <c r="E1" s="726"/>
      <c r="F1" s="727" t="s">
        <v>482</v>
      </c>
      <c r="G1" s="728"/>
      <c r="H1" s="728"/>
      <c r="I1" s="728"/>
      <c r="J1" s="728"/>
      <c r="K1" s="728"/>
      <c r="L1" s="729"/>
      <c r="M1" s="730" t="s">
        <v>402</v>
      </c>
      <c r="N1" s="731"/>
      <c r="O1" s="732" t="s">
        <v>266</v>
      </c>
      <c r="P1" s="733"/>
      <c r="Q1" s="734" t="s">
        <v>401</v>
      </c>
      <c r="R1" s="722" t="s">
        <v>179</v>
      </c>
      <c r="S1" s="722"/>
      <c r="T1" s="722"/>
      <c r="U1" s="722"/>
      <c r="V1" s="722"/>
      <c r="W1" s="722"/>
      <c r="X1" s="722"/>
      <c r="Y1" s="722"/>
      <c r="Z1" s="722"/>
      <c r="AA1" s="722"/>
      <c r="AB1" s="722"/>
      <c r="AC1" s="722"/>
      <c r="AD1" s="722"/>
      <c r="AE1" s="722"/>
      <c r="AF1" s="722"/>
      <c r="AG1" s="722"/>
      <c r="AH1" s="722"/>
      <c r="AI1" s="722"/>
      <c r="AJ1" s="722"/>
      <c r="AK1" s="722"/>
      <c r="AL1" s="722"/>
      <c r="AM1" s="722"/>
      <c r="AN1" s="722"/>
      <c r="AO1" s="722"/>
    </row>
    <row r="2" spans="1:41" ht="23.25" thickBot="1">
      <c r="A2" s="654"/>
      <c r="B2" s="724"/>
      <c r="C2" s="660"/>
      <c r="D2" s="158" t="s">
        <v>4</v>
      </c>
      <c r="E2" s="144" t="s">
        <v>9</v>
      </c>
      <c r="F2" s="223" t="s">
        <v>4</v>
      </c>
      <c r="G2" s="159" t="s">
        <v>9</v>
      </c>
      <c r="H2" s="142" t="s">
        <v>47</v>
      </c>
      <c r="I2" s="222" t="s">
        <v>9</v>
      </c>
      <c r="J2" s="204" t="s">
        <v>364</v>
      </c>
      <c r="K2" s="204" t="s">
        <v>381</v>
      </c>
      <c r="L2" s="206" t="s">
        <v>366</v>
      </c>
      <c r="M2" s="222" t="s">
        <v>23</v>
      </c>
      <c r="N2" s="224" t="s">
        <v>88</v>
      </c>
      <c r="O2" s="222" t="s">
        <v>23</v>
      </c>
      <c r="P2" s="218" t="s">
        <v>9</v>
      </c>
      <c r="Q2" s="735"/>
      <c r="R2" s="335" t="s">
        <v>131</v>
      </c>
      <c r="S2" s="335" t="s">
        <v>177</v>
      </c>
      <c r="T2" s="335" t="s">
        <v>132</v>
      </c>
      <c r="U2" s="335" t="s">
        <v>268</v>
      </c>
      <c r="V2" s="335" t="s">
        <v>133</v>
      </c>
      <c r="W2" s="335" t="s">
        <v>269</v>
      </c>
      <c r="X2" s="335" t="s">
        <v>155</v>
      </c>
      <c r="Y2" s="335" t="s">
        <v>178</v>
      </c>
      <c r="Z2" s="335" t="s">
        <v>156</v>
      </c>
      <c r="AA2" s="335" t="s">
        <v>270</v>
      </c>
      <c r="AB2" s="335" t="s">
        <v>157</v>
      </c>
      <c r="AC2" s="335" t="s">
        <v>271</v>
      </c>
      <c r="AD2" s="335" t="s">
        <v>158</v>
      </c>
      <c r="AE2" s="335" t="s">
        <v>284</v>
      </c>
      <c r="AF2" s="335" t="s">
        <v>285</v>
      </c>
      <c r="AG2" s="336" t="s">
        <v>286</v>
      </c>
      <c r="AH2" s="336" t="s">
        <v>287</v>
      </c>
      <c r="AI2" s="336" t="s">
        <v>288</v>
      </c>
      <c r="AJ2" s="335" t="s">
        <v>446</v>
      </c>
      <c r="AK2" s="335" t="s">
        <v>447</v>
      </c>
      <c r="AL2" s="335"/>
      <c r="AM2" s="337" t="s">
        <v>92</v>
      </c>
      <c r="AN2" s="338" t="s">
        <v>47</v>
      </c>
      <c r="AO2" s="241" t="s">
        <v>29</v>
      </c>
    </row>
    <row r="3" spans="1:41" s="5" customFormat="1" ht="12" thickBot="1">
      <c r="A3" s="481" t="str">
        <f>'1-συμβολαια'!A3</f>
        <v>1ο</v>
      </c>
      <c r="B3" s="482" t="str">
        <f>'1-συμβολαια'!C3</f>
        <v>πληρεξούσιο</v>
      </c>
      <c r="C3" s="441">
        <f>'1-συμβολαια'!D3</f>
        <v>0</v>
      </c>
      <c r="D3" s="483">
        <f>'3-φύλλα2α'!D3</f>
        <v>4</v>
      </c>
      <c r="E3" s="483">
        <f>'3-φύλλα2α'!E3</f>
        <v>4</v>
      </c>
      <c r="F3" s="484">
        <v>1</v>
      </c>
      <c r="G3" s="484">
        <v>1</v>
      </c>
      <c r="H3" s="442">
        <f t="shared" ref="H3:I10" si="0">F3*D3*5</f>
        <v>20</v>
      </c>
      <c r="I3" s="442">
        <f t="shared" si="0"/>
        <v>20</v>
      </c>
      <c r="J3" s="485">
        <f t="shared" ref="J3" si="1">H3*5%</f>
        <v>1</v>
      </c>
      <c r="K3" s="485">
        <f t="shared" ref="K3" si="2">H3*5%</f>
        <v>1</v>
      </c>
      <c r="L3" s="485">
        <f t="shared" ref="L3" si="3">H3*1%</f>
        <v>0.2</v>
      </c>
      <c r="M3" s="485">
        <f t="shared" ref="M3" si="4">H3-O3</f>
        <v>17.8</v>
      </c>
      <c r="N3" s="485">
        <f t="shared" ref="N3" si="5">I3-P3</f>
        <v>17.8</v>
      </c>
      <c r="O3" s="485">
        <f t="shared" ref="O3" si="6">J3+K3+L3</f>
        <v>2.2000000000000002</v>
      </c>
      <c r="P3" s="485">
        <f t="shared" ref="P3" si="7">I3*11%</f>
        <v>2.2000000000000002</v>
      </c>
      <c r="Q3" s="442">
        <f t="shared" ref="Q3" si="8">O3-P3</f>
        <v>0</v>
      </c>
      <c r="R3" s="414"/>
      <c r="S3" s="414"/>
      <c r="T3" s="414"/>
      <c r="U3" s="414"/>
      <c r="V3" s="414"/>
      <c r="W3" s="414"/>
      <c r="X3" s="414"/>
      <c r="Y3" s="414"/>
      <c r="Z3" s="414"/>
      <c r="AA3" s="414"/>
      <c r="AB3" s="414"/>
      <c r="AC3" s="414"/>
      <c r="AD3" s="414"/>
      <c r="AE3" s="414"/>
      <c r="AF3" s="414"/>
      <c r="AG3" s="414"/>
      <c r="AH3" s="550"/>
      <c r="AI3" s="550"/>
      <c r="AJ3" s="414"/>
      <c r="AK3" s="414"/>
      <c r="AL3" s="414"/>
      <c r="AM3" s="414">
        <f t="shared" ref="AM3" si="9">U3+Y3+AA3+AI3+AK3</f>
        <v>0</v>
      </c>
      <c r="AN3" s="414">
        <f t="shared" ref="AN3" si="10">R3+S3+T3+V3+W3+X3+Z3+AB3+AC3+AD3+AE3+AF3+AG3+AH3+AJ3+AL3</f>
        <v>0</v>
      </c>
      <c r="AO3" s="399"/>
    </row>
    <row r="4" spans="1:41" s="5" customFormat="1">
      <c r="A4" s="486" t="str">
        <f>'1-συμβολαια'!A4</f>
        <v>2ο</v>
      </c>
      <c r="B4" s="356" t="str">
        <f>'1-συμβολαια'!C4</f>
        <v>κληρονομιάς ΑΠΟΔΟΧΗ</v>
      </c>
      <c r="C4" s="315">
        <f>'1-συμβολαια'!D4</f>
        <v>0</v>
      </c>
      <c r="D4" s="396">
        <f>'3-φύλλα2α'!D4</f>
        <v>6</v>
      </c>
      <c r="E4" s="396">
        <f>'3-φύλλα2α'!E4</f>
        <v>6</v>
      </c>
      <c r="F4" s="397">
        <v>3</v>
      </c>
      <c r="G4" s="480">
        <v>2</v>
      </c>
      <c r="H4" s="310">
        <f t="shared" ref="H4:H5" si="11">F4*D4*5</f>
        <v>90</v>
      </c>
      <c r="I4" s="431">
        <f t="shared" si="0"/>
        <v>60</v>
      </c>
      <c r="J4" s="398">
        <f t="shared" ref="J4:J5" si="12">H4*5%</f>
        <v>4.5</v>
      </c>
      <c r="K4" s="398">
        <f t="shared" ref="K4:K5" si="13">H4*5%</f>
        <v>4.5</v>
      </c>
      <c r="L4" s="398">
        <f t="shared" ref="L4:L5" si="14">H4*1%</f>
        <v>0.9</v>
      </c>
      <c r="M4" s="398">
        <f t="shared" ref="M4:M5" si="15">H4-O4</f>
        <v>80.099999999999994</v>
      </c>
      <c r="N4" s="398">
        <f t="shared" ref="N4:N5" si="16">I4-P4</f>
        <v>53.4</v>
      </c>
      <c r="O4" s="398">
        <f t="shared" ref="O4:O5" si="17">J4+K4+L4</f>
        <v>9.9</v>
      </c>
      <c r="P4" s="398">
        <f t="shared" ref="P4:P5" si="18">I4*11%</f>
        <v>6.6</v>
      </c>
      <c r="Q4" s="398">
        <f t="shared" ref="Q4:Q5" si="19">O4-P4</f>
        <v>3.3000000000000007</v>
      </c>
      <c r="R4" s="422">
        <v>20</v>
      </c>
      <c r="S4" s="422">
        <v>5</v>
      </c>
      <c r="T4" s="422">
        <v>30</v>
      </c>
      <c r="U4" s="422">
        <v>3</v>
      </c>
      <c r="V4" s="422"/>
      <c r="W4" s="422"/>
      <c r="X4" s="422"/>
      <c r="Y4" s="422"/>
      <c r="Z4" s="422"/>
      <c r="AA4" s="422"/>
      <c r="AB4" s="422"/>
      <c r="AC4" s="422"/>
      <c r="AD4" s="422"/>
      <c r="AE4" s="422"/>
      <c r="AF4" s="422"/>
      <c r="AG4" s="414"/>
      <c r="AH4" s="550"/>
      <c r="AI4" s="550"/>
      <c r="AJ4" s="414"/>
      <c r="AK4" s="414"/>
      <c r="AL4" s="414"/>
      <c r="AM4" s="414">
        <f t="shared" ref="AM4:AM5" si="20">U4+Y4+AA4+AI4+AK4</f>
        <v>3</v>
      </c>
      <c r="AN4" s="414">
        <f t="shared" ref="AN4:AN5" si="21">R4+S4+T4+V4+W4+X4+Z4+AB4+AC4+AD4+AE4+AF4+AG4+AH4+AJ4+AL4</f>
        <v>55</v>
      </c>
      <c r="AO4" s="260"/>
    </row>
    <row r="5" spans="1:41" s="5" customFormat="1">
      <c r="A5" s="487">
        <f>'1-συμβολαια'!A5</f>
        <v>0</v>
      </c>
      <c r="B5" s="313" t="str">
        <f>'1-συμβολαια'!C5</f>
        <v>χρησικτησία αγροτεμαχίων 1,2,3  = 19?? ΑΝΑΔΑΣΜΟΣ</v>
      </c>
      <c r="C5" s="315">
        <f>'1-συμβολαια'!D5</f>
        <v>2100.9416999999999</v>
      </c>
      <c r="D5" s="332">
        <f>'3-φύλλα2α'!D5</f>
        <v>6</v>
      </c>
      <c r="E5" s="332">
        <f>'3-φύλλα2α'!E5</f>
        <v>0</v>
      </c>
      <c r="F5" s="367"/>
      <c r="G5" s="367"/>
      <c r="H5" s="309">
        <f t="shared" si="11"/>
        <v>0</v>
      </c>
      <c r="I5" s="310">
        <f t="shared" si="0"/>
        <v>0</v>
      </c>
      <c r="J5" s="333">
        <f t="shared" si="12"/>
        <v>0</v>
      </c>
      <c r="K5" s="333">
        <f t="shared" si="13"/>
        <v>0</v>
      </c>
      <c r="L5" s="333">
        <f t="shared" si="14"/>
        <v>0</v>
      </c>
      <c r="M5" s="333">
        <f t="shared" si="15"/>
        <v>0</v>
      </c>
      <c r="N5" s="333">
        <f t="shared" si="16"/>
        <v>0</v>
      </c>
      <c r="O5" s="333">
        <f t="shared" si="17"/>
        <v>0</v>
      </c>
      <c r="P5" s="333">
        <f t="shared" si="18"/>
        <v>0</v>
      </c>
      <c r="Q5" s="333">
        <f t="shared" si="19"/>
        <v>0</v>
      </c>
      <c r="R5" s="422"/>
      <c r="S5" s="422"/>
      <c r="T5" s="422"/>
      <c r="U5" s="422"/>
      <c r="V5" s="422"/>
      <c r="W5" s="422"/>
      <c r="X5" s="422"/>
      <c r="Y5" s="422"/>
      <c r="Z5" s="422"/>
      <c r="AA5" s="422"/>
      <c r="AB5" s="422"/>
      <c r="AC5" s="422"/>
      <c r="AD5" s="422"/>
      <c r="AE5" s="422"/>
      <c r="AF5" s="422"/>
      <c r="AG5" s="414"/>
      <c r="AH5" s="550"/>
      <c r="AI5" s="550"/>
      <c r="AJ5" s="414"/>
      <c r="AK5" s="414"/>
      <c r="AL5" s="414"/>
      <c r="AM5" s="414">
        <f t="shared" si="20"/>
        <v>0</v>
      </c>
      <c r="AN5" s="414">
        <f t="shared" si="21"/>
        <v>0</v>
      </c>
      <c r="AO5" s="260"/>
    </row>
    <row r="6" spans="1:41" s="5" customFormat="1" ht="12" thickBot="1">
      <c r="A6" s="488">
        <f>'1-συμβολαια'!A6</f>
        <v>0</v>
      </c>
      <c r="B6" s="489" t="str">
        <f>'1-συμβολαια'!C6</f>
        <v>χρησικτησία αγροτεμαχίων 4,5,6,7,8,9 = 1955 πατρός ΔΩΡΕΑ άτυπος</v>
      </c>
      <c r="C6" s="448">
        <f>'1-συμβολαια'!D6</f>
        <v>7850.0433000000012</v>
      </c>
      <c r="D6" s="490">
        <f>'3-φύλλα2α'!D6</f>
        <v>6</v>
      </c>
      <c r="E6" s="490">
        <f>'3-φύλλα2α'!E6</f>
        <v>0</v>
      </c>
      <c r="F6" s="491"/>
      <c r="G6" s="491"/>
      <c r="H6" s="449">
        <f t="shared" ref="H6:H10" si="22">F6*D6*5</f>
        <v>0</v>
      </c>
      <c r="I6" s="449">
        <f t="shared" si="0"/>
        <v>0</v>
      </c>
      <c r="J6" s="492">
        <f t="shared" ref="J6:J10" si="23">H6*5%</f>
        <v>0</v>
      </c>
      <c r="K6" s="492">
        <f t="shared" ref="K6:K10" si="24">H6*5%</f>
        <v>0</v>
      </c>
      <c r="L6" s="492">
        <f t="shared" ref="L6:L10" si="25">H6*1%</f>
        <v>0</v>
      </c>
      <c r="M6" s="492">
        <f t="shared" ref="M6:M10" si="26">H6-O6</f>
        <v>0</v>
      </c>
      <c r="N6" s="492">
        <f t="shared" ref="N6:N10" si="27">I6-P6</f>
        <v>0</v>
      </c>
      <c r="O6" s="492">
        <f t="shared" ref="O6:O10" si="28">J6+K6+L6</f>
        <v>0</v>
      </c>
      <c r="P6" s="492">
        <f t="shared" ref="P6:P10" si="29">I6*11%</f>
        <v>0</v>
      </c>
      <c r="Q6" s="449">
        <f t="shared" ref="Q6:Q10" si="30">O6-P6</f>
        <v>0</v>
      </c>
      <c r="R6" s="422"/>
      <c r="S6" s="422"/>
      <c r="T6" s="422"/>
      <c r="U6" s="422"/>
      <c r="V6" s="422">
        <v>30</v>
      </c>
      <c r="W6" s="422">
        <v>5</v>
      </c>
      <c r="X6" s="422"/>
      <c r="Y6" s="422"/>
      <c r="Z6" s="422"/>
      <c r="AA6" s="422"/>
      <c r="AB6" s="422"/>
      <c r="AC6" s="422"/>
      <c r="AD6" s="422"/>
      <c r="AE6" s="422"/>
      <c r="AF6" s="422"/>
      <c r="AG6" s="414"/>
      <c r="AH6" s="550"/>
      <c r="AI6" s="550"/>
      <c r="AJ6" s="414"/>
      <c r="AK6" s="414"/>
      <c r="AL6" s="414"/>
      <c r="AM6" s="414">
        <f t="shared" ref="AM6:AM10" si="31">U6+Y6+AA6+AI6+AK6</f>
        <v>0</v>
      </c>
      <c r="AN6" s="414">
        <f t="shared" ref="AN6:AN10" si="32">R6+S6+T6+V6+W6+X6+Z6+AB6+AC6+AD6+AE6+AF6+AG6+AH6+AJ6+AL6</f>
        <v>35</v>
      </c>
      <c r="AO6" s="260"/>
    </row>
    <row r="7" spans="1:41" s="5" customFormat="1">
      <c r="A7" s="517" t="str">
        <f>'1-συμβολαια'!A7</f>
        <v>3ο</v>
      </c>
      <c r="B7" s="356" t="str">
        <f>'1-συμβολαια'!C7</f>
        <v xml:space="preserve">γονική </v>
      </c>
      <c r="C7" s="315">
        <f>'1-συμβολαια'!D7</f>
        <v>5223.96</v>
      </c>
      <c r="D7" s="396">
        <f>'3-φύλλα2α'!D7</f>
        <v>9</v>
      </c>
      <c r="E7" s="396">
        <f>'3-φύλλα2α'!E7</f>
        <v>9</v>
      </c>
      <c r="F7" s="397">
        <v>4</v>
      </c>
      <c r="G7" s="480">
        <v>1</v>
      </c>
      <c r="H7" s="310">
        <f t="shared" si="22"/>
        <v>180</v>
      </c>
      <c r="I7" s="431">
        <f t="shared" si="0"/>
        <v>45</v>
      </c>
      <c r="J7" s="398">
        <f t="shared" si="23"/>
        <v>9</v>
      </c>
      <c r="K7" s="398">
        <f t="shared" si="24"/>
        <v>9</v>
      </c>
      <c r="L7" s="398">
        <f t="shared" si="25"/>
        <v>1.8</v>
      </c>
      <c r="M7" s="398">
        <f t="shared" si="26"/>
        <v>160.19999999999999</v>
      </c>
      <c r="N7" s="398">
        <f t="shared" si="27"/>
        <v>40.049999999999997</v>
      </c>
      <c r="O7" s="398">
        <f t="shared" si="28"/>
        <v>19.8</v>
      </c>
      <c r="P7" s="398">
        <f t="shared" si="29"/>
        <v>4.95</v>
      </c>
      <c r="Q7" s="398">
        <f t="shared" si="30"/>
        <v>14.850000000000001</v>
      </c>
      <c r="R7" s="422">
        <f>20+30</f>
        <v>50</v>
      </c>
      <c r="S7" s="422">
        <v>10</v>
      </c>
      <c r="T7" s="422">
        <v>45</v>
      </c>
      <c r="U7" s="422">
        <v>3</v>
      </c>
      <c r="V7" s="422">
        <v>45</v>
      </c>
      <c r="W7" s="422">
        <v>5</v>
      </c>
      <c r="X7" s="422"/>
      <c r="Y7" s="422"/>
      <c r="Z7" s="422"/>
      <c r="AA7" s="422"/>
      <c r="AB7" s="422"/>
      <c r="AC7" s="422"/>
      <c r="AD7" s="422">
        <v>5</v>
      </c>
      <c r="AE7" s="422">
        <v>30</v>
      </c>
      <c r="AF7" s="422">
        <v>15</v>
      </c>
      <c r="AG7" s="414"/>
      <c r="AH7" s="550"/>
      <c r="AI7" s="550"/>
      <c r="AJ7" s="414"/>
      <c r="AK7" s="414"/>
      <c r="AL7" s="414"/>
      <c r="AM7" s="414">
        <f t="shared" si="31"/>
        <v>3</v>
      </c>
      <c r="AN7" s="414">
        <f t="shared" si="32"/>
        <v>205</v>
      </c>
      <c r="AO7" s="260"/>
    </row>
    <row r="8" spans="1:41" s="5" customFormat="1" ht="12" thickBot="1">
      <c r="A8" s="518">
        <f>'1-συμβολαια'!A8</f>
        <v>0</v>
      </c>
      <c r="B8" s="489" t="str">
        <f>'1-συμβολαια'!C8</f>
        <v>δωρεά</v>
      </c>
      <c r="C8" s="448">
        <f>'1-συμβολαια'!D8</f>
        <v>10447.92</v>
      </c>
      <c r="D8" s="490">
        <f>'3-φύλλα2α'!D8</f>
        <v>9</v>
      </c>
      <c r="E8" s="490">
        <f>'3-φύλλα2α'!E8</f>
        <v>0</v>
      </c>
      <c r="F8" s="491"/>
      <c r="G8" s="491"/>
      <c r="H8" s="449">
        <f t="shared" si="22"/>
        <v>0</v>
      </c>
      <c r="I8" s="449">
        <f t="shared" si="0"/>
        <v>0</v>
      </c>
      <c r="J8" s="492">
        <f t="shared" si="23"/>
        <v>0</v>
      </c>
      <c r="K8" s="492">
        <f t="shared" si="24"/>
        <v>0</v>
      </c>
      <c r="L8" s="492">
        <f t="shared" si="25"/>
        <v>0</v>
      </c>
      <c r="M8" s="492">
        <f t="shared" si="26"/>
        <v>0</v>
      </c>
      <c r="N8" s="492">
        <f t="shared" si="27"/>
        <v>0</v>
      </c>
      <c r="O8" s="492">
        <f t="shared" si="28"/>
        <v>0</v>
      </c>
      <c r="P8" s="492">
        <f t="shared" si="29"/>
        <v>0</v>
      </c>
      <c r="Q8" s="449">
        <f t="shared" si="30"/>
        <v>0</v>
      </c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2"/>
      <c r="AC8" s="422"/>
      <c r="AD8" s="422"/>
      <c r="AE8" s="422">
        <v>30</v>
      </c>
      <c r="AF8" s="422">
        <v>15</v>
      </c>
      <c r="AG8" s="414"/>
      <c r="AH8" s="550"/>
      <c r="AI8" s="550"/>
      <c r="AJ8" s="414"/>
      <c r="AK8" s="414"/>
      <c r="AL8" s="414"/>
      <c r="AM8" s="414">
        <f t="shared" si="31"/>
        <v>0</v>
      </c>
      <c r="AN8" s="414">
        <f t="shared" si="32"/>
        <v>45</v>
      </c>
      <c r="AO8" s="260"/>
    </row>
    <row r="9" spans="1:41" s="5" customFormat="1">
      <c r="A9" s="486" t="str">
        <f>'1-συμβολαια'!A9</f>
        <v>4ο</v>
      </c>
      <c r="B9" s="356" t="str">
        <f>'1-συμβολαια'!C9</f>
        <v xml:space="preserve">γονική </v>
      </c>
      <c r="C9" s="315">
        <f>'1-συμβολαια'!D9</f>
        <v>927.67</v>
      </c>
      <c r="D9" s="396">
        <f>'3-φύλλα2α'!D9</f>
        <v>8</v>
      </c>
      <c r="E9" s="396">
        <f>'3-φύλλα2α'!E9</f>
        <v>8</v>
      </c>
      <c r="F9" s="397">
        <v>4</v>
      </c>
      <c r="G9" s="480">
        <v>1</v>
      </c>
      <c r="H9" s="310">
        <f t="shared" si="22"/>
        <v>160</v>
      </c>
      <c r="I9" s="431">
        <f t="shared" si="0"/>
        <v>40</v>
      </c>
      <c r="J9" s="398">
        <f t="shared" si="23"/>
        <v>8</v>
      </c>
      <c r="K9" s="398">
        <f t="shared" si="24"/>
        <v>8</v>
      </c>
      <c r="L9" s="398">
        <f t="shared" si="25"/>
        <v>1.6</v>
      </c>
      <c r="M9" s="398">
        <f t="shared" si="26"/>
        <v>142.4</v>
      </c>
      <c r="N9" s="398">
        <f t="shared" si="27"/>
        <v>35.6</v>
      </c>
      <c r="O9" s="398">
        <f t="shared" si="28"/>
        <v>17.600000000000001</v>
      </c>
      <c r="P9" s="398">
        <f t="shared" si="29"/>
        <v>4.4000000000000004</v>
      </c>
      <c r="Q9" s="398">
        <f t="shared" si="30"/>
        <v>13.200000000000001</v>
      </c>
      <c r="R9" s="422">
        <f>20+30</f>
        <v>50</v>
      </c>
      <c r="S9" s="422">
        <v>10</v>
      </c>
      <c r="T9" s="422">
        <v>40</v>
      </c>
      <c r="U9" s="422">
        <v>3</v>
      </c>
      <c r="V9" s="422">
        <v>40</v>
      </c>
      <c r="W9" s="422">
        <v>5</v>
      </c>
      <c r="X9" s="422"/>
      <c r="Y9" s="422"/>
      <c r="Z9" s="422"/>
      <c r="AA9" s="422"/>
      <c r="AB9" s="422"/>
      <c r="AC9" s="422"/>
      <c r="AD9" s="422">
        <v>5</v>
      </c>
      <c r="AE9" s="422">
        <v>20</v>
      </c>
      <c r="AF9" s="422">
        <v>10</v>
      </c>
      <c r="AG9" s="414"/>
      <c r="AH9" s="550"/>
      <c r="AI9" s="550"/>
      <c r="AJ9" s="414"/>
      <c r="AK9" s="414"/>
      <c r="AL9" s="414"/>
      <c r="AM9" s="414">
        <f t="shared" si="31"/>
        <v>3</v>
      </c>
      <c r="AN9" s="414">
        <f t="shared" si="32"/>
        <v>180</v>
      </c>
      <c r="AO9" s="260"/>
    </row>
    <row r="10" spans="1:41" s="5" customFormat="1" ht="12" thickBot="1">
      <c r="A10" s="488">
        <f>'1-συμβολαια'!A10</f>
        <v>0</v>
      </c>
      <c r="B10" s="489" t="str">
        <f>'1-συμβολαια'!C10</f>
        <v>δωρεά</v>
      </c>
      <c r="C10" s="448">
        <f>'1-συμβολαια'!D10</f>
        <v>1855.34</v>
      </c>
      <c r="D10" s="490">
        <f>'3-φύλλα2α'!D10</f>
        <v>8</v>
      </c>
      <c r="E10" s="490">
        <f>'3-φύλλα2α'!E10</f>
        <v>0</v>
      </c>
      <c r="F10" s="491"/>
      <c r="G10" s="491"/>
      <c r="H10" s="449">
        <f t="shared" si="22"/>
        <v>0</v>
      </c>
      <c r="I10" s="449">
        <f t="shared" si="0"/>
        <v>0</v>
      </c>
      <c r="J10" s="492">
        <f t="shared" si="23"/>
        <v>0</v>
      </c>
      <c r="K10" s="492">
        <f t="shared" si="24"/>
        <v>0</v>
      </c>
      <c r="L10" s="492">
        <f t="shared" si="25"/>
        <v>0</v>
      </c>
      <c r="M10" s="492">
        <f t="shared" si="26"/>
        <v>0</v>
      </c>
      <c r="N10" s="492">
        <f t="shared" si="27"/>
        <v>0</v>
      </c>
      <c r="O10" s="492">
        <f t="shared" si="28"/>
        <v>0</v>
      </c>
      <c r="P10" s="492">
        <f t="shared" si="29"/>
        <v>0</v>
      </c>
      <c r="Q10" s="449">
        <f t="shared" si="30"/>
        <v>0</v>
      </c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2"/>
      <c r="AC10" s="422"/>
      <c r="AD10" s="422"/>
      <c r="AE10" s="422">
        <v>20</v>
      </c>
      <c r="AF10" s="422">
        <v>10</v>
      </c>
      <c r="AG10" s="414"/>
      <c r="AH10" s="550"/>
      <c r="AI10" s="550"/>
      <c r="AJ10" s="414"/>
      <c r="AK10" s="414"/>
      <c r="AL10" s="414"/>
      <c r="AM10" s="414">
        <f t="shared" si="31"/>
        <v>0</v>
      </c>
      <c r="AN10" s="414">
        <f t="shared" si="32"/>
        <v>30</v>
      </c>
      <c r="AO10" s="260"/>
    </row>
    <row r="11" spans="1:41" s="5" customFormat="1" ht="12" thickBot="1">
      <c r="A11" s="481" t="str">
        <f>'1-συμβολαια'!A11</f>
        <v>5ο</v>
      </c>
      <c r="B11" s="482" t="str">
        <f>'1-συμβολαια'!C11</f>
        <v>δωρεά</v>
      </c>
      <c r="C11" s="441">
        <f>'1-συμβολαια'!D11</f>
        <v>3632.94</v>
      </c>
      <c r="D11" s="483">
        <f>'3-φύλλα2α'!D11</f>
        <v>6</v>
      </c>
      <c r="E11" s="483">
        <f>'3-φύλλα2α'!E11</f>
        <v>6</v>
      </c>
      <c r="F11" s="484">
        <v>3</v>
      </c>
      <c r="G11" s="529">
        <v>1</v>
      </c>
      <c r="H11" s="442">
        <f t="shared" ref="H11:H13" si="33">F11*D11*5</f>
        <v>90</v>
      </c>
      <c r="I11" s="442">
        <f t="shared" ref="I11:I13" si="34">G11*E11*5</f>
        <v>30</v>
      </c>
      <c r="J11" s="485">
        <f t="shared" ref="J11:J13" si="35">H11*5%</f>
        <v>4.5</v>
      </c>
      <c r="K11" s="485">
        <f t="shared" ref="K11:K13" si="36">H11*5%</f>
        <v>4.5</v>
      </c>
      <c r="L11" s="485">
        <f t="shared" ref="L11:L13" si="37">H11*1%</f>
        <v>0.9</v>
      </c>
      <c r="M11" s="485">
        <f t="shared" ref="M11:M13" si="38">H11-O11</f>
        <v>80.099999999999994</v>
      </c>
      <c r="N11" s="485">
        <f t="shared" ref="N11:N13" si="39">I11-P11</f>
        <v>26.7</v>
      </c>
      <c r="O11" s="485">
        <f t="shared" ref="O11:O13" si="40">J11+K11+L11</f>
        <v>9.9</v>
      </c>
      <c r="P11" s="485">
        <f t="shared" ref="P11:P13" si="41">I11*11%</f>
        <v>3.3</v>
      </c>
      <c r="Q11" s="442">
        <f t="shared" ref="Q11:Q13" si="42">O11-P11</f>
        <v>6.6000000000000005</v>
      </c>
      <c r="R11" s="422">
        <f>20+30</f>
        <v>50</v>
      </c>
      <c r="S11" s="422">
        <v>10</v>
      </c>
      <c r="T11" s="422">
        <v>30</v>
      </c>
      <c r="U11" s="422">
        <v>3</v>
      </c>
      <c r="V11" s="422">
        <v>30</v>
      </c>
      <c r="W11" s="422">
        <v>5</v>
      </c>
      <c r="X11" s="422"/>
      <c r="Y11" s="422"/>
      <c r="Z11" s="422"/>
      <c r="AA11" s="422"/>
      <c r="AB11" s="422"/>
      <c r="AC11" s="422"/>
      <c r="AD11" s="422">
        <v>5</v>
      </c>
      <c r="AE11" s="422">
        <v>30</v>
      </c>
      <c r="AF11" s="422">
        <v>15</v>
      </c>
      <c r="AG11" s="414"/>
      <c r="AH11" s="550"/>
      <c r="AI11" s="550"/>
      <c r="AJ11" s="414"/>
      <c r="AK11" s="414"/>
      <c r="AL11" s="414"/>
      <c r="AM11" s="414">
        <f t="shared" ref="AM11:AM13" si="43">U11+Y11+AA11+AI11+AK11</f>
        <v>3</v>
      </c>
      <c r="AN11" s="414">
        <f t="shared" ref="AN11:AN13" si="44">R11+S11+T11+V11+W11+X11+Z11+AB11+AC11+AD11+AE11+AF11+AG11+AH11+AJ11+AL11</f>
        <v>175</v>
      </c>
      <c r="AO11" s="260"/>
    </row>
    <row r="12" spans="1:41" s="5" customFormat="1">
      <c r="A12" s="486" t="str">
        <f>'1-συμβολαια'!A12</f>
        <v>6ο</v>
      </c>
      <c r="B12" s="356" t="str">
        <f>'1-συμβολαια'!C12</f>
        <v xml:space="preserve">γονική </v>
      </c>
      <c r="C12" s="315">
        <f>'1-συμβολαια'!D12</f>
        <v>3600.35</v>
      </c>
      <c r="D12" s="396">
        <f>'3-φύλλα2α'!D12</f>
        <v>8</v>
      </c>
      <c r="E12" s="396">
        <f>'3-φύλλα2α'!E12</f>
        <v>8</v>
      </c>
      <c r="F12" s="397">
        <v>4</v>
      </c>
      <c r="G12" s="480">
        <v>1</v>
      </c>
      <c r="H12" s="310">
        <f t="shared" si="33"/>
        <v>160</v>
      </c>
      <c r="I12" s="431">
        <f t="shared" si="34"/>
        <v>40</v>
      </c>
      <c r="J12" s="398">
        <f t="shared" si="35"/>
        <v>8</v>
      </c>
      <c r="K12" s="398">
        <f t="shared" si="36"/>
        <v>8</v>
      </c>
      <c r="L12" s="398">
        <f t="shared" si="37"/>
        <v>1.6</v>
      </c>
      <c r="M12" s="398">
        <f t="shared" si="38"/>
        <v>142.4</v>
      </c>
      <c r="N12" s="398">
        <f t="shared" si="39"/>
        <v>35.6</v>
      </c>
      <c r="O12" s="398">
        <f t="shared" si="40"/>
        <v>17.600000000000001</v>
      </c>
      <c r="P12" s="398">
        <f t="shared" si="41"/>
        <v>4.4000000000000004</v>
      </c>
      <c r="Q12" s="398">
        <f t="shared" si="42"/>
        <v>13.200000000000001</v>
      </c>
      <c r="R12" s="422">
        <f>20+30</f>
        <v>50</v>
      </c>
      <c r="S12" s="422">
        <v>10</v>
      </c>
      <c r="T12" s="422">
        <v>40</v>
      </c>
      <c r="U12" s="422">
        <v>3</v>
      </c>
      <c r="V12" s="422">
        <v>40</v>
      </c>
      <c r="W12" s="422">
        <v>5</v>
      </c>
      <c r="X12" s="422"/>
      <c r="Y12" s="422"/>
      <c r="Z12" s="422"/>
      <c r="AA12" s="422"/>
      <c r="AB12" s="422"/>
      <c r="AC12" s="422"/>
      <c r="AD12" s="422">
        <v>5</v>
      </c>
      <c r="AE12" s="422">
        <v>10</v>
      </c>
      <c r="AF12" s="422">
        <v>5</v>
      </c>
      <c r="AG12" s="414"/>
      <c r="AH12" s="550"/>
      <c r="AI12" s="550"/>
      <c r="AJ12" s="414"/>
      <c r="AK12" s="414"/>
      <c r="AL12" s="414"/>
      <c r="AM12" s="414">
        <f t="shared" si="43"/>
        <v>3</v>
      </c>
      <c r="AN12" s="414">
        <f t="shared" si="44"/>
        <v>165</v>
      </c>
      <c r="AO12" s="260"/>
    </row>
    <row r="13" spans="1:41" s="5" customFormat="1" ht="12" thickBot="1">
      <c r="A13" s="488">
        <f>'1-συμβολαια'!A13</f>
        <v>0</v>
      </c>
      <c r="B13" s="489" t="str">
        <f>'1-συμβολαια'!C13</f>
        <v>δωρεά</v>
      </c>
      <c r="C13" s="448">
        <f>'1-συμβολαια'!D13</f>
        <v>7200.7</v>
      </c>
      <c r="D13" s="490">
        <f>'3-φύλλα2α'!D13</f>
        <v>8</v>
      </c>
      <c r="E13" s="490">
        <f>'3-φύλλα2α'!E13</f>
        <v>0</v>
      </c>
      <c r="F13" s="491"/>
      <c r="G13" s="491"/>
      <c r="H13" s="449">
        <f t="shared" si="33"/>
        <v>0</v>
      </c>
      <c r="I13" s="449">
        <f t="shared" si="34"/>
        <v>0</v>
      </c>
      <c r="J13" s="492">
        <f t="shared" si="35"/>
        <v>0</v>
      </c>
      <c r="K13" s="492">
        <f t="shared" si="36"/>
        <v>0</v>
      </c>
      <c r="L13" s="492">
        <f t="shared" si="37"/>
        <v>0</v>
      </c>
      <c r="M13" s="492">
        <f t="shared" si="38"/>
        <v>0</v>
      </c>
      <c r="N13" s="492">
        <f t="shared" si="39"/>
        <v>0</v>
      </c>
      <c r="O13" s="492">
        <f t="shared" si="40"/>
        <v>0</v>
      </c>
      <c r="P13" s="492">
        <f t="shared" si="41"/>
        <v>0</v>
      </c>
      <c r="Q13" s="449">
        <f t="shared" si="42"/>
        <v>0</v>
      </c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2"/>
      <c r="AC13" s="422"/>
      <c r="AD13" s="422"/>
      <c r="AE13" s="422">
        <v>10</v>
      </c>
      <c r="AF13" s="422">
        <v>5</v>
      </c>
      <c r="AG13" s="414"/>
      <c r="AH13" s="550"/>
      <c r="AI13" s="550"/>
      <c r="AJ13" s="414"/>
      <c r="AK13" s="414"/>
      <c r="AL13" s="414"/>
      <c r="AM13" s="414">
        <f t="shared" si="43"/>
        <v>0</v>
      </c>
      <c r="AN13" s="414">
        <f t="shared" si="44"/>
        <v>15</v>
      </c>
      <c r="AO13" s="260"/>
    </row>
    <row r="14" spans="1:41">
      <c r="A14" s="680" t="s">
        <v>47</v>
      </c>
      <c r="B14" s="681"/>
      <c r="C14" s="681"/>
      <c r="D14" s="681"/>
      <c r="E14" s="681"/>
      <c r="F14" s="681"/>
      <c r="G14" s="721"/>
      <c r="H14" s="38">
        <f t="shared" ref="H14:AF14" si="45">SUM(H3:H13)</f>
        <v>700</v>
      </c>
      <c r="I14" s="38">
        <f t="shared" si="45"/>
        <v>235</v>
      </c>
      <c r="J14" s="38">
        <f t="shared" si="45"/>
        <v>35</v>
      </c>
      <c r="K14" s="38">
        <f t="shared" si="45"/>
        <v>35</v>
      </c>
      <c r="L14" s="38">
        <f t="shared" si="45"/>
        <v>7</v>
      </c>
      <c r="M14" s="38">
        <f t="shared" si="45"/>
        <v>623</v>
      </c>
      <c r="N14" s="38">
        <f t="shared" si="45"/>
        <v>209.14999999999998</v>
      </c>
      <c r="O14" s="38">
        <f t="shared" si="45"/>
        <v>77</v>
      </c>
      <c r="P14" s="38">
        <f t="shared" si="45"/>
        <v>25.85</v>
      </c>
      <c r="Q14" s="38">
        <f t="shared" si="45"/>
        <v>51.150000000000006</v>
      </c>
      <c r="R14" s="38">
        <f t="shared" si="45"/>
        <v>220</v>
      </c>
      <c r="S14" s="38">
        <f t="shared" si="45"/>
        <v>45</v>
      </c>
      <c r="T14" s="38">
        <f t="shared" si="45"/>
        <v>185</v>
      </c>
      <c r="U14" s="38">
        <f t="shared" si="45"/>
        <v>15</v>
      </c>
      <c r="V14" s="38">
        <f t="shared" si="45"/>
        <v>185</v>
      </c>
      <c r="W14" s="38">
        <f t="shared" si="45"/>
        <v>25</v>
      </c>
      <c r="X14" s="38">
        <f t="shared" si="45"/>
        <v>0</v>
      </c>
      <c r="Y14" s="38">
        <f t="shared" si="45"/>
        <v>0</v>
      </c>
      <c r="Z14" s="38">
        <f t="shared" si="45"/>
        <v>0</v>
      </c>
      <c r="AA14" s="38">
        <f t="shared" si="45"/>
        <v>0</v>
      </c>
      <c r="AB14" s="38">
        <f t="shared" si="45"/>
        <v>0</v>
      </c>
      <c r="AC14" s="38">
        <f t="shared" si="45"/>
        <v>0</v>
      </c>
      <c r="AD14" s="38">
        <f t="shared" si="45"/>
        <v>20</v>
      </c>
      <c r="AE14" s="38">
        <f t="shared" si="45"/>
        <v>150</v>
      </c>
      <c r="AF14" s="38">
        <f t="shared" si="45"/>
        <v>75</v>
      </c>
      <c r="AG14" s="550"/>
      <c r="AH14" s="232">
        <f>SUM(AH3:AH13)</f>
        <v>0</v>
      </c>
      <c r="AI14" s="232">
        <f>SUM(AI3:AI13)</f>
        <v>0</v>
      </c>
      <c r="AJ14" s="38"/>
      <c r="AK14" s="38"/>
      <c r="AL14" s="38">
        <f>SUM(AL3:AL13)</f>
        <v>0</v>
      </c>
      <c r="AM14" s="38">
        <f>SUM(AM3:AM13)</f>
        <v>15</v>
      </c>
      <c r="AN14" s="38">
        <f>SUM(AN3:AN13)</f>
        <v>905</v>
      </c>
    </row>
    <row r="16" spans="1:41">
      <c r="R16" s="162" t="s">
        <v>445</v>
      </c>
      <c r="S16" s="164"/>
      <c r="T16" s="164"/>
      <c r="U16" s="164"/>
      <c r="V16" s="164"/>
      <c r="W16" s="164"/>
      <c r="X16" s="339"/>
      <c r="Y16" s="339"/>
      <c r="Z16" s="339"/>
      <c r="AA16" s="339"/>
      <c r="AB16" s="339"/>
      <c r="AC16" s="339"/>
      <c r="AD16" s="339"/>
      <c r="AE16" s="340"/>
      <c r="AF16" s="340"/>
      <c r="AG16" s="340"/>
      <c r="AH16" s="340"/>
      <c r="AI16" s="340"/>
      <c r="AJ16" s="340"/>
      <c r="AK16" s="340"/>
      <c r="AL16" s="340"/>
      <c r="AM16" s="340"/>
      <c r="AN16" s="340"/>
    </row>
    <row r="17" spans="2:41" ht="15.75">
      <c r="B17" s="295" t="s">
        <v>502</v>
      </c>
      <c r="C17" s="295"/>
      <c r="D17" s="295"/>
      <c r="E17" s="295"/>
      <c r="R17" s="339"/>
      <c r="S17" s="163" t="s">
        <v>236</v>
      </c>
      <c r="T17" s="339"/>
      <c r="U17" s="339"/>
      <c r="V17" s="339"/>
      <c r="W17" s="339"/>
      <c r="X17" s="339"/>
      <c r="Y17" s="339"/>
      <c r="Z17" s="339"/>
      <c r="AA17" s="339"/>
      <c r="AB17" s="339"/>
      <c r="AC17" s="339"/>
      <c r="AD17" s="339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</row>
    <row r="18" spans="2:41">
      <c r="R18" s="339"/>
      <c r="S18" s="339"/>
      <c r="T18" s="162" t="s">
        <v>237</v>
      </c>
      <c r="U18" s="339"/>
      <c r="V18" s="339"/>
      <c r="W18" s="339"/>
      <c r="X18" s="339"/>
      <c r="Y18" s="339"/>
      <c r="Z18" s="339"/>
      <c r="AA18" s="339"/>
      <c r="AB18" s="339"/>
      <c r="AC18" s="339"/>
      <c r="AD18" s="339"/>
      <c r="AE18" s="340"/>
      <c r="AF18" s="340"/>
      <c r="AG18" s="340"/>
      <c r="AH18" s="340"/>
      <c r="AI18" s="340"/>
      <c r="AJ18" s="340"/>
      <c r="AK18" s="340"/>
      <c r="AL18" s="340"/>
      <c r="AM18" s="340"/>
      <c r="AN18" s="340"/>
    </row>
    <row r="19" spans="2:41">
      <c r="R19" s="339"/>
      <c r="S19" s="339"/>
      <c r="T19" s="339"/>
      <c r="U19" s="163" t="s">
        <v>238</v>
      </c>
      <c r="V19" s="339"/>
      <c r="W19" s="339"/>
      <c r="X19" s="339"/>
      <c r="Y19" s="339"/>
      <c r="Z19" s="339"/>
      <c r="AA19" s="339"/>
      <c r="AB19" s="339"/>
      <c r="AC19" s="339"/>
      <c r="AD19" s="339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</row>
    <row r="20" spans="2:41">
      <c r="C20" s="8" t="s">
        <v>581</v>
      </c>
      <c r="D20" s="432">
        <f>H3/F3</f>
        <v>20</v>
      </c>
      <c r="Q20" s="8">
        <v>10142</v>
      </c>
      <c r="R20" s="433">
        <v>8914</v>
      </c>
      <c r="S20" s="433"/>
      <c r="T20" s="433"/>
      <c r="U20" s="433"/>
      <c r="V20" s="162" t="s">
        <v>272</v>
      </c>
      <c r="W20" s="339"/>
      <c r="X20" s="339"/>
      <c r="Y20" s="339"/>
      <c r="Z20" s="339"/>
      <c r="AA20" s="339"/>
      <c r="AB20" s="339"/>
      <c r="AC20" s="339"/>
      <c r="AD20" s="339"/>
      <c r="AE20" s="339"/>
      <c r="AF20" s="339"/>
      <c r="AG20" s="339"/>
      <c r="AH20" s="339"/>
      <c r="AI20" s="339"/>
      <c r="AJ20" s="339"/>
      <c r="AK20" s="339"/>
      <c r="AL20" s="339"/>
      <c r="AM20" s="340"/>
      <c r="AN20" s="340"/>
    </row>
    <row r="21" spans="2:41">
      <c r="C21" s="430" t="s">
        <v>554</v>
      </c>
      <c r="Q21" s="8">
        <v>10364</v>
      </c>
      <c r="R21" s="433">
        <v>8914</v>
      </c>
      <c r="S21" s="433">
        <v>10142</v>
      </c>
      <c r="T21" s="433"/>
      <c r="U21" s="433"/>
      <c r="V21" s="339"/>
      <c r="W21" s="163" t="s">
        <v>239</v>
      </c>
      <c r="X21" s="339"/>
      <c r="Y21" s="339"/>
      <c r="Z21" s="339"/>
      <c r="AA21" s="339"/>
      <c r="AB21" s="339"/>
      <c r="AC21" s="339"/>
      <c r="AD21" s="339"/>
      <c r="AE21" s="339"/>
      <c r="AF21" s="339"/>
      <c r="AG21" s="339"/>
      <c r="AH21" s="339"/>
      <c r="AI21" s="339"/>
      <c r="AJ21" s="339"/>
      <c r="AK21" s="339"/>
      <c r="AL21" s="339"/>
      <c r="AM21" s="340"/>
      <c r="AN21" s="340"/>
    </row>
    <row r="22" spans="2:41">
      <c r="C22" s="430" t="s">
        <v>555</v>
      </c>
      <c r="Q22" s="8">
        <v>10365</v>
      </c>
      <c r="R22" s="433">
        <v>8914</v>
      </c>
      <c r="S22" s="433">
        <v>10142</v>
      </c>
      <c r="T22" s="433"/>
      <c r="U22" s="433"/>
      <c r="V22" s="339"/>
      <c r="W22" s="339"/>
      <c r="X22" s="162" t="s">
        <v>240</v>
      </c>
      <c r="Y22" s="162"/>
      <c r="Z22" s="339"/>
      <c r="AA22" s="339"/>
      <c r="AB22" s="339"/>
      <c r="AC22" s="339"/>
      <c r="AD22" s="339"/>
      <c r="AE22" s="339"/>
      <c r="AF22" s="339"/>
      <c r="AG22" s="339"/>
      <c r="AH22" s="339"/>
      <c r="AI22" s="339"/>
      <c r="AJ22" s="339"/>
      <c r="AK22" s="339"/>
      <c r="AL22" s="339"/>
      <c r="AM22" s="340"/>
      <c r="AN22" s="340"/>
    </row>
    <row r="23" spans="2:41">
      <c r="Q23" s="8">
        <v>10366</v>
      </c>
      <c r="R23" s="433">
        <v>8914</v>
      </c>
      <c r="S23" s="433">
        <v>10142</v>
      </c>
      <c r="T23" s="433"/>
      <c r="U23" s="433"/>
      <c r="V23" s="339"/>
      <c r="W23" s="339"/>
      <c r="X23" s="339"/>
      <c r="Y23" s="163" t="s">
        <v>273</v>
      </c>
      <c r="Z23" s="339"/>
      <c r="AA23" s="339"/>
      <c r="AB23" s="339"/>
      <c r="AC23" s="339"/>
      <c r="AD23" s="339"/>
      <c r="AE23" s="339"/>
      <c r="AF23" s="339"/>
      <c r="AG23" s="339"/>
      <c r="AH23" s="339"/>
      <c r="AI23" s="339"/>
      <c r="AJ23" s="339"/>
      <c r="AK23" s="339"/>
      <c r="AL23" s="339"/>
      <c r="AM23" s="340"/>
      <c r="AN23" s="340"/>
    </row>
    <row r="24" spans="2:41">
      <c r="B24" s="3" t="s">
        <v>587</v>
      </c>
      <c r="C24" s="8" t="s">
        <v>582</v>
      </c>
      <c r="D24" s="432">
        <f>H4/F4</f>
        <v>30</v>
      </c>
      <c r="Q24" s="8">
        <v>10367</v>
      </c>
      <c r="R24" s="433">
        <v>8914</v>
      </c>
      <c r="S24" s="433">
        <v>10142</v>
      </c>
      <c r="T24" s="433"/>
      <c r="U24" s="433"/>
      <c r="V24" s="339"/>
      <c r="W24" s="339"/>
      <c r="X24" s="339"/>
      <c r="Y24" s="339"/>
      <c r="Z24" s="162" t="s">
        <v>241</v>
      </c>
      <c r="AA24" s="163"/>
      <c r="AB24" s="339"/>
      <c r="AC24" s="339"/>
      <c r="AD24" s="339"/>
      <c r="AE24" s="339"/>
      <c r="AF24" s="339"/>
      <c r="AG24" s="339"/>
      <c r="AH24" s="339"/>
      <c r="AI24" s="339"/>
      <c r="AJ24" s="339"/>
      <c r="AK24" s="339"/>
      <c r="AL24" s="339"/>
      <c r="AM24" s="340"/>
      <c r="AN24" s="340"/>
      <c r="AO24" s="161"/>
    </row>
    <row r="25" spans="2:41">
      <c r="B25" s="3" t="s">
        <v>588</v>
      </c>
      <c r="C25" s="430" t="s">
        <v>556</v>
      </c>
      <c r="Q25" s="8"/>
      <c r="R25" s="433"/>
      <c r="S25" s="433"/>
      <c r="T25" s="433"/>
      <c r="U25" s="433"/>
      <c r="V25" s="339"/>
      <c r="W25" s="339"/>
      <c r="X25" s="339"/>
      <c r="Y25" s="339"/>
      <c r="Z25" s="163"/>
      <c r="AA25" s="163" t="s">
        <v>274</v>
      </c>
      <c r="AB25" s="339"/>
      <c r="AC25" s="339"/>
      <c r="AD25" s="339"/>
      <c r="AE25" s="339"/>
      <c r="AF25" s="339"/>
      <c r="AG25" s="339"/>
      <c r="AH25" s="339"/>
      <c r="AI25" s="339"/>
      <c r="AJ25" s="339"/>
      <c r="AK25" s="339"/>
      <c r="AL25" s="339"/>
      <c r="AM25" s="340"/>
      <c r="AN25" s="340"/>
      <c r="AO25" s="161"/>
    </row>
    <row r="26" spans="2:41">
      <c r="B26" s="3" t="s">
        <v>589</v>
      </c>
      <c r="C26" s="430" t="s">
        <v>557</v>
      </c>
      <c r="Q26" s="8"/>
      <c r="R26" s="433"/>
      <c r="S26" s="433"/>
      <c r="T26" s="433"/>
      <c r="U26" s="433"/>
      <c r="V26" s="339"/>
      <c r="W26" s="339"/>
      <c r="X26" s="339"/>
      <c r="Y26" s="339"/>
      <c r="Z26" s="339"/>
      <c r="AA26" s="339"/>
      <c r="AB26" s="162" t="s">
        <v>242</v>
      </c>
      <c r="AC26" s="339"/>
      <c r="AD26" s="339"/>
      <c r="AE26" s="339"/>
      <c r="AF26" s="339"/>
      <c r="AG26" s="339"/>
      <c r="AH26" s="339"/>
      <c r="AI26" s="339"/>
      <c r="AJ26" s="339"/>
      <c r="AK26" s="339"/>
      <c r="AL26" s="339"/>
      <c r="AM26" s="340"/>
      <c r="AN26" s="163"/>
    </row>
    <row r="27" spans="2:41">
      <c r="B27" s="3" t="s">
        <v>590</v>
      </c>
      <c r="C27" s="430"/>
      <c r="Q27" s="8"/>
      <c r="R27" s="433"/>
      <c r="S27" s="433"/>
      <c r="T27" s="433"/>
      <c r="U27" s="433"/>
      <c r="V27" s="339"/>
      <c r="W27" s="339"/>
      <c r="X27" s="339"/>
      <c r="Y27" s="339"/>
      <c r="Z27" s="339"/>
      <c r="AA27" s="339"/>
      <c r="AB27" s="339"/>
      <c r="AC27" s="163" t="s">
        <v>243</v>
      </c>
      <c r="AD27" s="339"/>
      <c r="AE27" s="339"/>
      <c r="AF27" s="339"/>
      <c r="AG27" s="339"/>
      <c r="AH27" s="339"/>
      <c r="AI27" s="339"/>
      <c r="AJ27" s="339"/>
      <c r="AK27" s="339"/>
      <c r="AL27" s="339"/>
      <c r="AM27" s="340"/>
      <c r="AN27" s="340"/>
    </row>
    <row r="28" spans="2:41">
      <c r="B28" s="3" t="s">
        <v>591</v>
      </c>
      <c r="Q28" s="8"/>
      <c r="R28" s="433"/>
      <c r="S28" s="433"/>
      <c r="T28" s="433"/>
      <c r="U28" s="433"/>
      <c r="V28" s="339"/>
      <c r="W28" s="339"/>
      <c r="X28" s="339"/>
      <c r="Y28" s="339"/>
      <c r="Z28" s="339"/>
      <c r="AA28" s="339"/>
      <c r="AB28" s="339"/>
      <c r="AC28" s="339"/>
      <c r="AD28" s="162" t="s">
        <v>289</v>
      </c>
      <c r="AE28" s="164"/>
      <c r="AF28" s="164"/>
      <c r="AG28" s="164"/>
      <c r="AH28" s="164"/>
      <c r="AI28" s="164"/>
      <c r="AJ28" s="164"/>
      <c r="AK28" s="164"/>
      <c r="AL28" s="164"/>
      <c r="AM28" s="163"/>
    </row>
    <row r="29" spans="2:41">
      <c r="B29" s="3" t="s">
        <v>592</v>
      </c>
      <c r="Q29" s="8"/>
      <c r="R29" s="434"/>
      <c r="S29" s="434"/>
      <c r="T29" s="434"/>
      <c r="U29" s="434"/>
      <c r="V29" s="339"/>
      <c r="W29" s="339"/>
      <c r="X29" s="339"/>
      <c r="Y29" s="339"/>
      <c r="Z29" s="339"/>
      <c r="AA29" s="339"/>
      <c r="AB29" s="339"/>
      <c r="AC29" s="339"/>
      <c r="AD29" s="339"/>
      <c r="AE29" s="162" t="s">
        <v>290</v>
      </c>
      <c r="AF29" s="163"/>
      <c r="AG29" s="163"/>
      <c r="AH29" s="163"/>
      <c r="AI29" s="163"/>
      <c r="AJ29" s="163"/>
      <c r="AK29" s="163"/>
      <c r="AL29" s="163"/>
      <c r="AM29" s="340"/>
    </row>
    <row r="30" spans="2:41">
      <c r="B30" s="3" t="s">
        <v>593</v>
      </c>
      <c r="Q30" s="8"/>
      <c r="R30" s="8"/>
      <c r="S30" s="8"/>
      <c r="T30" s="8"/>
      <c r="U30" s="8"/>
      <c r="AF30" s="163" t="s">
        <v>291</v>
      </c>
      <c r="AG30" s="164"/>
      <c r="AH30" s="164"/>
      <c r="AI30" s="164"/>
      <c r="AJ30" s="164"/>
      <c r="AK30" s="164"/>
    </row>
    <row r="31" spans="2:41">
      <c r="B31" s="3" t="s">
        <v>594</v>
      </c>
      <c r="Q31" s="8"/>
      <c r="R31" s="83"/>
      <c r="S31" s="83"/>
      <c r="T31" s="83"/>
      <c r="U31" s="83"/>
      <c r="AF31" s="339"/>
      <c r="AG31" s="256" t="s">
        <v>292</v>
      </c>
      <c r="AH31" s="256"/>
      <c r="AI31" s="256"/>
      <c r="AJ31" s="256"/>
      <c r="AK31" s="256"/>
      <c r="AL31" s="256"/>
    </row>
    <row r="32" spans="2:41">
      <c r="B32" s="3" t="s">
        <v>595</v>
      </c>
      <c r="Q32" s="8"/>
      <c r="R32" s="83"/>
      <c r="S32" s="83"/>
      <c r="T32" s="83"/>
      <c r="U32" s="83"/>
      <c r="AG32" s="339"/>
      <c r="AH32" s="162" t="s">
        <v>451</v>
      </c>
      <c r="AI32" s="339"/>
      <c r="AJ32" s="339"/>
      <c r="AK32" s="339"/>
      <c r="AL32" s="163"/>
    </row>
    <row r="33" spans="2:37">
      <c r="Q33" s="8"/>
      <c r="R33" s="83"/>
      <c r="S33" s="83"/>
      <c r="T33" s="83"/>
      <c r="U33" s="83"/>
      <c r="AI33" s="163" t="s">
        <v>448</v>
      </c>
      <c r="AJ33" s="163"/>
      <c r="AK33" s="163"/>
    </row>
    <row r="34" spans="2:37">
      <c r="Q34" s="8"/>
      <c r="R34" s="83"/>
      <c r="S34" s="83"/>
      <c r="T34" s="83"/>
      <c r="U34" s="83"/>
      <c r="AJ34" s="162" t="s">
        <v>449</v>
      </c>
      <c r="AK34" s="339"/>
    </row>
    <row r="35" spans="2:37">
      <c r="B35" s="3" t="s">
        <v>570</v>
      </c>
      <c r="C35" s="8" t="s">
        <v>583</v>
      </c>
      <c r="D35" s="2">
        <f>H7/F7</f>
        <v>45</v>
      </c>
      <c r="Q35" s="8"/>
      <c r="R35" s="83"/>
      <c r="S35" s="83"/>
      <c r="T35" s="83"/>
      <c r="U35" s="83"/>
      <c r="AK35" s="163" t="s">
        <v>450</v>
      </c>
    </row>
    <row r="36" spans="2:37">
      <c r="B36" s="515" t="s">
        <v>591</v>
      </c>
      <c r="C36" s="430" t="s">
        <v>566</v>
      </c>
      <c r="Q36" s="8"/>
      <c r="R36" s="83"/>
      <c r="S36" s="83"/>
      <c r="T36" s="83"/>
      <c r="U36" s="83"/>
    </row>
    <row r="37" spans="2:37">
      <c r="B37" s="515" t="s">
        <v>592</v>
      </c>
      <c r="C37" s="430" t="s">
        <v>567</v>
      </c>
      <c r="Q37" s="8"/>
      <c r="R37" s="83"/>
      <c r="S37" s="83"/>
      <c r="T37" s="83"/>
      <c r="U37" s="83"/>
    </row>
    <row r="38" spans="2:37">
      <c r="B38" s="515" t="s">
        <v>596</v>
      </c>
      <c r="C38" s="430" t="s">
        <v>568</v>
      </c>
      <c r="D38" s="91">
        <v>4</v>
      </c>
      <c r="Q38" s="8"/>
      <c r="R38" s="83"/>
      <c r="S38" s="83"/>
      <c r="T38" s="83"/>
      <c r="U38" s="83"/>
    </row>
    <row r="39" spans="2:37">
      <c r="B39" s="3" t="s">
        <v>571</v>
      </c>
      <c r="Q39" s="8"/>
      <c r="R39" s="83"/>
      <c r="S39" s="83"/>
      <c r="T39" s="83"/>
      <c r="U39" s="83"/>
    </row>
    <row r="40" spans="2:37">
      <c r="B40" s="515" t="s">
        <v>591</v>
      </c>
      <c r="Q40" s="8"/>
      <c r="R40" s="83"/>
      <c r="S40" s="83"/>
      <c r="T40" s="83"/>
      <c r="U40" s="83"/>
    </row>
    <row r="41" spans="2:37">
      <c r="B41" s="515" t="s">
        <v>592</v>
      </c>
    </row>
    <row r="42" spans="2:37">
      <c r="B42" s="515" t="s">
        <v>596</v>
      </c>
    </row>
    <row r="43" spans="2:37">
      <c r="B43" s="3"/>
    </row>
    <row r="44" spans="2:37">
      <c r="B44" s="3"/>
    </row>
    <row r="45" spans="2:37">
      <c r="B45" s="3" t="s">
        <v>570</v>
      </c>
      <c r="C45" s="8" t="s">
        <v>584</v>
      </c>
      <c r="D45" s="2">
        <f>H9/F9</f>
        <v>40</v>
      </c>
    </row>
    <row r="46" spans="2:37">
      <c r="B46" s="515" t="s">
        <v>587</v>
      </c>
      <c r="C46" s="430" t="s">
        <v>572</v>
      </c>
    </row>
    <row r="47" spans="2:37">
      <c r="B47" s="515" t="s">
        <v>594</v>
      </c>
      <c r="C47" s="430" t="s">
        <v>567</v>
      </c>
    </row>
    <row r="48" spans="2:37">
      <c r="B48" s="3" t="s">
        <v>571</v>
      </c>
      <c r="C48" s="430" t="s">
        <v>568</v>
      </c>
      <c r="D48" s="91">
        <v>4</v>
      </c>
    </row>
    <row r="49" spans="2:4">
      <c r="B49" s="515" t="s">
        <v>587</v>
      </c>
    </row>
    <row r="50" spans="2:4">
      <c r="B50" s="515" t="s">
        <v>594</v>
      </c>
    </row>
    <row r="53" spans="2:4">
      <c r="B53" s="3" t="s">
        <v>573</v>
      </c>
      <c r="C53" s="8" t="s">
        <v>585</v>
      </c>
      <c r="D53" s="2">
        <f>H11/F11</f>
        <v>30</v>
      </c>
    </row>
    <row r="54" spans="2:4">
      <c r="B54" s="515" t="s">
        <v>588</v>
      </c>
      <c r="C54" s="430" t="s">
        <v>556</v>
      </c>
    </row>
    <row r="55" spans="2:4">
      <c r="B55" s="515" t="s">
        <v>589</v>
      </c>
      <c r="C55" s="430" t="s">
        <v>568</v>
      </c>
    </row>
    <row r="56" spans="2:4">
      <c r="B56" s="515" t="s">
        <v>595</v>
      </c>
    </row>
    <row r="59" spans="2:4">
      <c r="B59" s="3" t="s">
        <v>570</v>
      </c>
      <c r="C59" s="8" t="s">
        <v>586</v>
      </c>
      <c r="D59" s="2">
        <f>H12/F12</f>
        <v>40</v>
      </c>
    </row>
    <row r="60" spans="2:4">
      <c r="B60" s="515" t="s">
        <v>590</v>
      </c>
      <c r="C60" s="430" t="s">
        <v>572</v>
      </c>
    </row>
    <row r="61" spans="2:4">
      <c r="B61" s="3" t="s">
        <v>571</v>
      </c>
      <c r="C61" s="430" t="s">
        <v>567</v>
      </c>
    </row>
    <row r="62" spans="2:4">
      <c r="B62" s="515" t="s">
        <v>590</v>
      </c>
      <c r="C62" s="430" t="s">
        <v>568</v>
      </c>
      <c r="D62" s="91">
        <v>4</v>
      </c>
    </row>
  </sheetData>
  <mergeCells count="10">
    <mergeCell ref="A14:G1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63"/>
  <sheetViews>
    <sheetView workbookViewId="0">
      <pane ySplit="2" topLeftCell="A6" activePane="bottomLeft" state="frozen"/>
      <selection pane="bottomLeft" activeCell="C18" sqref="C18:D63"/>
    </sheetView>
  </sheetViews>
  <sheetFormatPr defaultRowHeight="11.25"/>
  <cols>
    <col min="1" max="1" width="7.5703125" style="8" bestFit="1" customWidth="1"/>
    <col min="2" max="2" width="7.5703125" style="8" customWidth="1"/>
    <col min="3" max="3" width="49.85546875" style="89" bestFit="1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bestFit="1" customWidth="1"/>
    <col min="8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9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7.2851562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9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9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736" t="s">
        <v>31</v>
      </c>
      <c r="B1" s="737"/>
      <c r="C1" s="737"/>
      <c r="D1" s="737"/>
      <c r="E1" s="738"/>
      <c r="F1" s="749" t="s">
        <v>484</v>
      </c>
      <c r="G1" s="750"/>
      <c r="H1" s="750"/>
      <c r="I1" s="750"/>
      <c r="J1" s="750"/>
      <c r="K1" s="750"/>
      <c r="L1" s="750"/>
      <c r="M1" s="750"/>
      <c r="N1" s="750"/>
      <c r="O1" s="750"/>
      <c r="P1" s="750"/>
      <c r="Q1" s="750"/>
      <c r="R1" s="750"/>
      <c r="S1" s="751" t="s">
        <v>71</v>
      </c>
      <c r="T1" s="757" t="s">
        <v>167</v>
      </c>
      <c r="U1" s="736" t="s">
        <v>13</v>
      </c>
      <c r="V1" s="737"/>
      <c r="W1" s="737"/>
      <c r="X1" s="737"/>
      <c r="Y1" s="737"/>
      <c r="Z1" s="737"/>
      <c r="AA1" s="737"/>
      <c r="AB1" s="737"/>
      <c r="AC1" s="737"/>
      <c r="AD1" s="738"/>
      <c r="AE1" s="748" t="s">
        <v>14</v>
      </c>
      <c r="AF1" s="748"/>
      <c r="AG1" s="748"/>
      <c r="AH1" s="748"/>
      <c r="AI1" s="748"/>
      <c r="AJ1" s="748"/>
      <c r="AK1" s="748"/>
      <c r="AL1" s="748"/>
      <c r="AM1" s="748"/>
      <c r="AN1" s="736" t="s">
        <v>15</v>
      </c>
      <c r="AO1" s="737"/>
      <c r="AP1" s="737"/>
      <c r="AQ1" s="737"/>
      <c r="AR1" s="737"/>
      <c r="AS1" s="737"/>
      <c r="AT1" s="737"/>
      <c r="AU1" s="737"/>
      <c r="AV1" s="737"/>
      <c r="AW1" s="738"/>
      <c r="AX1" s="739" t="s">
        <v>16</v>
      </c>
      <c r="AY1" s="739"/>
      <c r="AZ1" s="739"/>
      <c r="BA1" s="739"/>
      <c r="BB1" s="739"/>
      <c r="BC1" s="739"/>
      <c r="BD1" s="739"/>
      <c r="BE1" s="739"/>
      <c r="BF1" s="740" t="s">
        <v>17</v>
      </c>
      <c r="BG1" s="741"/>
      <c r="BH1" s="741"/>
      <c r="BI1" s="741"/>
      <c r="BJ1" s="742"/>
    </row>
    <row r="2" spans="1:62" s="4" customFormat="1" ht="34.5" thickBot="1">
      <c r="A2" s="79" t="s">
        <v>19</v>
      </c>
      <c r="B2" s="79"/>
      <c r="C2" s="88" t="s">
        <v>0</v>
      </c>
      <c r="D2" s="66" t="s">
        <v>11</v>
      </c>
      <c r="E2" s="67" t="s">
        <v>12</v>
      </c>
      <c r="F2" s="55" t="s">
        <v>72</v>
      </c>
      <c r="G2" s="41" t="s">
        <v>73</v>
      </c>
      <c r="H2" s="41" t="s">
        <v>267</v>
      </c>
      <c r="I2" s="41" t="s">
        <v>74</v>
      </c>
      <c r="J2" s="755" t="s">
        <v>29</v>
      </c>
      <c r="K2" s="756"/>
      <c r="L2" s="41" t="s">
        <v>159</v>
      </c>
      <c r="M2" s="41" t="s">
        <v>160</v>
      </c>
      <c r="N2" s="41" t="s">
        <v>92</v>
      </c>
      <c r="O2" s="41"/>
      <c r="P2" s="41" t="s">
        <v>166</v>
      </c>
      <c r="Q2" s="93" t="s">
        <v>98</v>
      </c>
      <c r="R2" s="112" t="s">
        <v>97</v>
      </c>
      <c r="S2" s="752"/>
      <c r="T2" s="758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743" t="s">
        <v>29</v>
      </c>
      <c r="AD2" s="744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1" t="s">
        <v>75</v>
      </c>
      <c r="AK2" s="71" t="s">
        <v>76</v>
      </c>
      <c r="AL2" s="753" t="s">
        <v>29</v>
      </c>
      <c r="AM2" s="754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743" t="s">
        <v>29</v>
      </c>
      <c r="AW2" s="744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743" t="s">
        <v>29</v>
      </c>
      <c r="BJ2" s="744"/>
    </row>
    <row r="3" spans="1:62" s="189" customFormat="1" ht="12" thickBot="1">
      <c r="A3" s="553" t="str">
        <f>'1-συμβολαια'!A3</f>
        <v>1ο</v>
      </c>
      <c r="B3" s="554">
        <f>'1-συμβολαια'!B3</f>
        <v>40059</v>
      </c>
      <c r="C3" s="555" t="str">
        <f>'1-συμβολαια'!C3</f>
        <v>πληρεξούσιο</v>
      </c>
      <c r="D3" s="476" t="str">
        <f>'4-πολλυπρ'!D3</f>
        <v>219-163 = αδερφός</v>
      </c>
      <c r="E3" s="476" t="str">
        <f>'4-πολλυπρ'!I3</f>
        <v>219-163αδερφή</v>
      </c>
      <c r="F3" s="476"/>
      <c r="G3" s="441"/>
      <c r="H3" s="441"/>
      <c r="I3" s="441"/>
      <c r="J3" s="556"/>
      <c r="K3" s="557"/>
      <c r="L3" s="441"/>
      <c r="M3" s="441"/>
      <c r="N3" s="441"/>
      <c r="O3" s="441"/>
      <c r="P3" s="441">
        <f t="shared" ref="P3" si="0">L3+M3</f>
        <v>0</v>
      </c>
      <c r="Q3" s="476"/>
      <c r="R3" s="476"/>
      <c r="S3" s="476"/>
      <c r="T3" s="476"/>
      <c r="U3" s="372"/>
      <c r="V3" s="359"/>
      <c r="W3" s="343" t="s">
        <v>403</v>
      </c>
      <c r="X3" s="343"/>
      <c r="Y3" s="343" t="s">
        <v>9</v>
      </c>
      <c r="Z3" s="373"/>
      <c r="AA3" s="343"/>
      <c r="AB3" s="343"/>
      <c r="AC3" s="343"/>
      <c r="AD3" s="359"/>
      <c r="AE3" s="372"/>
      <c r="AF3" s="359"/>
      <c r="AG3" s="359"/>
      <c r="AH3" s="359"/>
      <c r="AI3" s="359"/>
      <c r="AJ3" s="359"/>
      <c r="AK3" s="359"/>
      <c r="AL3" s="359"/>
      <c r="AM3" s="359"/>
      <c r="AN3" s="359"/>
      <c r="AO3" s="359"/>
      <c r="AP3" s="343" t="s">
        <v>403</v>
      </c>
      <c r="AQ3" s="359"/>
      <c r="AR3" s="343" t="s">
        <v>9</v>
      </c>
      <c r="AS3" s="359"/>
      <c r="AT3" s="359"/>
      <c r="AU3" s="359"/>
      <c r="AV3" s="359"/>
      <c r="AW3" s="372"/>
      <c r="AX3" s="359"/>
      <c r="AY3" s="359"/>
      <c r="AZ3" s="359"/>
      <c r="BA3" s="373"/>
      <c r="BB3" s="373"/>
      <c r="BC3" s="373"/>
      <c r="BD3" s="373"/>
      <c r="BE3" s="373"/>
      <c r="BF3" s="359"/>
      <c r="BG3" s="359"/>
      <c r="BH3" s="372"/>
      <c r="BI3" s="373"/>
      <c r="BJ3" s="373"/>
    </row>
    <row r="4" spans="1:62" s="189" customFormat="1">
      <c r="A4" s="552" t="str">
        <f>'1-συμβολαια'!A4</f>
        <v>2ο</v>
      </c>
      <c r="B4" s="551">
        <f>'1-συμβολαια'!B4</f>
        <v>40703</v>
      </c>
      <c r="C4" s="342" t="str">
        <f>'1-συμβολαια'!C4</f>
        <v>κληρονομιάς ΑΠΟΔΟΧΗ</v>
      </c>
      <c r="D4" s="314" t="str">
        <f>'4-πολλυπρ'!D4</f>
        <v>πατήρ</v>
      </c>
      <c r="E4" s="314" t="str">
        <f>'4-πολλυπρ'!I4</f>
        <v>219-163αδερφή</v>
      </c>
      <c r="F4" s="314">
        <f>2*2*4</f>
        <v>16</v>
      </c>
      <c r="G4" s="315">
        <f t="shared" ref="G4:G10" si="1">F4*10</f>
        <v>160</v>
      </c>
      <c r="H4" s="315">
        <f t="shared" ref="H4:H13" si="2">4*10</f>
        <v>40</v>
      </c>
      <c r="I4" s="315">
        <f t="shared" ref="I4:I10" si="3">G4+H4</f>
        <v>200</v>
      </c>
      <c r="J4" s="263" t="s">
        <v>475</v>
      </c>
      <c r="K4" s="345" t="s">
        <v>165</v>
      </c>
      <c r="L4" s="315">
        <v>10</v>
      </c>
      <c r="M4" s="315">
        <v>10</v>
      </c>
      <c r="N4" s="315">
        <f>2*1.98</f>
        <v>3.96</v>
      </c>
      <c r="O4" s="315"/>
      <c r="P4" s="315">
        <f t="shared" ref="P4:P10" si="4">L4+M4</f>
        <v>20</v>
      </c>
      <c r="Q4" s="314"/>
      <c r="R4" s="314"/>
      <c r="S4" s="314"/>
      <c r="T4" s="314"/>
      <c r="U4" s="372"/>
      <c r="V4" s="359"/>
      <c r="W4" s="343" t="s">
        <v>403</v>
      </c>
      <c r="X4" s="343"/>
      <c r="Y4" s="343" t="s">
        <v>9</v>
      </c>
      <c r="Z4" s="373"/>
      <c r="AA4" s="343"/>
      <c r="AB4" s="343"/>
      <c r="AC4" s="343"/>
      <c r="AD4" s="359"/>
      <c r="AE4" s="372"/>
      <c r="AF4" s="359"/>
      <c r="AG4" s="359"/>
      <c r="AH4" s="359"/>
      <c r="AI4" s="359"/>
      <c r="AJ4" s="359"/>
      <c r="AK4" s="359"/>
      <c r="AL4" s="359"/>
      <c r="AM4" s="359"/>
      <c r="AN4" s="359"/>
      <c r="AO4" s="359"/>
      <c r="AP4" s="343" t="s">
        <v>403</v>
      </c>
      <c r="AQ4" s="359"/>
      <c r="AR4" s="343" t="s">
        <v>9</v>
      </c>
      <c r="AS4" s="359"/>
      <c r="AT4" s="359"/>
      <c r="AU4" s="359"/>
      <c r="AV4" s="359"/>
      <c r="AW4" s="372"/>
      <c r="AX4" s="359"/>
      <c r="AY4" s="359"/>
      <c r="AZ4" s="359"/>
      <c r="BA4" s="373"/>
      <c r="BB4" s="373"/>
      <c r="BC4" s="373"/>
      <c r="BD4" s="373"/>
      <c r="BE4" s="373"/>
      <c r="BF4" s="359"/>
      <c r="BG4" s="359"/>
      <c r="BH4" s="372"/>
      <c r="BI4" s="373"/>
      <c r="BJ4" s="373"/>
    </row>
    <row r="5" spans="1:62" s="189" customFormat="1">
      <c r="A5" s="552">
        <f>'1-συμβολαια'!A5</f>
        <v>0</v>
      </c>
      <c r="B5" s="551"/>
      <c r="C5" s="342" t="str">
        <f>'1-συμβολαια'!C5</f>
        <v>χρησικτησία αγροτεμαχίων 1,2,3  = 19?? ΑΝΑΔΑΣΜΟΣ</v>
      </c>
      <c r="D5" s="314" t="str">
        <f>'4-πολλυπρ'!D5</f>
        <v>αναδασμός</v>
      </c>
      <c r="E5" s="314" t="str">
        <f>'4-πολλυπρ'!I5</f>
        <v>πατήρ</v>
      </c>
      <c r="F5" s="314"/>
      <c r="G5" s="315"/>
      <c r="H5" s="315"/>
      <c r="I5" s="315"/>
      <c r="J5" s="263"/>
      <c r="K5" s="345"/>
      <c r="L5" s="315"/>
      <c r="M5" s="315"/>
      <c r="N5" s="315"/>
      <c r="O5" s="315"/>
      <c r="P5" s="315">
        <f t="shared" si="4"/>
        <v>0</v>
      </c>
      <c r="Q5" s="314"/>
      <c r="R5" s="314"/>
      <c r="S5" s="257"/>
      <c r="T5" s="257"/>
      <c r="U5" s="372"/>
      <c r="V5" s="359"/>
      <c r="W5" s="343" t="s">
        <v>403</v>
      </c>
      <c r="X5" s="343"/>
      <c r="Y5" s="343" t="s">
        <v>9</v>
      </c>
      <c r="Z5" s="373"/>
      <c r="AA5" s="343"/>
      <c r="AB5" s="343"/>
      <c r="AC5" s="343"/>
      <c r="AD5" s="359"/>
      <c r="AE5" s="372"/>
      <c r="AF5" s="359"/>
      <c r="AG5" s="359"/>
      <c r="AH5" s="359"/>
      <c r="AI5" s="359"/>
      <c r="AJ5" s="359"/>
      <c r="AK5" s="359"/>
      <c r="AL5" s="359"/>
      <c r="AM5" s="359"/>
      <c r="AN5" s="359"/>
      <c r="AO5" s="359"/>
      <c r="AP5" s="343" t="s">
        <v>403</v>
      </c>
      <c r="AQ5" s="359"/>
      <c r="AR5" s="343" t="s">
        <v>9</v>
      </c>
      <c r="AS5" s="359"/>
      <c r="AT5" s="359"/>
      <c r="AU5" s="359"/>
      <c r="AV5" s="359"/>
      <c r="AW5" s="372"/>
      <c r="AX5" s="359"/>
      <c r="AY5" s="359"/>
      <c r="AZ5" s="359"/>
      <c r="BA5" s="373"/>
      <c r="BB5" s="373"/>
      <c r="BC5" s="373"/>
      <c r="BD5" s="373"/>
      <c r="BE5" s="373"/>
      <c r="BF5" s="359"/>
      <c r="BG5" s="359"/>
      <c r="BH5" s="372"/>
      <c r="BI5" s="373"/>
      <c r="BJ5" s="373"/>
    </row>
    <row r="6" spans="1:62" s="189" customFormat="1" ht="12" thickBot="1">
      <c r="A6" s="558">
        <f>'1-συμβολαια'!A6</f>
        <v>0</v>
      </c>
      <c r="B6" s="559"/>
      <c r="C6" s="560" t="str">
        <f>'1-συμβολαια'!C6</f>
        <v>χρησικτησία αγροτεμαχίων 4,5,6,7,8,9 = 1955 πατρός ΔΩΡΕΑ άτυπος</v>
      </c>
      <c r="D6" s="479" t="str">
        <f>'4-πολλυπρ'!D6</f>
        <v>πατήρ</v>
      </c>
      <c r="E6" s="479" t="str">
        <f>'4-πολλυπρ'!I6</f>
        <v>πατήρ</v>
      </c>
      <c r="F6" s="479"/>
      <c r="G6" s="448"/>
      <c r="H6" s="448"/>
      <c r="I6" s="448"/>
      <c r="J6" s="561"/>
      <c r="K6" s="562"/>
      <c r="L6" s="448"/>
      <c r="M6" s="448"/>
      <c r="N6" s="448"/>
      <c r="O6" s="448"/>
      <c r="P6" s="448">
        <f t="shared" si="4"/>
        <v>0</v>
      </c>
      <c r="Q6" s="479"/>
      <c r="R6" s="479"/>
      <c r="S6" s="479"/>
      <c r="T6" s="257"/>
      <c r="U6" s="372"/>
      <c r="V6" s="359"/>
      <c r="W6" s="343" t="s">
        <v>403</v>
      </c>
      <c r="X6" s="343"/>
      <c r="Y6" s="343" t="s">
        <v>9</v>
      </c>
      <c r="Z6" s="373"/>
      <c r="AA6" s="343"/>
      <c r="AB6" s="343"/>
      <c r="AC6" s="343"/>
      <c r="AD6" s="359"/>
      <c r="AE6" s="372"/>
      <c r="AF6" s="359"/>
      <c r="AG6" s="359"/>
      <c r="AH6" s="359"/>
      <c r="AI6" s="359"/>
      <c r="AJ6" s="359"/>
      <c r="AK6" s="359"/>
      <c r="AL6" s="359"/>
      <c r="AM6" s="359"/>
      <c r="AN6" s="359"/>
      <c r="AO6" s="359"/>
      <c r="AP6" s="343" t="s">
        <v>403</v>
      </c>
      <c r="AQ6" s="359"/>
      <c r="AR6" s="343" t="s">
        <v>9</v>
      </c>
      <c r="AS6" s="359"/>
      <c r="AT6" s="359"/>
      <c r="AU6" s="359"/>
      <c r="AV6" s="359"/>
      <c r="AW6" s="372"/>
      <c r="AX6" s="359"/>
      <c r="AY6" s="359"/>
      <c r="AZ6" s="359"/>
      <c r="BA6" s="373"/>
      <c r="BB6" s="373"/>
      <c r="BC6" s="373"/>
      <c r="BD6" s="373"/>
      <c r="BE6" s="373"/>
      <c r="BF6" s="359"/>
      <c r="BG6" s="359"/>
      <c r="BH6" s="372"/>
      <c r="BI6" s="373"/>
      <c r="BJ6" s="373"/>
    </row>
    <row r="7" spans="1:62" s="189" customFormat="1">
      <c r="A7" s="571" t="str">
        <f>'1-συμβολαια'!A7</f>
        <v>3ο</v>
      </c>
      <c r="B7" s="551">
        <f>'1-συμβολαια'!B7</f>
        <v>40806</v>
      </c>
      <c r="C7" s="342" t="str">
        <f>'1-συμβολαια'!C7</f>
        <v xml:space="preserve">γονική </v>
      </c>
      <c r="D7" s="314" t="str">
        <f>'4-πολλυπρ'!D7</f>
        <v>219-163αδερφή</v>
      </c>
      <c r="E7" s="314" t="str">
        <f>'4-πολλυπρ'!I7</f>
        <v>ανηψιά</v>
      </c>
      <c r="F7" s="314">
        <f>3*4</f>
        <v>12</v>
      </c>
      <c r="G7" s="315">
        <f t="shared" si="1"/>
        <v>120</v>
      </c>
      <c r="H7" s="315">
        <f t="shared" si="2"/>
        <v>40</v>
      </c>
      <c r="I7" s="315">
        <f t="shared" si="3"/>
        <v>160</v>
      </c>
      <c r="J7" s="263" t="s">
        <v>475</v>
      </c>
      <c r="K7" s="345" t="s">
        <v>165</v>
      </c>
      <c r="L7" s="315"/>
      <c r="M7" s="315"/>
      <c r="N7" s="315">
        <f>2*1.98</f>
        <v>3.96</v>
      </c>
      <c r="O7" s="315"/>
      <c r="P7" s="315">
        <f t="shared" si="4"/>
        <v>0</v>
      </c>
      <c r="Q7" s="314"/>
      <c r="R7" s="314"/>
      <c r="S7" s="314"/>
      <c r="T7" s="257"/>
      <c r="U7" s="372"/>
      <c r="V7" s="359"/>
      <c r="W7" s="343" t="s">
        <v>403</v>
      </c>
      <c r="X7" s="343"/>
      <c r="Y7" s="343" t="s">
        <v>9</v>
      </c>
      <c r="Z7" s="373"/>
      <c r="AA7" s="343"/>
      <c r="AB7" s="343"/>
      <c r="AC7" s="343"/>
      <c r="AD7" s="359"/>
      <c r="AE7" s="372"/>
      <c r="AF7" s="359"/>
      <c r="AG7" s="359"/>
      <c r="AH7" s="359"/>
      <c r="AI7" s="359"/>
      <c r="AJ7" s="359"/>
      <c r="AK7" s="359"/>
      <c r="AL7" s="359"/>
      <c r="AM7" s="359"/>
      <c r="AN7" s="359"/>
      <c r="AO7" s="359"/>
      <c r="AP7" s="343" t="s">
        <v>403</v>
      </c>
      <c r="AQ7" s="359"/>
      <c r="AR7" s="343" t="s">
        <v>9</v>
      </c>
      <c r="AS7" s="359"/>
      <c r="AT7" s="359"/>
      <c r="AU7" s="359"/>
      <c r="AV7" s="359"/>
      <c r="AW7" s="372"/>
      <c r="AX7" s="359"/>
      <c r="AY7" s="359"/>
      <c r="AZ7" s="359"/>
      <c r="BA7" s="373"/>
      <c r="BB7" s="373"/>
      <c r="BC7" s="373"/>
      <c r="BD7" s="373"/>
      <c r="BE7" s="373"/>
      <c r="BF7" s="359"/>
      <c r="BG7" s="359"/>
      <c r="BH7" s="372"/>
      <c r="BI7" s="373"/>
      <c r="BJ7" s="373"/>
    </row>
    <row r="8" spans="1:62" s="189" customFormat="1" ht="12" thickBot="1">
      <c r="A8" s="572">
        <f>'1-συμβολαια'!A8</f>
        <v>0</v>
      </c>
      <c r="B8" s="559"/>
      <c r="C8" s="560" t="str">
        <f>'1-συμβολαια'!C8</f>
        <v>δωρεά</v>
      </c>
      <c r="D8" s="479" t="str">
        <f>'4-πολλυπρ'!D8</f>
        <v>219-163</v>
      </c>
      <c r="E8" s="479" t="str">
        <f>'4-πολλυπρ'!I8</f>
        <v>ανηψιά</v>
      </c>
      <c r="F8" s="479">
        <f>3*4</f>
        <v>12</v>
      </c>
      <c r="G8" s="448">
        <f t="shared" si="1"/>
        <v>120</v>
      </c>
      <c r="H8" s="448">
        <f t="shared" si="2"/>
        <v>40</v>
      </c>
      <c r="I8" s="448">
        <f t="shared" si="3"/>
        <v>160</v>
      </c>
      <c r="J8" s="561" t="s">
        <v>475</v>
      </c>
      <c r="K8" s="562" t="s">
        <v>165</v>
      </c>
      <c r="L8" s="448"/>
      <c r="M8" s="448"/>
      <c r="N8" s="448">
        <f>2*1.98</f>
        <v>3.96</v>
      </c>
      <c r="O8" s="448"/>
      <c r="P8" s="448">
        <f t="shared" si="4"/>
        <v>0</v>
      </c>
      <c r="Q8" s="479"/>
      <c r="R8" s="479"/>
      <c r="S8" s="479"/>
      <c r="T8" s="479"/>
      <c r="U8" s="372"/>
      <c r="V8" s="359"/>
      <c r="W8" s="343" t="s">
        <v>403</v>
      </c>
      <c r="X8" s="343"/>
      <c r="Y8" s="343" t="s">
        <v>9</v>
      </c>
      <c r="Z8" s="373"/>
      <c r="AA8" s="343"/>
      <c r="AB8" s="343"/>
      <c r="AC8" s="343"/>
      <c r="AD8" s="359"/>
      <c r="AE8" s="372"/>
      <c r="AF8" s="359"/>
      <c r="AG8" s="359"/>
      <c r="AH8" s="359"/>
      <c r="AI8" s="359"/>
      <c r="AJ8" s="359"/>
      <c r="AK8" s="359"/>
      <c r="AL8" s="359"/>
      <c r="AM8" s="359"/>
      <c r="AN8" s="359"/>
      <c r="AO8" s="359"/>
      <c r="AP8" s="343" t="s">
        <v>403</v>
      </c>
      <c r="AQ8" s="359"/>
      <c r="AR8" s="343" t="s">
        <v>9</v>
      </c>
      <c r="AS8" s="359"/>
      <c r="AT8" s="359"/>
      <c r="AU8" s="359"/>
      <c r="AV8" s="359"/>
      <c r="AW8" s="372"/>
      <c r="AX8" s="359"/>
      <c r="AY8" s="359"/>
      <c r="AZ8" s="359"/>
      <c r="BA8" s="373"/>
      <c r="BB8" s="373"/>
      <c r="BC8" s="373"/>
      <c r="BD8" s="373"/>
      <c r="BE8" s="373"/>
      <c r="BF8" s="359"/>
      <c r="BG8" s="359"/>
      <c r="BH8" s="372"/>
      <c r="BI8" s="373"/>
      <c r="BJ8" s="373"/>
    </row>
    <row r="9" spans="1:62" s="189" customFormat="1">
      <c r="A9" s="552" t="str">
        <f>'1-συμβολαια'!A9</f>
        <v>4ο</v>
      </c>
      <c r="B9" s="551">
        <f>'1-συμβολαια'!B9</f>
        <v>40806</v>
      </c>
      <c r="C9" s="342" t="str">
        <f>'1-συμβολαια'!C9</f>
        <v xml:space="preserve">γονική </v>
      </c>
      <c r="D9" s="314" t="str">
        <f>'4-πολλυπρ'!D9</f>
        <v>219-163</v>
      </c>
      <c r="E9" s="314" t="str">
        <f>'4-πολλυπρ'!I9</f>
        <v>κόρη</v>
      </c>
      <c r="F9" s="314">
        <f>3*4</f>
        <v>12</v>
      </c>
      <c r="G9" s="315">
        <f t="shared" si="1"/>
        <v>120</v>
      </c>
      <c r="H9" s="315">
        <f t="shared" si="2"/>
        <v>40</v>
      </c>
      <c r="I9" s="315">
        <f t="shared" si="3"/>
        <v>160</v>
      </c>
      <c r="J9" s="263" t="s">
        <v>475</v>
      </c>
      <c r="K9" s="345" t="s">
        <v>165</v>
      </c>
      <c r="L9" s="315"/>
      <c r="M9" s="315"/>
      <c r="N9" s="315">
        <f t="shared" ref="N9:N13" si="5">2*1.98</f>
        <v>3.96</v>
      </c>
      <c r="O9" s="315"/>
      <c r="P9" s="315">
        <f t="shared" si="4"/>
        <v>0</v>
      </c>
      <c r="Q9" s="314"/>
      <c r="R9" s="314"/>
      <c r="S9" s="314"/>
      <c r="T9" s="314"/>
      <c r="U9" s="372"/>
      <c r="V9" s="359"/>
      <c r="W9" s="343" t="s">
        <v>403</v>
      </c>
      <c r="X9" s="343"/>
      <c r="Y9" s="343" t="s">
        <v>9</v>
      </c>
      <c r="Z9" s="373"/>
      <c r="AA9" s="343"/>
      <c r="AB9" s="343"/>
      <c r="AC9" s="343"/>
      <c r="AD9" s="359"/>
      <c r="AE9" s="372"/>
      <c r="AF9" s="359"/>
      <c r="AG9" s="359"/>
      <c r="AH9" s="359"/>
      <c r="AI9" s="359"/>
      <c r="AJ9" s="359"/>
      <c r="AK9" s="359"/>
      <c r="AL9" s="359"/>
      <c r="AM9" s="359"/>
      <c r="AN9" s="359"/>
      <c r="AO9" s="359"/>
      <c r="AP9" s="343" t="s">
        <v>403</v>
      </c>
      <c r="AQ9" s="359"/>
      <c r="AR9" s="343" t="s">
        <v>9</v>
      </c>
      <c r="AS9" s="359"/>
      <c r="AT9" s="359"/>
      <c r="AU9" s="359"/>
      <c r="AV9" s="359"/>
      <c r="AW9" s="372"/>
      <c r="AX9" s="359"/>
      <c r="AY9" s="359"/>
      <c r="AZ9" s="359"/>
      <c r="BA9" s="373"/>
      <c r="BB9" s="373"/>
      <c r="BC9" s="373"/>
      <c r="BD9" s="373"/>
      <c r="BE9" s="373"/>
      <c r="BF9" s="359"/>
      <c r="BG9" s="359"/>
      <c r="BH9" s="372"/>
      <c r="BI9" s="373"/>
      <c r="BJ9" s="373"/>
    </row>
    <row r="10" spans="1:62" s="189" customFormat="1" ht="12" thickBot="1">
      <c r="A10" s="558">
        <f>'1-συμβολαια'!A10</f>
        <v>0</v>
      </c>
      <c r="B10" s="559"/>
      <c r="C10" s="560" t="str">
        <f>'1-συμβολαια'!C10</f>
        <v>δωρεά</v>
      </c>
      <c r="D10" s="479" t="str">
        <f>'4-πολλυπρ'!D10</f>
        <v>219-163αδερφή</v>
      </c>
      <c r="E10" s="479" t="str">
        <f>'4-πολλυπρ'!I10</f>
        <v>κόρη</v>
      </c>
      <c r="F10" s="479">
        <f>3*4</f>
        <v>12</v>
      </c>
      <c r="G10" s="448">
        <f t="shared" si="1"/>
        <v>120</v>
      </c>
      <c r="H10" s="448">
        <f t="shared" si="2"/>
        <v>40</v>
      </c>
      <c r="I10" s="448">
        <f t="shared" si="3"/>
        <v>160</v>
      </c>
      <c r="J10" s="561" t="s">
        <v>475</v>
      </c>
      <c r="K10" s="562" t="s">
        <v>165</v>
      </c>
      <c r="L10" s="448"/>
      <c r="M10" s="448"/>
      <c r="N10" s="448">
        <f t="shared" si="5"/>
        <v>3.96</v>
      </c>
      <c r="O10" s="448"/>
      <c r="P10" s="448">
        <f t="shared" si="4"/>
        <v>0</v>
      </c>
      <c r="Q10" s="479"/>
      <c r="R10" s="479"/>
      <c r="S10" s="479"/>
      <c r="T10" s="479"/>
      <c r="U10" s="372"/>
      <c r="V10" s="359"/>
      <c r="W10" s="343" t="s">
        <v>403</v>
      </c>
      <c r="X10" s="343"/>
      <c r="Y10" s="343" t="s">
        <v>9</v>
      </c>
      <c r="Z10" s="373"/>
      <c r="AA10" s="343"/>
      <c r="AB10" s="343"/>
      <c r="AC10" s="343"/>
      <c r="AD10" s="359"/>
      <c r="AE10" s="372"/>
      <c r="AF10" s="359"/>
      <c r="AG10" s="359"/>
      <c r="AH10" s="359"/>
      <c r="AI10" s="359"/>
      <c r="AJ10" s="359"/>
      <c r="AK10" s="359"/>
      <c r="AL10" s="359"/>
      <c r="AM10" s="359"/>
      <c r="AN10" s="359"/>
      <c r="AO10" s="359"/>
      <c r="AP10" s="343" t="s">
        <v>403</v>
      </c>
      <c r="AQ10" s="359"/>
      <c r="AR10" s="343" t="s">
        <v>9</v>
      </c>
      <c r="AS10" s="359"/>
      <c r="AT10" s="359"/>
      <c r="AU10" s="359"/>
      <c r="AV10" s="359"/>
      <c r="AW10" s="372"/>
      <c r="AX10" s="359"/>
      <c r="AY10" s="359"/>
      <c r="AZ10" s="359"/>
      <c r="BA10" s="373"/>
      <c r="BB10" s="373"/>
      <c r="BC10" s="373"/>
      <c r="BD10" s="373"/>
      <c r="BE10" s="373"/>
      <c r="BF10" s="359"/>
      <c r="BG10" s="359"/>
      <c r="BH10" s="372"/>
      <c r="BI10" s="373"/>
      <c r="BJ10" s="373"/>
    </row>
    <row r="11" spans="1:62" s="189" customFormat="1" ht="12" thickBot="1">
      <c r="A11" s="564" t="str">
        <f>'1-συμβολαια'!A11</f>
        <v>5ο</v>
      </c>
      <c r="B11" s="565">
        <f>'1-συμβολαια'!B11</f>
        <v>40806</v>
      </c>
      <c r="C11" s="566" t="str">
        <f>'1-συμβολαια'!C11</f>
        <v>δωρεά</v>
      </c>
      <c r="D11" s="567" t="str">
        <f>'4-πολλυπρ'!D11</f>
        <v>219-163</v>
      </c>
      <c r="E11" s="567" t="str">
        <f>'4-πολλυπρ'!I11</f>
        <v>219-163 = αδερφός</v>
      </c>
      <c r="F11" s="567">
        <f t="shared" ref="F11" si="6">2*4</f>
        <v>8</v>
      </c>
      <c r="G11" s="568">
        <f t="shared" ref="G11:G13" si="7">F11*10</f>
        <v>80</v>
      </c>
      <c r="H11" s="568">
        <f t="shared" si="2"/>
        <v>40</v>
      </c>
      <c r="I11" s="568">
        <f t="shared" ref="I11:I13" si="8">G11+H11</f>
        <v>120</v>
      </c>
      <c r="J11" s="569" t="s">
        <v>475</v>
      </c>
      <c r="K11" s="570" t="s">
        <v>165</v>
      </c>
      <c r="L11" s="568"/>
      <c r="M11" s="568"/>
      <c r="N11" s="568">
        <v>1.98</v>
      </c>
      <c r="O11" s="568"/>
      <c r="P11" s="568">
        <f t="shared" ref="P11:P13" si="9">L11+M11</f>
        <v>0</v>
      </c>
      <c r="Q11" s="567"/>
      <c r="R11" s="567"/>
      <c r="S11" s="567"/>
      <c r="T11" s="314"/>
      <c r="U11" s="372"/>
      <c r="V11" s="359"/>
      <c r="W11" s="343" t="s">
        <v>403</v>
      </c>
      <c r="X11" s="343"/>
      <c r="Y11" s="343" t="s">
        <v>9</v>
      </c>
      <c r="Z11" s="373"/>
      <c r="AA11" s="343"/>
      <c r="AB11" s="343"/>
      <c r="AC11" s="343"/>
      <c r="AD11" s="359"/>
      <c r="AE11" s="372"/>
      <c r="AF11" s="359"/>
      <c r="AG11" s="359"/>
      <c r="AH11" s="359"/>
      <c r="AI11" s="359"/>
      <c r="AJ11" s="359"/>
      <c r="AK11" s="359"/>
      <c r="AL11" s="359"/>
      <c r="AM11" s="359"/>
      <c r="AN11" s="359"/>
      <c r="AO11" s="359"/>
      <c r="AP11" s="343" t="s">
        <v>403</v>
      </c>
      <c r="AQ11" s="359"/>
      <c r="AR11" s="343" t="s">
        <v>9</v>
      </c>
      <c r="AS11" s="359"/>
      <c r="AT11" s="359"/>
      <c r="AU11" s="359"/>
      <c r="AV11" s="359"/>
      <c r="AW11" s="372"/>
      <c r="AX11" s="359"/>
      <c r="AY11" s="359"/>
      <c r="AZ11" s="359"/>
      <c r="BA11" s="373"/>
      <c r="BB11" s="373"/>
      <c r="BC11" s="373"/>
      <c r="BD11" s="373"/>
      <c r="BE11" s="373"/>
      <c r="BF11" s="359"/>
      <c r="BG11" s="359"/>
      <c r="BH11" s="372"/>
      <c r="BI11" s="373"/>
      <c r="BJ11" s="373"/>
    </row>
    <row r="12" spans="1:62" s="189" customFormat="1">
      <c r="A12" s="552" t="str">
        <f>'1-συμβολαια'!A12</f>
        <v>6ο</v>
      </c>
      <c r="B12" s="551">
        <f>'1-συμβολαια'!B12</f>
        <v>40806</v>
      </c>
      <c r="C12" s="342" t="str">
        <f>'1-συμβολαια'!C12</f>
        <v xml:space="preserve">γονική </v>
      </c>
      <c r="D12" s="314" t="str">
        <f>'4-πολλυπρ'!D12</f>
        <v>219-163</v>
      </c>
      <c r="E12" s="314" t="str">
        <f>'4-πολλυπρ'!I12</f>
        <v>ανηψιός</v>
      </c>
      <c r="F12" s="314">
        <f>3*4</f>
        <v>12</v>
      </c>
      <c r="G12" s="315">
        <f t="shared" si="7"/>
        <v>120</v>
      </c>
      <c r="H12" s="315">
        <f t="shared" si="2"/>
        <v>40</v>
      </c>
      <c r="I12" s="315">
        <f t="shared" si="8"/>
        <v>160</v>
      </c>
      <c r="J12" s="263" t="s">
        <v>475</v>
      </c>
      <c r="K12" s="345" t="s">
        <v>165</v>
      </c>
      <c r="L12" s="315"/>
      <c r="M12" s="315"/>
      <c r="N12" s="315">
        <f t="shared" si="5"/>
        <v>3.96</v>
      </c>
      <c r="O12" s="315"/>
      <c r="P12" s="315">
        <f t="shared" si="9"/>
        <v>0</v>
      </c>
      <c r="Q12" s="314"/>
      <c r="R12" s="314"/>
      <c r="S12" s="314"/>
      <c r="T12" s="257"/>
      <c r="U12" s="372"/>
      <c r="V12" s="359"/>
      <c r="W12" s="343" t="s">
        <v>403</v>
      </c>
      <c r="X12" s="343"/>
      <c r="Y12" s="343" t="s">
        <v>9</v>
      </c>
      <c r="Z12" s="373"/>
      <c r="AA12" s="343"/>
      <c r="AB12" s="343"/>
      <c r="AC12" s="343"/>
      <c r="AD12" s="359"/>
      <c r="AE12" s="372"/>
      <c r="AF12" s="359"/>
      <c r="AG12" s="359"/>
      <c r="AH12" s="359"/>
      <c r="AI12" s="359"/>
      <c r="AJ12" s="359"/>
      <c r="AK12" s="359"/>
      <c r="AL12" s="359"/>
      <c r="AM12" s="359"/>
      <c r="AN12" s="359"/>
      <c r="AO12" s="359"/>
      <c r="AP12" s="343" t="s">
        <v>403</v>
      </c>
      <c r="AQ12" s="359"/>
      <c r="AR12" s="343" t="s">
        <v>9</v>
      </c>
      <c r="AS12" s="359"/>
      <c r="AT12" s="359"/>
      <c r="AU12" s="359"/>
      <c r="AV12" s="359"/>
      <c r="AW12" s="372"/>
      <c r="AX12" s="359"/>
      <c r="AY12" s="359"/>
      <c r="AZ12" s="359"/>
      <c r="BA12" s="373"/>
      <c r="BB12" s="373"/>
      <c r="BC12" s="373"/>
      <c r="BD12" s="373"/>
      <c r="BE12" s="373"/>
      <c r="BF12" s="359"/>
      <c r="BG12" s="359"/>
      <c r="BH12" s="372"/>
      <c r="BI12" s="373"/>
      <c r="BJ12" s="373"/>
    </row>
    <row r="13" spans="1:62" s="189" customFormat="1" ht="12" thickBot="1">
      <c r="A13" s="558">
        <f>'1-συμβολαια'!A13</f>
        <v>0</v>
      </c>
      <c r="B13" s="559"/>
      <c r="C13" s="560" t="str">
        <f>'1-συμβολαια'!C13</f>
        <v>δωρεά</v>
      </c>
      <c r="D13" s="479" t="str">
        <f>'4-πολλυπρ'!D13</f>
        <v>219-163αδερφή</v>
      </c>
      <c r="E13" s="479" t="str">
        <f>'4-πολλυπρ'!I13</f>
        <v>ανηψιός</v>
      </c>
      <c r="F13" s="479">
        <f>3*4</f>
        <v>12</v>
      </c>
      <c r="G13" s="448">
        <f t="shared" si="7"/>
        <v>120</v>
      </c>
      <c r="H13" s="448">
        <f t="shared" si="2"/>
        <v>40</v>
      </c>
      <c r="I13" s="448">
        <f t="shared" si="8"/>
        <v>160</v>
      </c>
      <c r="J13" s="561" t="s">
        <v>475</v>
      </c>
      <c r="K13" s="562" t="s">
        <v>165</v>
      </c>
      <c r="L13" s="448"/>
      <c r="M13" s="448"/>
      <c r="N13" s="448">
        <f t="shared" si="5"/>
        <v>3.96</v>
      </c>
      <c r="O13" s="448"/>
      <c r="P13" s="448">
        <f t="shared" si="9"/>
        <v>0</v>
      </c>
      <c r="Q13" s="479"/>
      <c r="R13" s="479"/>
      <c r="S13" s="479"/>
      <c r="T13" s="479"/>
      <c r="U13" s="372"/>
      <c r="V13" s="359"/>
      <c r="W13" s="343" t="s">
        <v>403</v>
      </c>
      <c r="X13" s="343"/>
      <c r="Y13" s="343" t="s">
        <v>9</v>
      </c>
      <c r="Z13" s="373"/>
      <c r="AA13" s="343"/>
      <c r="AB13" s="343"/>
      <c r="AC13" s="343"/>
      <c r="AD13" s="359"/>
      <c r="AE13" s="372"/>
      <c r="AF13" s="359"/>
      <c r="AG13" s="359"/>
      <c r="AH13" s="359"/>
      <c r="AI13" s="359"/>
      <c r="AJ13" s="359"/>
      <c r="AK13" s="359"/>
      <c r="AL13" s="359"/>
      <c r="AM13" s="359"/>
      <c r="AN13" s="359"/>
      <c r="AO13" s="359"/>
      <c r="AP13" s="343" t="s">
        <v>403</v>
      </c>
      <c r="AQ13" s="359"/>
      <c r="AR13" s="343" t="s">
        <v>9</v>
      </c>
      <c r="AS13" s="359"/>
      <c r="AT13" s="359"/>
      <c r="AU13" s="359"/>
      <c r="AV13" s="359"/>
      <c r="AW13" s="372"/>
      <c r="AX13" s="359"/>
      <c r="AY13" s="359"/>
      <c r="AZ13" s="359"/>
      <c r="BA13" s="373"/>
      <c r="BB13" s="373"/>
      <c r="BC13" s="373"/>
      <c r="BD13" s="373"/>
      <c r="BE13" s="373"/>
      <c r="BF13" s="359"/>
      <c r="BG13" s="359"/>
      <c r="BH13" s="372"/>
      <c r="BI13" s="373"/>
      <c r="BJ13" s="373"/>
    </row>
    <row r="14" spans="1:62">
      <c r="A14" s="745" t="s">
        <v>35</v>
      </c>
      <c r="B14" s="746"/>
      <c r="C14" s="746"/>
      <c r="D14" s="746"/>
      <c r="E14" s="747"/>
      <c r="F14" s="563">
        <f>SUM(F3:F13)</f>
        <v>96</v>
      </c>
      <c r="G14" s="563">
        <f>SUM(G3:G13)</f>
        <v>960</v>
      </c>
      <c r="H14" s="563">
        <f>SUM(H3:H13)</f>
        <v>320</v>
      </c>
      <c r="I14" s="563">
        <f>SUM(I3:I13)</f>
        <v>1280</v>
      </c>
      <c r="J14" s="563"/>
      <c r="K14" s="563"/>
      <c r="L14" s="563">
        <f t="shared" ref="L14:S14" si="10">SUM(L3:L13)</f>
        <v>10</v>
      </c>
      <c r="M14" s="563">
        <f t="shared" si="10"/>
        <v>10</v>
      </c>
      <c r="N14" s="563">
        <f t="shared" si="10"/>
        <v>29.700000000000003</v>
      </c>
      <c r="O14" s="563">
        <f t="shared" si="10"/>
        <v>0</v>
      </c>
      <c r="P14" s="563">
        <f t="shared" si="10"/>
        <v>20</v>
      </c>
      <c r="Q14" s="563">
        <f t="shared" si="10"/>
        <v>0</v>
      </c>
      <c r="R14" s="563">
        <f t="shared" si="10"/>
        <v>0</v>
      </c>
      <c r="S14" s="563">
        <f t="shared" si="10"/>
        <v>0</v>
      </c>
      <c r="T14" s="563"/>
      <c r="U14" s="131"/>
      <c r="V14" s="68"/>
      <c r="W14" s="68"/>
      <c r="X14" s="68">
        <f>SUM(X3:X13)</f>
        <v>0</v>
      </c>
      <c r="Y14" s="68"/>
      <c r="Z14" s="68">
        <f t="shared" ref="Z14:AK14" si="11">SUM(Z3:Z13)</f>
        <v>0</v>
      </c>
      <c r="AA14" s="68">
        <f t="shared" si="11"/>
        <v>0</v>
      </c>
      <c r="AB14" s="68">
        <f t="shared" si="11"/>
        <v>0</v>
      </c>
      <c r="AC14" s="68">
        <f t="shared" si="11"/>
        <v>0</v>
      </c>
      <c r="AD14" s="68">
        <f t="shared" si="11"/>
        <v>0</v>
      </c>
      <c r="AE14" s="131">
        <f t="shared" si="11"/>
        <v>0</v>
      </c>
      <c r="AF14" s="68">
        <f t="shared" si="11"/>
        <v>0</v>
      </c>
      <c r="AG14" s="68">
        <f t="shared" si="11"/>
        <v>0</v>
      </c>
      <c r="AH14" s="68">
        <f t="shared" si="11"/>
        <v>0</v>
      </c>
      <c r="AI14" s="68">
        <f t="shared" si="11"/>
        <v>0</v>
      </c>
      <c r="AJ14" s="72">
        <f t="shared" si="11"/>
        <v>0</v>
      </c>
      <c r="AK14" s="72">
        <f t="shared" si="11"/>
        <v>0</v>
      </c>
      <c r="AL14" s="72"/>
      <c r="AM14" s="68">
        <f>SUM(AM3:AM13)</f>
        <v>0</v>
      </c>
      <c r="AN14" s="68">
        <f>SUM(AN3:AN13)</f>
        <v>0</v>
      </c>
      <c r="AO14" s="68">
        <f>SUM(AO3:AO13)</f>
        <v>0</v>
      </c>
      <c r="AP14" s="68"/>
      <c r="AQ14" s="68">
        <f t="shared" ref="AQ14:BJ14" si="12">SUM(AQ3:AQ13)</f>
        <v>0</v>
      </c>
      <c r="AR14" s="68">
        <f t="shared" si="12"/>
        <v>0</v>
      </c>
      <c r="AS14" s="68">
        <f t="shared" si="12"/>
        <v>0</v>
      </c>
      <c r="AT14" s="68">
        <f t="shared" si="12"/>
        <v>0</v>
      </c>
      <c r="AU14" s="68">
        <f t="shared" si="12"/>
        <v>0</v>
      </c>
      <c r="AV14" s="68">
        <f t="shared" si="12"/>
        <v>0</v>
      </c>
      <c r="AW14" s="68">
        <f t="shared" si="12"/>
        <v>0</v>
      </c>
      <c r="AX14" s="68">
        <f t="shared" si="12"/>
        <v>0</v>
      </c>
      <c r="AY14" s="68">
        <f t="shared" si="12"/>
        <v>0</v>
      </c>
      <c r="AZ14" s="68">
        <f t="shared" si="12"/>
        <v>0</v>
      </c>
      <c r="BA14" s="68">
        <f t="shared" si="12"/>
        <v>0</v>
      </c>
      <c r="BB14" s="68">
        <f t="shared" si="12"/>
        <v>0</v>
      </c>
      <c r="BC14" s="68">
        <f t="shared" si="12"/>
        <v>0</v>
      </c>
      <c r="BD14" s="68">
        <f t="shared" si="12"/>
        <v>0</v>
      </c>
      <c r="BE14" s="68">
        <f t="shared" si="12"/>
        <v>0</v>
      </c>
      <c r="BF14" s="68">
        <f t="shared" si="12"/>
        <v>0</v>
      </c>
      <c r="BG14" s="68">
        <f t="shared" si="12"/>
        <v>0</v>
      </c>
      <c r="BH14" s="68">
        <f t="shared" si="12"/>
        <v>0</v>
      </c>
      <c r="BI14" s="68">
        <f t="shared" si="12"/>
        <v>0</v>
      </c>
      <c r="BJ14" s="68">
        <f t="shared" si="12"/>
        <v>0</v>
      </c>
    </row>
    <row r="15" spans="1:62">
      <c r="L15" s="134" t="s">
        <v>483</v>
      </c>
    </row>
    <row r="16" spans="1:62">
      <c r="H16" s="134" t="s">
        <v>483</v>
      </c>
      <c r="I16" s="296" t="s">
        <v>100</v>
      </c>
      <c r="J16" s="134"/>
      <c r="K16" s="134"/>
      <c r="L16" s="134"/>
      <c r="M16" s="134" t="s">
        <v>483</v>
      </c>
      <c r="N16" s="114"/>
      <c r="O16" s="114"/>
      <c r="T16" s="176" t="s">
        <v>167</v>
      </c>
      <c r="AA16" s="2"/>
      <c r="AC16" s="114" t="s">
        <v>101</v>
      </c>
      <c r="AJ16" s="217" t="s">
        <v>102</v>
      </c>
    </row>
    <row r="17" spans="3:21">
      <c r="C17" s="3"/>
      <c r="G17" s="3"/>
      <c r="H17" s="3"/>
      <c r="I17" s="3"/>
      <c r="J17" s="154" t="s">
        <v>161</v>
      </c>
      <c r="K17" s="116"/>
      <c r="M17" s="134"/>
      <c r="N17" s="3"/>
      <c r="O17" s="3"/>
      <c r="P17" s="3"/>
      <c r="Q17" s="154" t="s">
        <v>168</v>
      </c>
      <c r="T17" s="9"/>
    </row>
    <row r="18" spans="3:21">
      <c r="C18" s="91"/>
      <c r="D18" s="8" t="s">
        <v>581</v>
      </c>
      <c r="E18" s="432"/>
      <c r="F18" s="115"/>
      <c r="G18" s="3"/>
      <c r="H18" s="3"/>
      <c r="I18" s="3"/>
      <c r="J18" s="116" t="s">
        <v>162</v>
      </c>
      <c r="K18" s="116"/>
      <c r="M18" s="3"/>
      <c r="N18" s="3"/>
      <c r="O18" s="3"/>
      <c r="P18" s="3"/>
      <c r="R18" s="116" t="s">
        <v>169</v>
      </c>
      <c r="T18" s="9"/>
    </row>
    <row r="19" spans="3:21">
      <c r="C19" s="91"/>
      <c r="D19" s="430" t="s">
        <v>554</v>
      </c>
      <c r="J19" s="116"/>
      <c r="K19" s="154" t="s">
        <v>163</v>
      </c>
      <c r="N19" s="149" t="s">
        <v>464</v>
      </c>
      <c r="O19" s="4"/>
      <c r="T19" s="9"/>
    </row>
    <row r="20" spans="3:21">
      <c r="C20" s="91"/>
      <c r="D20" s="430" t="s">
        <v>555</v>
      </c>
      <c r="K20" s="116" t="s">
        <v>164</v>
      </c>
      <c r="T20" s="9"/>
    </row>
    <row r="21" spans="3:21">
      <c r="C21" s="91"/>
      <c r="D21" s="2"/>
      <c r="T21" s="9"/>
    </row>
    <row r="22" spans="3:21">
      <c r="C22" s="3" t="s">
        <v>587</v>
      </c>
      <c r="D22" s="8" t="s">
        <v>582</v>
      </c>
      <c r="E22" s="432"/>
      <c r="T22" s="9"/>
    </row>
    <row r="23" spans="3:21">
      <c r="C23" s="3" t="s">
        <v>588</v>
      </c>
      <c r="D23" s="430" t="s">
        <v>556</v>
      </c>
      <c r="T23" s="9"/>
    </row>
    <row r="24" spans="3:21">
      <c r="C24" s="3" t="s">
        <v>589</v>
      </c>
      <c r="D24" s="430" t="s">
        <v>557</v>
      </c>
    </row>
    <row r="25" spans="3:21">
      <c r="C25" s="3" t="s">
        <v>590</v>
      </c>
      <c r="D25" s="430"/>
      <c r="Q25" s="2"/>
      <c r="R25" s="2"/>
      <c r="S25" s="2"/>
      <c r="T25" s="2"/>
      <c r="U25" s="132"/>
    </row>
    <row r="26" spans="3:21">
      <c r="C26" s="3" t="s">
        <v>591</v>
      </c>
      <c r="D26" s="2"/>
    </row>
    <row r="27" spans="3:21">
      <c r="C27" s="3" t="s">
        <v>592</v>
      </c>
      <c r="D27" s="2"/>
    </row>
    <row r="28" spans="3:21">
      <c r="C28" s="3" t="s">
        <v>593</v>
      </c>
      <c r="D28" s="2"/>
    </row>
    <row r="29" spans="3:21">
      <c r="C29" s="3" t="s">
        <v>594</v>
      </c>
      <c r="D29" s="2"/>
    </row>
    <row r="30" spans="3:21">
      <c r="C30" s="3" t="s">
        <v>595</v>
      </c>
      <c r="D30" s="2"/>
    </row>
    <row r="31" spans="3:21">
      <c r="C31" s="91"/>
      <c r="D31" s="2"/>
    </row>
    <row r="32" spans="3:21">
      <c r="C32" s="91"/>
      <c r="D32" s="2"/>
    </row>
    <row r="33" spans="3:5">
      <c r="C33" s="3" t="s">
        <v>570</v>
      </c>
      <c r="D33" s="8" t="s">
        <v>583</v>
      </c>
      <c r="E33" s="2"/>
    </row>
    <row r="34" spans="3:5">
      <c r="C34" s="515" t="s">
        <v>591</v>
      </c>
      <c r="D34" s="430" t="s">
        <v>566</v>
      </c>
    </row>
    <row r="35" spans="3:5">
      <c r="C35" s="515" t="s">
        <v>592</v>
      </c>
      <c r="D35" s="430" t="s">
        <v>567</v>
      </c>
    </row>
    <row r="36" spans="3:5">
      <c r="C36" s="515" t="s">
        <v>596</v>
      </c>
      <c r="D36" s="430" t="s">
        <v>568</v>
      </c>
      <c r="E36" s="91"/>
    </row>
    <row r="37" spans="3:5">
      <c r="C37" s="3" t="s">
        <v>571</v>
      </c>
      <c r="D37" s="2"/>
    </row>
    <row r="38" spans="3:5">
      <c r="C38" s="515" t="s">
        <v>591</v>
      </c>
      <c r="D38" s="2"/>
    </row>
    <row r="39" spans="3:5">
      <c r="C39" s="515" t="s">
        <v>592</v>
      </c>
      <c r="D39" s="2"/>
    </row>
    <row r="40" spans="3:5">
      <c r="C40" s="515" t="s">
        <v>596</v>
      </c>
      <c r="D40" s="2"/>
    </row>
    <row r="41" spans="3:5">
      <c r="C41" s="3"/>
      <c r="D41" s="2"/>
    </row>
    <row r="42" spans="3:5">
      <c r="C42" s="3"/>
      <c r="D42" s="2"/>
    </row>
    <row r="43" spans="3:5">
      <c r="C43" s="3" t="s">
        <v>570</v>
      </c>
      <c r="D43" s="8" t="s">
        <v>584</v>
      </c>
      <c r="E43" s="2"/>
    </row>
    <row r="44" spans="3:5">
      <c r="C44" s="515" t="s">
        <v>587</v>
      </c>
      <c r="D44" s="430" t="s">
        <v>572</v>
      </c>
    </row>
    <row r="45" spans="3:5">
      <c r="C45" s="515" t="s">
        <v>594</v>
      </c>
      <c r="D45" s="430" t="s">
        <v>567</v>
      </c>
    </row>
    <row r="46" spans="3:5">
      <c r="C46" s="3" t="s">
        <v>571</v>
      </c>
      <c r="D46" s="430" t="s">
        <v>568</v>
      </c>
      <c r="E46" s="91"/>
    </row>
    <row r="47" spans="3:5">
      <c r="C47" s="515" t="s">
        <v>587</v>
      </c>
      <c r="D47" s="2"/>
    </row>
    <row r="48" spans="3:5">
      <c r="C48" s="515" t="s">
        <v>594</v>
      </c>
      <c r="D48" s="2"/>
    </row>
    <row r="49" spans="3:5">
      <c r="C49" s="91"/>
      <c r="D49" s="2"/>
    </row>
    <row r="50" spans="3:5">
      <c r="C50" s="91"/>
      <c r="D50" s="2"/>
    </row>
    <row r="51" spans="3:5">
      <c r="C51" s="3" t="s">
        <v>573</v>
      </c>
      <c r="D51" s="8" t="s">
        <v>585</v>
      </c>
      <c r="E51" s="2"/>
    </row>
    <row r="52" spans="3:5">
      <c r="C52" s="515" t="s">
        <v>588</v>
      </c>
      <c r="D52" s="430" t="s">
        <v>556</v>
      </c>
    </row>
    <row r="53" spans="3:5">
      <c r="C53" s="515" t="s">
        <v>589</v>
      </c>
      <c r="D53" s="430" t="s">
        <v>568</v>
      </c>
    </row>
    <row r="54" spans="3:5">
      <c r="C54" s="515" t="s">
        <v>595</v>
      </c>
      <c r="D54" s="2"/>
    </row>
    <row r="55" spans="3:5">
      <c r="C55" s="91"/>
      <c r="D55" s="2"/>
    </row>
    <row r="56" spans="3:5">
      <c r="C56" s="91"/>
      <c r="D56" s="2"/>
    </row>
    <row r="57" spans="3:5">
      <c r="C57" s="3" t="s">
        <v>570</v>
      </c>
      <c r="D57" s="8" t="s">
        <v>586</v>
      </c>
      <c r="E57" s="2"/>
    </row>
    <row r="58" spans="3:5">
      <c r="C58" s="515" t="s">
        <v>590</v>
      </c>
      <c r="D58" s="430" t="s">
        <v>572</v>
      </c>
    </row>
    <row r="59" spans="3:5">
      <c r="C59" s="3" t="s">
        <v>571</v>
      </c>
      <c r="D59" s="430" t="s">
        <v>567</v>
      </c>
    </row>
    <row r="60" spans="3:5">
      <c r="C60" s="515" t="s">
        <v>590</v>
      </c>
      <c r="D60" s="430" t="s">
        <v>568</v>
      </c>
      <c r="E60" s="91"/>
    </row>
    <row r="61" spans="3:5">
      <c r="C61" s="91"/>
      <c r="D61" s="2"/>
    </row>
    <row r="62" spans="3:5">
      <c r="C62" s="91"/>
      <c r="D62" s="2"/>
    </row>
    <row r="63" spans="3:5">
      <c r="C63" s="91"/>
      <c r="D63" s="2"/>
    </row>
  </sheetData>
  <mergeCells count="15">
    <mergeCell ref="A14:E14"/>
    <mergeCell ref="A1:E1"/>
    <mergeCell ref="AE1:AM1"/>
    <mergeCell ref="F1:R1"/>
    <mergeCell ref="S1:S2"/>
    <mergeCell ref="AC2:AD2"/>
    <mergeCell ref="AL2:AM2"/>
    <mergeCell ref="J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67"/>
  <sheetViews>
    <sheetView workbookViewId="0">
      <pane ySplit="2" topLeftCell="A3" activePane="bottomLeft" state="frozen"/>
      <selection pane="bottomLeft" activeCell="B20" sqref="B20:C65"/>
    </sheetView>
  </sheetViews>
  <sheetFormatPr defaultRowHeight="11.25"/>
  <cols>
    <col min="1" max="1" width="10.5703125" style="8" bestFit="1" customWidth="1"/>
    <col min="2" max="2" width="55" style="89" customWidth="1"/>
    <col min="3" max="3" width="8.570312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9.7109375" style="2" customWidth="1"/>
    <col min="13" max="19" width="8.85546875" style="2" customWidth="1"/>
    <col min="20" max="20" width="10.42578125" style="2" customWidth="1"/>
    <col min="21" max="21" width="8.85546875" style="2" customWidth="1"/>
    <col min="22" max="22" width="12" style="2" customWidth="1"/>
    <col min="23" max="23" width="9.85546875" style="82" customWidth="1"/>
    <col min="24" max="24" width="7.42578125" style="82" customWidth="1"/>
    <col min="25" max="25" width="11.42578125" style="82" bestFit="1" customWidth="1"/>
    <col min="26" max="26" width="43.28515625" style="82" bestFit="1" customWidth="1"/>
    <col min="27" max="16384" width="9.140625" style="3"/>
  </cols>
  <sheetData>
    <row r="1" spans="1:26" s="4" customFormat="1" ht="15.75" customHeight="1">
      <c r="A1" s="764" t="s">
        <v>31</v>
      </c>
      <c r="B1" s="765"/>
      <c r="C1" s="765"/>
      <c r="D1" s="766"/>
      <c r="E1" s="767" t="s">
        <v>172</v>
      </c>
      <c r="F1" s="768"/>
      <c r="G1" s="768"/>
      <c r="H1" s="768"/>
      <c r="I1" s="759" t="s">
        <v>166</v>
      </c>
      <c r="J1" s="759"/>
      <c r="K1" s="759"/>
      <c r="L1" s="759"/>
      <c r="M1" s="759"/>
      <c r="N1" s="759"/>
      <c r="O1" s="759"/>
      <c r="P1" s="759"/>
      <c r="Q1" s="759"/>
      <c r="R1" s="759"/>
      <c r="S1" s="759"/>
      <c r="T1" s="759"/>
      <c r="U1" s="759"/>
      <c r="V1" s="759"/>
      <c r="W1" s="760" t="s">
        <v>29</v>
      </c>
      <c r="X1" s="761"/>
      <c r="Y1" s="761"/>
      <c r="Z1" s="761"/>
    </row>
    <row r="2" spans="1:26" s="4" customFormat="1" ht="23.25" thickBot="1">
      <c r="A2" s="10" t="s">
        <v>19</v>
      </c>
      <c r="B2" s="146" t="s">
        <v>0</v>
      </c>
      <c r="C2" s="55" t="s">
        <v>11</v>
      </c>
      <c r="D2" s="147" t="s">
        <v>12</v>
      </c>
      <c r="E2" s="41" t="s">
        <v>485</v>
      </c>
      <c r="F2" s="769" t="s">
        <v>29</v>
      </c>
      <c r="G2" s="770"/>
      <c r="H2" s="771"/>
      <c r="I2" s="41" t="s">
        <v>89</v>
      </c>
      <c r="J2" s="55" t="s">
        <v>90</v>
      </c>
      <c r="K2" s="55" t="s">
        <v>92</v>
      </c>
      <c r="L2" s="55" t="s">
        <v>244</v>
      </c>
      <c r="M2" s="41" t="s">
        <v>245</v>
      </c>
      <c r="N2" s="41" t="s">
        <v>246</v>
      </c>
      <c r="O2" s="55" t="s">
        <v>516</v>
      </c>
      <c r="P2" s="55" t="s">
        <v>36</v>
      </c>
      <c r="Q2" s="55" t="s">
        <v>517</v>
      </c>
      <c r="R2" s="55"/>
      <c r="S2" s="55" t="s">
        <v>518</v>
      </c>
      <c r="T2" s="55" t="s">
        <v>519</v>
      </c>
      <c r="U2" s="55" t="s">
        <v>534</v>
      </c>
      <c r="V2" s="55" t="s">
        <v>47</v>
      </c>
      <c r="W2" s="762"/>
      <c r="X2" s="763"/>
      <c r="Y2" s="763"/>
      <c r="Z2" s="763"/>
    </row>
    <row r="3" spans="1:26" s="189" customFormat="1" ht="12" thickBot="1">
      <c r="A3" s="553" t="str">
        <f>'1-συμβολαια'!A3</f>
        <v>1ο</v>
      </c>
      <c r="B3" s="555" t="str">
        <f>'1-συμβολαια'!C3</f>
        <v>πληρεξούσιο</v>
      </c>
      <c r="C3" s="476" t="str">
        <f>'4-πολλυπρ'!D3</f>
        <v>219-163 = αδερφός</v>
      </c>
      <c r="D3" s="476" t="str">
        <f>'4-πολλυπρ'!I3</f>
        <v>219-163αδερφή</v>
      </c>
      <c r="E3" s="441"/>
      <c r="F3" s="557"/>
      <c r="G3" s="557"/>
      <c r="H3" s="441"/>
      <c r="I3" s="441"/>
      <c r="J3" s="441"/>
      <c r="K3" s="573"/>
      <c r="L3" s="476"/>
      <c r="M3" s="441"/>
      <c r="N3" s="441"/>
      <c r="O3" s="476"/>
      <c r="P3" s="476"/>
      <c r="Q3" s="476"/>
      <c r="R3" s="476"/>
      <c r="S3" s="441"/>
      <c r="T3" s="441"/>
      <c r="U3" s="476"/>
      <c r="V3" s="441">
        <f t="shared" ref="V3" si="0">SUM(I3:U3)</f>
        <v>0</v>
      </c>
      <c r="W3" s="540"/>
      <c r="X3" s="540"/>
      <c r="Y3" s="405"/>
      <c r="Z3" s="264"/>
    </row>
    <row r="4" spans="1:26" s="189" customFormat="1">
      <c r="A4" s="552" t="str">
        <f>'1-συμβολαια'!A4</f>
        <v>2ο</v>
      </c>
      <c r="B4" s="342" t="str">
        <f>'1-συμβολαια'!C4</f>
        <v>κληρονομιάς ΑΠΟΔΟΧΗ</v>
      </c>
      <c r="C4" s="314" t="str">
        <f>'4-πολλυπρ'!D4</f>
        <v>πατήρ</v>
      </c>
      <c r="D4" s="314" t="str">
        <f>'4-πολλυπρ'!I4</f>
        <v>219-163αδερφή</v>
      </c>
      <c r="E4" s="315">
        <v>20</v>
      </c>
      <c r="F4" s="345" t="s">
        <v>173</v>
      </c>
      <c r="G4" s="345" t="s">
        <v>174</v>
      </c>
      <c r="H4" s="315"/>
      <c r="I4" s="315">
        <v>10</v>
      </c>
      <c r="J4" s="315">
        <v>10</v>
      </c>
      <c r="K4" s="404"/>
      <c r="L4" s="314">
        <f>50*9</f>
        <v>450</v>
      </c>
      <c r="M4" s="315"/>
      <c r="N4" s="315"/>
      <c r="O4" s="314"/>
      <c r="P4" s="314"/>
      <c r="Q4" s="314"/>
      <c r="R4" s="314"/>
      <c r="S4" s="315">
        <f>11*1.47</f>
        <v>16.169999999999998</v>
      </c>
      <c r="T4" s="315">
        <f>(2*2+9*2*5)*5</f>
        <v>470</v>
      </c>
      <c r="U4" s="314"/>
      <c r="V4" s="315">
        <f t="shared" ref="V4:V10" si="1">SUM(I4:U4)</f>
        <v>956.17000000000007</v>
      </c>
      <c r="W4" s="388"/>
      <c r="X4" s="388"/>
      <c r="Y4" s="405"/>
      <c r="Z4" s="264"/>
    </row>
    <row r="5" spans="1:26" s="189" customFormat="1">
      <c r="A5" s="552">
        <f>'1-συμβολαια'!A5</f>
        <v>0</v>
      </c>
      <c r="B5" s="342" t="str">
        <f>'1-συμβολαια'!C5</f>
        <v>χρησικτησία αγροτεμαχίων 1,2,3  = 19?? ΑΝΑΔΑΣΜΟΣ</v>
      </c>
      <c r="C5" s="314" t="str">
        <f>'4-πολλυπρ'!D5</f>
        <v>αναδασμός</v>
      </c>
      <c r="D5" s="314" t="str">
        <f>'4-πολλυπρ'!I5</f>
        <v>πατήρ</v>
      </c>
      <c r="E5" s="315">
        <v>20</v>
      </c>
      <c r="F5" s="345" t="s">
        <v>173</v>
      </c>
      <c r="G5" s="345" t="s">
        <v>174</v>
      </c>
      <c r="H5" s="315"/>
      <c r="I5" s="315"/>
      <c r="J5" s="315"/>
      <c r="K5" s="404"/>
      <c r="L5" s="314">
        <f>5*10*3</f>
        <v>150</v>
      </c>
      <c r="M5" s="315"/>
      <c r="N5" s="315"/>
      <c r="O5" s="314"/>
      <c r="P5" s="314"/>
      <c r="Q5" s="314"/>
      <c r="R5" s="314"/>
      <c r="S5" s="315">
        <f>4*1.47</f>
        <v>5.88</v>
      </c>
      <c r="T5" s="315">
        <f>(2*2+3*2*5)*5</f>
        <v>170</v>
      </c>
      <c r="U5" s="314"/>
      <c r="V5" s="315">
        <f t="shared" si="1"/>
        <v>325.88</v>
      </c>
      <c r="W5" s="388"/>
      <c r="X5" s="388"/>
      <c r="Y5" s="405"/>
      <c r="Z5" s="264"/>
    </row>
    <row r="6" spans="1:26" s="189" customFormat="1" ht="12" thickBot="1">
      <c r="A6" s="558">
        <f>'1-συμβολαια'!A6</f>
        <v>0</v>
      </c>
      <c r="B6" s="560" t="str">
        <f>'1-συμβολαια'!C6</f>
        <v>χρησικτησία αγροτεμαχίων 4,5,6,7,8,9 = 1955 πατρός ΔΩΡΕΑ άτυπος</v>
      </c>
      <c r="C6" s="479" t="str">
        <f>'4-πολλυπρ'!D6</f>
        <v>πατήρ</v>
      </c>
      <c r="D6" s="479" t="str">
        <f>'4-πολλυπρ'!I6</f>
        <v>πατήρ</v>
      </c>
      <c r="E6" s="448">
        <v>20</v>
      </c>
      <c r="F6" s="562" t="s">
        <v>173</v>
      </c>
      <c r="G6" s="562" t="s">
        <v>174</v>
      </c>
      <c r="H6" s="448"/>
      <c r="I6" s="448"/>
      <c r="J6" s="448"/>
      <c r="K6" s="574"/>
      <c r="L6" s="479">
        <f>10*5*6</f>
        <v>300</v>
      </c>
      <c r="M6" s="448"/>
      <c r="N6" s="448"/>
      <c r="O6" s="479"/>
      <c r="P6" s="479"/>
      <c r="Q6" s="479"/>
      <c r="R6" s="479"/>
      <c r="S6" s="448">
        <f>7*1.47</f>
        <v>10.29</v>
      </c>
      <c r="T6" s="448">
        <f>(2*2+6*2*5)*5</f>
        <v>320</v>
      </c>
      <c r="U6" s="479"/>
      <c r="V6" s="448">
        <f t="shared" si="1"/>
        <v>630.29</v>
      </c>
      <c r="W6" s="542"/>
      <c r="X6" s="542"/>
      <c r="Y6" s="405"/>
      <c r="Z6" s="264"/>
    </row>
    <row r="7" spans="1:26" s="189" customFormat="1">
      <c r="A7" s="571" t="str">
        <f>'1-συμβολαια'!A7</f>
        <v>3ο</v>
      </c>
      <c r="B7" s="342" t="str">
        <f>'1-συμβολαια'!C7</f>
        <v xml:space="preserve">γονική </v>
      </c>
      <c r="C7" s="314" t="str">
        <f>'4-πολλυπρ'!D7</f>
        <v>219-163αδερφή</v>
      </c>
      <c r="D7" s="314" t="str">
        <f>'4-πολλυπρ'!I7</f>
        <v>ανηψιά</v>
      </c>
      <c r="E7" s="315">
        <v>20</v>
      </c>
      <c r="F7" s="345" t="s">
        <v>173</v>
      </c>
      <c r="G7" s="345" t="s">
        <v>174</v>
      </c>
      <c r="H7" s="315"/>
      <c r="I7" s="315"/>
      <c r="J7" s="315"/>
      <c r="K7" s="404"/>
      <c r="L7" s="314">
        <f>10*5*3</f>
        <v>150</v>
      </c>
      <c r="M7" s="315"/>
      <c r="N7" s="315"/>
      <c r="O7" s="314"/>
      <c r="P7" s="314"/>
      <c r="Q7" s="314"/>
      <c r="R7" s="314"/>
      <c r="S7" s="315">
        <f>4*1.47</f>
        <v>5.88</v>
      </c>
      <c r="T7" s="315">
        <f>(2*2+3*2*5)*5</f>
        <v>170</v>
      </c>
      <c r="U7" s="314"/>
      <c r="V7" s="315">
        <f t="shared" si="1"/>
        <v>325.88</v>
      </c>
      <c r="W7" s="388"/>
      <c r="X7" s="388"/>
      <c r="Y7" s="405"/>
      <c r="Z7" s="264"/>
    </row>
    <row r="8" spans="1:26" s="189" customFormat="1" ht="12" thickBot="1">
      <c r="A8" s="572">
        <f>'1-συμβολαια'!A8</f>
        <v>0</v>
      </c>
      <c r="B8" s="560" t="str">
        <f>'1-συμβολαια'!C8</f>
        <v>δωρεά</v>
      </c>
      <c r="C8" s="479" t="str">
        <f>'4-πολλυπρ'!D8</f>
        <v>219-163</v>
      </c>
      <c r="D8" s="479" t="str">
        <f>'4-πολλυπρ'!I8</f>
        <v>ανηψιά</v>
      </c>
      <c r="E8" s="448">
        <v>20</v>
      </c>
      <c r="F8" s="562" t="s">
        <v>173</v>
      </c>
      <c r="G8" s="562" t="s">
        <v>174</v>
      </c>
      <c r="H8" s="448"/>
      <c r="I8" s="448"/>
      <c r="J8" s="448"/>
      <c r="K8" s="574"/>
      <c r="L8" s="479">
        <f>10*5*3</f>
        <v>150</v>
      </c>
      <c r="M8" s="448"/>
      <c r="N8" s="448"/>
      <c r="O8" s="479"/>
      <c r="P8" s="479"/>
      <c r="Q8" s="479"/>
      <c r="R8" s="479"/>
      <c r="S8" s="448">
        <f>4*1.47</f>
        <v>5.88</v>
      </c>
      <c r="T8" s="448">
        <f>(2*2+3*2*5)*5</f>
        <v>170</v>
      </c>
      <c r="U8" s="479"/>
      <c r="V8" s="448">
        <f t="shared" si="1"/>
        <v>325.88</v>
      </c>
      <c r="W8" s="542"/>
      <c r="X8" s="542"/>
      <c r="Y8" s="577"/>
      <c r="Z8" s="264"/>
    </row>
    <row r="9" spans="1:26" s="189" customFormat="1">
      <c r="A9" s="552" t="str">
        <f>'1-συμβολαια'!A9</f>
        <v>4ο</v>
      </c>
      <c r="B9" s="342" t="str">
        <f>'1-συμβολαια'!C9</f>
        <v xml:space="preserve">γονική </v>
      </c>
      <c r="C9" s="314" t="str">
        <f>'4-πολλυπρ'!D9</f>
        <v>219-163</v>
      </c>
      <c r="D9" s="314" t="str">
        <f>'4-πολλυπρ'!I9</f>
        <v>κόρη</v>
      </c>
      <c r="E9" s="315">
        <v>20</v>
      </c>
      <c r="F9" s="345" t="s">
        <v>173</v>
      </c>
      <c r="G9" s="345" t="s">
        <v>174</v>
      </c>
      <c r="H9" s="315"/>
      <c r="I9" s="315"/>
      <c r="J9" s="315"/>
      <c r="K9" s="404"/>
      <c r="L9" s="314">
        <f>10*5*2</f>
        <v>100</v>
      </c>
      <c r="M9" s="315"/>
      <c r="N9" s="315"/>
      <c r="O9" s="314"/>
      <c r="P9" s="314"/>
      <c r="Q9" s="314"/>
      <c r="R9" s="314"/>
      <c r="S9" s="315">
        <f>3*1.47</f>
        <v>4.41</v>
      </c>
      <c r="T9" s="315">
        <f>(2*2+2*2*5)*5</f>
        <v>120</v>
      </c>
      <c r="U9" s="314"/>
      <c r="V9" s="315">
        <f t="shared" si="1"/>
        <v>224.41</v>
      </c>
      <c r="W9" s="388"/>
      <c r="X9" s="388"/>
      <c r="Y9" s="405"/>
      <c r="Z9" s="264"/>
    </row>
    <row r="10" spans="1:26" s="189" customFormat="1" ht="12" thickBot="1">
      <c r="A10" s="558">
        <f>'1-συμβολαια'!A10</f>
        <v>0</v>
      </c>
      <c r="B10" s="560" t="str">
        <f>'1-συμβολαια'!C10</f>
        <v>δωρεά</v>
      </c>
      <c r="C10" s="479" t="str">
        <f>'4-πολλυπρ'!D10</f>
        <v>219-163αδερφή</v>
      </c>
      <c r="D10" s="479" t="str">
        <f>'4-πολλυπρ'!I10</f>
        <v>κόρη</v>
      </c>
      <c r="E10" s="448">
        <v>20</v>
      </c>
      <c r="F10" s="562" t="s">
        <v>173</v>
      </c>
      <c r="G10" s="562" t="s">
        <v>174</v>
      </c>
      <c r="H10" s="448"/>
      <c r="I10" s="448"/>
      <c r="J10" s="448"/>
      <c r="K10" s="574"/>
      <c r="L10" s="479">
        <f>10*5*2</f>
        <v>100</v>
      </c>
      <c r="M10" s="448"/>
      <c r="N10" s="448"/>
      <c r="O10" s="479"/>
      <c r="P10" s="479"/>
      <c r="Q10" s="479"/>
      <c r="R10" s="479"/>
      <c r="S10" s="448">
        <f>3*1.47</f>
        <v>4.41</v>
      </c>
      <c r="T10" s="448">
        <f>(2*2+2*2*5)*5</f>
        <v>120</v>
      </c>
      <c r="U10" s="479"/>
      <c r="V10" s="448">
        <f t="shared" si="1"/>
        <v>224.41</v>
      </c>
      <c r="W10" s="542"/>
      <c r="X10" s="542"/>
      <c r="Y10" s="577"/>
      <c r="Z10" s="264"/>
    </row>
    <row r="11" spans="1:26" s="189" customFormat="1" ht="12" thickBot="1">
      <c r="A11" s="564" t="str">
        <f>'1-συμβολαια'!A11</f>
        <v>5ο</v>
      </c>
      <c r="B11" s="566" t="str">
        <f>'1-συμβολαια'!C11</f>
        <v>δωρεά</v>
      </c>
      <c r="C11" s="567" t="str">
        <f>'4-πολλυπρ'!D11</f>
        <v>219-163</v>
      </c>
      <c r="D11" s="567" t="str">
        <f>'4-πολλυπρ'!I11</f>
        <v>219-163 = αδερφός</v>
      </c>
      <c r="E11" s="568">
        <v>20</v>
      </c>
      <c r="F11" s="570" t="s">
        <v>173</v>
      </c>
      <c r="G11" s="570" t="s">
        <v>174</v>
      </c>
      <c r="H11" s="568"/>
      <c r="I11" s="568"/>
      <c r="J11" s="568"/>
      <c r="K11" s="578"/>
      <c r="L11" s="567">
        <f>10*5*3</f>
        <v>150</v>
      </c>
      <c r="M11" s="568"/>
      <c r="N11" s="568"/>
      <c r="O11" s="567"/>
      <c r="P11" s="567"/>
      <c r="Q11" s="567"/>
      <c r="R11" s="567"/>
      <c r="S11" s="568">
        <f>4*1.47</f>
        <v>5.88</v>
      </c>
      <c r="T11" s="568">
        <f>(2*2+3*2*5)*5</f>
        <v>170</v>
      </c>
      <c r="U11" s="567"/>
      <c r="V11" s="568">
        <f t="shared" ref="V11:V13" si="2">SUM(I11:U11)</f>
        <v>325.88</v>
      </c>
      <c r="W11" s="544"/>
      <c r="X11" s="544"/>
      <c r="Y11" s="405"/>
      <c r="Z11" s="264"/>
    </row>
    <row r="12" spans="1:26" s="189" customFormat="1">
      <c r="A12" s="552" t="str">
        <f>'1-συμβολαια'!A12</f>
        <v>6ο</v>
      </c>
      <c r="B12" s="342" t="str">
        <f>'1-συμβολαια'!C12</f>
        <v xml:space="preserve">γονική </v>
      </c>
      <c r="C12" s="314" t="str">
        <f>'4-πολλυπρ'!D12</f>
        <v>219-163</v>
      </c>
      <c r="D12" s="314" t="str">
        <f>'4-πολλυπρ'!I12</f>
        <v>ανηψιός</v>
      </c>
      <c r="E12" s="315">
        <v>20</v>
      </c>
      <c r="F12" s="345" t="s">
        <v>173</v>
      </c>
      <c r="G12" s="345" t="s">
        <v>174</v>
      </c>
      <c r="H12" s="315"/>
      <c r="I12" s="315"/>
      <c r="J12" s="315"/>
      <c r="K12" s="404"/>
      <c r="L12" s="314">
        <f>10*5*2</f>
        <v>100</v>
      </c>
      <c r="M12" s="315"/>
      <c r="N12" s="315"/>
      <c r="O12" s="314"/>
      <c r="P12" s="314"/>
      <c r="Q12" s="314"/>
      <c r="R12" s="314"/>
      <c r="S12" s="315">
        <f>3*1.47</f>
        <v>4.41</v>
      </c>
      <c r="T12" s="315">
        <f>(2*2+2*5)*5</f>
        <v>70</v>
      </c>
      <c r="U12" s="314"/>
      <c r="V12" s="315">
        <f t="shared" si="2"/>
        <v>174.41</v>
      </c>
      <c r="W12" s="388"/>
      <c r="X12" s="388"/>
      <c r="Y12" s="405"/>
      <c r="Z12" s="264"/>
    </row>
    <row r="13" spans="1:26" s="189" customFormat="1" ht="12" thickBot="1">
      <c r="A13" s="558">
        <f>'1-συμβολαια'!A13</f>
        <v>0</v>
      </c>
      <c r="B13" s="560" t="str">
        <f>'1-συμβολαια'!C13</f>
        <v>δωρεά</v>
      </c>
      <c r="C13" s="479" t="str">
        <f>'4-πολλυπρ'!D13</f>
        <v>219-163αδερφή</v>
      </c>
      <c r="D13" s="479" t="str">
        <f>'4-πολλυπρ'!I13</f>
        <v>ανηψιός</v>
      </c>
      <c r="E13" s="448">
        <v>20</v>
      </c>
      <c r="F13" s="562" t="s">
        <v>173</v>
      </c>
      <c r="G13" s="562" t="s">
        <v>174</v>
      </c>
      <c r="H13" s="448"/>
      <c r="I13" s="448"/>
      <c r="J13" s="448"/>
      <c r="K13" s="574"/>
      <c r="L13" s="479">
        <f>10*5*2</f>
        <v>100</v>
      </c>
      <c r="M13" s="448"/>
      <c r="N13" s="448"/>
      <c r="O13" s="479"/>
      <c r="P13" s="479"/>
      <c r="Q13" s="479"/>
      <c r="R13" s="479"/>
      <c r="S13" s="448">
        <f>3*1.47</f>
        <v>4.41</v>
      </c>
      <c r="T13" s="448">
        <f>(2*2+2*5)*5</f>
        <v>70</v>
      </c>
      <c r="U13" s="479"/>
      <c r="V13" s="448">
        <f t="shared" si="2"/>
        <v>174.41</v>
      </c>
      <c r="W13" s="542"/>
      <c r="X13" s="542"/>
      <c r="Y13" s="405"/>
      <c r="Z13" s="264"/>
    </row>
    <row r="14" spans="1:26">
      <c r="A14" s="745" t="s">
        <v>35</v>
      </c>
      <c r="B14" s="746"/>
      <c r="C14" s="746"/>
      <c r="D14" s="747"/>
      <c r="E14" s="563">
        <f>SUM(E3:E13)</f>
        <v>200</v>
      </c>
      <c r="F14" s="563"/>
      <c r="G14" s="563"/>
      <c r="H14" s="563"/>
      <c r="I14" s="563">
        <f t="shared" ref="I14:W14" si="3">SUM(I3:I13)</f>
        <v>10</v>
      </c>
      <c r="J14" s="563">
        <f t="shared" si="3"/>
        <v>10</v>
      </c>
      <c r="K14" s="575">
        <f t="shared" si="3"/>
        <v>0</v>
      </c>
      <c r="L14" s="563">
        <f t="shared" si="3"/>
        <v>1750</v>
      </c>
      <c r="M14" s="563">
        <f t="shared" si="3"/>
        <v>0</v>
      </c>
      <c r="N14" s="563">
        <f t="shared" si="3"/>
        <v>0</v>
      </c>
      <c r="O14" s="563">
        <f t="shared" si="3"/>
        <v>0</v>
      </c>
      <c r="P14" s="563">
        <f t="shared" si="3"/>
        <v>0</v>
      </c>
      <c r="Q14" s="563">
        <f t="shared" si="3"/>
        <v>0</v>
      </c>
      <c r="R14" s="563">
        <f t="shared" si="3"/>
        <v>0</v>
      </c>
      <c r="S14" s="563">
        <f t="shared" si="3"/>
        <v>67.62</v>
      </c>
      <c r="T14" s="563">
        <f t="shared" si="3"/>
        <v>1850</v>
      </c>
      <c r="U14" s="563">
        <f t="shared" si="3"/>
        <v>0</v>
      </c>
      <c r="V14" s="563">
        <f t="shared" si="3"/>
        <v>3687.62</v>
      </c>
      <c r="W14" s="576">
        <f t="shared" si="3"/>
        <v>0</v>
      </c>
      <c r="X14" s="137"/>
      <c r="Y14" s="3"/>
      <c r="Z14" s="3"/>
    </row>
    <row r="16" spans="1:26" ht="15.75" customHeight="1">
      <c r="I16" s="134" t="s">
        <v>486</v>
      </c>
      <c r="L16" s="130" t="s">
        <v>487</v>
      </c>
      <c r="X16" s="148"/>
      <c r="Y16" s="86"/>
      <c r="Z16" s="148"/>
    </row>
    <row r="17" spans="2:26">
      <c r="F17" s="154" t="s">
        <v>170</v>
      </c>
      <c r="G17" s="116"/>
      <c r="H17" s="82"/>
      <c r="L17" s="166" t="s">
        <v>212</v>
      </c>
      <c r="X17" s="2"/>
    </row>
    <row r="18" spans="2:26">
      <c r="F18" s="82"/>
      <c r="G18" s="116" t="s">
        <v>171</v>
      </c>
      <c r="M18" s="165" t="s">
        <v>213</v>
      </c>
      <c r="W18" s="2"/>
      <c r="X18" s="2"/>
    </row>
    <row r="19" spans="2:26" ht="12.75">
      <c r="N19" s="377" t="s">
        <v>214</v>
      </c>
      <c r="O19" s="378"/>
      <c r="W19" s="2"/>
      <c r="X19" s="2"/>
    </row>
    <row r="20" spans="2:26" ht="12.75">
      <c r="B20" s="91"/>
      <c r="C20" s="8" t="s">
        <v>581</v>
      </c>
      <c r="N20" s="378"/>
      <c r="O20" s="379" t="s">
        <v>511</v>
      </c>
      <c r="W20" s="2"/>
      <c r="X20" s="2"/>
    </row>
    <row r="21" spans="2:26" ht="12.75">
      <c r="B21" s="91"/>
      <c r="C21" s="430" t="s">
        <v>554</v>
      </c>
      <c r="P21" s="379" t="s">
        <v>512</v>
      </c>
      <c r="Q21" s="378"/>
      <c r="R21" s="378"/>
      <c r="S21" s="378"/>
    </row>
    <row r="22" spans="2:26" ht="12.75">
      <c r="B22" s="91"/>
      <c r="C22" s="430" t="s">
        <v>555</v>
      </c>
      <c r="P22" s="378"/>
      <c r="Q22" s="379" t="s">
        <v>513</v>
      </c>
      <c r="R22" s="378"/>
      <c r="S22" s="378"/>
    </row>
    <row r="23" spans="2:26" ht="12.75">
      <c r="B23" s="91"/>
      <c r="C23" s="2"/>
      <c r="P23" s="378"/>
      <c r="Q23" s="378"/>
      <c r="R23" s="378"/>
      <c r="S23" s="378" t="s">
        <v>514</v>
      </c>
    </row>
    <row r="24" spans="2:26" ht="12.75">
      <c r="B24" s="3" t="s">
        <v>587</v>
      </c>
      <c r="C24" s="8" t="s">
        <v>582</v>
      </c>
      <c r="N24" s="377"/>
      <c r="O24" s="378"/>
      <c r="P24" s="378"/>
      <c r="Q24" s="378"/>
      <c r="R24" s="378"/>
      <c r="S24" s="378"/>
      <c r="T24" s="378" t="s">
        <v>515</v>
      </c>
      <c r="U24" s="378"/>
      <c r="V24" s="378"/>
      <c r="W24" s="378"/>
      <c r="X24" s="378"/>
      <c r="Y24" s="378"/>
      <c r="Z24" s="378"/>
    </row>
    <row r="25" spans="2:26">
      <c r="B25" s="3" t="s">
        <v>588</v>
      </c>
      <c r="C25" s="430" t="s">
        <v>556</v>
      </c>
      <c r="U25" s="2" t="s">
        <v>534</v>
      </c>
    </row>
    <row r="26" spans="2:26">
      <c r="B26" s="3" t="s">
        <v>589</v>
      </c>
      <c r="C26" s="430" t="s">
        <v>557</v>
      </c>
    </row>
    <row r="27" spans="2:26">
      <c r="B27" s="3" t="s">
        <v>590</v>
      </c>
      <c r="C27" s="430"/>
    </row>
    <row r="28" spans="2:26">
      <c r="B28" s="3" t="s">
        <v>591</v>
      </c>
      <c r="C28" s="2"/>
    </row>
    <row r="29" spans="2:26">
      <c r="B29" s="3" t="s">
        <v>592</v>
      </c>
      <c r="C29" s="2"/>
    </row>
    <row r="30" spans="2:26">
      <c r="B30" s="3" t="s">
        <v>593</v>
      </c>
      <c r="C30" s="2"/>
    </row>
    <row r="31" spans="2:26">
      <c r="B31" s="3" t="s">
        <v>594</v>
      </c>
      <c r="C31" s="2"/>
    </row>
    <row r="32" spans="2:26">
      <c r="B32" s="3" t="s">
        <v>595</v>
      </c>
      <c r="C32" s="2"/>
    </row>
    <row r="33" spans="2:3">
      <c r="B33" s="91"/>
      <c r="C33" s="2"/>
    </row>
    <row r="34" spans="2:3">
      <c r="B34" s="91"/>
      <c r="C34" s="2"/>
    </row>
    <row r="35" spans="2:3">
      <c r="B35" s="3" t="s">
        <v>570</v>
      </c>
      <c r="C35" s="8" t="s">
        <v>583</v>
      </c>
    </row>
    <row r="36" spans="2:3">
      <c r="B36" s="515" t="s">
        <v>591</v>
      </c>
      <c r="C36" s="430" t="s">
        <v>566</v>
      </c>
    </row>
    <row r="37" spans="2:3">
      <c r="B37" s="515" t="s">
        <v>592</v>
      </c>
      <c r="C37" s="430" t="s">
        <v>567</v>
      </c>
    </row>
    <row r="38" spans="2:3">
      <c r="B38" s="515" t="s">
        <v>596</v>
      </c>
      <c r="C38" s="430" t="s">
        <v>568</v>
      </c>
    </row>
    <row r="39" spans="2:3">
      <c r="B39" s="3" t="s">
        <v>571</v>
      </c>
      <c r="C39" s="2"/>
    </row>
    <row r="40" spans="2:3">
      <c r="B40" s="515" t="s">
        <v>591</v>
      </c>
      <c r="C40" s="2"/>
    </row>
    <row r="41" spans="2:3">
      <c r="B41" s="515" t="s">
        <v>592</v>
      </c>
      <c r="C41" s="2"/>
    </row>
    <row r="42" spans="2:3">
      <c r="B42" s="515" t="s">
        <v>596</v>
      </c>
      <c r="C42" s="2"/>
    </row>
    <row r="43" spans="2:3">
      <c r="B43" s="3"/>
      <c r="C43" s="2"/>
    </row>
    <row r="44" spans="2:3">
      <c r="B44" s="3"/>
      <c r="C44" s="2"/>
    </row>
    <row r="45" spans="2:3">
      <c r="B45" s="3" t="s">
        <v>570</v>
      </c>
      <c r="C45" s="8" t="s">
        <v>584</v>
      </c>
    </row>
    <row r="46" spans="2:3">
      <c r="B46" s="515" t="s">
        <v>587</v>
      </c>
      <c r="C46" s="430" t="s">
        <v>572</v>
      </c>
    </row>
    <row r="47" spans="2:3">
      <c r="B47" s="515" t="s">
        <v>594</v>
      </c>
      <c r="C47" s="430" t="s">
        <v>567</v>
      </c>
    </row>
    <row r="48" spans="2:3">
      <c r="B48" s="3" t="s">
        <v>571</v>
      </c>
      <c r="C48" s="430" t="s">
        <v>568</v>
      </c>
    </row>
    <row r="49" spans="2:3">
      <c r="B49" s="515" t="s">
        <v>587</v>
      </c>
      <c r="C49" s="2"/>
    </row>
    <row r="50" spans="2:3">
      <c r="B50" s="515" t="s">
        <v>594</v>
      </c>
      <c r="C50" s="2"/>
    </row>
    <row r="51" spans="2:3">
      <c r="B51" s="91"/>
      <c r="C51" s="2"/>
    </row>
    <row r="52" spans="2:3">
      <c r="B52" s="91"/>
      <c r="C52" s="2"/>
    </row>
    <row r="53" spans="2:3">
      <c r="B53" s="3" t="s">
        <v>573</v>
      </c>
      <c r="C53" s="8" t="s">
        <v>585</v>
      </c>
    </row>
    <row r="54" spans="2:3">
      <c r="B54" s="515" t="s">
        <v>588</v>
      </c>
      <c r="C54" s="430" t="s">
        <v>556</v>
      </c>
    </row>
    <row r="55" spans="2:3">
      <c r="B55" s="515" t="s">
        <v>589</v>
      </c>
      <c r="C55" s="430" t="s">
        <v>568</v>
      </c>
    </row>
    <row r="56" spans="2:3">
      <c r="B56" s="515" t="s">
        <v>595</v>
      </c>
      <c r="C56" s="2"/>
    </row>
    <row r="57" spans="2:3">
      <c r="B57" s="91"/>
      <c r="C57" s="2"/>
    </row>
    <row r="58" spans="2:3">
      <c r="B58" s="91"/>
      <c r="C58" s="2"/>
    </row>
    <row r="59" spans="2:3">
      <c r="B59" s="3" t="s">
        <v>570</v>
      </c>
      <c r="C59" s="8" t="s">
        <v>586</v>
      </c>
    </row>
    <row r="60" spans="2:3">
      <c r="B60" s="515" t="s">
        <v>590</v>
      </c>
      <c r="C60" s="430" t="s">
        <v>572</v>
      </c>
    </row>
    <row r="61" spans="2:3">
      <c r="B61" s="3" t="s">
        <v>571</v>
      </c>
      <c r="C61" s="430" t="s">
        <v>567</v>
      </c>
    </row>
    <row r="62" spans="2:3">
      <c r="B62" s="515" t="s">
        <v>590</v>
      </c>
      <c r="C62" s="430" t="s">
        <v>568</v>
      </c>
    </row>
    <row r="63" spans="2:3">
      <c r="B63" s="91"/>
      <c r="C63" s="2"/>
    </row>
    <row r="64" spans="2:3">
      <c r="B64" s="91"/>
      <c r="C64" s="2"/>
    </row>
    <row r="65" spans="2:3">
      <c r="B65" s="91"/>
      <c r="C65" s="2"/>
    </row>
    <row r="66" spans="2:3">
      <c r="B66" s="91"/>
      <c r="C66" s="2"/>
    </row>
    <row r="67" spans="2:3">
      <c r="B67" s="91"/>
      <c r="C67" s="2"/>
    </row>
  </sheetData>
  <mergeCells count="6">
    <mergeCell ref="I1:V1"/>
    <mergeCell ref="W1:Z2"/>
    <mergeCell ref="A1:D1"/>
    <mergeCell ref="A14:D1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5"/>
  <sheetViews>
    <sheetView topLeftCell="N1" workbookViewId="0">
      <pane ySplit="2" topLeftCell="A3" activePane="bottomLeft" state="frozen"/>
      <selection pane="bottomLeft" activeCell="E37" sqref="E37"/>
    </sheetView>
  </sheetViews>
  <sheetFormatPr defaultRowHeight="11.25"/>
  <cols>
    <col min="1" max="1" width="5.85546875" style="3" customWidth="1"/>
    <col min="2" max="2" width="53.2851562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6.57031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775" t="s">
        <v>333</v>
      </c>
      <c r="B1" s="776"/>
      <c r="C1" s="776"/>
      <c r="D1" s="776"/>
      <c r="E1" s="776"/>
      <c r="F1" s="776"/>
      <c r="G1" s="776"/>
      <c r="H1" s="776"/>
      <c r="I1" s="776"/>
      <c r="J1" s="776"/>
      <c r="K1" s="776"/>
      <c r="L1" s="776"/>
      <c r="M1" s="776"/>
      <c r="N1" s="776"/>
      <c r="O1" s="776"/>
      <c r="P1" s="776"/>
      <c r="Q1" s="776"/>
      <c r="R1" s="776"/>
      <c r="S1" s="776"/>
      <c r="T1" s="776"/>
      <c r="U1" s="776"/>
      <c r="V1" s="776"/>
      <c r="W1" s="776"/>
      <c r="X1" s="776"/>
      <c r="Y1" s="776"/>
      <c r="Z1" s="776"/>
      <c r="AA1" s="776"/>
      <c r="AB1" s="776"/>
      <c r="AC1" s="776"/>
      <c r="AD1" s="776"/>
      <c r="AE1" s="777" t="s">
        <v>47</v>
      </c>
      <c r="AF1" s="779" t="s">
        <v>9</v>
      </c>
      <c r="AG1" s="781" t="s">
        <v>33</v>
      </c>
      <c r="AH1" s="783" t="s">
        <v>343</v>
      </c>
      <c r="AI1" s="785" t="s">
        <v>85</v>
      </c>
      <c r="AJ1" s="786"/>
      <c r="AK1" s="786"/>
      <c r="AL1" s="787"/>
    </row>
    <row r="2" spans="1:38" ht="12" thickBot="1">
      <c r="A2" s="192"/>
      <c r="B2" s="193" t="s">
        <v>342</v>
      </c>
      <c r="C2" s="193" t="s">
        <v>86</v>
      </c>
      <c r="D2" s="194" t="s">
        <v>334</v>
      </c>
      <c r="E2" s="170" t="s">
        <v>31</v>
      </c>
      <c r="F2" s="170" t="s">
        <v>335</v>
      </c>
      <c r="G2" s="170" t="s">
        <v>336</v>
      </c>
      <c r="H2" s="170" t="s">
        <v>337</v>
      </c>
      <c r="I2" s="170" t="s">
        <v>338</v>
      </c>
      <c r="J2" s="170" t="s">
        <v>339</v>
      </c>
      <c r="K2" s="743" t="s">
        <v>29</v>
      </c>
      <c r="L2" s="744"/>
      <c r="M2" s="180" t="s">
        <v>340</v>
      </c>
      <c r="N2" s="180" t="s">
        <v>31</v>
      </c>
      <c r="O2" s="180" t="s">
        <v>335</v>
      </c>
      <c r="P2" s="180" t="s">
        <v>336</v>
      </c>
      <c r="Q2" s="180" t="s">
        <v>337</v>
      </c>
      <c r="R2" s="180" t="s">
        <v>338</v>
      </c>
      <c r="S2" s="180" t="s">
        <v>339</v>
      </c>
      <c r="T2" s="753" t="s">
        <v>29</v>
      </c>
      <c r="U2" s="754"/>
      <c r="V2" s="170" t="s">
        <v>341</v>
      </c>
      <c r="W2" s="170" t="s">
        <v>31</v>
      </c>
      <c r="X2" s="170" t="s">
        <v>335</v>
      </c>
      <c r="Y2" s="170" t="s">
        <v>336</v>
      </c>
      <c r="Z2" s="170" t="s">
        <v>337</v>
      </c>
      <c r="AA2" s="170" t="s">
        <v>338</v>
      </c>
      <c r="AB2" s="170" t="s">
        <v>339</v>
      </c>
      <c r="AC2" s="743" t="s">
        <v>29</v>
      </c>
      <c r="AD2" s="744"/>
      <c r="AE2" s="778"/>
      <c r="AF2" s="780"/>
      <c r="AG2" s="782"/>
      <c r="AH2" s="784"/>
      <c r="AI2" s="788"/>
      <c r="AJ2" s="789"/>
      <c r="AK2" s="789"/>
      <c r="AL2" s="790"/>
    </row>
    <row r="3" spans="1:38" s="5" customFormat="1" ht="12" thickBot="1">
      <c r="A3" s="493" t="str">
        <f>'1-συμβολαια'!A3</f>
        <v>1ο</v>
      </c>
      <c r="B3" s="493" t="str">
        <f>'1-συμβολαια'!C3</f>
        <v>πληρεξούσιο</v>
      </c>
      <c r="C3" s="443">
        <f>'1-συμβολαια'!D3</f>
        <v>0</v>
      </c>
      <c r="D3" s="443">
        <f t="shared" ref="D3" si="0">C3*1.3%</f>
        <v>0</v>
      </c>
      <c r="E3" s="493"/>
      <c r="F3" s="493"/>
      <c r="G3" s="493"/>
      <c r="H3" s="493"/>
      <c r="I3" s="493"/>
      <c r="J3" s="493"/>
      <c r="K3" s="493"/>
      <c r="L3" s="493"/>
      <c r="M3" s="443"/>
      <c r="N3" s="493"/>
      <c r="O3" s="493"/>
      <c r="P3" s="493"/>
      <c r="Q3" s="493"/>
      <c r="R3" s="493"/>
      <c r="S3" s="493"/>
      <c r="T3" s="493"/>
      <c r="U3" s="493"/>
      <c r="V3" s="443"/>
      <c r="W3" s="493"/>
      <c r="X3" s="493"/>
      <c r="Y3" s="493"/>
      <c r="Z3" s="493"/>
      <c r="AA3" s="493"/>
      <c r="AB3" s="493"/>
      <c r="AC3" s="493"/>
      <c r="AD3" s="493"/>
      <c r="AE3" s="443">
        <f t="shared" ref="AE3" si="1">D3+M3+V3</f>
        <v>0</v>
      </c>
      <c r="AF3" s="443">
        <f t="shared" ref="AF3" si="2">E3+N3+W3</f>
        <v>0</v>
      </c>
      <c r="AG3" s="443">
        <f t="shared" ref="AG3" si="3">AE3-AF3</f>
        <v>0</v>
      </c>
      <c r="AH3" s="493"/>
      <c r="AI3" s="493"/>
      <c r="AJ3" s="493"/>
      <c r="AK3" s="493"/>
      <c r="AL3" s="493"/>
    </row>
    <row r="4" spans="1:38" s="5" customFormat="1">
      <c r="A4" s="494" t="str">
        <f>'1-συμβολαια'!A4</f>
        <v>2ο</v>
      </c>
      <c r="B4" s="346" t="str">
        <f>'1-συμβολαια'!C4</f>
        <v>κληρονομιάς ΑΠΟΔΟΧΗ</v>
      </c>
      <c r="C4" s="311">
        <f>'1-συμβολαια'!D4</f>
        <v>0</v>
      </c>
      <c r="D4" s="311"/>
      <c r="E4" s="346"/>
      <c r="F4" s="346"/>
      <c r="G4" s="346"/>
      <c r="H4" s="346"/>
      <c r="I4" s="346"/>
      <c r="J4" s="346"/>
      <c r="K4" s="346"/>
      <c r="L4" s="346"/>
      <c r="M4" s="311">
        <f t="shared" ref="M4:M5" si="4">C4*0.65%</f>
        <v>0</v>
      </c>
      <c r="N4" s="346"/>
      <c r="O4" s="346"/>
      <c r="P4" s="346"/>
      <c r="Q4" s="346"/>
      <c r="R4" s="346"/>
      <c r="S4" s="346"/>
      <c r="T4" s="346"/>
      <c r="U4" s="346"/>
      <c r="V4" s="311">
        <f t="shared" ref="V4:V5" si="5">C4*0.125%</f>
        <v>0</v>
      </c>
      <c r="W4" s="346"/>
      <c r="X4" s="346"/>
      <c r="Y4" s="346"/>
      <c r="Z4" s="346"/>
      <c r="AA4" s="346"/>
      <c r="AB4" s="346"/>
      <c r="AC4" s="346"/>
      <c r="AD4" s="346"/>
      <c r="AE4" s="311">
        <f t="shared" ref="AE4:AE5" si="6">D4+M4+V4</f>
        <v>0</v>
      </c>
      <c r="AF4" s="311">
        <f t="shared" ref="AF4:AF5" si="7">E4+N4+W4</f>
        <v>0</v>
      </c>
      <c r="AG4" s="311">
        <f t="shared" ref="AG4:AG5" si="8">AE4-AF4</f>
        <v>0</v>
      </c>
      <c r="AH4" s="346"/>
      <c r="AI4" s="346"/>
      <c r="AJ4" s="346"/>
      <c r="AK4" s="346"/>
      <c r="AL4" s="346"/>
    </row>
    <row r="5" spans="1:38" s="5" customFormat="1">
      <c r="A5" s="494"/>
      <c r="B5" s="74" t="str">
        <f>'1-συμβολαια'!C5</f>
        <v>χρησικτησία αγροτεμαχίων 1,2,3  = 19?? ΑΝΑΔΑΣΜΟΣ</v>
      </c>
      <c r="C5" s="344">
        <f>'1-συμβολαια'!D5</f>
        <v>2100.9416999999999</v>
      </c>
      <c r="D5" s="344"/>
      <c r="E5" s="74"/>
      <c r="F5" s="74"/>
      <c r="G5" s="74"/>
      <c r="H5" s="74"/>
      <c r="I5" s="74"/>
      <c r="J5" s="74"/>
      <c r="K5" s="74"/>
      <c r="L5" s="74"/>
      <c r="M5" s="344">
        <f t="shared" si="4"/>
        <v>13.656121049999999</v>
      </c>
      <c r="N5" s="74"/>
      <c r="O5" s="74"/>
      <c r="P5" s="74"/>
      <c r="Q5" s="74"/>
      <c r="R5" s="74"/>
      <c r="S5" s="74"/>
      <c r="T5" s="74"/>
      <c r="U5" s="74"/>
      <c r="V5" s="344">
        <f t="shared" si="5"/>
        <v>2.6261771249999999</v>
      </c>
      <c r="W5" s="74"/>
      <c r="X5" s="74"/>
      <c r="Y5" s="74"/>
      <c r="Z5" s="74"/>
      <c r="AA5" s="74"/>
      <c r="AB5" s="74"/>
      <c r="AC5" s="74"/>
      <c r="AD5" s="74"/>
      <c r="AE5" s="311">
        <f t="shared" si="6"/>
        <v>16.282298175000001</v>
      </c>
      <c r="AF5" s="311">
        <f t="shared" si="7"/>
        <v>0</v>
      </c>
      <c r="AG5" s="311">
        <f t="shared" si="8"/>
        <v>16.282298175000001</v>
      </c>
      <c r="AH5" s="74"/>
      <c r="AI5" s="74"/>
      <c r="AJ5" s="74"/>
      <c r="AK5" s="74"/>
      <c r="AL5" s="74"/>
    </row>
    <row r="6" spans="1:38" s="5" customFormat="1" ht="12" thickBot="1">
      <c r="A6" s="495"/>
      <c r="B6" s="496" t="str">
        <f>'1-συμβολαια'!C6</f>
        <v>χρησικτησία αγροτεμαχίων 4,5,6,7,8,9 = 1955 πατρός ΔΩΡΕΑ άτυπος</v>
      </c>
      <c r="C6" s="382">
        <f>'1-συμβολαια'!D6</f>
        <v>7850.0433000000012</v>
      </c>
      <c r="D6" s="382"/>
      <c r="E6" s="496"/>
      <c r="F6" s="496"/>
      <c r="G6" s="496"/>
      <c r="H6" s="496"/>
      <c r="I6" s="496"/>
      <c r="J6" s="496"/>
      <c r="K6" s="496"/>
      <c r="L6" s="496"/>
      <c r="M6" s="382">
        <f t="shared" ref="M6:M10" si="9">C6*0.65%</f>
        <v>51.025281450000016</v>
      </c>
      <c r="N6" s="496"/>
      <c r="O6" s="496"/>
      <c r="P6" s="496"/>
      <c r="Q6" s="496"/>
      <c r="R6" s="496"/>
      <c r="S6" s="496"/>
      <c r="T6" s="496"/>
      <c r="U6" s="496"/>
      <c r="V6" s="382">
        <f t="shared" ref="V6:V10" si="10">C6*0.125%</f>
        <v>9.8125541250000019</v>
      </c>
      <c r="W6" s="496"/>
      <c r="X6" s="496"/>
      <c r="Y6" s="496"/>
      <c r="Z6" s="496"/>
      <c r="AA6" s="496"/>
      <c r="AB6" s="496"/>
      <c r="AC6" s="496"/>
      <c r="AD6" s="496"/>
      <c r="AE6" s="382">
        <f t="shared" ref="AE6:AE10" si="11">D6+M6+V6</f>
        <v>60.837835575000014</v>
      </c>
      <c r="AF6" s="382">
        <f t="shared" ref="AF6:AF10" si="12">E6+N6+W6</f>
        <v>0</v>
      </c>
      <c r="AG6" s="382">
        <f t="shared" ref="AG6:AG10" si="13">AE6-AF6</f>
        <v>60.837835575000014</v>
      </c>
      <c r="AH6" s="496"/>
      <c r="AI6" s="496"/>
      <c r="AJ6" s="496"/>
      <c r="AK6" s="496"/>
      <c r="AL6" s="496"/>
    </row>
    <row r="7" spans="1:38" s="5" customFormat="1">
      <c r="A7" s="521" t="str">
        <f>'1-συμβολαια'!A7</f>
        <v>3ο</v>
      </c>
      <c r="B7" s="346" t="str">
        <f>'1-συμβολαια'!C7</f>
        <v xml:space="preserve">γονική </v>
      </c>
      <c r="C7" s="311">
        <f>'1-συμβολαια'!D7</f>
        <v>5223.96</v>
      </c>
      <c r="D7" s="311"/>
      <c r="E7" s="346"/>
      <c r="F7" s="346"/>
      <c r="G7" s="346"/>
      <c r="H7" s="346"/>
      <c r="I7" s="346"/>
      <c r="J7" s="346"/>
      <c r="K7" s="346"/>
      <c r="L7" s="346"/>
      <c r="M7" s="311">
        <f t="shared" si="9"/>
        <v>33.955740000000006</v>
      </c>
      <c r="N7" s="346">
        <v>33.96</v>
      </c>
      <c r="O7" s="346"/>
      <c r="P7" s="346"/>
      <c r="Q7" s="346"/>
      <c r="R7" s="346"/>
      <c r="S7" s="346"/>
      <c r="T7" s="346"/>
      <c r="U7" s="346"/>
      <c r="V7" s="311">
        <f t="shared" si="10"/>
        <v>6.5299500000000004</v>
      </c>
      <c r="W7" s="346">
        <v>6.53</v>
      </c>
      <c r="X7" s="346"/>
      <c r="Y7" s="346"/>
      <c r="Z7" s="346"/>
      <c r="AA7" s="346"/>
      <c r="AB7" s="346"/>
      <c r="AC7" s="346"/>
      <c r="AD7" s="346"/>
      <c r="AE7" s="311">
        <f t="shared" si="11"/>
        <v>40.485690000000005</v>
      </c>
      <c r="AF7" s="311">
        <f t="shared" si="12"/>
        <v>40.49</v>
      </c>
      <c r="AG7" s="311">
        <f t="shared" si="13"/>
        <v>-4.3099999999967054E-3</v>
      </c>
      <c r="AH7" s="346"/>
      <c r="AI7" s="346"/>
      <c r="AJ7" s="346"/>
      <c r="AK7" s="346"/>
      <c r="AL7" s="346"/>
    </row>
    <row r="8" spans="1:38" s="5" customFormat="1" ht="12" thickBot="1">
      <c r="A8" s="522"/>
      <c r="B8" s="496" t="str">
        <f>'1-συμβολαια'!C8</f>
        <v>δωρεά</v>
      </c>
      <c r="C8" s="382">
        <f>'1-συμβολαια'!D8</f>
        <v>10447.92</v>
      </c>
      <c r="D8" s="382"/>
      <c r="E8" s="496"/>
      <c r="F8" s="496"/>
      <c r="G8" s="496"/>
      <c r="H8" s="496"/>
      <c r="I8" s="496"/>
      <c r="J8" s="496"/>
      <c r="K8" s="496"/>
      <c r="L8" s="496"/>
      <c r="M8" s="382">
        <f t="shared" si="9"/>
        <v>67.911480000000012</v>
      </c>
      <c r="N8" s="496">
        <v>67.91</v>
      </c>
      <c r="O8" s="496"/>
      <c r="P8" s="496"/>
      <c r="Q8" s="496"/>
      <c r="R8" s="496"/>
      <c r="S8" s="496"/>
      <c r="T8" s="496"/>
      <c r="U8" s="496"/>
      <c r="V8" s="382">
        <f t="shared" si="10"/>
        <v>13.059900000000001</v>
      </c>
      <c r="W8" s="496">
        <v>13.06</v>
      </c>
      <c r="X8" s="496"/>
      <c r="Y8" s="496"/>
      <c r="Z8" s="496"/>
      <c r="AA8" s="496"/>
      <c r="AB8" s="496"/>
      <c r="AC8" s="496"/>
      <c r="AD8" s="496"/>
      <c r="AE8" s="382">
        <f t="shared" si="11"/>
        <v>80.971380000000011</v>
      </c>
      <c r="AF8" s="382">
        <f t="shared" si="12"/>
        <v>80.97</v>
      </c>
      <c r="AG8" s="382">
        <f t="shared" si="13"/>
        <v>1.3800000000117052E-3</v>
      </c>
      <c r="AH8" s="496"/>
      <c r="AI8" s="496"/>
      <c r="AJ8" s="74"/>
      <c r="AK8" s="74"/>
      <c r="AL8" s="74"/>
    </row>
    <row r="9" spans="1:38" s="5" customFormat="1">
      <c r="A9" s="494" t="str">
        <f>'1-συμβολαια'!A9</f>
        <v>4ο</v>
      </c>
      <c r="B9" s="346" t="str">
        <f>'1-συμβολαια'!C9</f>
        <v xml:space="preserve">γονική </v>
      </c>
      <c r="C9" s="311">
        <f>'1-συμβολαια'!D9</f>
        <v>927.67</v>
      </c>
      <c r="D9" s="311"/>
      <c r="E9" s="346"/>
      <c r="F9" s="346"/>
      <c r="G9" s="346"/>
      <c r="H9" s="346"/>
      <c r="I9" s="346"/>
      <c r="J9" s="346"/>
      <c r="K9" s="346"/>
      <c r="L9" s="346"/>
      <c r="M9" s="311">
        <f t="shared" si="9"/>
        <v>6.0298550000000004</v>
      </c>
      <c r="N9" s="346">
        <v>6.03</v>
      </c>
      <c r="O9" s="346"/>
      <c r="P9" s="346"/>
      <c r="Q9" s="346"/>
      <c r="R9" s="346"/>
      <c r="S9" s="346"/>
      <c r="T9" s="346"/>
      <c r="U9" s="346"/>
      <c r="V9" s="311">
        <f t="shared" si="10"/>
        <v>1.1595875</v>
      </c>
      <c r="W9" s="346">
        <v>1.1599999999999999</v>
      </c>
      <c r="X9" s="346"/>
      <c r="Y9" s="346"/>
      <c r="Z9" s="346"/>
      <c r="AA9" s="346"/>
      <c r="AB9" s="346"/>
      <c r="AC9" s="346"/>
      <c r="AD9" s="346"/>
      <c r="AE9" s="311">
        <f t="shared" si="11"/>
        <v>7.1894425000000002</v>
      </c>
      <c r="AF9" s="311">
        <f t="shared" si="12"/>
        <v>7.19</v>
      </c>
      <c r="AG9" s="311">
        <f t="shared" si="13"/>
        <v>-5.575000000002106E-4</v>
      </c>
      <c r="AH9" s="346"/>
      <c r="AI9" s="346"/>
      <c r="AJ9" s="74"/>
      <c r="AK9" s="74"/>
      <c r="AL9" s="74"/>
    </row>
    <row r="10" spans="1:38" s="5" customFormat="1" ht="12" thickBot="1">
      <c r="A10" s="495"/>
      <c r="B10" s="496" t="str">
        <f>'1-συμβολαια'!C10</f>
        <v>δωρεά</v>
      </c>
      <c r="C10" s="382">
        <f>'1-συμβολαια'!D10</f>
        <v>1855.34</v>
      </c>
      <c r="D10" s="382"/>
      <c r="E10" s="496"/>
      <c r="F10" s="496"/>
      <c r="G10" s="496"/>
      <c r="H10" s="496"/>
      <c r="I10" s="496"/>
      <c r="J10" s="496"/>
      <c r="K10" s="496"/>
      <c r="L10" s="496"/>
      <c r="M10" s="382">
        <f t="shared" si="9"/>
        <v>12.059710000000001</v>
      </c>
      <c r="N10" s="496">
        <v>12.06</v>
      </c>
      <c r="O10" s="496"/>
      <c r="P10" s="496"/>
      <c r="Q10" s="496"/>
      <c r="R10" s="496"/>
      <c r="S10" s="496"/>
      <c r="T10" s="496"/>
      <c r="U10" s="496"/>
      <c r="V10" s="382">
        <f t="shared" si="10"/>
        <v>2.319175</v>
      </c>
      <c r="W10" s="496">
        <v>2.3199999999999998</v>
      </c>
      <c r="X10" s="496"/>
      <c r="Y10" s="496"/>
      <c r="Z10" s="496"/>
      <c r="AA10" s="496"/>
      <c r="AB10" s="496"/>
      <c r="AC10" s="496"/>
      <c r="AD10" s="496"/>
      <c r="AE10" s="382">
        <f t="shared" si="11"/>
        <v>14.378885</v>
      </c>
      <c r="AF10" s="382">
        <f t="shared" si="12"/>
        <v>14.38</v>
      </c>
      <c r="AG10" s="382">
        <f t="shared" si="13"/>
        <v>-1.1150000000004212E-3</v>
      </c>
      <c r="AH10" s="496"/>
      <c r="AI10" s="496"/>
      <c r="AJ10" s="74"/>
      <c r="AK10" s="74"/>
      <c r="AL10" s="74"/>
    </row>
    <row r="11" spans="1:38" s="5" customFormat="1" ht="12" thickBot="1">
      <c r="A11" s="530" t="str">
        <f>'1-συμβολαια'!A11</f>
        <v>5ο</v>
      </c>
      <c r="B11" s="530" t="str">
        <f>'1-συμβολαια'!C11</f>
        <v>δωρεά</v>
      </c>
      <c r="C11" s="531">
        <f>'1-συμβολαια'!D11</f>
        <v>3632.94</v>
      </c>
      <c r="D11" s="531"/>
      <c r="E11" s="530"/>
      <c r="F11" s="530"/>
      <c r="G11" s="530"/>
      <c r="H11" s="530"/>
      <c r="I11" s="530"/>
      <c r="J11" s="530"/>
      <c r="K11" s="530"/>
      <c r="L11" s="530"/>
      <c r="M11" s="531">
        <f t="shared" ref="M11:M13" si="14">C11*0.65%</f>
        <v>23.614110000000004</v>
      </c>
      <c r="N11" s="530"/>
      <c r="O11" s="530"/>
      <c r="P11" s="530"/>
      <c r="Q11" s="530"/>
      <c r="R11" s="530"/>
      <c r="S11" s="530"/>
      <c r="T11" s="530"/>
      <c r="U11" s="530"/>
      <c r="V11" s="531">
        <f t="shared" ref="V11:V13" si="15">C11*0.125%</f>
        <v>4.541175</v>
      </c>
      <c r="W11" s="530"/>
      <c r="X11" s="530"/>
      <c r="Y11" s="530"/>
      <c r="Z11" s="530"/>
      <c r="AA11" s="530"/>
      <c r="AB11" s="530"/>
      <c r="AC11" s="530"/>
      <c r="AD11" s="530"/>
      <c r="AE11" s="531">
        <f t="shared" ref="AE11:AE13" si="16">D11+M11+V11</f>
        <v>28.155285000000003</v>
      </c>
      <c r="AF11" s="531">
        <v>28.15</v>
      </c>
      <c r="AG11" s="531">
        <f t="shared" ref="AG11:AG13" si="17">AE11-AF11</f>
        <v>5.285000000004203E-3</v>
      </c>
      <c r="AH11" s="530"/>
      <c r="AI11" s="530"/>
      <c r="AJ11" s="496"/>
      <c r="AK11" s="496"/>
      <c r="AL11" s="496"/>
    </row>
    <row r="12" spans="1:38" s="5" customFormat="1">
      <c r="A12" s="494" t="str">
        <f>'1-συμβολαια'!A12</f>
        <v>6ο</v>
      </c>
      <c r="B12" s="346" t="str">
        <f>'1-συμβολαια'!C12</f>
        <v xml:space="preserve">γονική </v>
      </c>
      <c r="C12" s="311">
        <f>'1-συμβολαια'!D12</f>
        <v>3600.35</v>
      </c>
      <c r="D12" s="311"/>
      <c r="E12" s="346"/>
      <c r="F12" s="346"/>
      <c r="G12" s="346"/>
      <c r="H12" s="346"/>
      <c r="I12" s="346"/>
      <c r="J12" s="346"/>
      <c r="K12" s="346"/>
      <c r="L12" s="346"/>
      <c r="M12" s="311">
        <f t="shared" si="14"/>
        <v>23.402275000000003</v>
      </c>
      <c r="N12" s="346">
        <v>23.4</v>
      </c>
      <c r="O12" s="346"/>
      <c r="P12" s="346"/>
      <c r="Q12" s="346"/>
      <c r="R12" s="346"/>
      <c r="S12" s="346"/>
      <c r="T12" s="346"/>
      <c r="U12" s="346"/>
      <c r="V12" s="311">
        <f t="shared" si="15"/>
        <v>4.5004375000000003</v>
      </c>
      <c r="W12" s="346">
        <v>4.5</v>
      </c>
      <c r="X12" s="346"/>
      <c r="Y12" s="346"/>
      <c r="Z12" s="346"/>
      <c r="AA12" s="346"/>
      <c r="AB12" s="346"/>
      <c r="AC12" s="346"/>
      <c r="AD12" s="346"/>
      <c r="AE12" s="311">
        <f t="shared" si="16"/>
        <v>27.902712500000003</v>
      </c>
      <c r="AF12" s="311">
        <f t="shared" ref="AF12:AF13" si="18">E12+N12+W12</f>
        <v>27.9</v>
      </c>
      <c r="AG12" s="311">
        <f t="shared" si="17"/>
        <v>2.7125000000047805E-3</v>
      </c>
      <c r="AH12" s="346"/>
      <c r="AI12" s="346"/>
      <c r="AJ12" s="346"/>
      <c r="AK12" s="346"/>
      <c r="AL12" s="346"/>
    </row>
    <row r="13" spans="1:38" s="5" customFormat="1" ht="12" thickBot="1">
      <c r="A13" s="495"/>
      <c r="B13" s="496" t="str">
        <f>'1-συμβολαια'!C13</f>
        <v>δωρεά</v>
      </c>
      <c r="C13" s="382">
        <f>'1-συμβολαια'!D13</f>
        <v>7200.7</v>
      </c>
      <c r="D13" s="382"/>
      <c r="E13" s="496"/>
      <c r="F13" s="496"/>
      <c r="G13" s="496"/>
      <c r="H13" s="496"/>
      <c r="I13" s="496"/>
      <c r="J13" s="496"/>
      <c r="K13" s="496"/>
      <c r="L13" s="496"/>
      <c r="M13" s="382">
        <f t="shared" si="14"/>
        <v>46.804550000000006</v>
      </c>
      <c r="N13" s="496">
        <v>46.8</v>
      </c>
      <c r="O13" s="496"/>
      <c r="P13" s="496"/>
      <c r="Q13" s="496"/>
      <c r="R13" s="496"/>
      <c r="S13" s="496"/>
      <c r="T13" s="496"/>
      <c r="U13" s="496"/>
      <c r="V13" s="382">
        <f t="shared" si="15"/>
        <v>9.0008750000000006</v>
      </c>
      <c r="W13" s="496">
        <v>9</v>
      </c>
      <c r="X13" s="496"/>
      <c r="Y13" s="496"/>
      <c r="Z13" s="496"/>
      <c r="AA13" s="496"/>
      <c r="AB13" s="496"/>
      <c r="AC13" s="496"/>
      <c r="AD13" s="496"/>
      <c r="AE13" s="382">
        <f t="shared" si="16"/>
        <v>55.805425000000007</v>
      </c>
      <c r="AF13" s="382">
        <f t="shared" si="18"/>
        <v>55.8</v>
      </c>
      <c r="AG13" s="382">
        <f t="shared" si="17"/>
        <v>5.4250000000095611E-3</v>
      </c>
      <c r="AH13" s="496"/>
      <c r="AI13" s="74"/>
      <c r="AJ13" s="74"/>
      <c r="AK13" s="74"/>
      <c r="AL13" s="74"/>
    </row>
    <row r="14" spans="1:38">
      <c r="A14" s="772" t="str">
        <f>'1-συμβολαια'!A14</f>
        <v>σύνολο</v>
      </c>
      <c r="B14" s="773"/>
      <c r="C14" s="774"/>
      <c r="D14" s="293">
        <f>SUM(D3:D13)</f>
        <v>0</v>
      </c>
      <c r="E14" s="191"/>
      <c r="F14" s="191"/>
      <c r="G14" s="191"/>
      <c r="H14" s="191"/>
      <c r="I14" s="191"/>
      <c r="J14" s="191"/>
      <c r="K14" s="191"/>
      <c r="L14" s="191"/>
      <c r="M14" s="293">
        <f>SUM(M3:M13)</f>
        <v>278.45912250000003</v>
      </c>
      <c r="N14" s="191"/>
      <c r="O14" s="191"/>
      <c r="P14" s="191"/>
      <c r="Q14" s="191"/>
      <c r="R14" s="191"/>
      <c r="S14" s="191"/>
      <c r="T14" s="191"/>
      <c r="U14" s="191"/>
      <c r="V14" s="293"/>
      <c r="W14" s="537"/>
      <c r="X14" s="537"/>
      <c r="Y14" s="537"/>
      <c r="Z14" s="537"/>
      <c r="AA14" s="537"/>
      <c r="AB14" s="537"/>
      <c r="AC14" s="537"/>
      <c r="AD14" s="537"/>
      <c r="AE14" s="390">
        <f>SUM(AE3:AE13)</f>
        <v>332.00895375000005</v>
      </c>
      <c r="AF14" s="390">
        <f>SUM(AF3:AF13)</f>
        <v>254.88</v>
      </c>
      <c r="AG14" s="390">
        <f>SUM(AG3:AG13)</f>
        <v>77.128953750000022</v>
      </c>
      <c r="AH14" s="537">
        <f>SUM(AH3:AH13)</f>
        <v>0</v>
      </c>
      <c r="AI14" s="191"/>
      <c r="AJ14" s="191"/>
      <c r="AK14" s="191"/>
      <c r="AL14" s="191"/>
    </row>
    <row r="16" spans="1:38">
      <c r="E16" s="2"/>
      <c r="F16" s="2"/>
      <c r="G16" s="2"/>
      <c r="H16" s="161" t="s">
        <v>344</v>
      </c>
      <c r="I16" s="2"/>
      <c r="J16" s="2"/>
      <c r="K16" s="2"/>
      <c r="L16" s="2"/>
      <c r="M16" s="2"/>
      <c r="N16" s="2"/>
      <c r="O16" s="2"/>
      <c r="P16" s="2"/>
      <c r="Q16" s="161" t="s">
        <v>344</v>
      </c>
      <c r="R16" s="2"/>
      <c r="S16" s="2"/>
      <c r="T16" s="2"/>
      <c r="U16" s="2"/>
      <c r="V16" s="2"/>
      <c r="W16" s="2"/>
      <c r="X16" s="2"/>
      <c r="Y16" s="2"/>
      <c r="Z16" s="161" t="s">
        <v>344</v>
      </c>
      <c r="AA16" s="2"/>
      <c r="AB16" s="2"/>
      <c r="AC16" s="2"/>
      <c r="AD16" s="2"/>
      <c r="AE16" s="2"/>
    </row>
    <row r="17" spans="5:31">
      <c r="E17" s="2"/>
      <c r="F17" s="195" t="s">
        <v>345</v>
      </c>
      <c r="G17" s="195"/>
      <c r="H17" s="195"/>
      <c r="I17" s="195"/>
      <c r="J17" s="195"/>
      <c r="K17" s="195"/>
      <c r="L17" s="195"/>
      <c r="M17" s="195"/>
      <c r="N17" s="195"/>
      <c r="O17" s="195" t="s">
        <v>345</v>
      </c>
      <c r="P17" s="2"/>
      <c r="Q17" s="2"/>
      <c r="R17" s="2"/>
      <c r="S17" s="2"/>
      <c r="T17" s="2"/>
      <c r="U17" s="2"/>
      <c r="V17" s="2"/>
      <c r="W17" s="2"/>
      <c r="X17" s="195" t="s">
        <v>345</v>
      </c>
      <c r="Y17" s="2"/>
      <c r="Z17" s="2"/>
      <c r="AA17" s="2"/>
      <c r="AB17" s="2"/>
      <c r="AC17" s="2"/>
      <c r="AD17" s="2"/>
      <c r="AE17" s="2"/>
    </row>
    <row r="18" spans="5:31">
      <c r="E18" s="2"/>
      <c r="F18" s="2"/>
      <c r="G18" s="2"/>
      <c r="H18" s="2"/>
      <c r="I18" s="4"/>
      <c r="J18" s="163" t="s">
        <v>346</v>
      </c>
      <c r="K18" s="161"/>
      <c r="L18" s="2"/>
      <c r="M18" s="2"/>
      <c r="N18" s="2"/>
      <c r="O18" s="2"/>
      <c r="P18" s="2"/>
      <c r="Q18" s="4"/>
      <c r="R18" s="163" t="s">
        <v>347</v>
      </c>
      <c r="S18" s="163"/>
      <c r="T18" s="163"/>
      <c r="U18" s="163"/>
      <c r="V18" s="4"/>
      <c r="W18" s="4"/>
      <c r="X18" s="4"/>
      <c r="Y18" s="4"/>
      <c r="Z18" s="4"/>
      <c r="AA18" s="163" t="s">
        <v>347</v>
      </c>
      <c r="AB18" s="163"/>
      <c r="AC18" s="163"/>
      <c r="AD18" s="161"/>
      <c r="AE18" s="2"/>
    </row>
    <row r="19" spans="5:31">
      <c r="E19" s="2"/>
      <c r="F19" s="2"/>
      <c r="G19" s="2"/>
      <c r="H19" s="2"/>
      <c r="I19" s="163" t="s">
        <v>347</v>
      </c>
      <c r="J19" s="4"/>
      <c r="K19" s="2"/>
      <c r="L19" s="2"/>
      <c r="M19" s="2"/>
      <c r="N19" s="2"/>
      <c r="O19" s="2"/>
      <c r="P19" s="2"/>
      <c r="Q19" s="4"/>
      <c r="R19" s="4"/>
      <c r="S19" s="163" t="s">
        <v>346</v>
      </c>
      <c r="T19" s="163"/>
      <c r="U19" s="4"/>
      <c r="V19" s="4"/>
      <c r="W19" s="4"/>
      <c r="X19" s="4"/>
      <c r="Y19" s="4"/>
      <c r="Z19" s="4"/>
      <c r="AA19" s="4"/>
      <c r="AB19" s="163" t="s">
        <v>346</v>
      </c>
      <c r="AC19" s="163"/>
      <c r="AD19" s="2"/>
      <c r="AE19" s="2"/>
    </row>
    <row r="20" spans="5:31">
      <c r="E20" s="2"/>
      <c r="F20" s="2"/>
      <c r="G20" s="2"/>
      <c r="H20" s="2"/>
      <c r="I20" s="4"/>
      <c r="J20" s="4"/>
      <c r="K20" s="2"/>
      <c r="L20" s="2"/>
      <c r="M20" s="2"/>
      <c r="N20" s="2"/>
      <c r="O20" s="2"/>
      <c r="P20" s="2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2"/>
      <c r="AE20" s="2"/>
    </row>
    <row r="21" spans="5:31">
      <c r="E21" s="196" t="s">
        <v>348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197" t="s">
        <v>349</v>
      </c>
      <c r="R21" s="2"/>
      <c r="S21" s="2"/>
      <c r="T21" s="2"/>
      <c r="U21" s="2"/>
      <c r="V21" s="2"/>
      <c r="W21" s="2"/>
      <c r="X21" s="2"/>
      <c r="Y21" s="2"/>
      <c r="Z21" s="198" t="s">
        <v>350</v>
      </c>
      <c r="AA21" s="2"/>
      <c r="AB21" s="2"/>
      <c r="AC21" s="2"/>
      <c r="AD21" s="2"/>
      <c r="AE21" s="2"/>
    </row>
    <row r="22" spans="5:31">
      <c r="E22" s="199" t="s">
        <v>351</v>
      </c>
      <c r="F22" s="2"/>
      <c r="G22" s="2"/>
      <c r="H22" s="2"/>
      <c r="I22" s="2"/>
      <c r="J22" s="2"/>
      <c r="K22" s="2"/>
      <c r="L22" s="2"/>
      <c r="M22" s="8"/>
      <c r="N22" s="2"/>
      <c r="O22" s="161"/>
      <c r="P22" s="161"/>
      <c r="Q22" s="161"/>
      <c r="R22" s="161"/>
      <c r="S22" s="200" t="s">
        <v>352</v>
      </c>
      <c r="T22" s="161"/>
      <c r="U22" s="161"/>
      <c r="V22" s="161"/>
      <c r="W22" s="2"/>
      <c r="X22" s="2"/>
      <c r="Y22" s="2"/>
      <c r="Z22" s="2"/>
      <c r="AA22" s="201" t="s">
        <v>353</v>
      </c>
      <c r="AB22" s="2"/>
      <c r="AC22" s="2"/>
      <c r="AD22" s="2"/>
      <c r="AE22" s="2"/>
    </row>
    <row r="23" spans="5:31">
      <c r="E23" s="2"/>
      <c r="F23" s="199" t="s">
        <v>354</v>
      </c>
      <c r="G23" s="2"/>
      <c r="H23" s="2"/>
      <c r="I23" s="2"/>
      <c r="J23" s="2"/>
      <c r="K23" s="2"/>
      <c r="L23" s="2"/>
      <c r="M23" s="8"/>
      <c r="N23" s="2"/>
      <c r="O23" s="2"/>
      <c r="P23" s="2"/>
      <c r="Q23" s="2"/>
      <c r="R23" s="2"/>
      <c r="S23" s="202" t="s">
        <v>355</v>
      </c>
      <c r="T23" s="2"/>
      <c r="U23" s="2"/>
      <c r="V23" s="2"/>
      <c r="W23" s="2"/>
      <c r="X23" s="2"/>
      <c r="Y23" s="2"/>
      <c r="Z23" s="2"/>
      <c r="AA23" s="2"/>
      <c r="AB23" s="202" t="s">
        <v>355</v>
      </c>
      <c r="AC23" s="2"/>
      <c r="AD23" s="2"/>
      <c r="AE23" s="2"/>
    </row>
    <row r="24" spans="5:31">
      <c r="E24" s="2"/>
      <c r="F24" s="2"/>
      <c r="G24" s="2"/>
      <c r="H24" s="2"/>
      <c r="I24" s="2"/>
      <c r="J24" s="2"/>
      <c r="K24" s="2"/>
      <c r="L24" s="2"/>
      <c r="M24" s="8"/>
      <c r="N24" s="2"/>
      <c r="O24" s="2"/>
      <c r="P24" s="161"/>
      <c r="Q24" s="161"/>
      <c r="R24" s="161"/>
      <c r="S24" s="161"/>
      <c r="T24" s="161"/>
      <c r="U24" s="161"/>
      <c r="V24" s="161"/>
      <c r="W24" s="161"/>
      <c r="X24" s="161"/>
      <c r="Y24" s="2"/>
      <c r="Z24" s="2"/>
      <c r="AA24" s="2"/>
      <c r="AB24" s="200" t="s">
        <v>352</v>
      </c>
      <c r="AC24" s="2"/>
      <c r="AD24" s="2"/>
      <c r="AE24" s="2"/>
    </row>
    <row r="25" spans="5:31">
      <c r="E25" s="2"/>
      <c r="F25" s="2"/>
      <c r="G25" s="2"/>
      <c r="H25" s="2"/>
      <c r="I25" s="2"/>
      <c r="J25" s="2"/>
      <c r="K25" s="2"/>
      <c r="L25" s="2"/>
      <c r="M25" s="8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</sheetData>
  <mergeCells count="10">
    <mergeCell ref="AH1:AH2"/>
    <mergeCell ref="AI1:AL2"/>
    <mergeCell ref="K2:L2"/>
    <mergeCell ref="T2:U2"/>
    <mergeCell ref="AC2:AD2"/>
    <mergeCell ref="A14:C1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2026-03-11T07:09:23Z</dcterms:modified>
</cp:coreProperties>
</file>