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AQ21" i="5"/>
  <c r="AQ20"/>
  <c r="AQ19"/>
  <c r="AO34"/>
  <c r="AN34"/>
  <c r="AL34"/>
  <c r="AO29"/>
  <c r="AN29"/>
  <c r="AL29"/>
  <c r="AO25"/>
  <c r="AN25"/>
  <c r="AL25"/>
  <c r="I43" i="1"/>
  <c r="AJ14" i="5"/>
  <c r="AJ13"/>
  <c r="AJ12"/>
  <c r="AJ9"/>
  <c r="AJ5"/>
  <c r="AE24"/>
  <c r="S11" l="1"/>
  <c r="S12"/>
  <c r="S13"/>
  <c r="S14"/>
  <c r="S15"/>
  <c r="S4"/>
  <c r="S5"/>
  <c r="S6"/>
  <c r="S7"/>
  <c r="S8"/>
  <c r="S9"/>
  <c r="S3"/>
  <c r="AM13" i="24"/>
  <c r="AM12"/>
  <c r="AM11"/>
  <c r="AM10"/>
  <c r="AM8"/>
  <c r="AM4"/>
  <c r="AM3"/>
  <c r="AL13"/>
  <c r="AL8"/>
  <c r="AL4"/>
  <c r="AK4"/>
  <c r="AK8"/>
  <c r="AK13"/>
  <c r="Z13"/>
  <c r="Z4"/>
  <c r="T13"/>
  <c r="T4"/>
  <c r="K13"/>
  <c r="B11"/>
  <c r="B12"/>
  <c r="B10"/>
  <c r="K4"/>
  <c r="E6" i="23"/>
  <c r="E7"/>
  <c r="E8"/>
  <c r="E9"/>
  <c r="E10"/>
  <c r="E11"/>
  <c r="E12"/>
  <c r="E13"/>
  <c r="E14"/>
  <c r="E15"/>
  <c r="E16"/>
  <c r="E5"/>
  <c r="C7"/>
  <c r="C6"/>
  <c r="C5"/>
  <c r="C14"/>
  <c r="A4" i="27"/>
  <c r="A8"/>
  <c r="A10"/>
  <c r="A11"/>
  <c r="A12"/>
  <c r="U15" i="20"/>
  <c r="U14"/>
  <c r="U13"/>
  <c r="U5"/>
  <c r="U6"/>
  <c r="U8"/>
  <c r="U9"/>
  <c r="U4"/>
  <c r="T15"/>
  <c r="T14"/>
  <c r="T13"/>
  <c r="T9"/>
  <c r="T8"/>
  <c r="T6"/>
  <c r="T5"/>
  <c r="T4"/>
  <c r="M15"/>
  <c r="M14"/>
  <c r="M13"/>
  <c r="M9"/>
  <c r="M8"/>
  <c r="M6"/>
  <c r="M5"/>
  <c r="M4"/>
  <c r="B12"/>
  <c r="B11"/>
  <c r="B10"/>
  <c r="B12" i="4"/>
  <c r="B11"/>
  <c r="B10"/>
  <c r="H6"/>
  <c r="G6"/>
  <c r="I6" s="1"/>
  <c r="H15"/>
  <c r="G15"/>
  <c r="I15" s="1"/>
  <c r="H13"/>
  <c r="G13"/>
  <c r="I13" s="1"/>
  <c r="H11"/>
  <c r="G11"/>
  <c r="I11" s="1"/>
  <c r="H10"/>
  <c r="G10"/>
  <c r="I10" s="1"/>
  <c r="P51" i="1"/>
  <c r="K10" i="25"/>
  <c r="Q11" i="1" s="1"/>
  <c r="O11" s="1"/>
  <c r="K11" i="25"/>
  <c r="K12"/>
  <c r="K13"/>
  <c r="Q14" i="1" s="1"/>
  <c r="K14" i="25"/>
  <c r="Q15" i="1" s="1"/>
  <c r="K7" i="25"/>
  <c r="F9" i="12"/>
  <c r="G12"/>
  <c r="G13"/>
  <c r="F11"/>
  <c r="F12"/>
  <c r="G8"/>
  <c r="B8" i="9"/>
  <c r="E8" i="1"/>
  <c r="E9"/>
  <c r="E10"/>
  <c r="E11"/>
  <c r="E12"/>
  <c r="E13"/>
  <c r="E14"/>
  <c r="E15"/>
  <c r="E16"/>
  <c r="B8" i="5"/>
  <c r="B10"/>
  <c r="B11"/>
  <c r="B12"/>
  <c r="B13"/>
  <c r="A14"/>
  <c r="A15"/>
  <c r="A16"/>
  <c r="A4"/>
  <c r="A5"/>
  <c r="A6"/>
  <c r="A7"/>
  <c r="A8"/>
  <c r="A9"/>
  <c r="A10"/>
  <c r="A11"/>
  <c r="A12"/>
  <c r="A13"/>
  <c r="N96" i="1"/>
  <c r="J60"/>
  <c r="I56"/>
  <c r="G10" i="12"/>
  <c r="F10"/>
  <c r="J47" i="1"/>
  <c r="O51"/>
  <c r="F5" i="12"/>
  <c r="F6"/>
  <c r="F7"/>
  <c r="F8"/>
  <c r="F13"/>
  <c r="F14"/>
  <c r="F15"/>
  <c r="F16"/>
  <c r="G4"/>
  <c r="F4"/>
  <c r="G11"/>
  <c r="Q13" i="1"/>
  <c r="O13" s="1"/>
  <c r="Q92"/>
  <c r="P92"/>
  <c r="O92"/>
  <c r="N92"/>
  <c r="M92"/>
  <c r="K92"/>
  <c r="J92"/>
  <c r="I92"/>
  <c r="I93" s="1"/>
  <c r="Q78"/>
  <c r="P78"/>
  <c r="O78"/>
  <c r="N78"/>
  <c r="M78"/>
  <c r="K78"/>
  <c r="J78"/>
  <c r="I78"/>
  <c r="I79" s="1"/>
  <c r="E4"/>
  <c r="E5"/>
  <c r="E6"/>
  <c r="E7"/>
  <c r="E3"/>
  <c r="Q7"/>
  <c r="Q8"/>
  <c r="O8" s="1"/>
  <c r="Q12"/>
  <c r="O12" s="1"/>
  <c r="R92" l="1"/>
  <c r="R78"/>
  <c r="AQ37" i="5" l="1"/>
  <c r="AQ36"/>
  <c r="AQ35"/>
  <c r="AQ34"/>
  <c r="AQ33"/>
  <c r="AQ32"/>
  <c r="AQ31"/>
  <c r="AQ30"/>
  <c r="AQ29"/>
  <c r="AQ28"/>
  <c r="AQ27"/>
  <c r="AQ26"/>
  <c r="AQ25"/>
  <c r="AQ24"/>
  <c r="AI38"/>
  <c r="AF38"/>
  <c r="AQ38" l="1"/>
  <c r="X7"/>
  <c r="X6"/>
  <c r="X5"/>
  <c r="X3"/>
  <c r="C16" i="28"/>
  <c r="B16"/>
  <c r="A16"/>
  <c r="C15"/>
  <c r="B15"/>
  <c r="A15"/>
  <c r="L16" i="10"/>
  <c r="J16"/>
  <c r="H16"/>
  <c r="G16"/>
  <c r="E16"/>
  <c r="C16"/>
  <c r="A16"/>
  <c r="L15"/>
  <c r="J15"/>
  <c r="H15"/>
  <c r="G15"/>
  <c r="E15"/>
  <c r="C15"/>
  <c r="A15"/>
  <c r="A15" i="22"/>
  <c r="A16"/>
  <c r="A15" i="8"/>
  <c r="A16"/>
  <c r="BA14" i="24"/>
  <c r="BA9"/>
  <c r="BA8"/>
  <c r="BA3"/>
  <c r="AY8"/>
  <c r="AY9"/>
  <c r="AY14"/>
  <c r="AY3"/>
  <c r="BZ16"/>
  <c r="BT16"/>
  <c r="BH16"/>
  <c r="BD16"/>
  <c r="AX16"/>
  <c r="AI16"/>
  <c r="J16"/>
  <c r="H16"/>
  <c r="G16"/>
  <c r="C16"/>
  <c r="A16"/>
  <c r="BZ15"/>
  <c r="BT15"/>
  <c r="BH15"/>
  <c r="BD15"/>
  <c r="AX15"/>
  <c r="AI15"/>
  <c r="J15"/>
  <c r="H15"/>
  <c r="G15"/>
  <c r="C15"/>
  <c r="A15"/>
  <c r="B16" i="23"/>
  <c r="A16"/>
  <c r="B15"/>
  <c r="A15"/>
  <c r="C16" i="15"/>
  <c r="B16"/>
  <c r="A16"/>
  <c r="C15"/>
  <c r="B15"/>
  <c r="A15"/>
  <c r="C16" i="27"/>
  <c r="B16"/>
  <c r="C15"/>
  <c r="B15"/>
  <c r="AQ16" i="5"/>
  <c r="AL16"/>
  <c r="X16" s="1"/>
  <c r="E16"/>
  <c r="D16"/>
  <c r="C16"/>
  <c r="AQ15"/>
  <c r="AL15"/>
  <c r="AM15" s="1"/>
  <c r="E15"/>
  <c r="D15"/>
  <c r="C15"/>
  <c r="V15" i="20"/>
  <c r="I15" i="24" s="1"/>
  <c r="E16" i="20"/>
  <c r="D16"/>
  <c r="C16"/>
  <c r="A16"/>
  <c r="E15"/>
  <c r="D15"/>
  <c r="C15"/>
  <c r="A15"/>
  <c r="P16" i="4"/>
  <c r="F16" i="24" s="1"/>
  <c r="E16" i="4"/>
  <c r="D16"/>
  <c r="C16"/>
  <c r="A16"/>
  <c r="P15"/>
  <c r="F15" i="24" s="1"/>
  <c r="E15" i="4"/>
  <c r="D15"/>
  <c r="C15"/>
  <c r="A15"/>
  <c r="AM16" i="5" l="1"/>
  <c r="X15"/>
  <c r="V16" i="20"/>
  <c r="I16" i="24" s="1"/>
  <c r="K15" i="1" l="1"/>
  <c r="K16"/>
  <c r="J15"/>
  <c r="J16"/>
  <c r="D16" i="9"/>
  <c r="C16"/>
  <c r="A16"/>
  <c r="D15"/>
  <c r="C15"/>
  <c r="A15"/>
  <c r="C16" i="26"/>
  <c r="D16" s="1"/>
  <c r="D16" i="27" s="1"/>
  <c r="B16" i="26"/>
  <c r="A16"/>
  <c r="C15"/>
  <c r="B15"/>
  <c r="A15"/>
  <c r="N16" i="13"/>
  <c r="J16"/>
  <c r="H16" i="27" s="1"/>
  <c r="C16" i="13"/>
  <c r="B16"/>
  <c r="A16"/>
  <c r="N15"/>
  <c r="J15"/>
  <c r="H15" i="27" s="1"/>
  <c r="C15" i="13"/>
  <c r="G15" s="1"/>
  <c r="B15"/>
  <c r="A15"/>
  <c r="N14"/>
  <c r="J14"/>
  <c r="C14"/>
  <c r="G14" s="1"/>
  <c r="B14"/>
  <c r="A14"/>
  <c r="K15" i="25"/>
  <c r="Q16" i="1" s="1"/>
  <c r="C15" i="25"/>
  <c r="B15"/>
  <c r="A15"/>
  <c r="K15" i="9"/>
  <c r="C14" i="25"/>
  <c r="B14"/>
  <c r="A14"/>
  <c r="M15" i="26" l="1"/>
  <c r="E15" i="27" s="1"/>
  <c r="V15" i="26"/>
  <c r="AE16"/>
  <c r="AG16" s="1"/>
  <c r="F16" i="27"/>
  <c r="K16" i="9"/>
  <c r="H15" i="13"/>
  <c r="I15"/>
  <c r="H14"/>
  <c r="I14"/>
  <c r="H16"/>
  <c r="I16"/>
  <c r="AE15" i="26" l="1"/>
  <c r="AG15" s="1"/>
  <c r="D15" i="27"/>
  <c r="G16"/>
  <c r="V16"/>
  <c r="V15"/>
  <c r="G15"/>
  <c r="E16"/>
  <c r="F15"/>
  <c r="K14" i="13"/>
  <c r="L14"/>
  <c r="K15"/>
  <c r="L15"/>
  <c r="K16"/>
  <c r="L16"/>
  <c r="I15" i="27" l="1"/>
  <c r="W15"/>
  <c r="J16"/>
  <c r="X16"/>
  <c r="P15" i="9"/>
  <c r="J15" i="5"/>
  <c r="K15" s="1"/>
  <c r="P16" i="9"/>
  <c r="J16" i="5"/>
  <c r="K16" s="1"/>
  <c r="X15" i="27"/>
  <c r="J15"/>
  <c r="W16"/>
  <c r="I16"/>
  <c r="O14" i="13"/>
  <c r="M14" s="1"/>
  <c r="O15"/>
  <c r="M15" s="1"/>
  <c r="F15" i="1" s="1"/>
  <c r="O16" i="13"/>
  <c r="P16" i="14"/>
  <c r="H16" i="1" s="1"/>
  <c r="B16" i="14"/>
  <c r="A16"/>
  <c r="B15"/>
  <c r="A15"/>
  <c r="AM16" i="16"/>
  <c r="E16" i="24" s="1"/>
  <c r="CB16" s="1"/>
  <c r="Q16" i="9" s="1"/>
  <c r="G16" i="5" s="1"/>
  <c r="AN16" i="16"/>
  <c r="D16" i="24" s="1"/>
  <c r="CA16" s="1"/>
  <c r="R16" i="9" s="1"/>
  <c r="U16" i="5" s="1"/>
  <c r="V16" s="1"/>
  <c r="E16" i="16"/>
  <c r="I16" s="1"/>
  <c r="N16" s="1"/>
  <c r="D16"/>
  <c r="H16" s="1"/>
  <c r="L16" s="1"/>
  <c r="C16"/>
  <c r="B16"/>
  <c r="A16"/>
  <c r="AM15"/>
  <c r="E15"/>
  <c r="I15" s="1"/>
  <c r="N15" s="1"/>
  <c r="D15"/>
  <c r="H15" s="1"/>
  <c r="C15"/>
  <c r="B15"/>
  <c r="A15"/>
  <c r="G16" i="1"/>
  <c r="C16" i="12"/>
  <c r="B16"/>
  <c r="A16"/>
  <c r="G15" i="1"/>
  <c r="C15" i="12"/>
  <c r="B15"/>
  <c r="A15"/>
  <c r="AN15" i="16" l="1"/>
  <c r="D15" i="24" s="1"/>
  <c r="CA15" s="1"/>
  <c r="R15" i="9" s="1"/>
  <c r="U15" i="5" s="1"/>
  <c r="V15" s="1"/>
  <c r="E15" i="24"/>
  <c r="CB15" s="1"/>
  <c r="Q15" i="9" s="1"/>
  <c r="G15" i="5" s="1"/>
  <c r="P15" i="14"/>
  <c r="H15" i="1" s="1"/>
  <c r="M16" i="13"/>
  <c r="F16" i="1" s="1"/>
  <c r="K15" i="16"/>
  <c r="L15"/>
  <c r="J15"/>
  <c r="K16"/>
  <c r="J16"/>
  <c r="O15" l="1"/>
  <c r="M15" s="1"/>
  <c r="I15" i="1" s="1"/>
  <c r="M15" s="1"/>
  <c r="O16" i="16"/>
  <c r="L16" i="9" s="1"/>
  <c r="O16" s="1"/>
  <c r="F16" i="5" s="1"/>
  <c r="H16" s="1"/>
  <c r="I16" s="1"/>
  <c r="P15" i="1" l="1"/>
  <c r="N15" i="9" s="1"/>
  <c r="C15" i="23"/>
  <c r="Q15" i="16"/>
  <c r="R15" i="10" s="1"/>
  <c r="P15" s="1"/>
  <c r="L15" i="9"/>
  <c r="O15" s="1"/>
  <c r="F15" i="5" s="1"/>
  <c r="H15" s="1"/>
  <c r="I15" s="1"/>
  <c r="Q16" i="16"/>
  <c r="R16" i="10" s="1"/>
  <c r="P16" s="1"/>
  <c r="M16" i="16"/>
  <c r="I16" i="1" s="1"/>
  <c r="M16" s="1"/>
  <c r="AJ15" i="5" l="1"/>
  <c r="AK15" s="1"/>
  <c r="P16" i="1"/>
  <c r="N16" i="9" s="1"/>
  <c r="S16" i="5" s="1"/>
  <c r="T16" s="1"/>
  <c r="AE37" s="1"/>
  <c r="AJ16"/>
  <c r="C16" i="23"/>
  <c r="T15" i="5"/>
  <c r="AE36" s="1"/>
  <c r="AN15" l="1"/>
  <c r="AD15" s="1"/>
  <c r="AE15" s="1"/>
  <c r="AK16"/>
  <c r="AN16"/>
  <c r="I64" i="1"/>
  <c r="I65" s="1"/>
  <c r="N64"/>
  <c r="M64"/>
  <c r="K64"/>
  <c r="J64"/>
  <c r="N51"/>
  <c r="M51"/>
  <c r="K51"/>
  <c r="J51"/>
  <c r="I51"/>
  <c r="I52" s="1"/>
  <c r="K3" i="25"/>
  <c r="Q4" i="1" s="1"/>
  <c r="O4" s="1"/>
  <c r="K4" i="25"/>
  <c r="Q5" i="1" s="1"/>
  <c r="K5" i="25"/>
  <c r="Q6" i="1" s="1"/>
  <c r="K8" i="25"/>
  <c r="Q9" i="1" s="1"/>
  <c r="K9" i="25"/>
  <c r="Q10" i="1" s="1"/>
  <c r="O10" s="1"/>
  <c r="K2" i="25"/>
  <c r="Q3" i="1" s="1"/>
  <c r="O3" s="1"/>
  <c r="G3" i="12"/>
  <c r="F3"/>
  <c r="Q51" i="1" l="1"/>
  <c r="O64"/>
  <c r="AO15" i="5"/>
  <c r="AA15" s="1"/>
  <c r="AO16"/>
  <c r="AD16"/>
  <c r="AE16" s="1"/>
  <c r="K14" i="9"/>
  <c r="K12"/>
  <c r="K4" i="1"/>
  <c r="K5"/>
  <c r="K6"/>
  <c r="K7"/>
  <c r="K8"/>
  <c r="K9"/>
  <c r="K10"/>
  <c r="K11"/>
  <c r="K12"/>
  <c r="K13"/>
  <c r="K14"/>
  <c r="G13"/>
  <c r="AQ14" i="5"/>
  <c r="AL14"/>
  <c r="E14"/>
  <c r="D14"/>
  <c r="C14"/>
  <c r="AQ13"/>
  <c r="AL13"/>
  <c r="E13"/>
  <c r="D13"/>
  <c r="C13"/>
  <c r="AQ12"/>
  <c r="AL12"/>
  <c r="E12"/>
  <c r="D12"/>
  <c r="C12"/>
  <c r="AQ11"/>
  <c r="AL11"/>
  <c r="E11"/>
  <c r="D11"/>
  <c r="C11"/>
  <c r="AQ10"/>
  <c r="AL10"/>
  <c r="E10"/>
  <c r="D10"/>
  <c r="C10"/>
  <c r="AQ9"/>
  <c r="AL9"/>
  <c r="E9"/>
  <c r="D9"/>
  <c r="C9"/>
  <c r="AQ8"/>
  <c r="AL8"/>
  <c r="W8" s="1"/>
  <c r="E8"/>
  <c r="D8"/>
  <c r="C8"/>
  <c r="AQ7"/>
  <c r="AL7"/>
  <c r="AM7" s="1"/>
  <c r="E7"/>
  <c r="D7"/>
  <c r="C7"/>
  <c r="AQ6"/>
  <c r="AL6"/>
  <c r="AM6" s="1"/>
  <c r="E6"/>
  <c r="D6"/>
  <c r="C6"/>
  <c r="AQ5"/>
  <c r="AL5"/>
  <c r="AM5" s="1"/>
  <c r="E5"/>
  <c r="D5"/>
  <c r="C5"/>
  <c r="AQ4"/>
  <c r="AL4"/>
  <c r="E4"/>
  <c r="D4"/>
  <c r="C4"/>
  <c r="B4"/>
  <c r="C14" i="28"/>
  <c r="B14"/>
  <c r="A14"/>
  <c r="C13"/>
  <c r="B13"/>
  <c r="A13"/>
  <c r="C12"/>
  <c r="B12"/>
  <c r="A12"/>
  <c r="L14" i="10"/>
  <c r="J14"/>
  <c r="H14"/>
  <c r="G14"/>
  <c r="E14"/>
  <c r="C14"/>
  <c r="A14"/>
  <c r="L13"/>
  <c r="J13"/>
  <c r="H13"/>
  <c r="G13"/>
  <c r="E13"/>
  <c r="C13"/>
  <c r="A13"/>
  <c r="L12"/>
  <c r="J12"/>
  <c r="H12"/>
  <c r="G12"/>
  <c r="E12"/>
  <c r="C12"/>
  <c r="A12"/>
  <c r="A12" i="22"/>
  <c r="A13"/>
  <c r="A14"/>
  <c r="A12" i="8"/>
  <c r="A13"/>
  <c r="A14"/>
  <c r="D14" i="9"/>
  <c r="C14"/>
  <c r="A14"/>
  <c r="D13"/>
  <c r="C13"/>
  <c r="A13"/>
  <c r="D12"/>
  <c r="C12"/>
  <c r="B12"/>
  <c r="A12"/>
  <c r="D11"/>
  <c r="C11"/>
  <c r="B11"/>
  <c r="A11"/>
  <c r="D10"/>
  <c r="C10"/>
  <c r="B10"/>
  <c r="A10"/>
  <c r="D9"/>
  <c r="C9"/>
  <c r="A9"/>
  <c r="D8"/>
  <c r="C8"/>
  <c r="A8"/>
  <c r="D7"/>
  <c r="C7"/>
  <c r="A7"/>
  <c r="D6"/>
  <c r="C6"/>
  <c r="A6"/>
  <c r="D5"/>
  <c r="C5"/>
  <c r="A5"/>
  <c r="D4"/>
  <c r="C4"/>
  <c r="B4"/>
  <c r="A4"/>
  <c r="BZ14" i="24"/>
  <c r="BT14"/>
  <c r="BH14"/>
  <c r="BD14"/>
  <c r="AX14"/>
  <c r="AI14"/>
  <c r="J14"/>
  <c r="H14"/>
  <c r="G14"/>
  <c r="C14"/>
  <c r="A14"/>
  <c r="BZ13"/>
  <c r="BT13"/>
  <c r="BH13"/>
  <c r="BD13"/>
  <c r="AX13"/>
  <c r="AI13"/>
  <c r="J13"/>
  <c r="H13"/>
  <c r="G13"/>
  <c r="C13"/>
  <c r="B13"/>
  <c r="A13"/>
  <c r="BZ12"/>
  <c r="BT12"/>
  <c r="BH12"/>
  <c r="BD12"/>
  <c r="AX12"/>
  <c r="AI12"/>
  <c r="J12"/>
  <c r="H12"/>
  <c r="G12"/>
  <c r="C12"/>
  <c r="A12"/>
  <c r="BZ11"/>
  <c r="BT11"/>
  <c r="BH11"/>
  <c r="BD11"/>
  <c r="AX11"/>
  <c r="AI11"/>
  <c r="J11"/>
  <c r="H11"/>
  <c r="G11"/>
  <c r="C11"/>
  <c r="A11"/>
  <c r="BZ10"/>
  <c r="BT10"/>
  <c r="BH10"/>
  <c r="BD10"/>
  <c r="AX10"/>
  <c r="AI10"/>
  <c r="J10"/>
  <c r="H10"/>
  <c r="G10"/>
  <c r="C10"/>
  <c r="A10"/>
  <c r="BZ9"/>
  <c r="BT9"/>
  <c r="BH9"/>
  <c r="BD9"/>
  <c r="AX9"/>
  <c r="AI9"/>
  <c r="J9"/>
  <c r="H9"/>
  <c r="G9"/>
  <c r="C9"/>
  <c r="A9"/>
  <c r="BZ8"/>
  <c r="BT8"/>
  <c r="BH8"/>
  <c r="BD8"/>
  <c r="AX8"/>
  <c r="AI8"/>
  <c r="J8"/>
  <c r="H8"/>
  <c r="G8"/>
  <c r="C8"/>
  <c r="B8"/>
  <c r="A8"/>
  <c r="BZ7"/>
  <c r="BT7"/>
  <c r="BH7"/>
  <c r="BD7"/>
  <c r="AX7"/>
  <c r="AI7"/>
  <c r="J7"/>
  <c r="H7"/>
  <c r="G7"/>
  <c r="C7"/>
  <c r="A7"/>
  <c r="BZ6"/>
  <c r="BT6"/>
  <c r="BH6"/>
  <c r="BD6"/>
  <c r="AX6"/>
  <c r="AI6"/>
  <c r="J6"/>
  <c r="H6"/>
  <c r="G6"/>
  <c r="C6"/>
  <c r="A6"/>
  <c r="BZ5"/>
  <c r="BT5"/>
  <c r="BH5"/>
  <c r="BD5"/>
  <c r="AX5"/>
  <c r="AI5"/>
  <c r="J5"/>
  <c r="H5"/>
  <c r="G5"/>
  <c r="C5"/>
  <c r="A5"/>
  <c r="BZ4"/>
  <c r="BT4"/>
  <c r="BH4"/>
  <c r="BD4"/>
  <c r="AX4"/>
  <c r="AI4"/>
  <c r="J4"/>
  <c r="H4"/>
  <c r="G4"/>
  <c r="C4"/>
  <c r="B4"/>
  <c r="A4"/>
  <c r="B14" i="23"/>
  <c r="A14"/>
  <c r="B13"/>
  <c r="A13"/>
  <c r="B12"/>
  <c r="A12"/>
  <c r="B11"/>
  <c r="A11"/>
  <c r="B10"/>
  <c r="A10"/>
  <c r="B9"/>
  <c r="A9"/>
  <c r="B8"/>
  <c r="A8"/>
  <c r="B7"/>
  <c r="A7"/>
  <c r="B6"/>
  <c r="A6"/>
  <c r="B5"/>
  <c r="A5"/>
  <c r="B4"/>
  <c r="A4"/>
  <c r="C14" i="15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H14" i="27"/>
  <c r="D14"/>
  <c r="C14"/>
  <c r="B14"/>
  <c r="C13"/>
  <c r="B13"/>
  <c r="A13"/>
  <c r="C12"/>
  <c r="B12"/>
  <c r="D11"/>
  <c r="C11"/>
  <c r="B11"/>
  <c r="C14" i="26"/>
  <c r="B14"/>
  <c r="A14"/>
  <c r="C13"/>
  <c r="B13"/>
  <c r="A13"/>
  <c r="C12"/>
  <c r="B12"/>
  <c r="A12"/>
  <c r="C11"/>
  <c r="B11"/>
  <c r="A11"/>
  <c r="C10"/>
  <c r="M10" s="1"/>
  <c r="B10"/>
  <c r="A10"/>
  <c r="C9"/>
  <c r="M9" s="1"/>
  <c r="B9"/>
  <c r="A9"/>
  <c r="C8"/>
  <c r="V8" s="1"/>
  <c r="B8"/>
  <c r="A8"/>
  <c r="C7"/>
  <c r="D7" s="1"/>
  <c r="B7"/>
  <c r="A7"/>
  <c r="C6"/>
  <c r="B6"/>
  <c r="A6"/>
  <c r="C5"/>
  <c r="V5" s="1"/>
  <c r="B5"/>
  <c r="A5"/>
  <c r="C4"/>
  <c r="V4" s="1"/>
  <c r="B4"/>
  <c r="A4"/>
  <c r="V14" i="20"/>
  <c r="I14" i="24" s="1"/>
  <c r="E14" i="20"/>
  <c r="D14"/>
  <c r="C14"/>
  <c r="A14"/>
  <c r="V13"/>
  <c r="I13" i="24" s="1"/>
  <c r="E13" i="20"/>
  <c r="D13"/>
  <c r="C13"/>
  <c r="B13"/>
  <c r="A13"/>
  <c r="V12"/>
  <c r="I12" i="24" s="1"/>
  <c r="E12" i="20"/>
  <c r="D12"/>
  <c r="C12"/>
  <c r="A12"/>
  <c r="V11"/>
  <c r="I11" i="24" s="1"/>
  <c r="E11" i="20"/>
  <c r="D11"/>
  <c r="C11"/>
  <c r="A11"/>
  <c r="V10"/>
  <c r="I10" i="24" s="1"/>
  <c r="E10" i="20"/>
  <c r="D10"/>
  <c r="C10"/>
  <c r="A10"/>
  <c r="V9"/>
  <c r="I9" i="24" s="1"/>
  <c r="E9" i="20"/>
  <c r="D9"/>
  <c r="C9"/>
  <c r="A9"/>
  <c r="V8"/>
  <c r="I8" i="24" s="1"/>
  <c r="E8" i="20"/>
  <c r="D8"/>
  <c r="C8"/>
  <c r="B8"/>
  <c r="A8"/>
  <c r="V7"/>
  <c r="I7" i="24" s="1"/>
  <c r="E7" i="20"/>
  <c r="D7"/>
  <c r="C7"/>
  <c r="A7"/>
  <c r="V6"/>
  <c r="I6" i="24" s="1"/>
  <c r="E6" i="20"/>
  <c r="D6"/>
  <c r="C6"/>
  <c r="A6"/>
  <c r="V5"/>
  <c r="I5" i="24" s="1"/>
  <c r="E5" i="20"/>
  <c r="D5"/>
  <c r="C5"/>
  <c r="A5"/>
  <c r="V4"/>
  <c r="I4" i="24" s="1"/>
  <c r="E4" i="20"/>
  <c r="D4"/>
  <c r="C4"/>
  <c r="B4"/>
  <c r="A4"/>
  <c r="P14" i="4"/>
  <c r="F14" i="24" s="1"/>
  <c r="E14" i="4"/>
  <c r="D14"/>
  <c r="C14"/>
  <c r="A14"/>
  <c r="P13"/>
  <c r="F13" i="24" s="1"/>
  <c r="J13" i="1"/>
  <c r="E13" i="4"/>
  <c r="D13"/>
  <c r="C13"/>
  <c r="B13"/>
  <c r="A13"/>
  <c r="P12"/>
  <c r="F12" i="24" s="1"/>
  <c r="J12" i="1"/>
  <c r="E12" i="4"/>
  <c r="D12"/>
  <c r="C12"/>
  <c r="A12"/>
  <c r="P11"/>
  <c r="F11" i="24" s="1"/>
  <c r="E11" i="4"/>
  <c r="D11"/>
  <c r="C11"/>
  <c r="A11"/>
  <c r="P10"/>
  <c r="F10" i="24" s="1"/>
  <c r="E10" i="4"/>
  <c r="D10"/>
  <c r="C10"/>
  <c r="A10"/>
  <c r="P9"/>
  <c r="F9" i="24" s="1"/>
  <c r="E9" i="4"/>
  <c r="D9"/>
  <c r="C9"/>
  <c r="A9"/>
  <c r="P8"/>
  <c r="F8" i="24" s="1"/>
  <c r="H8" i="4"/>
  <c r="G8"/>
  <c r="E8"/>
  <c r="D8"/>
  <c r="C8"/>
  <c r="B8"/>
  <c r="A8"/>
  <c r="P7"/>
  <c r="F7" i="24" s="1"/>
  <c r="J7" i="1"/>
  <c r="E7" i="4"/>
  <c r="D7"/>
  <c r="C7"/>
  <c r="A7"/>
  <c r="P6"/>
  <c r="F6" i="24" s="1"/>
  <c r="E6" i="4"/>
  <c r="D6"/>
  <c r="C6"/>
  <c r="A6"/>
  <c r="P5"/>
  <c r="F5" i="24" s="1"/>
  <c r="E5" i="4"/>
  <c r="D5"/>
  <c r="C5"/>
  <c r="A5"/>
  <c r="P4"/>
  <c r="F4" i="24" s="1"/>
  <c r="H4" i="4"/>
  <c r="G4"/>
  <c r="E4"/>
  <c r="D4"/>
  <c r="C4"/>
  <c r="B4"/>
  <c r="A4"/>
  <c r="AM14" i="16"/>
  <c r="E14" i="24" s="1"/>
  <c r="E14" i="16"/>
  <c r="I14" s="1"/>
  <c r="N14" s="1"/>
  <c r="D14"/>
  <c r="H14" s="1"/>
  <c r="C14"/>
  <c r="B14"/>
  <c r="A14"/>
  <c r="AM13"/>
  <c r="E13" i="24" s="1"/>
  <c r="E13" i="16"/>
  <c r="I13" s="1"/>
  <c r="N13" s="1"/>
  <c r="D13"/>
  <c r="H13" s="1"/>
  <c r="D46" s="1"/>
  <c r="C13"/>
  <c r="B13"/>
  <c r="A13"/>
  <c r="AM12"/>
  <c r="E12" i="24" s="1"/>
  <c r="E12" i="16"/>
  <c r="I12" s="1"/>
  <c r="N12" s="1"/>
  <c r="D12"/>
  <c r="H12" s="1"/>
  <c r="D41" s="1"/>
  <c r="C12"/>
  <c r="B12"/>
  <c r="A12"/>
  <c r="AM11"/>
  <c r="E11" i="24" s="1"/>
  <c r="E11" i="16"/>
  <c r="I11" s="1"/>
  <c r="N11" s="1"/>
  <c r="D11"/>
  <c r="H11" s="1"/>
  <c r="D37" s="1"/>
  <c r="C11"/>
  <c r="B11"/>
  <c r="A11"/>
  <c r="AM10"/>
  <c r="E10" i="24" s="1"/>
  <c r="E10" i="16"/>
  <c r="I10" s="1"/>
  <c r="N10" s="1"/>
  <c r="D10"/>
  <c r="H10" s="1"/>
  <c r="C10"/>
  <c r="B10"/>
  <c r="A10"/>
  <c r="AM9"/>
  <c r="E9" i="24" s="1"/>
  <c r="E9" i="16"/>
  <c r="I9" s="1"/>
  <c r="N9" s="1"/>
  <c r="D9"/>
  <c r="H9" s="1"/>
  <c r="C9"/>
  <c r="B9"/>
  <c r="A9"/>
  <c r="AM8"/>
  <c r="AN8" s="1"/>
  <c r="D8" i="24" s="1"/>
  <c r="E8" i="16"/>
  <c r="I8" s="1"/>
  <c r="N8" s="1"/>
  <c r="D8"/>
  <c r="H8" s="1"/>
  <c r="D29" s="1"/>
  <c r="C8"/>
  <c r="B8"/>
  <c r="A8"/>
  <c r="AM7"/>
  <c r="E7" i="24" s="1"/>
  <c r="E7" i="16"/>
  <c r="I7" s="1"/>
  <c r="N7" s="1"/>
  <c r="D7"/>
  <c r="H7" s="1"/>
  <c r="C7"/>
  <c r="B7"/>
  <c r="A7"/>
  <c r="AM6"/>
  <c r="E6" i="24" s="1"/>
  <c r="E6" i="16"/>
  <c r="I6" s="1"/>
  <c r="N6" s="1"/>
  <c r="D6"/>
  <c r="H6" s="1"/>
  <c r="C6"/>
  <c r="B6"/>
  <c r="A6"/>
  <c r="AM5"/>
  <c r="E5" i="24" s="1"/>
  <c r="E5" i="16"/>
  <c r="I5" s="1"/>
  <c r="N5" s="1"/>
  <c r="D5"/>
  <c r="H5" s="1"/>
  <c r="C5"/>
  <c r="B5"/>
  <c r="A5"/>
  <c r="AM4"/>
  <c r="AN4" s="1"/>
  <c r="D4" i="24" s="1"/>
  <c r="E4" i="16"/>
  <c r="I4" s="1"/>
  <c r="N4" s="1"/>
  <c r="D4"/>
  <c r="H4" s="1"/>
  <c r="D25" s="1"/>
  <c r="C4"/>
  <c r="B4"/>
  <c r="A4"/>
  <c r="B14" i="14"/>
  <c r="A14"/>
  <c r="B13"/>
  <c r="A13"/>
  <c r="B12"/>
  <c r="A12"/>
  <c r="B11"/>
  <c r="A11"/>
  <c r="B10"/>
  <c r="A10"/>
  <c r="B9"/>
  <c r="A9"/>
  <c r="B8"/>
  <c r="A8"/>
  <c r="B7"/>
  <c r="A7"/>
  <c r="B6"/>
  <c r="A6"/>
  <c r="B5"/>
  <c r="A5"/>
  <c r="B4"/>
  <c r="A4"/>
  <c r="G14" i="1"/>
  <c r="C14" i="12"/>
  <c r="B14"/>
  <c r="A14"/>
  <c r="C13"/>
  <c r="B13"/>
  <c r="A13"/>
  <c r="G12" i="1"/>
  <c r="C12" i="12"/>
  <c r="B12"/>
  <c r="A12"/>
  <c r="G11" i="1"/>
  <c r="C11" i="12"/>
  <c r="B11"/>
  <c r="A11"/>
  <c r="G10" i="1"/>
  <c r="C10" i="12"/>
  <c r="B10"/>
  <c r="A10"/>
  <c r="G9" i="1"/>
  <c r="C9" i="12"/>
  <c r="B9"/>
  <c r="A9"/>
  <c r="G8" i="1"/>
  <c r="C8" i="12"/>
  <c r="B8"/>
  <c r="A8"/>
  <c r="C7"/>
  <c r="B7"/>
  <c r="A7"/>
  <c r="C6"/>
  <c r="B6"/>
  <c r="A6"/>
  <c r="C5"/>
  <c r="B5"/>
  <c r="A5"/>
  <c r="C4"/>
  <c r="B4"/>
  <c r="A4"/>
  <c r="N13" i="13"/>
  <c r="J13"/>
  <c r="H13" i="27" s="1"/>
  <c r="C13" i="13"/>
  <c r="G13" s="1"/>
  <c r="B13"/>
  <c r="A13"/>
  <c r="N12"/>
  <c r="J12"/>
  <c r="H12" i="27" s="1"/>
  <c r="C12" i="13"/>
  <c r="B12"/>
  <c r="A12"/>
  <c r="N11"/>
  <c r="J11"/>
  <c r="H11" i="27" s="1"/>
  <c r="C11" i="13"/>
  <c r="B11"/>
  <c r="A11"/>
  <c r="N10"/>
  <c r="J10"/>
  <c r="C10"/>
  <c r="B10"/>
  <c r="A10"/>
  <c r="N9"/>
  <c r="P9" i="14" s="1"/>
  <c r="H9" i="1" s="1"/>
  <c r="J9" i="13"/>
  <c r="C9"/>
  <c r="G9" s="1"/>
  <c r="B9"/>
  <c r="A9"/>
  <c r="N8"/>
  <c r="J8"/>
  <c r="C8"/>
  <c r="G8" s="1"/>
  <c r="B8"/>
  <c r="A8"/>
  <c r="N7"/>
  <c r="J7"/>
  <c r="C7"/>
  <c r="G7" s="1"/>
  <c r="B7"/>
  <c r="A7"/>
  <c r="N6"/>
  <c r="J6"/>
  <c r="C6"/>
  <c r="G6" s="1"/>
  <c r="B6"/>
  <c r="A6"/>
  <c r="N5"/>
  <c r="P5" i="14" s="1"/>
  <c r="H5" i="1" s="1"/>
  <c r="J5" i="13"/>
  <c r="C5"/>
  <c r="G5" s="1"/>
  <c r="B5"/>
  <c r="A5"/>
  <c r="N4"/>
  <c r="P4" i="14" s="1"/>
  <c r="H4" i="1" s="1"/>
  <c r="J4" i="13"/>
  <c r="C4"/>
  <c r="G4" s="1"/>
  <c r="B4"/>
  <c r="A4"/>
  <c r="C13" i="25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AM13" i="5" l="1"/>
  <c r="W13"/>
  <c r="X13" s="1"/>
  <c r="AM4"/>
  <c r="W4"/>
  <c r="X4" s="1"/>
  <c r="J11" i="1"/>
  <c r="AN14" i="16"/>
  <c r="D14" i="24" s="1"/>
  <c r="CA14" s="1"/>
  <c r="R14" i="9" s="1"/>
  <c r="J10" i="16"/>
  <c r="D33"/>
  <c r="D13" i="27"/>
  <c r="M13" i="26"/>
  <c r="AE13" s="1"/>
  <c r="AG13" s="1"/>
  <c r="V13"/>
  <c r="M11"/>
  <c r="AE11" s="1"/>
  <c r="AG11" s="1"/>
  <c r="V11"/>
  <c r="F11" i="27" s="1"/>
  <c r="F14"/>
  <c r="V14" i="26"/>
  <c r="M14"/>
  <c r="AE14" s="1"/>
  <c r="AG14" s="1"/>
  <c r="F12" i="27"/>
  <c r="M12" i="26"/>
  <c r="AE12" s="1"/>
  <c r="AG12" s="1"/>
  <c r="V12"/>
  <c r="AH36" i="5"/>
  <c r="AM12"/>
  <c r="X12"/>
  <c r="AM9"/>
  <c r="X9"/>
  <c r="AM11"/>
  <c r="X11"/>
  <c r="AM14"/>
  <c r="X14"/>
  <c r="AM10"/>
  <c r="X10"/>
  <c r="AM8"/>
  <c r="X8"/>
  <c r="P10" i="14"/>
  <c r="H10" i="1" s="1"/>
  <c r="P13" i="14"/>
  <c r="H13" i="1" s="1"/>
  <c r="G5"/>
  <c r="AA16" i="5"/>
  <c r="AH37"/>
  <c r="J9" i="1"/>
  <c r="AN10" i="16"/>
  <c r="D10" i="24" s="1"/>
  <c r="CA10" s="1"/>
  <c r="R10" i="9" s="1"/>
  <c r="AN11" i="16"/>
  <c r="D11" i="24" s="1"/>
  <c r="CA11" s="1"/>
  <c r="R11" i="9" s="1"/>
  <c r="AN6" i="16"/>
  <c r="D6" i="24" s="1"/>
  <c r="CA6" s="1"/>
  <c r="R6" i="9" s="1"/>
  <c r="AN7" i="16"/>
  <c r="D7" i="24" s="1"/>
  <c r="CA7" s="1"/>
  <c r="R7" i="9" s="1"/>
  <c r="I4" i="4"/>
  <c r="J4" i="1" s="1"/>
  <c r="CB10" i="24"/>
  <c r="Q10" i="9" s="1"/>
  <c r="G10" i="5" s="1"/>
  <c r="CB14" i="24"/>
  <c r="Q14" i="9" s="1"/>
  <c r="G14" i="5" s="1"/>
  <c r="AN5" i="16"/>
  <c r="D5" i="24" s="1"/>
  <c r="CA5" s="1"/>
  <c r="R5" i="9" s="1"/>
  <c r="CB6" i="24"/>
  <c r="Q6" i="9" s="1"/>
  <c r="G6" i="5" s="1"/>
  <c r="CB12" i="24"/>
  <c r="Q12" i="9" s="1"/>
  <c r="G12" i="5" s="1"/>
  <c r="E4" i="24"/>
  <c r="CB4" s="1"/>
  <c r="Q4" i="9" s="1"/>
  <c r="G4" i="5" s="1"/>
  <c r="E8" i="24"/>
  <c r="CB8" s="1"/>
  <c r="Q8" i="9" s="1"/>
  <c r="G8" i="5" s="1"/>
  <c r="K9" i="16"/>
  <c r="K13"/>
  <c r="J14"/>
  <c r="G4" i="1"/>
  <c r="P14" i="14"/>
  <c r="H14" i="1" s="1"/>
  <c r="P12" i="14"/>
  <c r="H12" i="1" s="1"/>
  <c r="P11" i="14"/>
  <c r="H11" i="1" s="1"/>
  <c r="K5" i="16"/>
  <c r="P8" i="14"/>
  <c r="H8" i="1" s="1"/>
  <c r="P7" i="14"/>
  <c r="H7" i="1" s="1"/>
  <c r="P6" i="14"/>
  <c r="H6" i="1" s="1"/>
  <c r="G7"/>
  <c r="J6" i="16"/>
  <c r="G6" i="1"/>
  <c r="M4" i="26"/>
  <c r="AE4" s="1"/>
  <c r="AG4" s="1"/>
  <c r="J4" i="5" s="1"/>
  <c r="K4" s="1"/>
  <c r="M5" i="26"/>
  <c r="AE5" s="1"/>
  <c r="AG5" s="1"/>
  <c r="V10"/>
  <c r="AE10" s="1"/>
  <c r="F13" i="27"/>
  <c r="D12"/>
  <c r="E12"/>
  <c r="AE6" i="26"/>
  <c r="CA4" i="24"/>
  <c r="R4" i="9" s="1"/>
  <c r="CA8" i="24"/>
  <c r="R8" i="9" s="1"/>
  <c r="CB5" i="24"/>
  <c r="Q5" i="9" s="1"/>
  <c r="G5" i="5" s="1"/>
  <c r="CB7" i="24"/>
  <c r="Q7" i="9" s="1"/>
  <c r="G7" i="5" s="1"/>
  <c r="CB9" i="24"/>
  <c r="Q9" i="9" s="1"/>
  <c r="G9" i="5" s="1"/>
  <c r="CB11" i="24"/>
  <c r="Q11" i="9" s="1"/>
  <c r="G11" i="5" s="1"/>
  <c r="CB13" i="24"/>
  <c r="Q13" i="9" s="1"/>
  <c r="G13" i="5" s="1"/>
  <c r="V9" i="26"/>
  <c r="AE9" s="1"/>
  <c r="AG9" s="1"/>
  <c r="M8"/>
  <c r="AE8" s="1"/>
  <c r="AG8" s="1"/>
  <c r="AE7"/>
  <c r="J10" i="1"/>
  <c r="J5"/>
  <c r="I8" i="4"/>
  <c r="J8" i="1" s="1"/>
  <c r="J6"/>
  <c r="J14"/>
  <c r="AN9" i="16"/>
  <c r="D9" i="24" s="1"/>
  <c r="CA9" s="1"/>
  <c r="R9" i="9" s="1"/>
  <c r="AN12" i="16"/>
  <c r="D12" i="24" s="1"/>
  <c r="CA12" s="1"/>
  <c r="R12" i="9" s="1"/>
  <c r="AN13" i="16"/>
  <c r="D13" i="24" s="1"/>
  <c r="CA13" s="1"/>
  <c r="R13" i="9" s="1"/>
  <c r="K11" i="16"/>
  <c r="L11"/>
  <c r="J11"/>
  <c r="J4"/>
  <c r="K4"/>
  <c r="L4"/>
  <c r="J7"/>
  <c r="L7"/>
  <c r="K7"/>
  <c r="L8"/>
  <c r="K8"/>
  <c r="J8"/>
  <c r="L12"/>
  <c r="J12"/>
  <c r="K12"/>
  <c r="L6"/>
  <c r="L14"/>
  <c r="L5"/>
  <c r="K14"/>
  <c r="J5"/>
  <c r="J9"/>
  <c r="J13"/>
  <c r="L10"/>
  <c r="K6"/>
  <c r="L9"/>
  <c r="K10"/>
  <c r="L13"/>
  <c r="H10" i="13"/>
  <c r="I10"/>
  <c r="H5"/>
  <c r="I5"/>
  <c r="H9"/>
  <c r="I9"/>
  <c r="H13"/>
  <c r="I13"/>
  <c r="I4"/>
  <c r="H4"/>
  <c r="I8"/>
  <c r="H8"/>
  <c r="I12"/>
  <c r="H12"/>
  <c r="H7"/>
  <c r="I7"/>
  <c r="H11"/>
  <c r="I11"/>
  <c r="H6"/>
  <c r="I6"/>
  <c r="L17" i="5"/>
  <c r="M17"/>
  <c r="N17"/>
  <c r="P17"/>
  <c r="Q17"/>
  <c r="R17"/>
  <c r="E13" i="27" l="1"/>
  <c r="E14"/>
  <c r="O6" i="16"/>
  <c r="Q6" s="1"/>
  <c r="AG10" i="26"/>
  <c r="J10" i="5" s="1"/>
  <c r="K10" s="1"/>
  <c r="AG7" i="26"/>
  <c r="P7" i="9" s="1"/>
  <c r="AG6" i="26"/>
  <c r="J6" i="5" s="1"/>
  <c r="K6" s="1"/>
  <c r="U9"/>
  <c r="V9" s="1"/>
  <c r="U5"/>
  <c r="V5" s="1"/>
  <c r="U12"/>
  <c r="V12" s="1"/>
  <c r="U7"/>
  <c r="V7" s="1"/>
  <c r="U13"/>
  <c r="V13" s="1"/>
  <c r="U4"/>
  <c r="V4" s="1"/>
  <c r="U10"/>
  <c r="V10" s="1"/>
  <c r="U8"/>
  <c r="V8" s="1"/>
  <c r="U11"/>
  <c r="V11" s="1"/>
  <c r="U14"/>
  <c r="V14" s="1"/>
  <c r="U6"/>
  <c r="V6" s="1"/>
  <c r="O14" i="16"/>
  <c r="Q14" s="1"/>
  <c r="R14" i="10" s="1"/>
  <c r="P14" s="1"/>
  <c r="O7" i="16"/>
  <c r="Q7" s="1"/>
  <c r="O4"/>
  <c r="M4" s="1"/>
  <c r="I4" i="1" s="1"/>
  <c r="P4" i="9"/>
  <c r="V11" i="27"/>
  <c r="G11"/>
  <c r="J8" i="5"/>
  <c r="K8" s="1"/>
  <c r="P8" i="9"/>
  <c r="V14" i="27"/>
  <c r="G14"/>
  <c r="P5" i="9"/>
  <c r="J5" i="5"/>
  <c r="K5" s="1"/>
  <c r="V13" i="27"/>
  <c r="G13"/>
  <c r="E11"/>
  <c r="V12"/>
  <c r="G12"/>
  <c r="P9" i="9"/>
  <c r="J9" i="5"/>
  <c r="K9" s="1"/>
  <c r="O10" i="16"/>
  <c r="M10" s="1"/>
  <c r="I10" i="1" s="1"/>
  <c r="O13" i="16"/>
  <c r="M13" s="1"/>
  <c r="I13" i="1" s="1"/>
  <c r="O5" i="16"/>
  <c r="Q5" s="1"/>
  <c r="O9"/>
  <c r="O12"/>
  <c r="O8"/>
  <c r="O11"/>
  <c r="K12" i="13"/>
  <c r="L12"/>
  <c r="K4"/>
  <c r="L4"/>
  <c r="L7"/>
  <c r="K7"/>
  <c r="L9"/>
  <c r="K9"/>
  <c r="K10"/>
  <c r="L10"/>
  <c r="L8"/>
  <c r="K8"/>
  <c r="L6"/>
  <c r="K6"/>
  <c r="K11"/>
  <c r="L11"/>
  <c r="K13"/>
  <c r="L13"/>
  <c r="K5"/>
  <c r="L5"/>
  <c r="Z17" i="5"/>
  <c r="Q10" i="16" l="1"/>
  <c r="M6"/>
  <c r="I6" i="1" s="1"/>
  <c r="P10" i="9"/>
  <c r="J7" i="5"/>
  <c r="K7" s="1"/>
  <c r="P14" i="9"/>
  <c r="P6"/>
  <c r="M7" i="16"/>
  <c r="I7" i="1" s="1"/>
  <c r="M14" i="16"/>
  <c r="I14" i="1" s="1"/>
  <c r="Q13" i="16"/>
  <c r="R13" i="10" s="1"/>
  <c r="P13" s="1"/>
  <c r="Q4" i="16"/>
  <c r="O5" i="13"/>
  <c r="M5" s="1"/>
  <c r="F5" i="1" s="1"/>
  <c r="O11" i="13"/>
  <c r="M11" s="1"/>
  <c r="F11" i="1" s="1"/>
  <c r="O10" i="13"/>
  <c r="M10" s="1"/>
  <c r="F10" i="1" s="1"/>
  <c r="O4" i="13"/>
  <c r="L4" i="9" s="1"/>
  <c r="O4" s="1"/>
  <c r="F4" i="5" s="1"/>
  <c r="H4" s="1"/>
  <c r="I4" s="1"/>
  <c r="O6" i="13"/>
  <c r="L6" i="9" s="1"/>
  <c r="O6" s="1"/>
  <c r="F6" i="5" s="1"/>
  <c r="H6" s="1"/>
  <c r="I6" s="1"/>
  <c r="O9" i="13"/>
  <c r="M9" s="1"/>
  <c r="F9" i="1" s="1"/>
  <c r="J13" i="27"/>
  <c r="X13"/>
  <c r="X14"/>
  <c r="J14"/>
  <c r="X12"/>
  <c r="J12"/>
  <c r="W11"/>
  <c r="I11"/>
  <c r="X11"/>
  <c r="J11"/>
  <c r="J11" i="5"/>
  <c r="K11" s="1"/>
  <c r="P11" i="9"/>
  <c r="O13" i="13"/>
  <c r="M13" s="1"/>
  <c r="F13" i="1" s="1"/>
  <c r="I13" i="27"/>
  <c r="W13"/>
  <c r="I14"/>
  <c r="W14"/>
  <c r="I12"/>
  <c r="W12"/>
  <c r="O7" i="13"/>
  <c r="M9" i="16"/>
  <c r="I9" i="1" s="1"/>
  <c r="M5" i="16"/>
  <c r="I5" i="1" s="1"/>
  <c r="Q9" i="16"/>
  <c r="Q8"/>
  <c r="M8"/>
  <c r="I8" i="1" s="1"/>
  <c r="Q11" i="16"/>
  <c r="M11"/>
  <c r="I11" i="1" s="1"/>
  <c r="Q12" i="16"/>
  <c r="R12" i="10" s="1"/>
  <c r="P12" s="1"/>
  <c r="M12" i="16"/>
  <c r="I12" i="1" s="1"/>
  <c r="O8" i="13"/>
  <c r="M8" s="1"/>
  <c r="F8" i="1" s="1"/>
  <c r="O12" i="13"/>
  <c r="M12" s="1"/>
  <c r="F12" i="1" s="1"/>
  <c r="Q17" i="24"/>
  <c r="R17"/>
  <c r="S17"/>
  <c r="T17"/>
  <c r="U17"/>
  <c r="V17"/>
  <c r="W17"/>
  <c r="X17"/>
  <c r="Y17"/>
  <c r="Z17"/>
  <c r="J14" i="5" l="1"/>
  <c r="K14" s="1"/>
  <c r="J13"/>
  <c r="K13" s="1"/>
  <c r="P13" i="9"/>
  <c r="P12"/>
  <c r="J12" i="5"/>
  <c r="K12" s="1"/>
  <c r="L5" i="9"/>
  <c r="O5" s="1"/>
  <c r="F5" i="5" s="1"/>
  <c r="H5" s="1"/>
  <c r="I5" s="1"/>
  <c r="L11" i="9"/>
  <c r="O11" s="1"/>
  <c r="F11" i="5" s="1"/>
  <c r="H11" s="1"/>
  <c r="I11" s="1"/>
  <c r="L10" i="9"/>
  <c r="O10" s="1"/>
  <c r="F10" i="5" s="1"/>
  <c r="H10" s="1"/>
  <c r="I10" s="1"/>
  <c r="M4" i="13"/>
  <c r="F4" i="1" s="1"/>
  <c r="M6" i="13"/>
  <c r="F6" i="1" s="1"/>
  <c r="L9" i="9"/>
  <c r="O9" s="1"/>
  <c r="F9" i="5" s="1"/>
  <c r="H9" s="1"/>
  <c r="I9" s="1"/>
  <c r="L8" i="9"/>
  <c r="O8" s="1"/>
  <c r="F8" i="5" s="1"/>
  <c r="H8" s="1"/>
  <c r="I8" s="1"/>
  <c r="L13" i="9"/>
  <c r="O13" s="1"/>
  <c r="F13" i="5" s="1"/>
  <c r="H13" s="1"/>
  <c r="I13" s="1"/>
  <c r="L12" i="9"/>
  <c r="O12" s="1"/>
  <c r="F12" i="5" s="1"/>
  <c r="H12" s="1"/>
  <c r="I12" s="1"/>
  <c r="F14" i="1"/>
  <c r="M14" s="1"/>
  <c r="L14" i="9"/>
  <c r="O14" s="1"/>
  <c r="F14" i="5" s="1"/>
  <c r="H14" s="1"/>
  <c r="I14" s="1"/>
  <c r="M7" i="13"/>
  <c r="F7" i="1" s="1"/>
  <c r="L7" i="9"/>
  <c r="O7" s="1"/>
  <c r="F7" i="5" s="1"/>
  <c r="H7" s="1"/>
  <c r="I7" s="1"/>
  <c r="B3" i="24"/>
  <c r="B3" i="20"/>
  <c r="B3" i="4"/>
  <c r="N17" i="1"/>
  <c r="P14" l="1"/>
  <c r="N14" i="9" s="1"/>
  <c r="K6"/>
  <c r="K7"/>
  <c r="K8"/>
  <c r="K9"/>
  <c r="K10"/>
  <c r="K11"/>
  <c r="T14" i="5" l="1"/>
  <c r="AE35" s="1"/>
  <c r="AN14"/>
  <c r="AK14"/>
  <c r="AI17"/>
  <c r="AF17"/>
  <c r="M17" i="9"/>
  <c r="N38" i="1"/>
  <c r="M38"/>
  <c r="K38"/>
  <c r="J38"/>
  <c r="I38"/>
  <c r="I39" s="1"/>
  <c r="H10" i="27"/>
  <c r="H9"/>
  <c r="H8"/>
  <c r="H7"/>
  <c r="C3" i="26"/>
  <c r="B3"/>
  <c r="A3"/>
  <c r="C10" i="27"/>
  <c r="B10"/>
  <c r="C9"/>
  <c r="B9"/>
  <c r="C8"/>
  <c r="B8"/>
  <c r="C7"/>
  <c r="B7"/>
  <c r="AO14" i="5" l="1"/>
  <c r="AD14"/>
  <c r="AE14" s="1"/>
  <c r="V3" i="26"/>
  <c r="M3"/>
  <c r="F9" i="27"/>
  <c r="O38" i="1"/>
  <c r="E7" i="27"/>
  <c r="E9"/>
  <c r="F7"/>
  <c r="D8"/>
  <c r="D10"/>
  <c r="D7"/>
  <c r="D9"/>
  <c r="AH35" i="5" l="1"/>
  <c r="AA14"/>
  <c r="AE3" i="26"/>
  <c r="V8" i="27"/>
  <c r="G8"/>
  <c r="J10"/>
  <c r="X10"/>
  <c r="I7"/>
  <c r="W7"/>
  <c r="G9"/>
  <c r="V9"/>
  <c r="X8"/>
  <c r="J8"/>
  <c r="X9"/>
  <c r="J9"/>
  <c r="V10"/>
  <c r="G10"/>
  <c r="W10"/>
  <c r="I10"/>
  <c r="X7"/>
  <c r="J7"/>
  <c r="V7"/>
  <c r="G7"/>
  <c r="I8"/>
  <c r="W8"/>
  <c r="W9"/>
  <c r="I9"/>
  <c r="AG3" i="26" l="1"/>
  <c r="M12" i="1"/>
  <c r="P12" l="1"/>
  <c r="N12" i="9" s="1"/>
  <c r="BQ17" i="24"/>
  <c r="BR17"/>
  <c r="BU17"/>
  <c r="BV17"/>
  <c r="BW17"/>
  <c r="BX17"/>
  <c r="BY17"/>
  <c r="AB17" i="5"/>
  <c r="AC17"/>
  <c r="BT3" i="24"/>
  <c r="AX3"/>
  <c r="AI3"/>
  <c r="G3"/>
  <c r="V3" i="20"/>
  <c r="Q17"/>
  <c r="R17"/>
  <c r="S17"/>
  <c r="T17"/>
  <c r="U17"/>
  <c r="O17" i="4"/>
  <c r="P3"/>
  <c r="AM3" i="16"/>
  <c r="T12" i="5" l="1"/>
  <c r="AE33" s="1"/>
  <c r="AK12"/>
  <c r="AN12"/>
  <c r="M7" i="1"/>
  <c r="AJ7" i="5" s="1"/>
  <c r="M11" i="1"/>
  <c r="M9"/>
  <c r="AJ11" i="5" l="1"/>
  <c r="AK11" s="1"/>
  <c r="AN7"/>
  <c r="P7" i="1"/>
  <c r="P11"/>
  <c r="AK9" i="5"/>
  <c r="AO12"/>
  <c r="AA12" s="1"/>
  <c r="AD12"/>
  <c r="AE12" s="1"/>
  <c r="AQ3"/>
  <c r="AH33" l="1"/>
  <c r="AK7"/>
  <c r="AN9"/>
  <c r="AD9" s="1"/>
  <c r="AE9" s="1"/>
  <c r="AN11"/>
  <c r="AO11" s="1"/>
  <c r="AA11" s="1"/>
  <c r="AD7"/>
  <c r="AE7" s="1"/>
  <c r="AO7"/>
  <c r="AA7" s="1"/>
  <c r="N7" i="9"/>
  <c r="N9"/>
  <c r="N11"/>
  <c r="AQ17" i="5"/>
  <c r="AL3"/>
  <c r="T7" l="1"/>
  <c r="AE28" s="1"/>
  <c r="AH28" s="1"/>
  <c r="T11"/>
  <c r="AE32" s="1"/>
  <c r="AH32" s="1"/>
  <c r="T9"/>
  <c r="AE30" s="1"/>
  <c r="AD11"/>
  <c r="AE11" s="1"/>
  <c r="AO9"/>
  <c r="AA9" s="1"/>
  <c r="AM3"/>
  <c r="E3"/>
  <c r="D3"/>
  <c r="C3"/>
  <c r="B3"/>
  <c r="A3"/>
  <c r="AH30" l="1"/>
  <c r="X17"/>
  <c r="W17"/>
  <c r="AL17"/>
  <c r="C11" i="28" l="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S17" i="10"/>
  <c r="Q17" l="1"/>
  <c r="O17"/>
  <c r="R11" l="1"/>
  <c r="P11" s="1"/>
  <c r="L11"/>
  <c r="J11"/>
  <c r="H11"/>
  <c r="G11"/>
  <c r="E11"/>
  <c r="C11"/>
  <c r="A11"/>
  <c r="L10"/>
  <c r="J10"/>
  <c r="H10"/>
  <c r="G10"/>
  <c r="E10"/>
  <c r="C10"/>
  <c r="A10"/>
  <c r="R9"/>
  <c r="P9" s="1"/>
  <c r="L9"/>
  <c r="J9"/>
  <c r="H9"/>
  <c r="G9"/>
  <c r="E9"/>
  <c r="C9"/>
  <c r="A9"/>
  <c r="L8"/>
  <c r="J8"/>
  <c r="H8"/>
  <c r="G8"/>
  <c r="E8"/>
  <c r="C8"/>
  <c r="A8"/>
  <c r="R7"/>
  <c r="P7" s="1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A11" i="22"/>
  <c r="A10"/>
  <c r="A9"/>
  <c r="A8"/>
  <c r="A7"/>
  <c r="A6"/>
  <c r="A5"/>
  <c r="A4"/>
  <c r="A3"/>
  <c r="A11" i="8"/>
  <c r="A10"/>
  <c r="A9"/>
  <c r="A8"/>
  <c r="A7"/>
  <c r="A6"/>
  <c r="A5"/>
  <c r="A4"/>
  <c r="A3"/>
  <c r="X17" i="9"/>
  <c r="W17"/>
  <c r="V17"/>
  <c r="U17"/>
  <c r="T17" l="1"/>
  <c r="S17"/>
  <c r="J17" l="1"/>
  <c r="I17"/>
  <c r="H17"/>
  <c r="G17"/>
  <c r="F17"/>
  <c r="E17"/>
  <c r="D3" l="1"/>
  <c r="C3"/>
  <c r="B3"/>
  <c r="A3"/>
  <c r="BS17" i="24" l="1"/>
  <c r="BP17"/>
  <c r="BO17"/>
  <c r="BN17"/>
  <c r="BM17"/>
  <c r="BL17"/>
  <c r="BK17"/>
  <c r="BJ17"/>
  <c r="BI17"/>
  <c r="BG17"/>
  <c r="BF17"/>
  <c r="BE17"/>
  <c r="BC17"/>
  <c r="BB17"/>
  <c r="BA17"/>
  <c r="AZ17"/>
  <c r="AY17"/>
  <c r="AW17"/>
  <c r="AV17"/>
  <c r="AU17"/>
  <c r="AT17"/>
  <c r="AS17"/>
  <c r="AR17"/>
  <c r="AQ17"/>
  <c r="AP17"/>
  <c r="AO17"/>
  <c r="AN17"/>
  <c r="AM17"/>
  <c r="AL17"/>
  <c r="AK17"/>
  <c r="AH17"/>
  <c r="AG17"/>
  <c r="AF17"/>
  <c r="AE17"/>
  <c r="AD17"/>
  <c r="AC17"/>
  <c r="AB17"/>
  <c r="AA17"/>
  <c r="P17" l="1"/>
  <c r="O17"/>
  <c r="N17"/>
  <c r="M17"/>
  <c r="L17"/>
  <c r="K17"/>
  <c r="AX17"/>
  <c r="BZ3"/>
  <c r="BH3"/>
  <c r="BD3"/>
  <c r="J3"/>
  <c r="H3"/>
  <c r="C3"/>
  <c r="A3"/>
  <c r="BZ17" l="1"/>
  <c r="BH17"/>
  <c r="AI17"/>
  <c r="BT17"/>
  <c r="BD17"/>
  <c r="C26" i="23"/>
  <c r="T17"/>
  <c r="S17"/>
  <c r="R17"/>
  <c r="Q17"/>
  <c r="P17"/>
  <c r="O17"/>
  <c r="N17"/>
  <c r="M17"/>
  <c r="L17"/>
  <c r="K17"/>
  <c r="J17"/>
  <c r="I17"/>
  <c r="B3" l="1"/>
  <c r="A3"/>
  <c r="L17" i="15"/>
  <c r="J17" l="1"/>
  <c r="I17"/>
  <c r="H17"/>
  <c r="G17"/>
  <c r="F17"/>
  <c r="E17"/>
  <c r="D17" l="1"/>
  <c r="L17" i="10" s="1"/>
  <c r="C3" i="15" l="1"/>
  <c r="B3"/>
  <c r="A3"/>
  <c r="K17" l="1"/>
  <c r="A17" i="27"/>
  <c r="F6" l="1"/>
  <c r="E6"/>
  <c r="C6"/>
  <c r="B6"/>
  <c r="X5"/>
  <c r="J5"/>
  <c r="F5"/>
  <c r="E5"/>
  <c r="C5"/>
  <c r="B5"/>
  <c r="F4"/>
  <c r="E4"/>
  <c r="C4"/>
  <c r="B4"/>
  <c r="F3"/>
  <c r="E3"/>
  <c r="D3"/>
  <c r="C3"/>
  <c r="B3"/>
  <c r="A3"/>
  <c r="AH17" i="26" l="1"/>
  <c r="A17"/>
  <c r="E10" i="27" l="1"/>
  <c r="F8"/>
  <c r="D6"/>
  <c r="D5"/>
  <c r="W17" i="20"/>
  <c r="P17"/>
  <c r="O17"/>
  <c r="M17"/>
  <c r="L17"/>
  <c r="K17"/>
  <c r="J17"/>
  <c r="F17"/>
  <c r="I3" i="24"/>
  <c r="E3" i="20"/>
  <c r="D3"/>
  <c r="C3"/>
  <c r="A3"/>
  <c r="BE17" i="4"/>
  <c r="BD17"/>
  <c r="BC17"/>
  <c r="BB17"/>
  <c r="BA17"/>
  <c r="AZ17"/>
  <c r="AY17"/>
  <c r="AX17"/>
  <c r="AW17"/>
  <c r="AV17"/>
  <c r="AU17"/>
  <c r="AT17"/>
  <c r="AS17"/>
  <c r="AR17"/>
  <c r="AQ17"/>
  <c r="AO17"/>
  <c r="AN17"/>
  <c r="AM17"/>
  <c r="AK17"/>
  <c r="AJ17"/>
  <c r="AD17"/>
  <c r="AC17"/>
  <c r="AB17"/>
  <c r="AA17"/>
  <c r="Z17"/>
  <c r="X17"/>
  <c r="V17"/>
  <c r="S17"/>
  <c r="R17"/>
  <c r="Q17"/>
  <c r="H17" i="24" s="1"/>
  <c r="N17" i="4"/>
  <c r="G17" i="24" s="1"/>
  <c r="M17" i="4"/>
  <c r="L17"/>
  <c r="H17"/>
  <c r="F17"/>
  <c r="F3" i="24"/>
  <c r="E3" i="4"/>
  <c r="D3"/>
  <c r="C3"/>
  <c r="A3"/>
  <c r="AL17" i="16"/>
  <c r="AK17"/>
  <c r="AJ17"/>
  <c r="AI17"/>
  <c r="AH17"/>
  <c r="AF17"/>
  <c r="AE17"/>
  <c r="J17" i="24" l="1"/>
  <c r="P3" i="9"/>
  <c r="AF17" i="26"/>
  <c r="F10" i="27"/>
  <c r="J3" i="5"/>
  <c r="V17" i="20"/>
  <c r="G17" i="4"/>
  <c r="P17"/>
  <c r="F17" i="24" s="1"/>
  <c r="I17" i="4"/>
  <c r="AC17" i="16"/>
  <c r="I17" i="24" l="1"/>
  <c r="E8" i="27"/>
  <c r="M17" i="26"/>
  <c r="AB17" i="16"/>
  <c r="AA17"/>
  <c r="W17"/>
  <c r="V17"/>
  <c r="U17"/>
  <c r="S17"/>
  <c r="R17"/>
  <c r="E3" l="1"/>
  <c r="I3" s="1"/>
  <c r="N3" s="1"/>
  <c r="D3"/>
  <c r="C3"/>
  <c r="B3"/>
  <c r="A3"/>
  <c r="E3" i="24" l="1"/>
  <c r="CB3" s="1"/>
  <c r="AM17" i="16"/>
  <c r="H3"/>
  <c r="D21" s="1"/>
  <c r="E17" i="24" l="1"/>
  <c r="R5" i="10"/>
  <c r="P5" s="1"/>
  <c r="L3" i="16"/>
  <c r="J3"/>
  <c r="K3"/>
  <c r="B3" i="14"/>
  <c r="A3"/>
  <c r="R10" i="10" l="1"/>
  <c r="P10" s="1"/>
  <c r="R4"/>
  <c r="P4" s="1"/>
  <c r="Q3" i="9"/>
  <c r="CB17" i="24"/>
  <c r="R6" i="10"/>
  <c r="P6" s="1"/>
  <c r="O3" i="16"/>
  <c r="C3" i="12"/>
  <c r="B3"/>
  <c r="A3"/>
  <c r="F17" i="13"/>
  <c r="E17"/>
  <c r="D17"/>
  <c r="R8" i="10" l="1"/>
  <c r="P8" s="1"/>
  <c r="AN3" i="16"/>
  <c r="G17" i="12"/>
  <c r="F17"/>
  <c r="G3" i="5"/>
  <c r="Q17" i="9"/>
  <c r="Q3" i="16"/>
  <c r="R3" i="10" s="1"/>
  <c r="P3" s="1"/>
  <c r="M3" i="16"/>
  <c r="D3" i="24" l="1"/>
  <c r="CA3" l="1"/>
  <c r="R3" i="9" l="1"/>
  <c r="H6" i="27" l="1"/>
  <c r="V6" l="1"/>
  <c r="G6"/>
  <c r="H5"/>
  <c r="G5"/>
  <c r="H4"/>
  <c r="N3" i="13"/>
  <c r="J3"/>
  <c r="C3"/>
  <c r="B3"/>
  <c r="A3"/>
  <c r="I5" i="27" l="1"/>
  <c r="W5"/>
  <c r="V5" s="1"/>
  <c r="H3"/>
  <c r="J17" i="13"/>
  <c r="N17"/>
  <c r="P3" i="14"/>
  <c r="I3" i="13"/>
  <c r="V3" i="27" s="1"/>
  <c r="H3" i="13"/>
  <c r="L3" s="1"/>
  <c r="J16" i="25"/>
  <c r="I16"/>
  <c r="H16"/>
  <c r="G16"/>
  <c r="F16"/>
  <c r="E16"/>
  <c r="D16"/>
  <c r="A16"/>
  <c r="K5" i="9"/>
  <c r="K4"/>
  <c r="C2" i="25"/>
  <c r="B2"/>
  <c r="A2"/>
  <c r="L17" i="1"/>
  <c r="K16" i="25" l="1"/>
  <c r="K13" i="9" s="1"/>
  <c r="P17" i="14"/>
  <c r="J6" i="27"/>
  <c r="X6"/>
  <c r="W6"/>
  <c r="I6"/>
  <c r="G3"/>
  <c r="V4"/>
  <c r="G4"/>
  <c r="K3" i="13"/>
  <c r="J3" i="27"/>
  <c r="X3"/>
  <c r="M6" i="1" l="1"/>
  <c r="AJ6" i="5" s="1"/>
  <c r="W3" i="27"/>
  <c r="I3"/>
  <c r="O3" i="13"/>
  <c r="J4" i="27"/>
  <c r="X4"/>
  <c r="AK6" i="5" l="1"/>
  <c r="P6" i="1"/>
  <c r="N6" i="9" s="1"/>
  <c r="I4" i="27"/>
  <c r="W4"/>
  <c r="L3" i="9"/>
  <c r="O3" s="1"/>
  <c r="M3" i="13"/>
  <c r="T6" i="5" l="1"/>
  <c r="AE27" s="1"/>
  <c r="AN6"/>
  <c r="AO6" s="1"/>
  <c r="AA6" s="1"/>
  <c r="F3"/>
  <c r="AH27" l="1"/>
  <c r="AD6"/>
  <c r="AE6" s="1"/>
  <c r="M5" i="1" l="1"/>
  <c r="M4"/>
  <c r="AJ4" i="5" s="1"/>
  <c r="K3" i="1"/>
  <c r="J3"/>
  <c r="I3" s="1"/>
  <c r="H3"/>
  <c r="G3" s="1"/>
  <c r="F3" s="1"/>
  <c r="AK5" i="5" l="1"/>
  <c r="P5" i="1"/>
  <c r="N5" i="9" s="1"/>
  <c r="AN4" i="5"/>
  <c r="P4" i="1"/>
  <c r="N4" i="9" s="1"/>
  <c r="O17" i="1"/>
  <c r="K17"/>
  <c r="J17"/>
  <c r="M3"/>
  <c r="AJ3" i="5" s="1"/>
  <c r="K3" i="9"/>
  <c r="T5" i="5" l="1"/>
  <c r="AE26" s="1"/>
  <c r="T4"/>
  <c r="AE25" s="1"/>
  <c r="AK4"/>
  <c r="AN5"/>
  <c r="AO5" s="1"/>
  <c r="AA5" s="1"/>
  <c r="AD4"/>
  <c r="AE4" s="1"/>
  <c r="AO4"/>
  <c r="AA4" s="1"/>
  <c r="P3" i="1"/>
  <c r="N3" i="9" s="1"/>
  <c r="AH26" i="5" l="1"/>
  <c r="AH25"/>
  <c r="AD5"/>
  <c r="AE5" s="1"/>
  <c r="AN3"/>
  <c r="AK3"/>
  <c r="D17" i="23"/>
  <c r="H3" i="5"/>
  <c r="U3"/>
  <c r="H17" i="27"/>
  <c r="K3" i="5"/>
  <c r="AD3" l="1"/>
  <c r="K17" i="9"/>
  <c r="I3" i="5"/>
  <c r="D17" i="26"/>
  <c r="D4" i="27"/>
  <c r="H17" i="16"/>
  <c r="J17"/>
  <c r="K17"/>
  <c r="N17"/>
  <c r="P17"/>
  <c r="I17"/>
  <c r="L17"/>
  <c r="H17" i="1"/>
  <c r="G17" i="13"/>
  <c r="AO3" i="5"/>
  <c r="V17" i="26"/>
  <c r="G17" i="1"/>
  <c r="E17" i="27"/>
  <c r="AM17" i="5"/>
  <c r="G17"/>
  <c r="T3"/>
  <c r="V3"/>
  <c r="AH24" l="1"/>
  <c r="AA3"/>
  <c r="AD17" i="16"/>
  <c r="D17" i="27"/>
  <c r="H17" i="13"/>
  <c r="O17" i="16"/>
  <c r="T17"/>
  <c r="I17" i="13"/>
  <c r="AG17" i="26"/>
  <c r="F17" i="27"/>
  <c r="AE17" i="26"/>
  <c r="AE3" i="5"/>
  <c r="G17" i="27" l="1"/>
  <c r="K17" i="13"/>
  <c r="L17"/>
  <c r="M8" i="1"/>
  <c r="AJ8" i="5" s="1"/>
  <c r="P17" i="9"/>
  <c r="AN8" i="5" l="1"/>
  <c r="P8" i="1"/>
  <c r="I17" i="27"/>
  <c r="J17"/>
  <c r="AN17" i="16"/>
  <c r="O17" i="13"/>
  <c r="M10" i="1"/>
  <c r="M17" i="16"/>
  <c r="I17" i="1" s="1"/>
  <c r="Q17" i="16"/>
  <c r="P17" i="10"/>
  <c r="M17" i="13"/>
  <c r="K17" i="5"/>
  <c r="J17"/>
  <c r="AJ10" l="1"/>
  <c r="AK10" s="1"/>
  <c r="AK8"/>
  <c r="P10" i="1"/>
  <c r="N10" i="9" s="1"/>
  <c r="AO8" i="5"/>
  <c r="AA8" s="1"/>
  <c r="AD8"/>
  <c r="AE8" s="1"/>
  <c r="N8" i="9"/>
  <c r="M13" i="1"/>
  <c r="R17" i="10"/>
  <c r="D17" i="24"/>
  <c r="CA17"/>
  <c r="F17" i="1"/>
  <c r="O17" i="9"/>
  <c r="L17"/>
  <c r="P13" i="1" l="1"/>
  <c r="P17" s="1"/>
  <c r="S10" i="5"/>
  <c r="T10" s="1"/>
  <c r="AE31" s="1"/>
  <c r="M17" i="1"/>
  <c r="AN10" i="5"/>
  <c r="AD10" s="1"/>
  <c r="AE10" s="1"/>
  <c r="T8"/>
  <c r="AE29" s="1"/>
  <c r="AH29" s="1"/>
  <c r="E17" i="23"/>
  <c r="F17" i="5"/>
  <c r="H17"/>
  <c r="R17" i="9"/>
  <c r="N13" l="1"/>
  <c r="T13" i="5" s="1"/>
  <c r="AE34" s="1"/>
  <c r="AE38" s="1"/>
  <c r="AO10"/>
  <c r="AA10" s="1"/>
  <c r="AN13"/>
  <c r="AN17" s="1"/>
  <c r="AK13"/>
  <c r="AK17" s="1"/>
  <c r="I17"/>
  <c r="C17" i="23"/>
  <c r="AJ17" i="5"/>
  <c r="V17"/>
  <c r="U17"/>
  <c r="N17" i="9" l="1"/>
  <c r="AH31" i="5"/>
  <c r="AD13"/>
  <c r="AE13" s="1"/>
  <c r="AO13"/>
  <c r="AH17"/>
  <c r="T17"/>
  <c r="S17"/>
  <c r="AH34" l="1"/>
  <c r="AH38" s="1"/>
  <c r="AA13"/>
  <c r="AA17" s="1"/>
  <c r="AO17"/>
  <c r="AG17"/>
  <c r="AE17"/>
  <c r="AD17"/>
</calcChain>
</file>

<file path=xl/sharedStrings.xml><?xml version="1.0" encoding="utf-8"?>
<sst xmlns="http://schemas.openxmlformats.org/spreadsheetml/2006/main" count="1275" uniqueCount="602">
  <si>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</si>
  <si>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</si>
  <si>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</si>
  <si>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</si>
  <si>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</si>
  <si>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</si>
  <si>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</si>
  <si>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</si>
  <si>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</si>
  <si>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</si>
  <si>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</si>
  <si>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</si>
  <si>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</si>
  <si>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</si>
  <si>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</si>
  <si>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</si>
  <si>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</si>
  <si>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</si>
  <si>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</si>
  <si>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</si>
  <si>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</si>
  <si>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</si>
  <si>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</si>
  <si>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</si>
  <si>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</si>
  <si>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</si>
  <si>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</si>
  <si>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</si>
  <si>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</si>
  <si>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</si>
  <si>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</si>
  <si>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</si>
  <si>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</si>
  <si>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</si>
  <si>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</si>
  <si>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</si>
  <si>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</si>
  <si>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</si>
  <si>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</si>
  <si>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</si>
  <si>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</si>
  <si>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</si>
  <si>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</si>
  <si>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</si>
  <si>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</si>
  <si>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</si>
  <si>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</si>
  <si>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</si>
  <si>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</si>
  <si>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</si>
  <si>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</si>
  <si>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</si>
  <si>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</si>
  <si>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</si>
  <si>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</si>
  <si>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</si>
  <si>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</si>
  <si>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</si>
  <si>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</si>
  <si>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</si>
  <si>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</si>
  <si>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</si>
  <si>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</si>
  <si>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</si>
  <si>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</si>
  <si>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</si>
  <si>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</si>
  <si>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</si>
  <si>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</si>
  <si>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</si>
  <si>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</si>
  <si>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</si>
  <si>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</si>
  <si>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</si>
  <si>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</si>
  <si>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</si>
  <si>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</si>
  <si>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</si>
  <si>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</si>
  <si>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</si>
  <si>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</si>
  <si>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</si>
  <si>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</si>
  <si>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</si>
  <si>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</si>
  <si>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</si>
  <si>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</si>
  <si>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</si>
  <si>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</si>
  <si>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</si>
  <si>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</si>
  <si>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</si>
  <si>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</si>
  <si>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</si>
  <si>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</si>
  <si>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</si>
  <si>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</si>
  <si>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</si>
  <si>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</si>
  <si>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</si>
  <si>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</si>
  <si>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</si>
  <si>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</si>
  <si>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</si>
  <si>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</si>
  <si>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</si>
  <si>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</si>
  <si>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</si>
  <si>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</si>
  <si>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</si>
  <si>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</si>
  <si>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</si>
  <si>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</si>
  <si>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</si>
  <si>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</si>
  <si>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</si>
  <si>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</si>
  <si>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</si>
  <si>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</si>
  <si>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</si>
  <si>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</si>
  <si>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</si>
  <si>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</si>
  <si>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</si>
  <si>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</si>
  <si>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</si>
  <si>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</si>
  <si>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</si>
  <si>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</si>
  <si>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</si>
  <si>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</si>
  <si>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</si>
  <si>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διαθήκη</t>
  </si>
  <si>
    <t>κληρονομιάςΑποδοχή</t>
  </si>
  <si>
    <t>οριζόντιος</t>
  </si>
  <si>
    <t>*2β*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</si>
  <si>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</si>
  <si>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</si>
  <si>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</si>
  <si>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</si>
  <si>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</si>
  <si>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</si>
  <si>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</si>
  <si>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</si>
  <si>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</si>
  <si>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</si>
  <si>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</si>
  <si>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</si>
  <si>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</si>
  <si>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</si>
  <si>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</si>
  <si>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</si>
  <si>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</si>
  <si>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</si>
  <si>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</si>
  <si>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</si>
  <si>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</si>
  <si>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</si>
  <si>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</si>
  <si>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</si>
  <si>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</si>
  <si>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</si>
  <si>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</si>
  <si>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</si>
  <si>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</si>
  <si>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</si>
  <si>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</si>
  <si>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</si>
  <si>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</si>
  <si>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</si>
  <si>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</si>
  <si>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</si>
  <si>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</si>
  <si>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</si>
  <si>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</si>
  <si>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</si>
  <si>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</si>
  <si>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</si>
  <si>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</si>
  <si>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</si>
  <si>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</si>
  <si>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</si>
  <si>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</si>
  <si>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</si>
  <si>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</si>
  <si>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</si>
  <si>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</si>
  <si>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</si>
  <si>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</si>
  <si>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</si>
  <si>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</si>
  <si>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</si>
  <si>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</si>
  <si>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</si>
  <si>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</si>
  <si>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</si>
  <si>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</si>
  <si>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</si>
  <si>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</si>
  <si>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</si>
  <si>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</si>
  <si>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</si>
  <si>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</si>
  <si>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</si>
  <si>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</si>
  <si>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</si>
  <si>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</si>
  <si>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</si>
  <si>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</si>
  <si>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</si>
  <si>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</si>
  <si>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</si>
  <si>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</si>
  <si>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</si>
  <si>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</si>
  <si>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</si>
  <si>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</si>
  <si>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</si>
  <si>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</si>
  <si>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</si>
  <si>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</si>
  <si>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</si>
  <si>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</si>
  <si>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</si>
  <si>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</si>
  <si>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</si>
  <si>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</si>
  <si>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</si>
  <si>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</si>
  <si>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</si>
  <si>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</si>
  <si>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</si>
  <si>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</si>
  <si>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</si>
  <si>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</si>
  <si>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</si>
  <si>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</si>
  <si>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</si>
  <si>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</si>
  <si>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</si>
  <si>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</si>
  <si>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</si>
  <si>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</si>
  <si>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</si>
  <si>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</si>
  <si>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</si>
  <si>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</si>
  <si>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</si>
  <si>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</si>
  <si>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</si>
  <si>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</si>
  <si>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</si>
  <si>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</si>
  <si>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</si>
  <si>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</si>
  <si>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</si>
  <si>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</si>
  <si>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</si>
  <si>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</si>
  <si>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</si>
  <si>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</si>
  <si>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</si>
  <si>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</si>
  <si>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</si>
  <si>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</si>
  <si>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</si>
  <si>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</si>
  <si>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</si>
  <si>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</si>
  <si>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</si>
  <si>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</si>
  <si>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</si>
  <si>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</si>
  <si>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</si>
  <si>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</si>
  <si>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</si>
  <si>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</si>
  <si>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</si>
  <si>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</si>
  <si>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</si>
  <si>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</si>
  <si>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</si>
  <si>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</si>
  <si>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</si>
  <si>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</si>
  <si>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</si>
  <si>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</si>
  <si>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</si>
  <si>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</si>
  <si>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</si>
  <si>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</si>
  <si>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</si>
  <si>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</si>
  <si>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</si>
  <si>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</si>
  <si>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</si>
  <si>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</si>
  <si>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</si>
  <si>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</si>
  <si>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</si>
  <si>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</si>
  <si>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</si>
  <si>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</si>
  <si>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</si>
  <si>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</si>
  <si>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</si>
  <si>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</si>
  <si>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</si>
  <si>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</si>
  <si>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</si>
  <si>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</si>
  <si>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</si>
  <si>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</si>
  <si>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</si>
  <si>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</si>
  <si>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</si>
  <si>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</si>
  <si>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</si>
  <si>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</si>
  <si>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</si>
  <si>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</si>
  <si>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</si>
  <si>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</si>
  <si>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</si>
  <si>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</si>
  <si>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</si>
  <si>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</si>
  <si>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</si>
  <si>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</si>
  <si>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</si>
  <si>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</si>
  <si>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</si>
  <si>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</si>
  <si>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</si>
  <si>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</si>
  <si>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</si>
  <si>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</si>
  <si>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</si>
  <si>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</si>
  <si>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</si>
  <si>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</si>
  <si>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</si>
  <si>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</si>
  <si>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</si>
  <si>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</si>
  <si>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</si>
  <si>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</si>
  <si>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</si>
  <si>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</si>
  <si>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</si>
  <si>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</si>
  <si>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</si>
  <si>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</si>
  <si>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</si>
  <si>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</si>
  <si>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</si>
  <si>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</si>
  <si>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</si>
  <si>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</si>
  <si>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</si>
  <si>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</si>
  <si>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</si>
  <si>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</si>
  <si>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</si>
  <si>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</si>
  <si>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</si>
  <si>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</si>
  <si>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</si>
  <si>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</si>
  <si>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</si>
  <si>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</si>
  <si>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</si>
  <si>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</si>
  <si>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</si>
  <si>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</si>
  <si>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</si>
  <si>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</si>
  <si>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</si>
  <si>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</si>
  <si>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</si>
  <si>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</si>
  <si>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</si>
  <si>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</si>
  <si>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</si>
  <si>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</si>
  <si>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</si>
  <si>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</si>
  <si>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</si>
  <si>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</si>
  <si>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</si>
  <si>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</si>
  <si>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</si>
  <si>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</si>
  <si>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</si>
  <si>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</si>
  <si>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</si>
  <si>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</si>
  <si>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διαθηκη</t>
  </si>
  <si>
    <t>πάγιαςΑναλογικής</t>
  </si>
  <si>
    <t>πάγιες</t>
  </si>
  <si>
    <t>αποδοχή</t>
  </si>
  <si>
    <t>σύσταση</t>
  </si>
  <si>
    <t>2 έως 20.000</t>
  </si>
  <si>
    <t>1 έως 10.000</t>
  </si>
  <si>
    <t>1 έως 20.000</t>
  </si>
  <si>
    <t>διαμαρτυρικό</t>
  </si>
  <si>
    <t>πληρΣυνταξης</t>
  </si>
  <si>
    <t>1δ2α</t>
  </si>
  <si>
    <t>1δ2β</t>
  </si>
  <si>
    <t>ΣΦΡΑΓΙΔΕΣ</t>
  </si>
  <si>
    <t>υπερβάλων</t>
  </si>
  <si>
    <t>σε€</t>
  </si>
  <si>
    <t>1.100 (=2,93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</si>
  <si>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</si>
  <si>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</si>
  <si>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</si>
  <si>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</si>
  <si>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</si>
  <si>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</si>
  <si>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</si>
  <si>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</si>
  <si>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</si>
  <si>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</si>
  <si>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</si>
  <si>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</si>
  <si>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</si>
  <si>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</si>
  <si>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</si>
  <si>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</si>
  <si>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</si>
  <si>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</si>
  <si>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</si>
  <si>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</si>
  <si>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</si>
  <si>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</si>
  <si>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</si>
  <si>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</si>
  <si>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</si>
  <si>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</si>
  <si>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</si>
  <si>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</si>
  <si>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</si>
  <si>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</si>
  <si>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</si>
  <si>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</si>
  <si>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</si>
  <si>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</si>
  <si>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</si>
  <si>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</si>
  <si>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</si>
  <si>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</si>
  <si>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</si>
  <si>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</si>
  <si>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</si>
  <si>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???</t>
  </si>
  <si>
    <t>ταμεία + χαρτόσημα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</si>
  <si>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</si>
  <si>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</si>
  <si>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</si>
  <si>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</si>
  <si>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</si>
  <si>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</si>
  <si>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</si>
  <si>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</si>
  <si>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</si>
  <si>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</si>
  <si>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</si>
  <si>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</si>
  <si>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</si>
  <si>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</si>
  <si>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</si>
  <si>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</si>
  <si>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</si>
  <si>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</si>
  <si>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</si>
  <si>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</si>
  <si>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</si>
  <si>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</si>
  <si>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</si>
  <si>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</si>
  <si>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</si>
  <si>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</si>
  <si>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</si>
  <si>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</si>
  <si>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</si>
  <si>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</si>
  <si>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</si>
  <si>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</si>
  <si>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</si>
  <si>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</si>
  <si>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</si>
  <si>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</si>
  <si>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</si>
  <si>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</si>
  <si>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</si>
  <si>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**7α** = αντίγραφα συμβολαίων = από αρχείο φωτοτυπία = 500δρχ/φυλλο &amp; ΑΤΕΛΩΣ</t>
  </si>
  <si>
    <t>φόρος εισοδήματος</t>
  </si>
  <si>
    <t>ΔΟΛΟΣ</t>
  </si>
  <si>
    <t>χρέωσε</t>
  </si>
  <si>
    <t>έπρεπε ΝΑ χρεώσει</t>
  </si>
  <si>
    <t>παγιοΑναλ</t>
  </si>
  <si>
    <t>'3600''</t>
  </si>
  <si>
    <t>δικαιωματαΑναλ</t>
  </si>
  <si>
    <t>2α φυλα</t>
  </si>
  <si>
    <t>έπρεπεΒασειΖηλ</t>
  </si>
  <si>
    <t>**7αα**=σφραγίδα - υπογραφή στα ΑΤΕΛΩΣ</t>
  </si>
  <si>
    <t>**7γ**=συν (+) 1 για Δ.Ο.Υ. = ΑΤΕΛΩΣ</t>
  </si>
  <si>
    <t>χαρτοσημα</t>
  </si>
  <si>
    <t>προς Υποθηκοφυλακείο = ΑΡΧΕΙΟ</t>
  </si>
  <si>
    <t>συνολο</t>
  </si>
  <si>
    <t>ντιΜιΧο χαρτοσημα</t>
  </si>
  <si>
    <t>αίτηση</t>
  </si>
  <si>
    <t>περίληψη</t>
  </si>
  <si>
    <t>κλπ</t>
  </si>
  <si>
    <t>**89β** = υπΔηλ-??? = 1.100</t>
  </si>
  <si>
    <t>**89γ** = υπΔηλ-??? = 1.100</t>
  </si>
  <si>
    <t>αναλογικαΔικ</t>
  </si>
  <si>
    <t>συνταξη</t>
  </si>
  <si>
    <t>μεταγραφη</t>
  </si>
  <si>
    <t>αποΔικαιωματα</t>
  </si>
  <si>
    <t>ΤΑΣΠ</t>
  </si>
  <si>
    <t>ΤΑΣΥ</t>
  </si>
  <si>
    <t>2'+κλπ φύλλα =1.000 ή 800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</si>
  <si>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</si>
  <si>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</si>
  <si>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>**13η** = φύλλοΥπολογισμούΑξίας (οικία - διαμέρισμα)</t>
  </si>
  <si>
    <t>**13ζ** = φύλλοΥπολογισμούΑξίας (οικόπεδο)</t>
  </si>
  <si>
    <t>13ζ</t>
  </si>
  <si>
    <t>**13ω2** = αντίγραφα εγγράφων προς Δ.Ο.Υ.</t>
  </si>
  <si>
    <t>13ω2</t>
  </si>
  <si>
    <t>13ω1</t>
  </si>
  <si>
    <t>**13ω1** σφραγΥπογρ εγγράφων Κ1-2-3-κλπ</t>
  </si>
  <si>
    <t>**13θ** = φύλλοΥπολογισμούΑξίας (κατάστημα)</t>
  </si>
  <si>
    <t>13θ</t>
  </si>
  <si>
    <t>πληρεξούσιο</t>
  </si>
  <si>
    <t>1 σε 1</t>
  </si>
  <si>
    <t>τελη</t>
  </si>
  <si>
    <t>φ4</t>
  </si>
  <si>
    <t>φ2</t>
  </si>
  <si>
    <t>71η</t>
  </si>
  <si>
    <t>71θ</t>
  </si>
  <si>
    <t>71ι</t>
  </si>
  <si>
    <t>**71η** = δήμος = πίνακας πράξης εφαρμογής</t>
  </si>
  <si>
    <t>**71θ** = δήμος = περί παλαιότητας οικήματος</t>
  </si>
  <si>
    <t>71ι = δήμος = δόμησης ΟΡΟΙ</t>
  </si>
  <si>
    <t>72ε = Δ.Ο.Υ. = ΑΦΜ</t>
  </si>
  <si>
    <t>72ε</t>
  </si>
  <si>
    <t>73β</t>
  </si>
  <si>
    <t>73β = Νομαρχία = τοπογραφική</t>
  </si>
  <si>
    <t>ζημία</t>
  </si>
  <si>
    <t>καθεστώς ΤΟΓΚΑΣ</t>
  </si>
  <si>
    <t>καθεστώς πληρωμής από ΑΓΑΠΕ</t>
  </si>
  <si>
    <t>καθεστώς</t>
  </si>
  <si>
    <t>γονική</t>
  </si>
  <si>
    <t>έπρεπεΒασειΑΓΑΠΕ</t>
  </si>
  <si>
    <t>αντίγραφο</t>
  </si>
  <si>
    <t>εξισορρόπηση διαφοράς διανεμομένων μεριδίων</t>
  </si>
  <si>
    <t>2 σε 1</t>
  </si>
  <si>
    <t>ΔΕΝ έχω</t>
  </si>
  <si>
    <t>αν ΌΧΙ σε καθεστώς ΤΟΓΚΑΣ</t>
  </si>
  <si>
    <t>πληρεξύσιο</t>
  </si>
  <si>
    <t>χρησικτησία αγροτεμαχίου = 1984 ΑΝΑΔΑΣΜΟΣ</t>
  </si>
  <si>
    <t>χρησικτησία αγροτεμαχίου = 1910 πατρός ΔΩΡΕΑ άτυπος</t>
  </si>
  <si>
    <t>χρησικτησία αγροτεμαχίων = 1912 πατρός ΔΩΡΕΑ άτυπος</t>
  </si>
  <si>
    <t>χρησικτησία αγροτεμαχίων = 1920 ΔΙΑΝΟΜΗ άτυπος</t>
  </si>
  <si>
    <t>;;;???</t>
  </si>
  <si>
    <t>179159[=18.476</t>
  </si>
  <si>
    <t>179160[=3.000</t>
  </si>
  <si>
    <t>ΔΕΝ έχει</t>
  </si>
  <si>
    <t>σε €</t>
  </si>
  <si>
    <t>εκτοςΓραφείου</t>
  </si>
  <si>
    <t>αποΔικαιωμ</t>
  </si>
  <si>
    <t>Δ.Ο.Υ. -φόρος  χρησικτησίας</t>
  </si>
  <si>
    <t>1] = 115.875δρχ</t>
  </si>
  <si>
    <t>2] = 203.940δρχ</t>
  </si>
  <si>
    <t>πατήρ</t>
  </si>
  <si>
    <t>μαντεψιά</t>
  </si>
  <si>
    <t>Δ.Ο.Υ. - φόρος χρησικτησίας = 37.080δρχ</t>
  </si>
  <si>
    <t>διπλοΠληρωμή ''3.600'' στην Δ.Ο.Υ. = 480δρχ</t>
  </si>
  <si>
    <t>3έτη &amp;10μήνες</t>
  </si>
  <si>
    <t>1ο</t>
  </si>
  <si>
    <t>2ο</t>
  </si>
  <si>
    <t>3ο</t>
  </si>
  <si>
    <t>4ο -???</t>
  </si>
  <si>
    <t>5ο -???</t>
  </si>
  <si>
    <t>6ο</t>
  </si>
  <si>
    <t>7ο</t>
  </si>
  <si>
    <t>1] αγροτεμάχιο ;;;??? Θεολόγος -'';;;???'' 512,71μ2</t>
  </si>
  <si>
    <t>2] αγροτεμάχιο ;;;??? Θεολόγος -'';;;???'' 894,18μ2</t>
  </si>
  <si>
    <t>4ο</t>
  </si>
  <si>
    <t>5ο</t>
  </si>
  <si>
    <t>4ο &amp; 5ο</t>
  </si>
  <si>
    <t>;;;??</t>
  </si>
  <si>
    <t xml:space="preserve">δωρεά [300.000δρχ] </t>
  </si>
  <si>
    <t>2ο = &amp; διανομή [ισομερής</t>
  </si>
  <si>
    <t>ΑΛΛΑ με το ;;;??? το ίδιο εκτιμήθηκε από Δ.Ο.Υ. 1.723,57€ = 587.306δρχ</t>
  </si>
  <si>
    <t>γιατί τόση διαφορά μεταξύ 2ου  &amp; ;;;??? [1998 &amp; 2003] ;;;;!!!!</t>
  </si>
  <si>
    <t>δωρεάς ΠΡΟΤΑΣΗ [1/2 αγροτεμάχιο ;;;??? [το ανατολικό] Θεολόγος -Ποτός -'';;;???'' 2.798μ2</t>
  </si>
  <si>
    <t>διανομή [= ισομερής ΑΛΛΑ βάσει ΦΜΑ της Δ.Ο.Υ (3ου &amp; ;;;???}</t>
  </si>
  <si>
    <t>δωρεάς ΠΡΟΤΑΣΗ [αγροτεμάχιο Θεολόγος -'';;;???'' 2.000μ2</t>
  </si>
  <si>
    <t>δωρεάς πρότασης 2ου  ΑΠΟΔΟΧΗ</t>
  </si>
  <si>
    <t>δωρεάς πρότασης  3ου  ΑΠΟΔΟΧΗ</t>
  </si>
</sst>
</file>

<file path=xl/styles.xml><?xml version="1.0" encoding="utf-8"?>
<styleSheet xmlns="http://schemas.openxmlformats.org/spreadsheetml/2006/main">
  <numFmts count="5">
    <numFmt numFmtId="6" formatCode="#,##0\ &quot;€&quot;;[Red]\-#,##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9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sz val="10"/>
      <name val="Arial"/>
      <family val="2"/>
      <charset val="161"/>
    </font>
    <font>
      <sz val="10"/>
      <color rgb="FFFF0000"/>
      <name val="Arial"/>
      <family val="2"/>
      <charset val="161"/>
    </font>
    <font>
      <sz val="10"/>
      <color rgb="FF000000"/>
      <name val="Arial"/>
      <family val="2"/>
      <charset val="161"/>
    </font>
    <font>
      <u/>
      <sz val="8"/>
      <color rgb="FFFF0000"/>
      <name val="Arial"/>
      <family val="2"/>
      <charset val="161"/>
    </font>
  </fonts>
  <fills count="15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FF"/>
        <bgColor rgb="FF000000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1021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19" fillId="0" borderId="9" xfId="1" applyNumberFormat="1" applyFont="1" applyBorder="1" applyAlignment="1">
      <alignment horizontal="center" vertical="center"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64" fontId="20" fillId="7" borderId="1" xfId="1" applyNumberFormat="1" applyFont="1" applyFill="1" applyBorder="1" applyAlignment="1">
      <alignment wrapText="1"/>
    </xf>
    <xf numFmtId="14" fontId="20" fillId="7" borderId="1" xfId="1" applyNumberFormat="1" applyFont="1" applyFill="1" applyBorder="1" applyAlignment="1">
      <alignment wrapText="1"/>
    </xf>
    <xf numFmtId="165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 applyAlignment="1">
      <alignment wrapText="1"/>
    </xf>
    <xf numFmtId="43" fontId="20" fillId="7" borderId="0" xfId="1" applyFont="1" applyFill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9" fillId="5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6" fontId="25" fillId="0" borderId="10" xfId="1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64" fontId="20" fillId="0" borderId="0" xfId="1" applyNumberFormat="1" applyFont="1" applyFill="1" applyAlignment="1">
      <alignment horizontal="center" wrapText="1"/>
    </xf>
    <xf numFmtId="14" fontId="33" fillId="2" borderId="9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8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0" fontId="0" fillId="0" borderId="10" xfId="0" applyBorder="1" applyAlignment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0" fontId="19" fillId="0" borderId="17" xfId="0" applyFont="1" applyBorder="1" applyAlignment="1">
      <alignment horizontal="center"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20" fillId="0" borderId="0" xfId="0" applyNumberFormat="1" applyFont="1" applyFill="1"/>
    <xf numFmtId="3" fontId="20" fillId="0" borderId="0" xfId="0" applyNumberFormat="1" applyFont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6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3" borderId="17" xfId="0" applyFont="1" applyFill="1" applyBorder="1" applyAlignment="1">
      <alignment wrapText="1"/>
    </xf>
    <xf numFmtId="0" fontId="19" fillId="3" borderId="9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40" fillId="0" borderId="0" xfId="0" applyFont="1" applyFill="1" applyAlignment="1">
      <alignment horizont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14" fontId="17" fillId="0" borderId="1" xfId="1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right"/>
    </xf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29" fillId="7" borderId="10" xfId="1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/>
    </xf>
    <xf numFmtId="164" fontId="16" fillId="0" borderId="1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43" fontId="17" fillId="0" borderId="14" xfId="1" applyFont="1" applyFill="1" applyBorder="1"/>
    <xf numFmtId="164" fontId="22" fillId="0" borderId="1" xfId="1" applyNumberFormat="1" applyFont="1" applyFill="1" applyBorder="1" applyAlignment="1">
      <alignment horizontal="center" vertical="center"/>
    </xf>
    <xf numFmtId="164" fontId="19" fillId="0" borderId="9" xfId="1" applyNumberFormat="1" applyFont="1" applyFill="1" applyBorder="1" applyAlignment="1">
      <alignment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17" fillId="0" borderId="3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wrapText="1"/>
    </xf>
    <xf numFmtId="0" fontId="20" fillId="0" borderId="14" xfId="1" applyNumberFormat="1" applyFont="1" applyFill="1" applyBorder="1" applyAlignment="1">
      <alignment horizontal="left" wrapText="1"/>
    </xf>
    <xf numFmtId="14" fontId="20" fillId="0" borderId="1" xfId="0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43" fontId="41" fillId="0" borderId="14" xfId="1" applyFont="1" applyFill="1" applyBorder="1"/>
    <xf numFmtId="164" fontId="20" fillId="0" borderId="14" xfId="0" applyNumberFormat="1" applyFont="1" applyFill="1" applyBorder="1"/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164" fontId="39" fillId="0" borderId="1" xfId="1" applyNumberFormat="1" applyFont="1" applyFill="1" applyBorder="1" applyAlignment="1">
      <alignment horizontal="center" vertical="center"/>
    </xf>
    <xf numFmtId="164" fontId="34" fillId="0" borderId="14" xfId="1" applyNumberFormat="1" applyFont="1" applyFill="1" applyBorder="1"/>
    <xf numFmtId="0" fontId="34" fillId="0" borderId="0" xfId="0" applyFont="1" applyFill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0" fontId="22" fillId="0" borderId="1" xfId="1" applyNumberFormat="1" applyFont="1" applyFill="1" applyBorder="1" applyAlignment="1">
      <alignment horizontal="left" vertical="center"/>
    </xf>
    <xf numFmtId="164" fontId="22" fillId="0" borderId="14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64" fontId="32" fillId="3" borderId="10" xfId="1" applyNumberFormat="1" applyFont="1" applyFill="1" applyBorder="1" applyAlignment="1">
      <alignment horizontal="center" vertical="center" wrapText="1"/>
    </xf>
    <xf numFmtId="164" fontId="32" fillId="2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64" fontId="19" fillId="0" borderId="9" xfId="1" applyNumberFormat="1" applyFont="1" applyBorder="1" applyAlignment="1">
      <alignment horizontal="center" vertical="center" wrapText="1"/>
    </xf>
    <xf numFmtId="164" fontId="23" fillId="0" borderId="0" xfId="1" applyNumberFormat="1" applyFont="1"/>
    <xf numFmtId="164" fontId="41" fillId="0" borderId="0" xfId="1" applyNumberFormat="1" applyFont="1" applyAlignment="1">
      <alignment horizontal="center"/>
    </xf>
    <xf numFmtId="43" fontId="20" fillId="0" borderId="0" xfId="1" quotePrefix="1" applyFont="1"/>
    <xf numFmtId="164" fontId="35" fillId="0" borderId="1" xfId="1" applyNumberFormat="1" applyFont="1" applyFill="1" applyBorder="1" applyAlignment="1">
      <alignment horizontal="center" vertical="center"/>
    </xf>
    <xf numFmtId="164" fontId="19" fillId="7" borderId="9" xfId="1" applyNumberFormat="1" applyFont="1" applyFill="1" applyBorder="1" applyAlignment="1">
      <alignment wrapText="1"/>
    </xf>
    <xf numFmtId="164" fontId="41" fillId="0" borderId="0" xfId="1" applyNumberFormat="1" applyFont="1" applyFill="1" applyAlignment="1"/>
    <xf numFmtId="164" fontId="41" fillId="13" borderId="14" xfId="1" applyNumberFormat="1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horizontal="center" vertical="center" wrapText="1"/>
    </xf>
    <xf numFmtId="0" fontId="25" fillId="0" borderId="0" xfId="0" applyFont="1" applyAlignment="1">
      <alignment horizontal="left"/>
    </xf>
    <xf numFmtId="164" fontId="20" fillId="0" borderId="1" xfId="1" applyNumberFormat="1" applyFont="1" applyFill="1" applyBorder="1" applyAlignment="1">
      <alignment wrapText="1"/>
    </xf>
    <xf numFmtId="14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 applyAlignment="1">
      <alignment wrapText="1"/>
    </xf>
    <xf numFmtId="164" fontId="41" fillId="0" borderId="1" xfId="1" applyNumberFormat="1" applyFont="1" applyFill="1" applyBorder="1" applyAlignment="1">
      <alignment horizontal="center" wrapText="1"/>
    </xf>
    <xf numFmtId="164" fontId="19" fillId="7" borderId="9" xfId="1" applyNumberFormat="1" applyFont="1" applyFill="1" applyBorder="1" applyAlignment="1">
      <alignment vertical="center" wrapText="1"/>
    </xf>
    <xf numFmtId="164" fontId="20" fillId="0" borderId="0" xfId="0" applyNumberFormat="1" applyFont="1" applyFill="1" applyAlignment="1">
      <alignment horizontal="center" wrapText="1"/>
    </xf>
    <xf numFmtId="164" fontId="20" fillId="0" borderId="0" xfId="0" applyNumberFormat="1" applyFont="1" applyAlignment="1">
      <alignment horizontal="center" wrapText="1"/>
    </xf>
    <xf numFmtId="0" fontId="20" fillId="0" borderId="0" xfId="0" applyFont="1" applyFill="1" applyAlignment="1">
      <alignment horizontal="right"/>
    </xf>
    <xf numFmtId="14" fontId="17" fillId="0" borderId="14" xfId="1" applyNumberFormat="1" applyFont="1" applyFill="1" applyBorder="1" applyAlignment="1">
      <alignment horizontal="center" vertical="center"/>
    </xf>
    <xf numFmtId="43" fontId="17" fillId="0" borderId="0" xfId="1" applyFont="1" applyAlignment="1">
      <alignment horizontal="left"/>
    </xf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164" fontId="33" fillId="3" borderId="0" xfId="1" applyNumberFormat="1" applyFont="1" applyFill="1"/>
    <xf numFmtId="164" fontId="20" fillId="0" borderId="0" xfId="0" applyNumberFormat="1" applyFont="1"/>
    <xf numFmtId="164" fontId="26" fillId="6" borderId="0" xfId="1" applyNumberFormat="1" applyFont="1" applyFill="1" applyAlignment="1">
      <alignment horizontal="left"/>
    </xf>
    <xf numFmtId="43" fontId="20" fillId="0" borderId="1" xfId="0" applyNumberFormat="1" applyFont="1" applyFill="1" applyBorder="1"/>
    <xf numFmtId="164" fontId="19" fillId="0" borderId="27" xfId="1" applyNumberFormat="1" applyFont="1" applyBorder="1" applyAlignment="1">
      <alignment horizontal="center" vertical="center" wrapText="1"/>
    </xf>
    <xf numFmtId="164" fontId="19" fillId="7" borderId="10" xfId="1" applyNumberFormat="1" applyFont="1" applyFill="1" applyBorder="1" applyAlignment="1">
      <alignment vertical="center" wrapText="1"/>
    </xf>
    <xf numFmtId="164" fontId="20" fillId="0" borderId="0" xfId="1" applyNumberFormat="1" applyFont="1" applyAlignment="1">
      <alignment horizontal="right"/>
    </xf>
    <xf numFmtId="164" fontId="19" fillId="4" borderId="19" xfId="1" applyNumberFormat="1" applyFont="1" applyFill="1" applyBorder="1" applyAlignment="1">
      <alignment vertical="center" wrapText="1"/>
    </xf>
    <xf numFmtId="43" fontId="32" fillId="0" borderId="0" xfId="1" applyFont="1" applyFill="1"/>
    <xf numFmtId="164" fontId="29" fillId="0" borderId="9" xfId="1" applyNumberFormat="1" applyFont="1" applyFill="1" applyBorder="1" applyAlignment="1">
      <alignment horizontal="center" vertical="center" wrapText="1"/>
    </xf>
    <xf numFmtId="0" fontId="29" fillId="0" borderId="9" xfId="1" applyNumberFormat="1" applyFont="1" applyFill="1" applyBorder="1" applyAlignment="1">
      <alignment horizontal="center" vertical="center" wrapText="1"/>
    </xf>
    <xf numFmtId="14" fontId="29" fillId="0" borderId="9" xfId="1" applyNumberFormat="1" applyFont="1" applyFill="1" applyBorder="1" applyAlignment="1">
      <alignment horizontal="center" vertical="center" wrapText="1"/>
    </xf>
    <xf numFmtId="14" fontId="29" fillId="7" borderId="9" xfId="1" applyNumberFormat="1" applyFont="1" applyFill="1" applyBorder="1" applyAlignment="1">
      <alignment horizontal="center" vertical="center" wrapText="1"/>
    </xf>
    <xf numFmtId="43" fontId="29" fillId="0" borderId="9" xfId="1" applyFont="1" applyFill="1" applyBorder="1" applyAlignment="1">
      <alignment horizontal="center" vertical="center" wrapText="1"/>
    </xf>
    <xf numFmtId="43" fontId="32" fillId="0" borderId="0" xfId="1" applyFont="1" applyFill="1" applyAlignment="1">
      <alignment wrapText="1"/>
    </xf>
    <xf numFmtId="0" fontId="32" fillId="0" borderId="0" xfId="0" applyFont="1"/>
    <xf numFmtId="43" fontId="29" fillId="0" borderId="13" xfId="1" applyFont="1" applyFill="1" applyBorder="1" applyAlignment="1">
      <alignment horizontal="center" wrapText="1"/>
    </xf>
    <xf numFmtId="43" fontId="29" fillId="0" borderId="0" xfId="1" applyFont="1" applyFill="1" applyBorder="1" applyAlignment="1">
      <alignment horizontal="center" wrapText="1"/>
    </xf>
    <xf numFmtId="164" fontId="32" fillId="0" borderId="0" xfId="1" applyNumberFormat="1" applyFont="1"/>
    <xf numFmtId="0" fontId="32" fillId="0" borderId="0" xfId="0" applyNumberFormat="1" applyFont="1" applyAlignment="1">
      <alignment horizontal="left"/>
    </xf>
    <xf numFmtId="43" fontId="32" fillId="0" borderId="0" xfId="1" applyFont="1"/>
    <xf numFmtId="43" fontId="44" fillId="0" borderId="0" xfId="1" applyFont="1"/>
    <xf numFmtId="0" fontId="32" fillId="0" borderId="0" xfId="0" applyFont="1" applyAlignment="1">
      <alignment horizontal="center" wrapText="1"/>
    </xf>
    <xf numFmtId="0" fontId="44" fillId="0" borderId="0" xfId="0" applyFont="1" applyFill="1" applyAlignment="1">
      <alignment wrapText="1"/>
    </xf>
    <xf numFmtId="0" fontId="32" fillId="0" borderId="0" xfId="0" applyFont="1" applyFill="1" applyAlignment="1">
      <alignment horizontal="center" wrapText="1"/>
    </xf>
    <xf numFmtId="0" fontId="36" fillId="7" borderId="0" xfId="0" applyFont="1" applyFill="1" applyAlignment="1"/>
    <xf numFmtId="0" fontId="44" fillId="0" borderId="0" xfId="0" applyFont="1" applyFill="1" applyAlignment="1"/>
    <xf numFmtId="43" fontId="45" fillId="7" borderId="0" xfId="1" applyFont="1" applyFill="1"/>
    <xf numFmtId="43" fontId="46" fillId="0" borderId="0" xfId="1" applyFont="1"/>
    <xf numFmtId="43" fontId="32" fillId="7" borderId="0" xfId="1" applyFont="1" applyFill="1"/>
    <xf numFmtId="0" fontId="32" fillId="0" borderId="14" xfId="1" applyNumberFormat="1" applyFont="1" applyFill="1" applyBorder="1" applyAlignment="1">
      <alignment horizontal="left" wrapText="1"/>
    </xf>
    <xf numFmtId="164" fontId="45" fillId="0" borderId="1" xfId="1" applyNumberFormat="1" applyFont="1" applyFill="1" applyBorder="1"/>
    <xf numFmtId="164" fontId="45" fillId="0" borderId="14" xfId="1" applyNumberFormat="1" applyFont="1" applyFill="1" applyBorder="1"/>
    <xf numFmtId="43" fontId="46" fillId="0" borderId="14" xfId="1" applyFont="1" applyFill="1" applyBorder="1"/>
    <xf numFmtId="43" fontId="45" fillId="0" borderId="14" xfId="1" applyFont="1" applyFill="1" applyBorder="1"/>
    <xf numFmtId="0" fontId="46" fillId="0" borderId="1" xfId="0" applyFont="1" applyFill="1" applyBorder="1" applyAlignment="1">
      <alignment horizontal="center" wrapText="1"/>
    </xf>
    <xf numFmtId="165" fontId="46" fillId="0" borderId="1" xfId="1" applyNumberFormat="1" applyFont="1" applyFill="1" applyBorder="1" applyAlignment="1">
      <alignment horizontal="center" wrapText="1"/>
    </xf>
    <xf numFmtId="164" fontId="32" fillId="0" borderId="1" xfId="1" applyNumberFormat="1" applyFont="1" applyFill="1" applyBorder="1" applyAlignment="1">
      <alignment horizontal="center" wrapText="1"/>
    </xf>
    <xf numFmtId="43" fontId="46" fillId="0" borderId="0" xfId="1" applyFont="1" applyFill="1"/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164" fontId="17" fillId="0" borderId="14" xfId="0" applyNumberFormat="1" applyFont="1" applyFill="1" applyBorder="1" applyAlignment="1">
      <alignment horizontal="center" wrapText="1"/>
    </xf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22" fillId="2" borderId="1" xfId="1" applyNumberFormat="1" applyFont="1" applyFill="1" applyBorder="1" applyAlignment="1">
      <alignment horizontal="center" vertical="center"/>
    </xf>
    <xf numFmtId="164" fontId="20" fillId="13" borderId="14" xfId="1" applyNumberFormat="1" applyFont="1" applyFill="1" applyBorder="1"/>
    <xf numFmtId="43" fontId="29" fillId="10" borderId="0" xfId="1" applyFont="1" applyFill="1" applyBorder="1" applyAlignment="1">
      <alignment horizontal="center" vertical="center" wrapText="1"/>
    </xf>
    <xf numFmtId="164" fontId="19" fillId="9" borderId="10" xfId="1" applyNumberFormat="1" applyFont="1" applyFill="1" applyBorder="1" applyAlignment="1">
      <alignment horizontal="center" vertical="center" wrapText="1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4" fontId="17" fillId="0" borderId="9" xfId="1" applyNumberFormat="1" applyFont="1" applyFill="1" applyBorder="1" applyAlignment="1">
      <alignment horizontal="center" vertical="center"/>
    </xf>
    <xf numFmtId="164" fontId="17" fillId="0" borderId="9" xfId="1" applyNumberFormat="1" applyFont="1" applyFill="1" applyBorder="1"/>
    <xf numFmtId="164" fontId="41" fillId="0" borderId="14" xfId="1" applyNumberFormat="1" applyFont="1" applyFill="1" applyBorder="1"/>
    <xf numFmtId="164" fontId="20" fillId="0" borderId="9" xfId="1" applyNumberFormat="1" applyFont="1" applyFill="1" applyBorder="1"/>
    <xf numFmtId="164" fontId="18" fillId="0" borderId="14" xfId="1" applyNumberFormat="1" applyFont="1" applyFill="1" applyBorder="1" applyAlignment="1"/>
    <xf numFmtId="0" fontId="20" fillId="6" borderId="28" xfId="0" applyFont="1" applyFill="1" applyBorder="1" applyAlignment="1">
      <alignment horizontal="center"/>
    </xf>
    <xf numFmtId="164" fontId="22" fillId="0" borderId="9" xfId="1" applyNumberFormat="1" applyFont="1" applyFill="1" applyBorder="1" applyAlignment="1">
      <alignment horizontal="center" vertical="center"/>
    </xf>
    <xf numFmtId="164" fontId="20" fillId="0" borderId="1" xfId="0" applyNumberFormat="1" applyFont="1" applyFill="1" applyBorder="1"/>
    <xf numFmtId="164" fontId="22" fillId="2" borderId="9" xfId="1" applyNumberFormat="1" applyFont="1" applyFill="1" applyBorder="1" applyAlignment="1">
      <alignment horizontal="center" vertical="center"/>
    </xf>
    <xf numFmtId="164" fontId="20" fillId="0" borderId="9" xfId="0" applyNumberFormat="1" applyFont="1" applyFill="1" applyBorder="1"/>
    <xf numFmtId="43" fontId="41" fillId="0" borderId="0" xfId="1" applyFont="1" applyAlignment="1">
      <alignment horizontal="right"/>
    </xf>
    <xf numFmtId="164" fontId="26" fillId="8" borderId="0" xfId="1" applyNumberFormat="1" applyFont="1" applyFill="1" applyAlignment="1"/>
    <xf numFmtId="164" fontId="26" fillId="0" borderId="0" xfId="1" applyNumberFormat="1" applyFont="1" applyFill="1" applyAlignment="1"/>
    <xf numFmtId="43" fontId="20" fillId="0" borderId="9" xfId="1" applyFont="1" applyFill="1" applyBorder="1"/>
    <xf numFmtId="164" fontId="17" fillId="0" borderId="13" xfId="1" applyNumberFormat="1" applyFont="1" applyFill="1" applyBorder="1"/>
    <xf numFmtId="164" fontId="41" fillId="0" borderId="13" xfId="1" applyNumberFormat="1" applyFont="1" applyFill="1" applyBorder="1"/>
    <xf numFmtId="0" fontId="41" fillId="0" borderId="19" xfId="0" applyFont="1" applyFill="1" applyBorder="1" applyAlignment="1">
      <alignment horizontal="center" wrapText="1"/>
    </xf>
    <xf numFmtId="164" fontId="20" fillId="3" borderId="0" xfId="1" applyNumberFormat="1" applyFont="1" applyFill="1"/>
    <xf numFmtId="164" fontId="22" fillId="0" borderId="18" xfId="1" applyNumberFormat="1" applyFont="1" applyFill="1" applyBorder="1" applyAlignment="1">
      <alignment horizontal="center" vertical="center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164" fontId="32" fillId="0" borderId="1" xfId="1" applyNumberFormat="1" applyFont="1" applyFill="1" applyBorder="1" applyAlignment="1">
      <alignment wrapText="1"/>
    </xf>
    <xf numFmtId="14" fontId="32" fillId="0" borderId="1" xfId="1" applyNumberFormat="1" applyFont="1" applyFill="1" applyBorder="1" applyAlignment="1">
      <alignment wrapText="1"/>
    </xf>
    <xf numFmtId="164" fontId="38" fillId="0" borderId="2" xfId="1" applyNumberFormat="1" applyFont="1" applyFill="1" applyBorder="1" applyAlignment="1">
      <alignment horizontal="center" vertical="center"/>
    </xf>
    <xf numFmtId="164" fontId="19" fillId="0" borderId="34" xfId="1" applyNumberFormat="1" applyFont="1" applyBorder="1" applyAlignment="1">
      <alignment horizontal="center" vertical="center" wrapText="1"/>
    </xf>
    <xf numFmtId="164" fontId="19" fillId="0" borderId="31" xfId="1" applyNumberFormat="1" applyFont="1" applyBorder="1" applyAlignment="1">
      <alignment horizontal="center" vertical="center" wrapText="1"/>
    </xf>
    <xf numFmtId="14" fontId="22" fillId="0" borderId="1" xfId="1" applyNumberFormat="1" applyFont="1" applyFill="1" applyBorder="1" applyAlignment="1">
      <alignment horizontal="center" vertical="center"/>
    </xf>
    <xf numFmtId="43" fontId="17" fillId="0" borderId="0" xfId="1" applyFont="1" applyFill="1"/>
    <xf numFmtId="14" fontId="41" fillId="0" borderId="0" xfId="1" applyNumberFormat="1" applyFont="1" applyFill="1" applyBorder="1"/>
    <xf numFmtId="164" fontId="41" fillId="0" borderId="0" xfId="1" applyNumberFormat="1" applyFont="1" applyFill="1" applyBorder="1"/>
    <xf numFmtId="43" fontId="19" fillId="4" borderId="10" xfId="1" applyFont="1" applyFill="1" applyBorder="1" applyAlignment="1">
      <alignment horizontal="center" vertical="center" wrapText="1"/>
    </xf>
    <xf numFmtId="164" fontId="20" fillId="9" borderId="14" xfId="1" applyNumberFormat="1" applyFont="1" applyFill="1" applyBorder="1"/>
    <xf numFmtId="43" fontId="20" fillId="9" borderId="14" xfId="1" applyFont="1" applyFill="1" applyBorder="1"/>
    <xf numFmtId="164" fontId="20" fillId="9" borderId="1" xfId="1" applyNumberFormat="1" applyFont="1" applyFill="1" applyBorder="1"/>
    <xf numFmtId="164" fontId="19" fillId="9" borderId="14" xfId="1" applyNumberFormat="1" applyFont="1" applyFill="1" applyBorder="1"/>
    <xf numFmtId="43" fontId="19" fillId="9" borderId="14" xfId="1" applyFont="1" applyFill="1" applyBorder="1"/>
    <xf numFmtId="164" fontId="17" fillId="0" borderId="0" xfId="1" applyNumberFormat="1" applyFont="1" applyFill="1" applyBorder="1"/>
    <xf numFmtId="0" fontId="17" fillId="0" borderId="0" xfId="0" applyFont="1" applyAlignment="1"/>
    <xf numFmtId="0" fontId="41" fillId="0" borderId="0" xfId="0" applyFont="1" applyFill="1" applyAlignment="1"/>
    <xf numFmtId="0" fontId="18" fillId="0" borderId="0" xfId="0" applyFont="1" applyFill="1" applyAlignment="1"/>
    <xf numFmtId="0" fontId="19" fillId="0" borderId="0" xfId="0" applyFont="1" applyAlignment="1">
      <alignment horizontal="left"/>
    </xf>
    <xf numFmtId="164" fontId="32" fillId="4" borderId="10" xfId="1" applyNumberFormat="1" applyFont="1" applyFill="1" applyBorder="1" applyAlignment="1">
      <alignment horizontal="center" vertical="center" wrapText="1"/>
    </xf>
    <xf numFmtId="164" fontId="47" fillId="0" borderId="10" xfId="1" applyNumberFormat="1" applyFont="1" applyFill="1" applyBorder="1" applyAlignment="1">
      <alignment horizontal="center" vertical="center" wrapText="1"/>
    </xf>
    <xf numFmtId="164" fontId="47" fillId="14" borderId="10" xfId="1" applyNumberFormat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0" fontId="17" fillId="0" borderId="14" xfId="0" applyFont="1" applyFill="1" applyBorder="1"/>
    <xf numFmtId="0" fontId="17" fillId="0" borderId="9" xfId="0" applyFont="1" applyFill="1" applyBorder="1"/>
    <xf numFmtId="164" fontId="22" fillId="2" borderId="14" xfId="1" applyNumberFormat="1" applyFont="1" applyFill="1" applyBorder="1" applyAlignment="1">
      <alignment horizontal="center" vertical="center"/>
    </xf>
    <xf numFmtId="164" fontId="17" fillId="0" borderId="0" xfId="1" applyNumberFormat="1" applyFont="1" applyAlignment="1">
      <alignment horizontal="left"/>
    </xf>
    <xf numFmtId="0" fontId="20" fillId="4" borderId="1" xfId="0" applyFont="1" applyFill="1" applyBorder="1"/>
    <xf numFmtId="164" fontId="20" fillId="7" borderId="0" xfId="1" applyNumberFormat="1" applyFont="1" applyFill="1"/>
    <xf numFmtId="164" fontId="20" fillId="5" borderId="0" xfId="1" applyNumberFormat="1" applyFont="1" applyFill="1"/>
    <xf numFmtId="164" fontId="17" fillId="0" borderId="9" xfId="1" applyNumberFormat="1" applyFont="1" applyFill="1" applyBorder="1" applyAlignment="1">
      <alignment horizontal="right" vertical="center"/>
    </xf>
    <xf numFmtId="0" fontId="20" fillId="0" borderId="14" xfId="0" applyFont="1" applyBorder="1"/>
    <xf numFmtId="164" fontId="20" fillId="0" borderId="14" xfId="1" applyNumberFormat="1" applyFont="1" applyBorder="1"/>
    <xf numFmtId="0" fontId="20" fillId="0" borderId="14" xfId="0" applyFont="1" applyFill="1" applyBorder="1"/>
    <xf numFmtId="164" fontId="17" fillId="0" borderId="24" xfId="1" applyNumberFormat="1" applyFont="1" applyFill="1" applyBorder="1"/>
    <xf numFmtId="0" fontId="20" fillId="4" borderId="9" xfId="0" applyFont="1" applyFill="1" applyBorder="1"/>
    <xf numFmtId="0" fontId="20" fillId="0" borderId="9" xfId="0" applyFont="1" applyFill="1" applyBorder="1"/>
    <xf numFmtId="164" fontId="41" fillId="0" borderId="9" xfId="1" applyNumberFormat="1" applyFont="1" applyFill="1" applyBorder="1"/>
    <xf numFmtId="164" fontId="17" fillId="3" borderId="1" xfId="1" applyNumberFormat="1" applyFont="1" applyFill="1" applyBorder="1"/>
    <xf numFmtId="164" fontId="17" fillId="3" borderId="9" xfId="1" applyNumberFormat="1" applyFont="1" applyFill="1" applyBorder="1"/>
    <xf numFmtId="164" fontId="35" fillId="0" borderId="24" xfId="1" applyNumberFormat="1" applyFont="1" applyFill="1" applyBorder="1" applyAlignment="1">
      <alignment horizontal="center" vertical="center"/>
    </xf>
    <xf numFmtId="164" fontId="35" fillId="0" borderId="14" xfId="1" applyNumberFormat="1" applyFont="1" applyFill="1" applyBorder="1" applyAlignment="1">
      <alignment horizontal="center" vertical="center"/>
    </xf>
    <xf numFmtId="0" fontId="41" fillId="0" borderId="14" xfId="0" applyFont="1" applyFill="1" applyBorder="1" applyAlignment="1">
      <alignment horizontal="center" wrapText="1"/>
    </xf>
    <xf numFmtId="0" fontId="11" fillId="0" borderId="14" xfId="0" applyFont="1" applyFill="1" applyBorder="1" applyAlignment="1">
      <alignment horizontal="center" wrapText="1"/>
    </xf>
    <xf numFmtId="164" fontId="35" fillId="0" borderId="9" xfId="1" applyNumberFormat="1" applyFont="1" applyFill="1" applyBorder="1" applyAlignment="1">
      <alignment horizontal="center" vertical="center"/>
    </xf>
    <xf numFmtId="164" fontId="16" fillId="0" borderId="9" xfId="1" applyNumberFormat="1" applyFont="1" applyFill="1" applyBorder="1" applyAlignment="1">
      <alignment horizontal="right" vertical="center"/>
    </xf>
    <xf numFmtId="0" fontId="11" fillId="0" borderId="9" xfId="0" applyFont="1" applyFill="1" applyBorder="1" applyAlignment="1">
      <alignment horizontal="center" wrapText="1"/>
    </xf>
    <xf numFmtId="164" fontId="35" fillId="2" borderId="18" xfId="1" applyNumberFormat="1" applyFont="1" applyFill="1" applyBorder="1" applyAlignment="1">
      <alignment horizontal="center" vertical="center"/>
    </xf>
    <xf numFmtId="164" fontId="35" fillId="2" borderId="2" xfId="1" applyNumberFormat="1" applyFont="1" applyFill="1" applyBorder="1" applyAlignment="1">
      <alignment horizontal="center" vertical="center"/>
    </xf>
    <xf numFmtId="164" fontId="22" fillId="0" borderId="14" xfId="1" applyNumberFormat="1" applyFont="1" applyFill="1" applyBorder="1" applyAlignment="1">
      <alignment horizontal="center" vertical="center" wrapText="1"/>
    </xf>
    <xf numFmtId="164" fontId="17" fillId="0" borderId="22" xfId="1" applyNumberFormat="1" applyFont="1" applyFill="1" applyBorder="1" applyAlignment="1">
      <alignment horizontal="right" vertical="center"/>
    </xf>
    <xf numFmtId="0" fontId="17" fillId="0" borderId="9" xfId="0" applyFont="1" applyFill="1" applyBorder="1" applyAlignment="1">
      <alignment horizontal="left"/>
    </xf>
    <xf numFmtId="164" fontId="22" fillId="0" borderId="9" xfId="1" applyNumberFormat="1" applyFont="1" applyFill="1" applyBorder="1" applyAlignment="1">
      <alignment horizontal="center" vertical="center" wrapText="1"/>
    </xf>
    <xf numFmtId="164" fontId="17" fillId="0" borderId="26" xfId="1" applyNumberFormat="1" applyFont="1" applyFill="1" applyBorder="1" applyAlignment="1">
      <alignment horizontal="right" vertical="center"/>
    </xf>
    <xf numFmtId="164" fontId="22" fillId="2" borderId="18" xfId="1" applyNumberFormat="1" applyFont="1" applyFill="1" applyBorder="1" applyAlignment="1">
      <alignment horizontal="center" vertical="center"/>
    </xf>
    <xf numFmtId="164" fontId="22" fillId="2" borderId="2" xfId="1" applyNumberFormat="1" applyFont="1" applyFill="1" applyBorder="1" applyAlignment="1">
      <alignment horizontal="center" vertical="center"/>
    </xf>
    <xf numFmtId="0" fontId="16" fillId="0" borderId="14" xfId="0" applyFont="1" applyFill="1" applyBorder="1" applyAlignment="1">
      <alignment horizontal="left"/>
    </xf>
    <xf numFmtId="164" fontId="16" fillId="0" borderId="14" xfId="1" applyNumberFormat="1" applyFont="1" applyFill="1" applyBorder="1"/>
    <xf numFmtId="0" fontId="40" fillId="0" borderId="14" xfId="0" applyFont="1" applyFill="1" applyBorder="1" applyAlignment="1">
      <alignment horizontal="center" wrapText="1"/>
    </xf>
    <xf numFmtId="0" fontId="16" fillId="0" borderId="9" xfId="0" applyFont="1" applyFill="1" applyBorder="1" applyAlignment="1">
      <alignment horizontal="left"/>
    </xf>
    <xf numFmtId="164" fontId="16" fillId="0" borderId="9" xfId="1" applyNumberFormat="1" applyFont="1" applyFill="1" applyBorder="1"/>
    <xf numFmtId="0" fontId="40" fillId="0" borderId="9" xfId="0" applyFont="1" applyFill="1" applyBorder="1" applyAlignment="1">
      <alignment horizontal="center" wrapText="1"/>
    </xf>
    <xf numFmtId="164" fontId="20" fillId="2" borderId="14" xfId="1" applyNumberFormat="1" applyFont="1" applyFill="1" applyBorder="1"/>
    <xf numFmtId="164" fontId="20" fillId="2" borderId="1" xfId="1" applyNumberFormat="1" applyFont="1" applyFill="1" applyBorder="1"/>
    <xf numFmtId="164" fontId="20" fillId="2" borderId="9" xfId="1" applyNumberFormat="1" applyFont="1" applyFill="1" applyBorder="1"/>
    <xf numFmtId="0" fontId="20" fillId="0" borderId="14" xfId="0" applyFont="1" applyFill="1" applyBorder="1" applyAlignment="1">
      <alignment horizontal="center" wrapText="1"/>
    </xf>
    <xf numFmtId="0" fontId="20" fillId="0" borderId="9" xfId="0" applyFont="1" applyFill="1" applyBorder="1" applyAlignment="1">
      <alignment horizontal="center" wrapText="1"/>
    </xf>
    <xf numFmtId="43" fontId="20" fillId="0" borderId="14" xfId="0" applyNumberFormat="1" applyFont="1" applyFill="1" applyBorder="1"/>
    <xf numFmtId="43" fontId="20" fillId="0" borderId="9" xfId="0" applyNumberFormat="1" applyFont="1" applyFill="1" applyBorder="1"/>
    <xf numFmtId="0" fontId="22" fillId="0" borderId="14" xfId="1" applyNumberFormat="1" applyFont="1" applyFill="1" applyBorder="1" applyAlignment="1">
      <alignment horizontal="left" vertical="center"/>
    </xf>
    <xf numFmtId="164" fontId="22" fillId="0" borderId="14" xfId="1" applyNumberFormat="1" applyFont="1" applyFill="1" applyBorder="1" applyAlignment="1">
      <alignment horizontal="right" vertical="center"/>
    </xf>
    <xf numFmtId="0" fontId="22" fillId="0" borderId="9" xfId="1" applyNumberFormat="1" applyFont="1" applyFill="1" applyBorder="1" applyAlignment="1">
      <alignment horizontal="left" vertical="center"/>
    </xf>
    <xf numFmtId="164" fontId="22" fillId="0" borderId="9" xfId="1" applyNumberFormat="1" applyFont="1" applyFill="1" applyBorder="1" applyAlignment="1">
      <alignment horizontal="right" vertical="center"/>
    </xf>
    <xf numFmtId="164" fontId="41" fillId="0" borderId="9" xfId="1" applyNumberFormat="1" applyFont="1" applyFill="1" applyBorder="1" applyAlignment="1">
      <alignment horizontal="center" vertical="center" wrapText="1"/>
    </xf>
    <xf numFmtId="164" fontId="20" fillId="0" borderId="36" xfId="1" applyNumberFormat="1" applyFont="1" applyFill="1" applyBorder="1"/>
    <xf numFmtId="164" fontId="41" fillId="0" borderId="36" xfId="1" applyNumberFormat="1" applyFont="1" applyFill="1" applyBorder="1"/>
    <xf numFmtId="164" fontId="22" fillId="0" borderId="36" xfId="1" applyNumberFormat="1" applyFont="1" applyFill="1" applyBorder="1" applyAlignment="1">
      <alignment horizontal="center" vertical="center"/>
    </xf>
    <xf numFmtId="14" fontId="17" fillId="0" borderId="36" xfId="1" applyNumberFormat="1" applyFont="1" applyFill="1" applyBorder="1" applyAlignment="1">
      <alignment horizontal="center" vertical="center"/>
    </xf>
    <xf numFmtId="0" fontId="17" fillId="0" borderId="36" xfId="0" applyFont="1" applyFill="1" applyBorder="1"/>
    <xf numFmtId="164" fontId="17" fillId="0" borderId="36" xfId="1" applyNumberFormat="1" applyFont="1" applyFill="1" applyBorder="1"/>
    <xf numFmtId="164" fontId="17" fillId="0" borderId="36" xfId="1" applyNumberFormat="1" applyFont="1" applyFill="1" applyBorder="1" applyAlignment="1">
      <alignment horizontal="right" vertical="center"/>
    </xf>
    <xf numFmtId="0" fontId="17" fillId="0" borderId="36" xfId="0" applyFont="1" applyFill="1" applyBorder="1" applyAlignment="1">
      <alignment horizontal="left"/>
    </xf>
    <xf numFmtId="164" fontId="35" fillId="0" borderId="38" xfId="1" applyNumberFormat="1" applyFont="1" applyFill="1" applyBorder="1" applyAlignment="1">
      <alignment horizontal="center" vertical="center"/>
    </xf>
    <xf numFmtId="0" fontId="35" fillId="0" borderId="37" xfId="1" applyNumberFormat="1" applyFont="1" applyFill="1" applyBorder="1" applyAlignment="1">
      <alignment horizontal="left" vertical="center"/>
    </xf>
    <xf numFmtId="164" fontId="35" fillId="0" borderId="37" xfId="1" applyNumberFormat="1" applyFont="1" applyFill="1" applyBorder="1" applyAlignment="1">
      <alignment horizontal="center" vertical="center"/>
    </xf>
    <xf numFmtId="164" fontId="16" fillId="0" borderId="36" xfId="1" applyNumberFormat="1" applyFont="1" applyFill="1" applyBorder="1" applyAlignment="1">
      <alignment horizontal="right" vertical="center"/>
    </xf>
    <xf numFmtId="0" fontId="16" fillId="0" borderId="36" xfId="0" applyFont="1" applyFill="1" applyBorder="1" applyAlignment="1">
      <alignment horizontal="left"/>
    </xf>
    <xf numFmtId="164" fontId="16" fillId="0" borderId="36" xfId="1" applyNumberFormat="1" applyFont="1" applyFill="1" applyBorder="1"/>
    <xf numFmtId="0" fontId="40" fillId="0" borderId="36" xfId="0" applyFont="1" applyFill="1" applyBorder="1" applyAlignment="1">
      <alignment horizontal="center" wrapText="1"/>
    </xf>
    <xf numFmtId="0" fontId="22" fillId="0" borderId="36" xfId="1" applyNumberFormat="1" applyFont="1" applyFill="1" applyBorder="1" applyAlignment="1">
      <alignment horizontal="left" vertical="center"/>
    </xf>
    <xf numFmtId="164" fontId="22" fillId="0" borderId="36" xfId="1" applyNumberFormat="1" applyFont="1" applyFill="1" applyBorder="1" applyAlignment="1">
      <alignment horizontal="right" vertical="center"/>
    </xf>
    <xf numFmtId="164" fontId="41" fillId="0" borderId="36" xfId="1" applyNumberFormat="1" applyFont="1" applyFill="1" applyBorder="1" applyAlignment="1">
      <alignment horizontal="center" vertical="center" wrapText="1"/>
    </xf>
    <xf numFmtId="164" fontId="17" fillId="0" borderId="1" xfId="1" applyNumberFormat="1" applyFont="1" applyFill="1" applyBorder="1" applyAlignment="1">
      <alignment horizontal="center" wrapText="1"/>
    </xf>
    <xf numFmtId="164" fontId="17" fillId="0" borderId="14" xfId="1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wrapText="1"/>
    </xf>
    <xf numFmtId="14" fontId="20" fillId="0" borderId="14" xfId="1" applyNumberFormat="1" applyFont="1" applyFill="1" applyBorder="1" applyAlignment="1">
      <alignment wrapText="1"/>
    </xf>
    <xf numFmtId="164" fontId="20" fillId="0" borderId="9" xfId="1" applyNumberFormat="1" applyFont="1" applyFill="1" applyBorder="1" applyAlignment="1">
      <alignment wrapText="1"/>
    </xf>
    <xf numFmtId="14" fontId="20" fillId="0" borderId="9" xfId="1" applyNumberFormat="1" applyFont="1" applyFill="1" applyBorder="1" applyAlignment="1">
      <alignment wrapText="1"/>
    </xf>
    <xf numFmtId="0" fontId="20" fillId="0" borderId="9" xfId="1" applyNumberFormat="1" applyFont="1" applyFill="1" applyBorder="1" applyAlignment="1">
      <alignment horizontal="left" wrapText="1"/>
    </xf>
    <xf numFmtId="43" fontId="17" fillId="0" borderId="9" xfId="1" applyFont="1" applyFill="1" applyBorder="1"/>
    <xf numFmtId="43" fontId="41" fillId="0" borderId="9" xfId="1" applyFont="1" applyFill="1" applyBorder="1"/>
    <xf numFmtId="164" fontId="20" fillId="2" borderId="14" xfId="1" applyNumberFormat="1" applyFont="1" applyFill="1" applyBorder="1" applyAlignment="1">
      <alignment wrapText="1"/>
    </xf>
    <xf numFmtId="164" fontId="20" fillId="2" borderId="1" xfId="1" applyNumberFormat="1" applyFont="1" applyFill="1" applyBorder="1" applyAlignment="1">
      <alignment wrapText="1"/>
    </xf>
    <xf numFmtId="164" fontId="20" fillId="2" borderId="9" xfId="1" applyNumberFormat="1" applyFont="1" applyFill="1" applyBorder="1" applyAlignment="1">
      <alignment wrapText="1"/>
    </xf>
    <xf numFmtId="164" fontId="17" fillId="0" borderId="10" xfId="1" applyNumberFormat="1" applyFont="1" applyFill="1" applyBorder="1"/>
    <xf numFmtId="164" fontId="32" fillId="0" borderId="14" xfId="1" applyNumberFormat="1" applyFont="1" applyFill="1" applyBorder="1" applyAlignment="1">
      <alignment wrapText="1"/>
    </xf>
    <xf numFmtId="14" fontId="32" fillId="0" borderId="14" xfId="1" applyNumberFormat="1" applyFont="1" applyFill="1" applyBorder="1" applyAlignment="1">
      <alignment wrapText="1"/>
    </xf>
    <xf numFmtId="164" fontId="32" fillId="0" borderId="9" xfId="1" applyNumberFormat="1" applyFont="1" applyFill="1" applyBorder="1" applyAlignment="1">
      <alignment wrapText="1"/>
    </xf>
    <xf numFmtId="14" fontId="32" fillId="0" borderId="9" xfId="1" applyNumberFormat="1" applyFont="1" applyFill="1" applyBorder="1" applyAlignment="1">
      <alignment wrapText="1"/>
    </xf>
    <xf numFmtId="0" fontId="32" fillId="0" borderId="9" xfId="1" applyNumberFormat="1" applyFont="1" applyFill="1" applyBorder="1" applyAlignment="1">
      <alignment horizontal="left" wrapText="1"/>
    </xf>
    <xf numFmtId="164" fontId="45" fillId="0" borderId="9" xfId="1" applyNumberFormat="1" applyFont="1" applyFill="1" applyBorder="1"/>
    <xf numFmtId="164" fontId="32" fillId="2" borderId="14" xfId="1" applyNumberFormat="1" applyFont="1" applyFill="1" applyBorder="1" applyAlignment="1">
      <alignment wrapText="1"/>
    </xf>
    <xf numFmtId="164" fontId="32" fillId="2" borderId="1" xfId="1" applyNumberFormat="1" applyFont="1" applyFill="1" applyBorder="1" applyAlignment="1">
      <alignment wrapText="1"/>
    </xf>
    <xf numFmtId="164" fontId="32" fillId="2" borderId="9" xfId="1" applyNumberFormat="1" applyFont="1" applyFill="1" applyBorder="1" applyAlignment="1">
      <alignment wrapText="1"/>
    </xf>
    <xf numFmtId="164" fontId="32" fillId="0" borderId="36" xfId="1" applyNumberFormat="1" applyFont="1" applyFill="1" applyBorder="1" applyAlignment="1">
      <alignment wrapText="1"/>
    </xf>
    <xf numFmtId="14" fontId="32" fillId="0" borderId="36" xfId="1" applyNumberFormat="1" applyFont="1" applyFill="1" applyBorder="1" applyAlignment="1">
      <alignment wrapText="1"/>
    </xf>
    <xf numFmtId="0" fontId="32" fillId="0" borderId="36" xfId="1" applyNumberFormat="1" applyFont="1" applyFill="1" applyBorder="1" applyAlignment="1">
      <alignment horizontal="left" wrapText="1"/>
    </xf>
    <xf numFmtId="164" fontId="45" fillId="0" borderId="36" xfId="1" applyNumberFormat="1" applyFont="1" applyFill="1" applyBorder="1"/>
    <xf numFmtId="164" fontId="39" fillId="4" borderId="1" xfId="1" applyNumberFormat="1" applyFont="1" applyFill="1" applyBorder="1" applyAlignment="1">
      <alignment horizontal="center" vertical="center"/>
    </xf>
    <xf numFmtId="0" fontId="41" fillId="0" borderId="14" xfId="0" applyFont="1" applyFill="1" applyBorder="1"/>
    <xf numFmtId="0" fontId="39" fillId="0" borderId="9" xfId="0" applyFont="1" applyFill="1" applyBorder="1" applyAlignment="1">
      <alignment horizontal="left"/>
    </xf>
    <xf numFmtId="164" fontId="39" fillId="0" borderId="9" xfId="1" applyNumberFormat="1" applyFont="1" applyFill="1" applyBorder="1"/>
    <xf numFmtId="164" fontId="34" fillId="0" borderId="9" xfId="1" applyNumberFormat="1" applyFont="1" applyFill="1" applyBorder="1"/>
    <xf numFmtId="0" fontId="41" fillId="0" borderId="9" xfId="0" applyFont="1" applyFill="1" applyBorder="1"/>
    <xf numFmtId="164" fontId="38" fillId="2" borderId="8" xfId="1" applyNumberFormat="1" applyFont="1" applyFill="1" applyBorder="1" applyAlignment="1">
      <alignment horizontal="center" vertical="center"/>
    </xf>
    <xf numFmtId="0" fontId="41" fillId="0" borderId="36" xfId="0" applyFont="1" applyFill="1" applyBorder="1"/>
    <xf numFmtId="164" fontId="35" fillId="2" borderId="1" xfId="1" applyNumberFormat="1" applyFont="1" applyFill="1" applyBorder="1" applyAlignment="1">
      <alignment horizontal="center" vertical="center"/>
    </xf>
    <xf numFmtId="0" fontId="35" fillId="0" borderId="14" xfId="1" applyNumberFormat="1" applyFont="1" applyFill="1" applyBorder="1" applyAlignment="1">
      <alignment horizontal="left" vertical="center"/>
    </xf>
    <xf numFmtId="164" fontId="7" fillId="0" borderId="14" xfId="1" applyNumberFormat="1" applyFont="1" applyFill="1" applyBorder="1" applyAlignment="1">
      <alignment horizontal="center" wrapText="1"/>
    </xf>
    <xf numFmtId="0" fontId="6" fillId="0" borderId="14" xfId="0" applyFont="1" applyFill="1" applyBorder="1" applyAlignment="1">
      <alignment horizontal="center" wrapText="1"/>
    </xf>
    <xf numFmtId="164" fontId="35" fillId="2" borderId="9" xfId="1" applyNumberFormat="1" applyFont="1" applyFill="1" applyBorder="1" applyAlignment="1">
      <alignment horizontal="center" vertical="center"/>
    </xf>
    <xf numFmtId="0" fontId="35" fillId="0" borderId="9" xfId="1" applyNumberFormat="1" applyFont="1" applyFill="1" applyBorder="1" applyAlignment="1">
      <alignment horizontal="left" vertical="center"/>
    </xf>
    <xf numFmtId="164" fontId="7" fillId="0" borderId="9" xfId="1" applyNumberFormat="1" applyFont="1" applyFill="1" applyBorder="1" applyAlignment="1">
      <alignment horizontal="center" wrapText="1"/>
    </xf>
    <xf numFmtId="0" fontId="6" fillId="0" borderId="9" xfId="0" applyFont="1" applyFill="1" applyBorder="1" applyAlignment="1">
      <alignment horizontal="center" wrapText="1"/>
    </xf>
    <xf numFmtId="164" fontId="35" fillId="2" borderId="14" xfId="1" applyNumberFormat="1" applyFont="1" applyFill="1" applyBorder="1" applyAlignment="1">
      <alignment horizontal="center" vertical="center"/>
    </xf>
    <xf numFmtId="14" fontId="22" fillId="0" borderId="14" xfId="1" applyNumberFormat="1" applyFont="1" applyFill="1" applyBorder="1" applyAlignment="1">
      <alignment horizontal="center" vertical="center"/>
    </xf>
    <xf numFmtId="14" fontId="22" fillId="0" borderId="9" xfId="1" applyNumberFormat="1" applyFont="1" applyFill="1" applyBorder="1" applyAlignment="1">
      <alignment horizontal="center" vertical="center"/>
    </xf>
    <xf numFmtId="164" fontId="17" fillId="0" borderId="9" xfId="0" applyNumberFormat="1" applyFont="1" applyFill="1" applyBorder="1" applyAlignment="1">
      <alignment horizontal="center" wrapText="1"/>
    </xf>
    <xf numFmtId="164" fontId="20" fillId="0" borderId="9" xfId="0" applyNumberFormat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horizontal="center" wrapText="1"/>
    </xf>
    <xf numFmtId="14" fontId="22" fillId="0" borderId="36" xfId="1" applyNumberFormat="1" applyFont="1" applyFill="1" applyBorder="1" applyAlignment="1">
      <alignment horizontal="center" vertical="center"/>
    </xf>
    <xf numFmtId="164" fontId="17" fillId="0" borderId="36" xfId="0" applyNumberFormat="1" applyFont="1" applyFill="1" applyBorder="1" applyAlignment="1">
      <alignment horizontal="center" wrapText="1"/>
    </xf>
    <xf numFmtId="164" fontId="20" fillId="0" borderId="36" xfId="0" applyNumberFormat="1" applyFont="1" applyFill="1" applyBorder="1" applyAlignment="1">
      <alignment horizontal="center" wrapText="1"/>
    </xf>
    <xf numFmtId="164" fontId="20" fillId="0" borderId="36" xfId="1" applyNumberFormat="1" applyFont="1" applyFill="1" applyBorder="1" applyAlignment="1">
      <alignment horizontal="center" wrapText="1"/>
    </xf>
    <xf numFmtId="43" fontId="20" fillId="0" borderId="36" xfId="1" applyFont="1" applyFill="1" applyBorder="1"/>
    <xf numFmtId="164" fontId="22" fillId="0" borderId="38" xfId="1" applyNumberFormat="1" applyFont="1" applyFill="1" applyBorder="1" applyAlignment="1">
      <alignment horizontal="center" vertical="center"/>
    </xf>
    <xf numFmtId="164" fontId="20" fillId="0" borderId="10" xfId="1" applyNumberFormat="1" applyFont="1" applyFill="1" applyBorder="1"/>
    <xf numFmtId="164" fontId="20" fillId="13" borderId="9" xfId="1" applyNumberFormat="1" applyFont="1" applyFill="1" applyBorder="1"/>
    <xf numFmtId="164" fontId="20" fillId="0" borderId="36" xfId="0" applyNumberFormat="1" applyFont="1" applyFill="1" applyBorder="1"/>
    <xf numFmtId="164" fontId="20" fillId="9" borderId="9" xfId="1" applyNumberFormat="1" applyFont="1" applyFill="1" applyBorder="1"/>
    <xf numFmtId="43" fontId="20" fillId="9" borderId="9" xfId="1" applyFont="1" applyFill="1" applyBorder="1"/>
    <xf numFmtId="14" fontId="20" fillId="0" borderId="9" xfId="0" applyNumberFormat="1" applyFont="1" applyFill="1" applyBorder="1"/>
    <xf numFmtId="164" fontId="20" fillId="0" borderId="9" xfId="1" applyNumberFormat="1" applyFont="1" applyFill="1" applyBorder="1" applyAlignment="1">
      <alignment horizontal="center"/>
    </xf>
    <xf numFmtId="164" fontId="17" fillId="0" borderId="10" xfId="1" applyNumberFormat="1" applyFont="1" applyFill="1" applyBorder="1" applyAlignment="1">
      <alignment horizontal="right" vertical="center"/>
    </xf>
    <xf numFmtId="164" fontId="22" fillId="8" borderId="14" xfId="1" applyNumberFormat="1" applyFont="1" applyFill="1" applyBorder="1" applyAlignment="1">
      <alignment horizontal="center" vertical="center"/>
    </xf>
    <xf numFmtId="164" fontId="22" fillId="8" borderId="9" xfId="1" applyNumberFormat="1" applyFont="1" applyFill="1" applyBorder="1" applyAlignment="1">
      <alignment horizontal="center" vertical="center"/>
    </xf>
    <xf numFmtId="0" fontId="18" fillId="2" borderId="23" xfId="0" applyFont="1" applyFill="1" applyBorder="1" applyAlignment="1">
      <alignment horizontal="right"/>
    </xf>
    <xf numFmtId="164" fontId="20" fillId="0" borderId="9" xfId="1" applyNumberFormat="1" applyFont="1" applyBorder="1"/>
    <xf numFmtId="164" fontId="20" fillId="8" borderId="14" xfId="1" applyNumberFormat="1" applyFont="1" applyFill="1" applyBorder="1"/>
    <xf numFmtId="164" fontId="20" fillId="8" borderId="9" xfId="1" applyNumberFormat="1" applyFont="1" applyFill="1" applyBorder="1"/>
    <xf numFmtId="164" fontId="41" fillId="0" borderId="1" xfId="1" applyNumberFormat="1" applyFont="1" applyFill="1" applyBorder="1" applyAlignment="1">
      <alignment horizontal="center" vertical="center" wrapText="1"/>
    </xf>
    <xf numFmtId="43" fontId="17" fillId="0" borderId="36" xfId="1" applyFont="1" applyFill="1" applyBorder="1"/>
    <xf numFmtId="43" fontId="17" fillId="3" borderId="1" xfId="1" applyFont="1" applyFill="1" applyBorder="1"/>
    <xf numFmtId="43" fontId="17" fillId="3" borderId="9" xfId="1" applyFont="1" applyFill="1" applyBorder="1"/>
    <xf numFmtId="43" fontId="17" fillId="0" borderId="1" xfId="1" applyFont="1" applyFill="1" applyBorder="1"/>
    <xf numFmtId="164" fontId="17" fillId="0" borderId="0" xfId="1" applyNumberFormat="1" applyFont="1" applyAlignment="1">
      <alignment horizontal="center"/>
    </xf>
    <xf numFmtId="43" fontId="17" fillId="0" borderId="0" xfId="1" applyFont="1" applyAlignment="1">
      <alignment horizontal="right"/>
    </xf>
    <xf numFmtId="164" fontId="41" fillId="3" borderId="0" xfId="1" applyNumberFormat="1" applyFont="1" applyFill="1"/>
    <xf numFmtId="164" fontId="20" fillId="4" borderId="1" xfId="0" applyNumberFormat="1" applyFont="1" applyFill="1" applyBorder="1"/>
    <xf numFmtId="164" fontId="16" fillId="0" borderId="19" xfId="1" applyNumberFormat="1" applyFont="1" applyFill="1" applyBorder="1" applyAlignment="1">
      <alignment horizontal="right" vertical="center"/>
    </xf>
    <xf numFmtId="164" fontId="17" fillId="0" borderId="0" xfId="1" applyNumberFormat="1" applyFont="1" applyFill="1" applyAlignment="1">
      <alignment horizontal="center" wrapText="1"/>
    </xf>
    <xf numFmtId="164" fontId="35" fillId="0" borderId="36" xfId="1" applyNumberFormat="1" applyFont="1" applyFill="1" applyBorder="1" applyAlignment="1">
      <alignment horizontal="center" vertical="center"/>
    </xf>
    <xf numFmtId="164" fontId="20" fillId="4" borderId="0" xfId="1" applyNumberFormat="1" applyFont="1" applyFill="1"/>
    <xf numFmtId="164" fontId="41" fillId="0" borderId="14" xfId="1" applyNumberFormat="1" applyFont="1" applyFill="1" applyBorder="1" applyAlignment="1">
      <alignment horizontal="center"/>
    </xf>
    <xf numFmtId="164" fontId="20" fillId="6" borderId="0" xfId="1" applyNumberFormat="1" applyFont="1" applyFill="1"/>
    <xf numFmtId="0" fontId="22" fillId="0" borderId="24" xfId="1" applyNumberFormat="1" applyFont="1" applyFill="1" applyBorder="1" applyAlignment="1">
      <alignment horizontal="left" vertical="center"/>
    </xf>
    <xf numFmtId="164" fontId="35" fillId="3" borderId="14" xfId="1" applyNumberFormat="1" applyFont="1" applyFill="1" applyBorder="1" applyAlignment="1">
      <alignment horizontal="center" vertical="center"/>
    </xf>
    <xf numFmtId="164" fontId="35" fillId="3" borderId="1" xfId="1" applyNumberFormat="1" applyFont="1" applyFill="1" applyBorder="1" applyAlignment="1">
      <alignment horizontal="center" vertical="center"/>
    </xf>
    <xf numFmtId="164" fontId="20" fillId="3" borderId="1" xfId="1" applyNumberFormat="1" applyFont="1" applyFill="1" applyBorder="1"/>
    <xf numFmtId="0" fontId="41" fillId="0" borderId="0" xfId="0" applyFont="1" applyAlignment="1">
      <alignment horizontal="right"/>
    </xf>
    <xf numFmtId="0" fontId="48" fillId="0" borderId="0" xfId="0" applyFont="1" applyAlignment="1">
      <alignment horizontal="right"/>
    </xf>
    <xf numFmtId="164" fontId="20" fillId="0" borderId="6" xfId="1" applyNumberFormat="1" applyFont="1" applyFill="1" applyBorder="1"/>
    <xf numFmtId="164" fontId="35" fillId="8" borderId="14" xfId="1" applyNumberFormat="1" applyFont="1" applyFill="1" applyBorder="1" applyAlignment="1">
      <alignment horizontal="center" vertical="center"/>
    </xf>
    <xf numFmtId="164" fontId="35" fillId="8" borderId="9" xfId="1" applyNumberFormat="1" applyFont="1" applyFill="1" applyBorder="1" applyAlignment="1">
      <alignment horizontal="center" vertical="center"/>
    </xf>
    <xf numFmtId="164" fontId="35" fillId="2" borderId="35" xfId="1" applyNumberFormat="1" applyFont="1" applyFill="1" applyBorder="1" applyAlignment="1">
      <alignment horizontal="center" vertical="center"/>
    </xf>
    <xf numFmtId="0" fontId="35" fillId="0" borderId="29" xfId="1" applyNumberFormat="1" applyFont="1" applyFill="1" applyBorder="1" applyAlignment="1">
      <alignment horizontal="left" vertical="center"/>
    </xf>
    <xf numFmtId="164" fontId="35" fillId="0" borderId="29" xfId="1" applyNumberFormat="1" applyFont="1" applyFill="1" applyBorder="1" applyAlignment="1">
      <alignment horizontal="center" vertical="center"/>
    </xf>
    <xf numFmtId="164" fontId="35" fillId="0" borderId="15" xfId="1" applyNumberFormat="1" applyFont="1" applyFill="1" applyBorder="1" applyAlignment="1">
      <alignment horizontal="center" vertical="center"/>
    </xf>
    <xf numFmtId="164" fontId="16" fillId="0" borderId="15" xfId="1" applyNumberFormat="1" applyFont="1" applyFill="1" applyBorder="1" applyAlignment="1">
      <alignment horizontal="right" vertical="center"/>
    </xf>
    <xf numFmtId="0" fontId="41" fillId="0" borderId="15" xfId="0" applyFont="1" applyFill="1" applyBorder="1" applyAlignment="1">
      <alignment horizontal="center" wrapText="1"/>
    </xf>
    <xf numFmtId="0" fontId="11" fillId="0" borderId="15" xfId="0" applyFont="1" applyFill="1" applyBorder="1" applyAlignment="1">
      <alignment horizontal="center" wrapText="1"/>
    </xf>
    <xf numFmtId="164" fontId="41" fillId="13" borderId="9" xfId="1" applyNumberFormat="1" applyFont="1" applyFill="1" applyBorder="1"/>
    <xf numFmtId="164" fontId="17" fillId="13" borderId="31" xfId="1" applyNumberFormat="1" applyFont="1" applyFill="1" applyBorder="1"/>
    <xf numFmtId="164" fontId="20" fillId="3" borderId="0" xfId="0" applyNumberFormat="1" applyFont="1" applyFill="1"/>
    <xf numFmtId="164" fontId="41" fillId="0" borderId="9" xfId="1" applyNumberFormat="1" applyFont="1" applyFill="1" applyBorder="1" applyAlignment="1">
      <alignment horizontal="center"/>
    </xf>
    <xf numFmtId="164" fontId="41" fillId="0" borderId="31" xfId="1" applyNumberFormat="1" applyFont="1" applyFill="1" applyBorder="1"/>
    <xf numFmtId="164" fontId="20" fillId="3" borderId="14" xfId="1" applyNumberFormat="1" applyFont="1" applyFill="1" applyBorder="1"/>
    <xf numFmtId="164" fontId="17" fillId="3" borderId="14" xfId="1" applyNumberFormat="1" applyFont="1" applyFill="1" applyBorder="1"/>
    <xf numFmtId="164" fontId="20" fillId="4" borderId="14" xfId="1" applyNumberFormat="1" applyFont="1" applyFill="1" applyBorder="1"/>
    <xf numFmtId="0" fontId="20" fillId="13" borderId="9" xfId="0" applyFont="1" applyFill="1" applyBorder="1"/>
    <xf numFmtId="164" fontId="17" fillId="13" borderId="9" xfId="1" applyNumberFormat="1" applyFont="1" applyFill="1" applyBorder="1"/>
    <xf numFmtId="14" fontId="17" fillId="0" borderId="14" xfId="1" applyNumberFormat="1" applyFont="1" applyBorder="1"/>
    <xf numFmtId="43" fontId="37" fillId="0" borderId="14" xfId="1" applyFont="1" applyFill="1" applyBorder="1" applyAlignment="1"/>
    <xf numFmtId="164" fontId="37" fillId="0" borderId="14" xfId="1" applyNumberFormat="1" applyFont="1" applyFill="1" applyBorder="1" applyAlignment="1"/>
    <xf numFmtId="0" fontId="41" fillId="0" borderId="36" xfId="0" applyFont="1" applyFill="1" applyBorder="1" applyAlignment="1">
      <alignment horizontal="center" wrapText="1"/>
    </xf>
    <xf numFmtId="0" fontId="11" fillId="0" borderId="36" xfId="0" applyFont="1" applyFill="1" applyBorder="1" applyAlignment="1">
      <alignment horizontal="center" wrapText="1"/>
    </xf>
    <xf numFmtId="0" fontId="41" fillId="0" borderId="9" xfId="0" applyFont="1" applyFill="1" applyBorder="1" applyAlignment="1">
      <alignment horizontal="center" wrapText="1"/>
    </xf>
    <xf numFmtId="43" fontId="18" fillId="0" borderId="14" xfId="1" applyFont="1" applyFill="1" applyBorder="1" applyAlignment="1"/>
    <xf numFmtId="0" fontId="19" fillId="10" borderId="9" xfId="0" applyFont="1" applyFill="1" applyBorder="1" applyAlignment="1">
      <alignment wrapText="1"/>
    </xf>
    <xf numFmtId="164" fontId="17" fillId="10" borderId="14" xfId="1" applyNumberFormat="1" applyFont="1" applyFill="1" applyBorder="1" applyAlignment="1">
      <alignment horizontal="center" wrapText="1"/>
    </xf>
    <xf numFmtId="164" fontId="17" fillId="10" borderId="1" xfId="1" applyNumberFormat="1" applyFont="1" applyFill="1" applyBorder="1" applyAlignment="1">
      <alignment horizontal="center" wrapText="1"/>
    </xf>
    <xf numFmtId="164" fontId="18" fillId="10" borderId="1" xfId="1" applyNumberFormat="1" applyFont="1" applyFill="1" applyBorder="1" applyAlignment="1"/>
    <xf numFmtId="164" fontId="20" fillId="0" borderId="36" xfId="1" applyNumberFormat="1" applyFont="1" applyFill="1" applyBorder="1" applyAlignment="1">
      <alignment wrapText="1"/>
    </xf>
    <xf numFmtId="14" fontId="20" fillId="0" borderId="36" xfId="1" applyNumberFormat="1" applyFont="1" applyFill="1" applyBorder="1" applyAlignment="1">
      <alignment wrapText="1"/>
    </xf>
    <xf numFmtId="0" fontId="20" fillId="0" borderId="36" xfId="1" applyNumberFormat="1" applyFont="1" applyFill="1" applyBorder="1" applyAlignment="1">
      <alignment horizontal="left" wrapText="1"/>
    </xf>
    <xf numFmtId="14" fontId="20" fillId="0" borderId="6" xfId="1" applyNumberFormat="1" applyFont="1" applyFill="1" applyBorder="1" applyAlignment="1">
      <alignment wrapText="1"/>
    </xf>
    <xf numFmtId="0" fontId="20" fillId="0" borderId="6" xfId="1" applyNumberFormat="1" applyFont="1" applyFill="1" applyBorder="1" applyAlignment="1">
      <alignment horizontal="left" wrapText="1"/>
    </xf>
    <xf numFmtId="164" fontId="17" fillId="0" borderId="6" xfId="1" applyNumberFormat="1" applyFont="1" applyFill="1" applyBorder="1"/>
    <xf numFmtId="164" fontId="19" fillId="0" borderId="24" xfId="1" applyNumberFormat="1" applyFont="1" applyFill="1" applyBorder="1" applyAlignment="1">
      <alignment horizontal="right"/>
    </xf>
    <xf numFmtId="43" fontId="19" fillId="0" borderId="24" xfId="1" applyFont="1" applyFill="1" applyBorder="1" applyAlignment="1">
      <alignment horizontal="right"/>
    </xf>
    <xf numFmtId="14" fontId="19" fillId="0" borderId="24" xfId="1" applyNumberFormat="1" applyFont="1" applyFill="1" applyBorder="1" applyAlignment="1">
      <alignment horizontal="right"/>
    </xf>
    <xf numFmtId="43" fontId="41" fillId="0" borderId="1" xfId="1" applyFont="1" applyFill="1" applyBorder="1"/>
    <xf numFmtId="164" fontId="20" fillId="8" borderId="6" xfId="1" applyNumberFormat="1" applyFont="1" applyFill="1" applyBorder="1" applyAlignment="1">
      <alignment wrapText="1"/>
    </xf>
    <xf numFmtId="164" fontId="20" fillId="8" borderId="9" xfId="1" applyNumberFormat="1" applyFont="1" applyFill="1" applyBorder="1" applyAlignment="1">
      <alignment wrapText="1"/>
    </xf>
    <xf numFmtId="164" fontId="20" fillId="2" borderId="6" xfId="1" applyNumberFormat="1" applyFont="1" applyFill="1" applyBorder="1" applyAlignment="1">
      <alignment wrapText="1"/>
    </xf>
    <xf numFmtId="43" fontId="41" fillId="0" borderId="36" xfId="1" applyFont="1" applyFill="1" applyBorder="1"/>
    <xf numFmtId="43" fontId="46" fillId="0" borderId="36" xfId="1" applyFont="1" applyFill="1" applyBorder="1"/>
    <xf numFmtId="43" fontId="45" fillId="0" borderId="36" xfId="1" applyFont="1" applyFill="1" applyBorder="1"/>
    <xf numFmtId="0" fontId="32" fillId="0" borderId="1" xfId="1" applyNumberFormat="1" applyFont="1" applyFill="1" applyBorder="1" applyAlignment="1">
      <alignment horizontal="left" wrapText="1"/>
    </xf>
    <xf numFmtId="164" fontId="32" fillId="8" borderId="14" xfId="1" applyNumberFormat="1" applyFont="1" applyFill="1" applyBorder="1" applyAlignment="1">
      <alignment wrapText="1"/>
    </xf>
    <xf numFmtId="164" fontId="32" fillId="8" borderId="9" xfId="1" applyNumberFormat="1" applyFont="1" applyFill="1" applyBorder="1" applyAlignment="1">
      <alignment wrapText="1"/>
    </xf>
    <xf numFmtId="43" fontId="46" fillId="0" borderId="9" xfId="1" applyFont="1" applyFill="1" applyBorder="1"/>
    <xf numFmtId="43" fontId="45" fillId="0" borderId="9" xfId="1" applyFont="1" applyFill="1" applyBorder="1"/>
    <xf numFmtId="164" fontId="29" fillId="0" borderId="24" xfId="1" applyNumberFormat="1" applyFont="1" applyFill="1" applyBorder="1" applyAlignment="1">
      <alignment horizontal="right"/>
    </xf>
    <xf numFmtId="43" fontId="29" fillId="0" borderId="24" xfId="1" applyFont="1" applyFill="1" applyBorder="1" applyAlignment="1">
      <alignment horizontal="right"/>
    </xf>
    <xf numFmtId="164" fontId="20" fillId="13" borderId="1" xfId="1" applyNumberFormat="1" applyFont="1" applyFill="1" applyBorder="1"/>
    <xf numFmtId="43" fontId="20" fillId="9" borderId="1" xfId="1" applyFont="1" applyFill="1" applyBorder="1"/>
    <xf numFmtId="164" fontId="22" fillId="0" borderId="8" xfId="1" applyNumberFormat="1" applyFont="1" applyFill="1" applyBorder="1" applyAlignment="1">
      <alignment horizontal="center" vertical="center"/>
    </xf>
    <xf numFmtId="164" fontId="22" fillId="2" borderId="8" xfId="1" applyNumberFormat="1" applyFont="1" applyFill="1" applyBorder="1" applyAlignment="1">
      <alignment horizontal="center" vertical="center"/>
    </xf>
    <xf numFmtId="164" fontId="22" fillId="8" borderId="18" xfId="1" applyNumberFormat="1" applyFont="1" applyFill="1" applyBorder="1" applyAlignment="1">
      <alignment horizontal="center" vertical="center"/>
    </xf>
    <xf numFmtId="164" fontId="22" fillId="8" borderId="8" xfId="1" applyNumberFormat="1" applyFont="1" applyFill="1" applyBorder="1" applyAlignment="1">
      <alignment horizontal="center" vertical="center"/>
    </xf>
    <xf numFmtId="43" fontId="20" fillId="0" borderId="14" xfId="0" applyNumberFormat="1" applyFont="1" applyBorder="1"/>
    <xf numFmtId="164" fontId="20" fillId="0" borderId="14" xfId="0" applyNumberFormat="1" applyFont="1" applyBorder="1"/>
    <xf numFmtId="164" fontId="38" fillId="0" borderId="1" xfId="1" applyNumberFormat="1" applyFont="1" applyFill="1" applyBorder="1" applyAlignment="1">
      <alignment horizontal="center" vertical="center"/>
    </xf>
    <xf numFmtId="164" fontId="39" fillId="0" borderId="1" xfId="1" applyNumberFormat="1" applyFont="1" applyFill="1" applyBorder="1"/>
    <xf numFmtId="164" fontId="34" fillId="0" borderId="1" xfId="1" applyNumberFormat="1" applyFont="1" applyFill="1" applyBorder="1"/>
    <xf numFmtId="164" fontId="38" fillId="2" borderId="1" xfId="1" applyNumberFormat="1" applyFont="1" applyFill="1" applyBorder="1" applyAlignment="1">
      <alignment horizontal="center" vertical="center"/>
    </xf>
    <xf numFmtId="164" fontId="38" fillId="2" borderId="2" xfId="1" applyNumberFormat="1" applyFont="1" applyFill="1" applyBorder="1" applyAlignment="1">
      <alignment horizontal="center" vertical="center"/>
    </xf>
    <xf numFmtId="164" fontId="38" fillId="8" borderId="1" xfId="1" applyNumberFormat="1" applyFont="1" applyFill="1" applyBorder="1" applyAlignment="1">
      <alignment horizontal="center" vertical="center"/>
    </xf>
    <xf numFmtId="0" fontId="20" fillId="3" borderId="1" xfId="0" applyFont="1" applyFill="1" applyBorder="1"/>
    <xf numFmtId="164" fontId="39" fillId="3" borderId="1" xfId="1" applyNumberFormat="1" applyFont="1" applyFill="1" applyBorder="1" applyAlignment="1">
      <alignment horizontal="center" vertical="center"/>
    </xf>
    <xf numFmtId="0" fontId="35" fillId="0" borderId="36" xfId="1" applyNumberFormat="1" applyFont="1" applyFill="1" applyBorder="1" applyAlignment="1">
      <alignment horizontal="left" vertical="center"/>
    </xf>
    <xf numFmtId="164" fontId="7" fillId="0" borderId="36" xfId="1" applyNumberFormat="1" applyFont="1" applyFill="1" applyBorder="1" applyAlignment="1">
      <alignment horizontal="center" wrapText="1"/>
    </xf>
    <xf numFmtId="0" fontId="6" fillId="0" borderId="36" xfId="0" applyFont="1" applyFill="1" applyBorder="1" applyAlignment="1">
      <alignment horizontal="center" wrapText="1"/>
    </xf>
    <xf numFmtId="164" fontId="27" fillId="0" borderId="14" xfId="1" applyNumberFormat="1" applyFont="1" applyFill="1" applyBorder="1" applyAlignment="1"/>
    <xf numFmtId="14" fontId="22" fillId="0" borderId="6" xfId="1" applyNumberFormat="1" applyFont="1" applyFill="1" applyBorder="1" applyAlignment="1">
      <alignment horizontal="center" vertical="center"/>
    </xf>
    <xf numFmtId="0" fontId="22" fillId="0" borderId="6" xfId="1" applyNumberFormat="1" applyFont="1" applyFill="1" applyBorder="1" applyAlignment="1">
      <alignment horizontal="left" vertical="center"/>
    </xf>
    <xf numFmtId="164" fontId="17" fillId="0" borderId="6" xfId="0" applyNumberFormat="1" applyFont="1" applyFill="1" applyBorder="1" applyAlignment="1">
      <alignment horizontal="center" wrapText="1"/>
    </xf>
    <xf numFmtId="164" fontId="20" fillId="0" borderId="6" xfId="0" applyNumberFormat="1" applyFont="1" applyFill="1" applyBorder="1" applyAlignment="1">
      <alignment horizontal="center" wrapText="1"/>
    </xf>
    <xf numFmtId="164" fontId="20" fillId="0" borderId="6" xfId="1" applyNumberFormat="1" applyFont="1" applyFill="1" applyBorder="1" applyAlignment="1">
      <alignment horizontal="center" wrapText="1"/>
    </xf>
    <xf numFmtId="0" fontId="20" fillId="0" borderId="6" xfId="0" applyFont="1" applyFill="1" applyBorder="1" applyAlignment="1">
      <alignment horizontal="center" wrapText="1"/>
    </xf>
    <xf numFmtId="43" fontId="20" fillId="0" borderId="6" xfId="1" applyFont="1" applyFill="1" applyBorder="1"/>
    <xf numFmtId="164" fontId="22" fillId="2" borderId="6" xfId="1" applyNumberFormat="1" applyFont="1" applyFill="1" applyBorder="1" applyAlignment="1">
      <alignment horizontal="center" vertical="center"/>
    </xf>
    <xf numFmtId="164" fontId="20" fillId="0" borderId="10" xfId="1" applyNumberFormat="1" applyFont="1" applyFill="1" applyBorder="1" applyAlignment="1">
      <alignment horizontal="center" wrapText="1"/>
    </xf>
    <xf numFmtId="14" fontId="20" fillId="0" borderId="36" xfId="1" applyNumberFormat="1" applyFont="1" applyBorder="1"/>
    <xf numFmtId="164" fontId="20" fillId="13" borderId="36" xfId="1" applyNumberFormat="1" applyFont="1" applyFill="1" applyBorder="1"/>
    <xf numFmtId="14" fontId="20" fillId="0" borderId="9" xfId="1" applyNumberFormat="1" applyFont="1" applyBorder="1"/>
    <xf numFmtId="14" fontId="20" fillId="0" borderId="14" xfId="0" applyNumberFormat="1" applyFont="1" applyFill="1" applyBorder="1"/>
    <xf numFmtId="164" fontId="20" fillId="0" borderId="14" xfId="1" applyNumberFormat="1" applyFont="1" applyFill="1" applyBorder="1" applyAlignment="1">
      <alignment horizontal="center"/>
    </xf>
    <xf numFmtId="164" fontId="20" fillId="9" borderId="36" xfId="1" applyNumberFormat="1" applyFont="1" applyFill="1" applyBorder="1"/>
    <xf numFmtId="43" fontId="20" fillId="9" borderId="36" xfId="1" applyFont="1" applyFill="1" applyBorder="1"/>
    <xf numFmtId="14" fontId="20" fillId="0" borderId="36" xfId="0" applyNumberFormat="1" applyFont="1" applyFill="1" applyBorder="1"/>
    <xf numFmtId="164" fontId="20" fillId="0" borderId="36" xfId="1" applyNumberFormat="1" applyFont="1" applyFill="1" applyBorder="1" applyAlignment="1">
      <alignment horizontal="center"/>
    </xf>
    <xf numFmtId="43" fontId="19" fillId="0" borderId="19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41" fillId="7" borderId="0" xfId="1" applyFont="1" applyFill="1" applyAlignment="1">
      <alignment horizontal="center"/>
    </xf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35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9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9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22" xfId="0" applyFont="1" applyFill="1" applyBorder="1" applyAlignment="1">
      <alignment horizontal="right"/>
    </xf>
    <xf numFmtId="0" fontId="27" fillId="2" borderId="23" xfId="0" applyFont="1" applyFill="1" applyBorder="1" applyAlignment="1">
      <alignment horizontal="right"/>
    </xf>
    <xf numFmtId="0" fontId="27" fillId="2" borderId="24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3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164" fontId="19" fillId="0" borderId="4" xfId="1" applyNumberFormat="1" applyFont="1" applyFill="1" applyBorder="1" applyAlignment="1">
      <alignment horizontal="center"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9" fillId="6" borderId="1" xfId="1" applyNumberFormat="1" applyFont="1" applyFill="1" applyBorder="1" applyAlignment="1">
      <alignment horizontal="center"/>
    </xf>
    <xf numFmtId="43" fontId="29" fillId="7" borderId="25" xfId="1" applyFont="1" applyFill="1" applyBorder="1" applyAlignment="1">
      <alignment horizontal="center" vertical="center" wrapText="1"/>
    </xf>
    <xf numFmtId="43" fontId="29" fillId="7" borderId="28" xfId="1" applyFont="1" applyFill="1" applyBorder="1" applyAlignment="1">
      <alignment horizontal="center" vertical="center" wrapText="1"/>
    </xf>
    <xf numFmtId="43" fontId="29" fillId="7" borderId="21" xfId="1" applyFont="1" applyFill="1" applyBorder="1" applyAlignment="1">
      <alignment horizontal="center" vertical="center" wrapText="1"/>
    </xf>
    <xf numFmtId="43" fontId="29" fillId="7" borderId="30" xfId="1" applyFont="1" applyFill="1" applyBorder="1" applyAlignment="1">
      <alignment horizontal="center" vertical="center" wrapText="1"/>
    </xf>
    <xf numFmtId="164" fontId="29" fillId="7" borderId="3" xfId="1" applyNumberFormat="1" applyFont="1" applyFill="1" applyBorder="1" applyAlignment="1">
      <alignment horizontal="center"/>
    </xf>
    <xf numFmtId="164" fontId="29" fillId="7" borderId="12" xfId="1" applyNumberFormat="1" applyFont="1" applyFill="1" applyBorder="1" applyAlignment="1">
      <alignment horizontal="center"/>
    </xf>
    <xf numFmtId="164" fontId="29" fillId="7" borderId="13" xfId="1" applyNumberFormat="1" applyFont="1" applyFill="1" applyBorder="1" applyAlignment="1">
      <alignment horizontal="center"/>
    </xf>
    <xf numFmtId="43" fontId="29" fillId="2" borderId="3" xfId="1" applyFont="1" applyFill="1" applyBorder="1" applyAlignment="1">
      <alignment horizontal="right"/>
    </xf>
    <xf numFmtId="43" fontId="29" fillId="2" borderId="12" xfId="1" applyFont="1" applyFill="1" applyBorder="1" applyAlignment="1">
      <alignment horizontal="right"/>
    </xf>
    <xf numFmtId="43" fontId="29" fillId="2" borderId="13" xfId="1" applyFont="1" applyFill="1" applyBorder="1" applyAlignment="1">
      <alignment horizontal="right"/>
    </xf>
    <xf numFmtId="164" fontId="29" fillId="2" borderId="3" xfId="1" applyNumberFormat="1" applyFont="1" applyFill="1" applyBorder="1" applyAlignment="1">
      <alignment horizontal="center"/>
    </xf>
    <xf numFmtId="164" fontId="29" fillId="2" borderId="12" xfId="1" applyNumberFormat="1" applyFont="1" applyFill="1" applyBorder="1" applyAlignment="1">
      <alignment horizontal="center"/>
    </xf>
    <xf numFmtId="43" fontId="29" fillId="2" borderId="26" xfId="1" applyFont="1" applyFill="1" applyBorder="1" applyAlignment="1">
      <alignment horizontal="center" vertical="center" wrapText="1"/>
    </xf>
    <xf numFmtId="43" fontId="29" fillId="2" borderId="33" xfId="1" applyFont="1" applyFill="1" applyBorder="1" applyAlignment="1">
      <alignment horizontal="center" vertical="center" wrapText="1"/>
    </xf>
    <xf numFmtId="43" fontId="29" fillId="2" borderId="31" xfId="1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164" fontId="36" fillId="2" borderId="15" xfId="1" applyNumberFormat="1" applyFont="1" applyFill="1" applyBorder="1" applyAlignment="1">
      <alignment horizontal="center"/>
    </xf>
    <xf numFmtId="164" fontId="36" fillId="2" borderId="10" xfId="1" applyNumberFormat="1" applyFont="1" applyFill="1" applyBorder="1" applyAlignment="1">
      <alignment horizontal="center"/>
    </xf>
    <xf numFmtId="164" fontId="43" fillId="8" borderId="15" xfId="1" applyNumberFormat="1" applyFont="1" applyFill="1" applyBorder="1" applyAlignment="1">
      <alignment horizontal="center"/>
    </xf>
    <xf numFmtId="164" fontId="43" fillId="8" borderId="10" xfId="1" applyNumberFormat="1" applyFont="1" applyFill="1" applyBorder="1" applyAlignment="1">
      <alignment horizontal="center"/>
    </xf>
    <xf numFmtId="164" fontId="44" fillId="0" borderId="15" xfId="1" applyNumberFormat="1" applyFont="1" applyBorder="1" applyAlignment="1">
      <alignment horizontal="center"/>
    </xf>
    <xf numFmtId="164" fontId="44" fillId="0" borderId="10" xfId="1" applyNumberFormat="1" applyFont="1" applyBorder="1" applyAlignment="1">
      <alignment horizontal="center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164" fontId="47" fillId="14" borderId="3" xfId="1" applyNumberFormat="1" applyFont="1" applyFill="1" applyBorder="1" applyAlignment="1">
      <alignment horizontal="center" vertical="center" wrapText="1"/>
    </xf>
    <xf numFmtId="164" fontId="47" fillId="14" borderId="12" xfId="1" applyNumberFormat="1" applyFont="1" applyFill="1" applyBorder="1" applyAlignment="1">
      <alignment horizontal="center" vertical="center" wrapText="1"/>
    </xf>
    <xf numFmtId="164" fontId="47" fillId="14" borderId="13" xfId="1" applyNumberFormat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5" borderId="3" xfId="1" applyFont="1" applyFill="1" applyBorder="1" applyAlignment="1">
      <alignment horizontal="center" vertical="center" wrapText="1"/>
    </xf>
    <xf numFmtId="43" fontId="25" fillId="5" borderId="12" xfId="1" applyFont="1" applyFill="1" applyBorder="1" applyAlignment="1">
      <alignment horizontal="center" vertical="center" wrapText="1"/>
    </xf>
    <xf numFmtId="43" fontId="25" fillId="5" borderId="13" xfId="1" applyFont="1" applyFill="1" applyBorder="1" applyAlignment="1">
      <alignment horizontal="center" vertical="center" wrapText="1"/>
    </xf>
    <xf numFmtId="14" fontId="28" fillId="6" borderId="19" xfId="0" applyNumberFormat="1" applyFont="1" applyFill="1" applyBorder="1" applyAlignment="1">
      <alignment horizontal="center" textRotation="37" wrapText="1"/>
    </xf>
    <xf numFmtId="14" fontId="28" fillId="6" borderId="10" xfId="0" applyNumberFormat="1" applyFont="1" applyFill="1" applyBorder="1" applyAlignment="1">
      <alignment horizontal="center" textRotation="3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3" borderId="3" xfId="1" applyFont="1" applyFill="1" applyBorder="1" applyAlignment="1">
      <alignment horizontal="center" vertical="center" wrapText="1"/>
    </xf>
    <xf numFmtId="43" fontId="29" fillId="3" borderId="12" xfId="1" applyFont="1" applyFill="1" applyBorder="1" applyAlignment="1">
      <alignment horizontal="center" vertical="center" wrapText="1"/>
    </xf>
    <xf numFmtId="0" fontId="26" fillId="7" borderId="0" xfId="1" applyNumberFormat="1" applyFont="1" applyFill="1" applyAlignment="1">
      <alignment horizontal="center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19" fillId="3" borderId="1" xfId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164" fontId="29" fillId="4" borderId="3" xfId="1" applyNumberFormat="1" applyFont="1" applyFill="1" applyBorder="1" applyAlignment="1">
      <alignment horizontal="center" vertical="center" wrapText="1"/>
    </xf>
    <xf numFmtId="164" fontId="29" fillId="4" borderId="12" xfId="1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2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19" wrapText="1"/>
    </xf>
    <xf numFmtId="164" fontId="24" fillId="2" borderId="10" xfId="1" applyNumberFormat="1" applyFont="1" applyFill="1" applyBorder="1" applyAlignment="1">
      <alignment horizontal="center" textRotation="19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B96"/>
  <sheetViews>
    <sheetView tabSelected="1" workbookViewId="0">
      <pane ySplit="2" topLeftCell="A3" activePane="bottomLeft" state="frozen"/>
      <selection pane="bottomLeft" activeCell="C39" sqref="C39"/>
    </sheetView>
  </sheetViews>
  <sheetFormatPr defaultRowHeight="11.25"/>
  <cols>
    <col min="1" max="1" width="9.28515625" style="8" customWidth="1"/>
    <col min="2" max="2" width="9" style="134" customWidth="1"/>
    <col min="3" max="3" width="67" style="3" bestFit="1" customWidth="1"/>
    <col min="4" max="4" width="12.42578125" style="2" bestFit="1" customWidth="1"/>
    <col min="5" max="5" width="12.42578125" style="2" customWidth="1"/>
    <col min="6" max="6" width="11.140625" style="2" bestFit="1" customWidth="1"/>
    <col min="7" max="8" width="9" style="2" bestFit="1" customWidth="1"/>
    <col min="9" max="9" width="10.42578125" style="2" bestFit="1" customWidth="1"/>
    <col min="10" max="10" width="10.28515625" style="2" bestFit="1" customWidth="1"/>
    <col min="11" max="11" width="9.42578125" style="2" bestFit="1" customWidth="1"/>
    <col min="12" max="12" width="9.5703125" style="2" customWidth="1"/>
    <col min="13" max="13" width="9.85546875" style="2" customWidth="1"/>
    <col min="14" max="14" width="12.85546875" style="2" bestFit="1" customWidth="1"/>
    <col min="15" max="15" width="9" style="2" customWidth="1"/>
    <col min="16" max="16" width="11.42578125" style="2" customWidth="1"/>
    <col min="17" max="17" width="10.28515625" style="3" customWidth="1"/>
    <col min="18" max="18" width="10.85546875" style="3" customWidth="1"/>
    <col min="19" max="19" width="8.85546875" style="3" customWidth="1"/>
    <col min="20" max="20" width="9.42578125" style="3" customWidth="1"/>
    <col min="21" max="21" width="9.85546875" style="3" customWidth="1"/>
    <col min="22" max="22" width="5.85546875" style="3" customWidth="1"/>
    <col min="23" max="26" width="8" style="3" customWidth="1"/>
    <col min="27" max="27" width="6.42578125" style="3" customWidth="1"/>
    <col min="28" max="28" width="8.140625" style="3" customWidth="1"/>
    <col min="29" max="236" width="9.140625" style="3"/>
    <col min="237" max="237" width="9" style="3" bestFit="1" customWidth="1"/>
    <col min="238" max="238" width="9.85546875" style="3" bestFit="1" customWidth="1"/>
    <col min="239" max="239" width="9.140625" style="3" bestFit="1" customWidth="1"/>
    <col min="240" max="240" width="16" style="3" bestFit="1" customWidth="1"/>
    <col min="241" max="241" width="9" style="3" bestFit="1" customWidth="1"/>
    <col min="242" max="242" width="7.85546875" style="3" bestFit="1" customWidth="1"/>
    <col min="243" max="243" width="11.7109375" style="3" bestFit="1" customWidth="1"/>
    <col min="244" max="244" width="14.28515625" style="3" customWidth="1"/>
    <col min="245" max="245" width="11.7109375" style="3" bestFit="1" customWidth="1"/>
    <col min="246" max="246" width="14.140625" style="3" bestFit="1" customWidth="1"/>
    <col min="247" max="247" width="16.7109375" style="3" customWidth="1"/>
    <col min="248" max="248" width="16.5703125" style="3" customWidth="1"/>
    <col min="249" max="250" width="7.85546875" style="3" bestFit="1" customWidth="1"/>
    <col min="251" max="251" width="8" style="3" bestFit="1" customWidth="1"/>
    <col min="252" max="253" width="7.85546875" style="3" bestFit="1" customWidth="1"/>
    <col min="254" max="254" width="9.7109375" style="3" customWidth="1"/>
    <col min="255" max="255" width="12.85546875" style="3" customWidth="1"/>
    <col min="256" max="492" width="9.140625" style="3"/>
    <col min="493" max="493" width="9" style="3" bestFit="1" customWidth="1"/>
    <col min="494" max="494" width="9.85546875" style="3" bestFit="1" customWidth="1"/>
    <col min="495" max="495" width="9.140625" style="3" bestFit="1" customWidth="1"/>
    <col min="496" max="496" width="16" style="3" bestFit="1" customWidth="1"/>
    <col min="497" max="497" width="9" style="3" bestFit="1" customWidth="1"/>
    <col min="498" max="498" width="7.85546875" style="3" bestFit="1" customWidth="1"/>
    <col min="499" max="499" width="11.7109375" style="3" bestFit="1" customWidth="1"/>
    <col min="500" max="500" width="14.28515625" style="3" customWidth="1"/>
    <col min="501" max="501" width="11.7109375" style="3" bestFit="1" customWidth="1"/>
    <col min="502" max="502" width="14.140625" style="3" bestFit="1" customWidth="1"/>
    <col min="503" max="503" width="16.7109375" style="3" customWidth="1"/>
    <col min="504" max="504" width="16.5703125" style="3" customWidth="1"/>
    <col min="505" max="506" width="7.85546875" style="3" bestFit="1" customWidth="1"/>
    <col min="507" max="507" width="8" style="3" bestFit="1" customWidth="1"/>
    <col min="508" max="509" width="7.85546875" style="3" bestFit="1" customWidth="1"/>
    <col min="510" max="510" width="9.7109375" style="3" customWidth="1"/>
    <col min="511" max="511" width="12.85546875" style="3" customWidth="1"/>
    <col min="512" max="748" width="9.140625" style="3"/>
    <col min="749" max="749" width="9" style="3" bestFit="1" customWidth="1"/>
    <col min="750" max="750" width="9.85546875" style="3" bestFit="1" customWidth="1"/>
    <col min="751" max="751" width="9.140625" style="3" bestFit="1" customWidth="1"/>
    <col min="752" max="752" width="16" style="3" bestFit="1" customWidth="1"/>
    <col min="753" max="753" width="9" style="3" bestFit="1" customWidth="1"/>
    <col min="754" max="754" width="7.85546875" style="3" bestFit="1" customWidth="1"/>
    <col min="755" max="755" width="11.7109375" style="3" bestFit="1" customWidth="1"/>
    <col min="756" max="756" width="14.28515625" style="3" customWidth="1"/>
    <col min="757" max="757" width="11.7109375" style="3" bestFit="1" customWidth="1"/>
    <col min="758" max="758" width="14.140625" style="3" bestFit="1" customWidth="1"/>
    <col min="759" max="759" width="16.7109375" style="3" customWidth="1"/>
    <col min="760" max="760" width="16.5703125" style="3" customWidth="1"/>
    <col min="761" max="762" width="7.85546875" style="3" bestFit="1" customWidth="1"/>
    <col min="763" max="763" width="8" style="3" bestFit="1" customWidth="1"/>
    <col min="764" max="765" width="7.85546875" style="3" bestFit="1" customWidth="1"/>
    <col min="766" max="766" width="9.7109375" style="3" customWidth="1"/>
    <col min="767" max="767" width="12.85546875" style="3" customWidth="1"/>
    <col min="768" max="1004" width="9.140625" style="3"/>
    <col min="1005" max="1005" width="9" style="3" bestFit="1" customWidth="1"/>
    <col min="1006" max="1006" width="9.85546875" style="3" bestFit="1" customWidth="1"/>
    <col min="1007" max="1007" width="9.140625" style="3" bestFit="1" customWidth="1"/>
    <col min="1008" max="1008" width="16" style="3" bestFit="1" customWidth="1"/>
    <col min="1009" max="1009" width="9" style="3" bestFit="1" customWidth="1"/>
    <col min="1010" max="1010" width="7.85546875" style="3" bestFit="1" customWidth="1"/>
    <col min="1011" max="1011" width="11.7109375" style="3" bestFit="1" customWidth="1"/>
    <col min="1012" max="1012" width="14.28515625" style="3" customWidth="1"/>
    <col min="1013" max="1013" width="11.7109375" style="3" bestFit="1" customWidth="1"/>
    <col min="1014" max="1014" width="14.140625" style="3" bestFit="1" customWidth="1"/>
    <col min="1015" max="1015" width="16.7109375" style="3" customWidth="1"/>
    <col min="1016" max="1016" width="16.5703125" style="3" customWidth="1"/>
    <col min="1017" max="1018" width="7.85546875" style="3" bestFit="1" customWidth="1"/>
    <col min="1019" max="1019" width="8" style="3" bestFit="1" customWidth="1"/>
    <col min="1020" max="1021" width="7.85546875" style="3" bestFit="1" customWidth="1"/>
    <col min="1022" max="1022" width="9.7109375" style="3" customWidth="1"/>
    <col min="1023" max="1023" width="12.85546875" style="3" customWidth="1"/>
    <col min="1024" max="1260" width="9.140625" style="3"/>
    <col min="1261" max="1261" width="9" style="3" bestFit="1" customWidth="1"/>
    <col min="1262" max="1262" width="9.85546875" style="3" bestFit="1" customWidth="1"/>
    <col min="1263" max="1263" width="9.140625" style="3" bestFit="1" customWidth="1"/>
    <col min="1264" max="1264" width="16" style="3" bestFit="1" customWidth="1"/>
    <col min="1265" max="1265" width="9" style="3" bestFit="1" customWidth="1"/>
    <col min="1266" max="1266" width="7.85546875" style="3" bestFit="1" customWidth="1"/>
    <col min="1267" max="1267" width="11.7109375" style="3" bestFit="1" customWidth="1"/>
    <col min="1268" max="1268" width="14.28515625" style="3" customWidth="1"/>
    <col min="1269" max="1269" width="11.7109375" style="3" bestFit="1" customWidth="1"/>
    <col min="1270" max="1270" width="14.140625" style="3" bestFit="1" customWidth="1"/>
    <col min="1271" max="1271" width="16.7109375" style="3" customWidth="1"/>
    <col min="1272" max="1272" width="16.5703125" style="3" customWidth="1"/>
    <col min="1273" max="1274" width="7.85546875" style="3" bestFit="1" customWidth="1"/>
    <col min="1275" max="1275" width="8" style="3" bestFit="1" customWidth="1"/>
    <col min="1276" max="1277" width="7.85546875" style="3" bestFit="1" customWidth="1"/>
    <col min="1278" max="1278" width="9.7109375" style="3" customWidth="1"/>
    <col min="1279" max="1279" width="12.85546875" style="3" customWidth="1"/>
    <col min="1280" max="1516" width="9.140625" style="3"/>
    <col min="1517" max="1517" width="9" style="3" bestFit="1" customWidth="1"/>
    <col min="1518" max="1518" width="9.85546875" style="3" bestFit="1" customWidth="1"/>
    <col min="1519" max="1519" width="9.140625" style="3" bestFit="1" customWidth="1"/>
    <col min="1520" max="1520" width="16" style="3" bestFit="1" customWidth="1"/>
    <col min="1521" max="1521" width="9" style="3" bestFit="1" customWidth="1"/>
    <col min="1522" max="1522" width="7.85546875" style="3" bestFit="1" customWidth="1"/>
    <col min="1523" max="1523" width="11.7109375" style="3" bestFit="1" customWidth="1"/>
    <col min="1524" max="1524" width="14.28515625" style="3" customWidth="1"/>
    <col min="1525" max="1525" width="11.7109375" style="3" bestFit="1" customWidth="1"/>
    <col min="1526" max="1526" width="14.140625" style="3" bestFit="1" customWidth="1"/>
    <col min="1527" max="1527" width="16.7109375" style="3" customWidth="1"/>
    <col min="1528" max="1528" width="16.5703125" style="3" customWidth="1"/>
    <col min="1529" max="1530" width="7.85546875" style="3" bestFit="1" customWidth="1"/>
    <col min="1531" max="1531" width="8" style="3" bestFit="1" customWidth="1"/>
    <col min="1532" max="1533" width="7.85546875" style="3" bestFit="1" customWidth="1"/>
    <col min="1534" max="1534" width="9.7109375" style="3" customWidth="1"/>
    <col min="1535" max="1535" width="12.85546875" style="3" customWidth="1"/>
    <col min="1536" max="1772" width="9.140625" style="3"/>
    <col min="1773" max="1773" width="9" style="3" bestFit="1" customWidth="1"/>
    <col min="1774" max="1774" width="9.85546875" style="3" bestFit="1" customWidth="1"/>
    <col min="1775" max="1775" width="9.140625" style="3" bestFit="1" customWidth="1"/>
    <col min="1776" max="1776" width="16" style="3" bestFit="1" customWidth="1"/>
    <col min="1777" max="1777" width="9" style="3" bestFit="1" customWidth="1"/>
    <col min="1778" max="1778" width="7.85546875" style="3" bestFit="1" customWidth="1"/>
    <col min="1779" max="1779" width="11.7109375" style="3" bestFit="1" customWidth="1"/>
    <col min="1780" max="1780" width="14.28515625" style="3" customWidth="1"/>
    <col min="1781" max="1781" width="11.7109375" style="3" bestFit="1" customWidth="1"/>
    <col min="1782" max="1782" width="14.140625" style="3" bestFit="1" customWidth="1"/>
    <col min="1783" max="1783" width="16.7109375" style="3" customWidth="1"/>
    <col min="1784" max="1784" width="16.5703125" style="3" customWidth="1"/>
    <col min="1785" max="1786" width="7.85546875" style="3" bestFit="1" customWidth="1"/>
    <col min="1787" max="1787" width="8" style="3" bestFit="1" customWidth="1"/>
    <col min="1788" max="1789" width="7.85546875" style="3" bestFit="1" customWidth="1"/>
    <col min="1790" max="1790" width="9.7109375" style="3" customWidth="1"/>
    <col min="1791" max="1791" width="12.85546875" style="3" customWidth="1"/>
    <col min="1792" max="2028" width="9.140625" style="3"/>
    <col min="2029" max="2029" width="9" style="3" bestFit="1" customWidth="1"/>
    <col min="2030" max="2030" width="9.85546875" style="3" bestFit="1" customWidth="1"/>
    <col min="2031" max="2031" width="9.140625" style="3" bestFit="1" customWidth="1"/>
    <col min="2032" max="2032" width="16" style="3" bestFit="1" customWidth="1"/>
    <col min="2033" max="2033" width="9" style="3" bestFit="1" customWidth="1"/>
    <col min="2034" max="2034" width="7.85546875" style="3" bestFit="1" customWidth="1"/>
    <col min="2035" max="2035" width="11.7109375" style="3" bestFit="1" customWidth="1"/>
    <col min="2036" max="2036" width="14.28515625" style="3" customWidth="1"/>
    <col min="2037" max="2037" width="11.7109375" style="3" bestFit="1" customWidth="1"/>
    <col min="2038" max="2038" width="14.140625" style="3" bestFit="1" customWidth="1"/>
    <col min="2039" max="2039" width="16.7109375" style="3" customWidth="1"/>
    <col min="2040" max="2040" width="16.5703125" style="3" customWidth="1"/>
    <col min="2041" max="2042" width="7.85546875" style="3" bestFit="1" customWidth="1"/>
    <col min="2043" max="2043" width="8" style="3" bestFit="1" customWidth="1"/>
    <col min="2044" max="2045" width="7.85546875" style="3" bestFit="1" customWidth="1"/>
    <col min="2046" max="2046" width="9.7109375" style="3" customWidth="1"/>
    <col min="2047" max="2047" width="12.85546875" style="3" customWidth="1"/>
    <col min="2048" max="2284" width="9.140625" style="3"/>
    <col min="2285" max="2285" width="9" style="3" bestFit="1" customWidth="1"/>
    <col min="2286" max="2286" width="9.85546875" style="3" bestFit="1" customWidth="1"/>
    <col min="2287" max="2287" width="9.140625" style="3" bestFit="1" customWidth="1"/>
    <col min="2288" max="2288" width="16" style="3" bestFit="1" customWidth="1"/>
    <col min="2289" max="2289" width="9" style="3" bestFit="1" customWidth="1"/>
    <col min="2290" max="2290" width="7.85546875" style="3" bestFit="1" customWidth="1"/>
    <col min="2291" max="2291" width="11.7109375" style="3" bestFit="1" customWidth="1"/>
    <col min="2292" max="2292" width="14.28515625" style="3" customWidth="1"/>
    <col min="2293" max="2293" width="11.7109375" style="3" bestFit="1" customWidth="1"/>
    <col min="2294" max="2294" width="14.140625" style="3" bestFit="1" customWidth="1"/>
    <col min="2295" max="2295" width="16.7109375" style="3" customWidth="1"/>
    <col min="2296" max="2296" width="16.5703125" style="3" customWidth="1"/>
    <col min="2297" max="2298" width="7.85546875" style="3" bestFit="1" customWidth="1"/>
    <col min="2299" max="2299" width="8" style="3" bestFit="1" customWidth="1"/>
    <col min="2300" max="2301" width="7.85546875" style="3" bestFit="1" customWidth="1"/>
    <col min="2302" max="2302" width="9.7109375" style="3" customWidth="1"/>
    <col min="2303" max="2303" width="12.85546875" style="3" customWidth="1"/>
    <col min="2304" max="2540" width="9.140625" style="3"/>
    <col min="2541" max="2541" width="9" style="3" bestFit="1" customWidth="1"/>
    <col min="2542" max="2542" width="9.85546875" style="3" bestFit="1" customWidth="1"/>
    <col min="2543" max="2543" width="9.140625" style="3" bestFit="1" customWidth="1"/>
    <col min="2544" max="2544" width="16" style="3" bestFit="1" customWidth="1"/>
    <col min="2545" max="2545" width="9" style="3" bestFit="1" customWidth="1"/>
    <col min="2546" max="2546" width="7.85546875" style="3" bestFit="1" customWidth="1"/>
    <col min="2547" max="2547" width="11.7109375" style="3" bestFit="1" customWidth="1"/>
    <col min="2548" max="2548" width="14.28515625" style="3" customWidth="1"/>
    <col min="2549" max="2549" width="11.7109375" style="3" bestFit="1" customWidth="1"/>
    <col min="2550" max="2550" width="14.140625" style="3" bestFit="1" customWidth="1"/>
    <col min="2551" max="2551" width="16.7109375" style="3" customWidth="1"/>
    <col min="2552" max="2552" width="16.5703125" style="3" customWidth="1"/>
    <col min="2553" max="2554" width="7.85546875" style="3" bestFit="1" customWidth="1"/>
    <col min="2555" max="2555" width="8" style="3" bestFit="1" customWidth="1"/>
    <col min="2556" max="2557" width="7.85546875" style="3" bestFit="1" customWidth="1"/>
    <col min="2558" max="2558" width="9.7109375" style="3" customWidth="1"/>
    <col min="2559" max="2559" width="12.85546875" style="3" customWidth="1"/>
    <col min="2560" max="2796" width="9.140625" style="3"/>
    <col min="2797" max="2797" width="9" style="3" bestFit="1" customWidth="1"/>
    <col min="2798" max="2798" width="9.85546875" style="3" bestFit="1" customWidth="1"/>
    <col min="2799" max="2799" width="9.140625" style="3" bestFit="1" customWidth="1"/>
    <col min="2800" max="2800" width="16" style="3" bestFit="1" customWidth="1"/>
    <col min="2801" max="2801" width="9" style="3" bestFit="1" customWidth="1"/>
    <col min="2802" max="2802" width="7.85546875" style="3" bestFit="1" customWidth="1"/>
    <col min="2803" max="2803" width="11.7109375" style="3" bestFit="1" customWidth="1"/>
    <col min="2804" max="2804" width="14.28515625" style="3" customWidth="1"/>
    <col min="2805" max="2805" width="11.7109375" style="3" bestFit="1" customWidth="1"/>
    <col min="2806" max="2806" width="14.140625" style="3" bestFit="1" customWidth="1"/>
    <col min="2807" max="2807" width="16.7109375" style="3" customWidth="1"/>
    <col min="2808" max="2808" width="16.5703125" style="3" customWidth="1"/>
    <col min="2809" max="2810" width="7.85546875" style="3" bestFit="1" customWidth="1"/>
    <col min="2811" max="2811" width="8" style="3" bestFit="1" customWidth="1"/>
    <col min="2812" max="2813" width="7.85546875" style="3" bestFit="1" customWidth="1"/>
    <col min="2814" max="2814" width="9.7109375" style="3" customWidth="1"/>
    <col min="2815" max="2815" width="12.85546875" style="3" customWidth="1"/>
    <col min="2816" max="3052" width="9.140625" style="3"/>
    <col min="3053" max="3053" width="9" style="3" bestFit="1" customWidth="1"/>
    <col min="3054" max="3054" width="9.85546875" style="3" bestFit="1" customWidth="1"/>
    <col min="3055" max="3055" width="9.140625" style="3" bestFit="1" customWidth="1"/>
    <col min="3056" max="3056" width="16" style="3" bestFit="1" customWidth="1"/>
    <col min="3057" max="3057" width="9" style="3" bestFit="1" customWidth="1"/>
    <col min="3058" max="3058" width="7.85546875" style="3" bestFit="1" customWidth="1"/>
    <col min="3059" max="3059" width="11.7109375" style="3" bestFit="1" customWidth="1"/>
    <col min="3060" max="3060" width="14.28515625" style="3" customWidth="1"/>
    <col min="3061" max="3061" width="11.7109375" style="3" bestFit="1" customWidth="1"/>
    <col min="3062" max="3062" width="14.140625" style="3" bestFit="1" customWidth="1"/>
    <col min="3063" max="3063" width="16.7109375" style="3" customWidth="1"/>
    <col min="3064" max="3064" width="16.5703125" style="3" customWidth="1"/>
    <col min="3065" max="3066" width="7.85546875" style="3" bestFit="1" customWidth="1"/>
    <col min="3067" max="3067" width="8" style="3" bestFit="1" customWidth="1"/>
    <col min="3068" max="3069" width="7.85546875" style="3" bestFit="1" customWidth="1"/>
    <col min="3070" max="3070" width="9.7109375" style="3" customWidth="1"/>
    <col min="3071" max="3071" width="12.85546875" style="3" customWidth="1"/>
    <col min="3072" max="3308" width="9.140625" style="3"/>
    <col min="3309" max="3309" width="9" style="3" bestFit="1" customWidth="1"/>
    <col min="3310" max="3310" width="9.85546875" style="3" bestFit="1" customWidth="1"/>
    <col min="3311" max="3311" width="9.140625" style="3" bestFit="1" customWidth="1"/>
    <col min="3312" max="3312" width="16" style="3" bestFit="1" customWidth="1"/>
    <col min="3313" max="3313" width="9" style="3" bestFit="1" customWidth="1"/>
    <col min="3314" max="3314" width="7.85546875" style="3" bestFit="1" customWidth="1"/>
    <col min="3315" max="3315" width="11.7109375" style="3" bestFit="1" customWidth="1"/>
    <col min="3316" max="3316" width="14.28515625" style="3" customWidth="1"/>
    <col min="3317" max="3317" width="11.7109375" style="3" bestFit="1" customWidth="1"/>
    <col min="3318" max="3318" width="14.140625" style="3" bestFit="1" customWidth="1"/>
    <col min="3319" max="3319" width="16.7109375" style="3" customWidth="1"/>
    <col min="3320" max="3320" width="16.5703125" style="3" customWidth="1"/>
    <col min="3321" max="3322" width="7.85546875" style="3" bestFit="1" customWidth="1"/>
    <col min="3323" max="3323" width="8" style="3" bestFit="1" customWidth="1"/>
    <col min="3324" max="3325" width="7.85546875" style="3" bestFit="1" customWidth="1"/>
    <col min="3326" max="3326" width="9.7109375" style="3" customWidth="1"/>
    <col min="3327" max="3327" width="12.85546875" style="3" customWidth="1"/>
    <col min="3328" max="3564" width="9.140625" style="3"/>
    <col min="3565" max="3565" width="9" style="3" bestFit="1" customWidth="1"/>
    <col min="3566" max="3566" width="9.85546875" style="3" bestFit="1" customWidth="1"/>
    <col min="3567" max="3567" width="9.140625" style="3" bestFit="1" customWidth="1"/>
    <col min="3568" max="3568" width="16" style="3" bestFit="1" customWidth="1"/>
    <col min="3569" max="3569" width="9" style="3" bestFit="1" customWidth="1"/>
    <col min="3570" max="3570" width="7.85546875" style="3" bestFit="1" customWidth="1"/>
    <col min="3571" max="3571" width="11.7109375" style="3" bestFit="1" customWidth="1"/>
    <col min="3572" max="3572" width="14.28515625" style="3" customWidth="1"/>
    <col min="3573" max="3573" width="11.7109375" style="3" bestFit="1" customWidth="1"/>
    <col min="3574" max="3574" width="14.140625" style="3" bestFit="1" customWidth="1"/>
    <col min="3575" max="3575" width="16.7109375" style="3" customWidth="1"/>
    <col min="3576" max="3576" width="16.5703125" style="3" customWidth="1"/>
    <col min="3577" max="3578" width="7.85546875" style="3" bestFit="1" customWidth="1"/>
    <col min="3579" max="3579" width="8" style="3" bestFit="1" customWidth="1"/>
    <col min="3580" max="3581" width="7.85546875" style="3" bestFit="1" customWidth="1"/>
    <col min="3582" max="3582" width="9.7109375" style="3" customWidth="1"/>
    <col min="3583" max="3583" width="12.85546875" style="3" customWidth="1"/>
    <col min="3584" max="3820" width="9.140625" style="3"/>
    <col min="3821" max="3821" width="9" style="3" bestFit="1" customWidth="1"/>
    <col min="3822" max="3822" width="9.85546875" style="3" bestFit="1" customWidth="1"/>
    <col min="3823" max="3823" width="9.140625" style="3" bestFit="1" customWidth="1"/>
    <col min="3824" max="3824" width="16" style="3" bestFit="1" customWidth="1"/>
    <col min="3825" max="3825" width="9" style="3" bestFit="1" customWidth="1"/>
    <col min="3826" max="3826" width="7.85546875" style="3" bestFit="1" customWidth="1"/>
    <col min="3827" max="3827" width="11.7109375" style="3" bestFit="1" customWidth="1"/>
    <col min="3828" max="3828" width="14.28515625" style="3" customWidth="1"/>
    <col min="3829" max="3829" width="11.7109375" style="3" bestFit="1" customWidth="1"/>
    <col min="3830" max="3830" width="14.140625" style="3" bestFit="1" customWidth="1"/>
    <col min="3831" max="3831" width="16.7109375" style="3" customWidth="1"/>
    <col min="3832" max="3832" width="16.5703125" style="3" customWidth="1"/>
    <col min="3833" max="3834" width="7.85546875" style="3" bestFit="1" customWidth="1"/>
    <col min="3835" max="3835" width="8" style="3" bestFit="1" customWidth="1"/>
    <col min="3836" max="3837" width="7.85546875" style="3" bestFit="1" customWidth="1"/>
    <col min="3838" max="3838" width="9.7109375" style="3" customWidth="1"/>
    <col min="3839" max="3839" width="12.85546875" style="3" customWidth="1"/>
    <col min="3840" max="4076" width="9.140625" style="3"/>
    <col min="4077" max="4077" width="9" style="3" bestFit="1" customWidth="1"/>
    <col min="4078" max="4078" width="9.85546875" style="3" bestFit="1" customWidth="1"/>
    <col min="4079" max="4079" width="9.140625" style="3" bestFit="1" customWidth="1"/>
    <col min="4080" max="4080" width="16" style="3" bestFit="1" customWidth="1"/>
    <col min="4081" max="4081" width="9" style="3" bestFit="1" customWidth="1"/>
    <col min="4082" max="4082" width="7.85546875" style="3" bestFit="1" customWidth="1"/>
    <col min="4083" max="4083" width="11.7109375" style="3" bestFit="1" customWidth="1"/>
    <col min="4084" max="4084" width="14.28515625" style="3" customWidth="1"/>
    <col min="4085" max="4085" width="11.7109375" style="3" bestFit="1" customWidth="1"/>
    <col min="4086" max="4086" width="14.140625" style="3" bestFit="1" customWidth="1"/>
    <col min="4087" max="4087" width="16.7109375" style="3" customWidth="1"/>
    <col min="4088" max="4088" width="16.5703125" style="3" customWidth="1"/>
    <col min="4089" max="4090" width="7.85546875" style="3" bestFit="1" customWidth="1"/>
    <col min="4091" max="4091" width="8" style="3" bestFit="1" customWidth="1"/>
    <col min="4092" max="4093" width="7.85546875" style="3" bestFit="1" customWidth="1"/>
    <col min="4094" max="4094" width="9.7109375" style="3" customWidth="1"/>
    <col min="4095" max="4095" width="12.85546875" style="3" customWidth="1"/>
    <col min="4096" max="4332" width="9.140625" style="3"/>
    <col min="4333" max="4333" width="9" style="3" bestFit="1" customWidth="1"/>
    <col min="4334" max="4334" width="9.85546875" style="3" bestFit="1" customWidth="1"/>
    <col min="4335" max="4335" width="9.140625" style="3" bestFit="1" customWidth="1"/>
    <col min="4336" max="4336" width="16" style="3" bestFit="1" customWidth="1"/>
    <col min="4337" max="4337" width="9" style="3" bestFit="1" customWidth="1"/>
    <col min="4338" max="4338" width="7.85546875" style="3" bestFit="1" customWidth="1"/>
    <col min="4339" max="4339" width="11.7109375" style="3" bestFit="1" customWidth="1"/>
    <col min="4340" max="4340" width="14.28515625" style="3" customWidth="1"/>
    <col min="4341" max="4341" width="11.7109375" style="3" bestFit="1" customWidth="1"/>
    <col min="4342" max="4342" width="14.140625" style="3" bestFit="1" customWidth="1"/>
    <col min="4343" max="4343" width="16.7109375" style="3" customWidth="1"/>
    <col min="4344" max="4344" width="16.5703125" style="3" customWidth="1"/>
    <col min="4345" max="4346" width="7.85546875" style="3" bestFit="1" customWidth="1"/>
    <col min="4347" max="4347" width="8" style="3" bestFit="1" customWidth="1"/>
    <col min="4348" max="4349" width="7.85546875" style="3" bestFit="1" customWidth="1"/>
    <col min="4350" max="4350" width="9.7109375" style="3" customWidth="1"/>
    <col min="4351" max="4351" width="12.85546875" style="3" customWidth="1"/>
    <col min="4352" max="4588" width="9.140625" style="3"/>
    <col min="4589" max="4589" width="9" style="3" bestFit="1" customWidth="1"/>
    <col min="4590" max="4590" width="9.85546875" style="3" bestFit="1" customWidth="1"/>
    <col min="4591" max="4591" width="9.140625" style="3" bestFit="1" customWidth="1"/>
    <col min="4592" max="4592" width="16" style="3" bestFit="1" customWidth="1"/>
    <col min="4593" max="4593" width="9" style="3" bestFit="1" customWidth="1"/>
    <col min="4594" max="4594" width="7.85546875" style="3" bestFit="1" customWidth="1"/>
    <col min="4595" max="4595" width="11.7109375" style="3" bestFit="1" customWidth="1"/>
    <col min="4596" max="4596" width="14.28515625" style="3" customWidth="1"/>
    <col min="4597" max="4597" width="11.7109375" style="3" bestFit="1" customWidth="1"/>
    <col min="4598" max="4598" width="14.140625" style="3" bestFit="1" customWidth="1"/>
    <col min="4599" max="4599" width="16.7109375" style="3" customWidth="1"/>
    <col min="4600" max="4600" width="16.5703125" style="3" customWidth="1"/>
    <col min="4601" max="4602" width="7.85546875" style="3" bestFit="1" customWidth="1"/>
    <col min="4603" max="4603" width="8" style="3" bestFit="1" customWidth="1"/>
    <col min="4604" max="4605" width="7.85546875" style="3" bestFit="1" customWidth="1"/>
    <col min="4606" max="4606" width="9.7109375" style="3" customWidth="1"/>
    <col min="4607" max="4607" width="12.85546875" style="3" customWidth="1"/>
    <col min="4608" max="4844" width="9.140625" style="3"/>
    <col min="4845" max="4845" width="9" style="3" bestFit="1" customWidth="1"/>
    <col min="4846" max="4846" width="9.85546875" style="3" bestFit="1" customWidth="1"/>
    <col min="4847" max="4847" width="9.140625" style="3" bestFit="1" customWidth="1"/>
    <col min="4848" max="4848" width="16" style="3" bestFit="1" customWidth="1"/>
    <col min="4849" max="4849" width="9" style="3" bestFit="1" customWidth="1"/>
    <col min="4850" max="4850" width="7.85546875" style="3" bestFit="1" customWidth="1"/>
    <col min="4851" max="4851" width="11.7109375" style="3" bestFit="1" customWidth="1"/>
    <col min="4852" max="4852" width="14.28515625" style="3" customWidth="1"/>
    <col min="4853" max="4853" width="11.7109375" style="3" bestFit="1" customWidth="1"/>
    <col min="4854" max="4854" width="14.140625" style="3" bestFit="1" customWidth="1"/>
    <col min="4855" max="4855" width="16.7109375" style="3" customWidth="1"/>
    <col min="4856" max="4856" width="16.5703125" style="3" customWidth="1"/>
    <col min="4857" max="4858" width="7.85546875" style="3" bestFit="1" customWidth="1"/>
    <col min="4859" max="4859" width="8" style="3" bestFit="1" customWidth="1"/>
    <col min="4860" max="4861" width="7.85546875" style="3" bestFit="1" customWidth="1"/>
    <col min="4862" max="4862" width="9.7109375" style="3" customWidth="1"/>
    <col min="4863" max="4863" width="12.85546875" style="3" customWidth="1"/>
    <col min="4864" max="5100" width="9.140625" style="3"/>
    <col min="5101" max="5101" width="9" style="3" bestFit="1" customWidth="1"/>
    <col min="5102" max="5102" width="9.85546875" style="3" bestFit="1" customWidth="1"/>
    <col min="5103" max="5103" width="9.140625" style="3" bestFit="1" customWidth="1"/>
    <col min="5104" max="5104" width="16" style="3" bestFit="1" customWidth="1"/>
    <col min="5105" max="5105" width="9" style="3" bestFit="1" customWidth="1"/>
    <col min="5106" max="5106" width="7.85546875" style="3" bestFit="1" customWidth="1"/>
    <col min="5107" max="5107" width="11.7109375" style="3" bestFit="1" customWidth="1"/>
    <col min="5108" max="5108" width="14.28515625" style="3" customWidth="1"/>
    <col min="5109" max="5109" width="11.7109375" style="3" bestFit="1" customWidth="1"/>
    <col min="5110" max="5110" width="14.140625" style="3" bestFit="1" customWidth="1"/>
    <col min="5111" max="5111" width="16.7109375" style="3" customWidth="1"/>
    <col min="5112" max="5112" width="16.5703125" style="3" customWidth="1"/>
    <col min="5113" max="5114" width="7.85546875" style="3" bestFit="1" customWidth="1"/>
    <col min="5115" max="5115" width="8" style="3" bestFit="1" customWidth="1"/>
    <col min="5116" max="5117" width="7.85546875" style="3" bestFit="1" customWidth="1"/>
    <col min="5118" max="5118" width="9.7109375" style="3" customWidth="1"/>
    <col min="5119" max="5119" width="12.85546875" style="3" customWidth="1"/>
    <col min="5120" max="5356" width="9.140625" style="3"/>
    <col min="5357" max="5357" width="9" style="3" bestFit="1" customWidth="1"/>
    <col min="5358" max="5358" width="9.85546875" style="3" bestFit="1" customWidth="1"/>
    <col min="5359" max="5359" width="9.140625" style="3" bestFit="1" customWidth="1"/>
    <col min="5360" max="5360" width="16" style="3" bestFit="1" customWidth="1"/>
    <col min="5361" max="5361" width="9" style="3" bestFit="1" customWidth="1"/>
    <col min="5362" max="5362" width="7.85546875" style="3" bestFit="1" customWidth="1"/>
    <col min="5363" max="5363" width="11.7109375" style="3" bestFit="1" customWidth="1"/>
    <col min="5364" max="5364" width="14.28515625" style="3" customWidth="1"/>
    <col min="5365" max="5365" width="11.7109375" style="3" bestFit="1" customWidth="1"/>
    <col min="5366" max="5366" width="14.140625" style="3" bestFit="1" customWidth="1"/>
    <col min="5367" max="5367" width="16.7109375" style="3" customWidth="1"/>
    <col min="5368" max="5368" width="16.5703125" style="3" customWidth="1"/>
    <col min="5369" max="5370" width="7.85546875" style="3" bestFit="1" customWidth="1"/>
    <col min="5371" max="5371" width="8" style="3" bestFit="1" customWidth="1"/>
    <col min="5372" max="5373" width="7.85546875" style="3" bestFit="1" customWidth="1"/>
    <col min="5374" max="5374" width="9.7109375" style="3" customWidth="1"/>
    <col min="5375" max="5375" width="12.85546875" style="3" customWidth="1"/>
    <col min="5376" max="5612" width="9.140625" style="3"/>
    <col min="5613" max="5613" width="9" style="3" bestFit="1" customWidth="1"/>
    <col min="5614" max="5614" width="9.85546875" style="3" bestFit="1" customWidth="1"/>
    <col min="5615" max="5615" width="9.140625" style="3" bestFit="1" customWidth="1"/>
    <col min="5616" max="5616" width="16" style="3" bestFit="1" customWidth="1"/>
    <col min="5617" max="5617" width="9" style="3" bestFit="1" customWidth="1"/>
    <col min="5618" max="5618" width="7.85546875" style="3" bestFit="1" customWidth="1"/>
    <col min="5619" max="5619" width="11.7109375" style="3" bestFit="1" customWidth="1"/>
    <col min="5620" max="5620" width="14.28515625" style="3" customWidth="1"/>
    <col min="5621" max="5621" width="11.7109375" style="3" bestFit="1" customWidth="1"/>
    <col min="5622" max="5622" width="14.140625" style="3" bestFit="1" customWidth="1"/>
    <col min="5623" max="5623" width="16.7109375" style="3" customWidth="1"/>
    <col min="5624" max="5624" width="16.5703125" style="3" customWidth="1"/>
    <col min="5625" max="5626" width="7.85546875" style="3" bestFit="1" customWidth="1"/>
    <col min="5627" max="5627" width="8" style="3" bestFit="1" customWidth="1"/>
    <col min="5628" max="5629" width="7.85546875" style="3" bestFit="1" customWidth="1"/>
    <col min="5630" max="5630" width="9.7109375" style="3" customWidth="1"/>
    <col min="5631" max="5631" width="12.85546875" style="3" customWidth="1"/>
    <col min="5632" max="5868" width="9.140625" style="3"/>
    <col min="5869" max="5869" width="9" style="3" bestFit="1" customWidth="1"/>
    <col min="5870" max="5870" width="9.85546875" style="3" bestFit="1" customWidth="1"/>
    <col min="5871" max="5871" width="9.140625" style="3" bestFit="1" customWidth="1"/>
    <col min="5872" max="5872" width="16" style="3" bestFit="1" customWidth="1"/>
    <col min="5873" max="5873" width="9" style="3" bestFit="1" customWidth="1"/>
    <col min="5874" max="5874" width="7.85546875" style="3" bestFit="1" customWidth="1"/>
    <col min="5875" max="5875" width="11.7109375" style="3" bestFit="1" customWidth="1"/>
    <col min="5876" max="5876" width="14.28515625" style="3" customWidth="1"/>
    <col min="5877" max="5877" width="11.7109375" style="3" bestFit="1" customWidth="1"/>
    <col min="5878" max="5878" width="14.140625" style="3" bestFit="1" customWidth="1"/>
    <col min="5879" max="5879" width="16.7109375" style="3" customWidth="1"/>
    <col min="5880" max="5880" width="16.5703125" style="3" customWidth="1"/>
    <col min="5881" max="5882" width="7.85546875" style="3" bestFit="1" customWidth="1"/>
    <col min="5883" max="5883" width="8" style="3" bestFit="1" customWidth="1"/>
    <col min="5884" max="5885" width="7.85546875" style="3" bestFit="1" customWidth="1"/>
    <col min="5886" max="5886" width="9.7109375" style="3" customWidth="1"/>
    <col min="5887" max="5887" width="12.85546875" style="3" customWidth="1"/>
    <col min="5888" max="6124" width="9.140625" style="3"/>
    <col min="6125" max="6125" width="9" style="3" bestFit="1" customWidth="1"/>
    <col min="6126" max="6126" width="9.85546875" style="3" bestFit="1" customWidth="1"/>
    <col min="6127" max="6127" width="9.140625" style="3" bestFit="1" customWidth="1"/>
    <col min="6128" max="6128" width="16" style="3" bestFit="1" customWidth="1"/>
    <col min="6129" max="6129" width="9" style="3" bestFit="1" customWidth="1"/>
    <col min="6130" max="6130" width="7.85546875" style="3" bestFit="1" customWidth="1"/>
    <col min="6131" max="6131" width="11.7109375" style="3" bestFit="1" customWidth="1"/>
    <col min="6132" max="6132" width="14.28515625" style="3" customWidth="1"/>
    <col min="6133" max="6133" width="11.7109375" style="3" bestFit="1" customWidth="1"/>
    <col min="6134" max="6134" width="14.140625" style="3" bestFit="1" customWidth="1"/>
    <col min="6135" max="6135" width="16.7109375" style="3" customWidth="1"/>
    <col min="6136" max="6136" width="16.5703125" style="3" customWidth="1"/>
    <col min="6137" max="6138" width="7.85546875" style="3" bestFit="1" customWidth="1"/>
    <col min="6139" max="6139" width="8" style="3" bestFit="1" customWidth="1"/>
    <col min="6140" max="6141" width="7.85546875" style="3" bestFit="1" customWidth="1"/>
    <col min="6142" max="6142" width="9.7109375" style="3" customWidth="1"/>
    <col min="6143" max="6143" width="12.85546875" style="3" customWidth="1"/>
    <col min="6144" max="6380" width="9.140625" style="3"/>
    <col min="6381" max="6381" width="9" style="3" bestFit="1" customWidth="1"/>
    <col min="6382" max="6382" width="9.85546875" style="3" bestFit="1" customWidth="1"/>
    <col min="6383" max="6383" width="9.140625" style="3" bestFit="1" customWidth="1"/>
    <col min="6384" max="6384" width="16" style="3" bestFit="1" customWidth="1"/>
    <col min="6385" max="6385" width="9" style="3" bestFit="1" customWidth="1"/>
    <col min="6386" max="6386" width="7.85546875" style="3" bestFit="1" customWidth="1"/>
    <col min="6387" max="6387" width="11.7109375" style="3" bestFit="1" customWidth="1"/>
    <col min="6388" max="6388" width="14.28515625" style="3" customWidth="1"/>
    <col min="6389" max="6389" width="11.7109375" style="3" bestFit="1" customWidth="1"/>
    <col min="6390" max="6390" width="14.140625" style="3" bestFit="1" customWidth="1"/>
    <col min="6391" max="6391" width="16.7109375" style="3" customWidth="1"/>
    <col min="6392" max="6392" width="16.5703125" style="3" customWidth="1"/>
    <col min="6393" max="6394" width="7.85546875" style="3" bestFit="1" customWidth="1"/>
    <col min="6395" max="6395" width="8" style="3" bestFit="1" customWidth="1"/>
    <col min="6396" max="6397" width="7.85546875" style="3" bestFit="1" customWidth="1"/>
    <col min="6398" max="6398" width="9.7109375" style="3" customWidth="1"/>
    <col min="6399" max="6399" width="12.85546875" style="3" customWidth="1"/>
    <col min="6400" max="6636" width="9.140625" style="3"/>
    <col min="6637" max="6637" width="9" style="3" bestFit="1" customWidth="1"/>
    <col min="6638" max="6638" width="9.85546875" style="3" bestFit="1" customWidth="1"/>
    <col min="6639" max="6639" width="9.140625" style="3" bestFit="1" customWidth="1"/>
    <col min="6640" max="6640" width="16" style="3" bestFit="1" customWidth="1"/>
    <col min="6641" max="6641" width="9" style="3" bestFit="1" customWidth="1"/>
    <col min="6642" max="6642" width="7.85546875" style="3" bestFit="1" customWidth="1"/>
    <col min="6643" max="6643" width="11.7109375" style="3" bestFit="1" customWidth="1"/>
    <col min="6644" max="6644" width="14.28515625" style="3" customWidth="1"/>
    <col min="6645" max="6645" width="11.7109375" style="3" bestFit="1" customWidth="1"/>
    <col min="6646" max="6646" width="14.140625" style="3" bestFit="1" customWidth="1"/>
    <col min="6647" max="6647" width="16.7109375" style="3" customWidth="1"/>
    <col min="6648" max="6648" width="16.5703125" style="3" customWidth="1"/>
    <col min="6649" max="6650" width="7.85546875" style="3" bestFit="1" customWidth="1"/>
    <col min="6651" max="6651" width="8" style="3" bestFit="1" customWidth="1"/>
    <col min="6652" max="6653" width="7.85546875" style="3" bestFit="1" customWidth="1"/>
    <col min="6654" max="6654" width="9.7109375" style="3" customWidth="1"/>
    <col min="6655" max="6655" width="12.85546875" style="3" customWidth="1"/>
    <col min="6656" max="6892" width="9.140625" style="3"/>
    <col min="6893" max="6893" width="9" style="3" bestFit="1" customWidth="1"/>
    <col min="6894" max="6894" width="9.85546875" style="3" bestFit="1" customWidth="1"/>
    <col min="6895" max="6895" width="9.140625" style="3" bestFit="1" customWidth="1"/>
    <col min="6896" max="6896" width="16" style="3" bestFit="1" customWidth="1"/>
    <col min="6897" max="6897" width="9" style="3" bestFit="1" customWidth="1"/>
    <col min="6898" max="6898" width="7.85546875" style="3" bestFit="1" customWidth="1"/>
    <col min="6899" max="6899" width="11.7109375" style="3" bestFit="1" customWidth="1"/>
    <col min="6900" max="6900" width="14.28515625" style="3" customWidth="1"/>
    <col min="6901" max="6901" width="11.7109375" style="3" bestFit="1" customWidth="1"/>
    <col min="6902" max="6902" width="14.140625" style="3" bestFit="1" customWidth="1"/>
    <col min="6903" max="6903" width="16.7109375" style="3" customWidth="1"/>
    <col min="6904" max="6904" width="16.5703125" style="3" customWidth="1"/>
    <col min="6905" max="6906" width="7.85546875" style="3" bestFit="1" customWidth="1"/>
    <col min="6907" max="6907" width="8" style="3" bestFit="1" customWidth="1"/>
    <col min="6908" max="6909" width="7.85546875" style="3" bestFit="1" customWidth="1"/>
    <col min="6910" max="6910" width="9.7109375" style="3" customWidth="1"/>
    <col min="6911" max="6911" width="12.85546875" style="3" customWidth="1"/>
    <col min="6912" max="7148" width="9.140625" style="3"/>
    <col min="7149" max="7149" width="9" style="3" bestFit="1" customWidth="1"/>
    <col min="7150" max="7150" width="9.85546875" style="3" bestFit="1" customWidth="1"/>
    <col min="7151" max="7151" width="9.140625" style="3" bestFit="1" customWidth="1"/>
    <col min="7152" max="7152" width="16" style="3" bestFit="1" customWidth="1"/>
    <col min="7153" max="7153" width="9" style="3" bestFit="1" customWidth="1"/>
    <col min="7154" max="7154" width="7.85546875" style="3" bestFit="1" customWidth="1"/>
    <col min="7155" max="7155" width="11.7109375" style="3" bestFit="1" customWidth="1"/>
    <col min="7156" max="7156" width="14.28515625" style="3" customWidth="1"/>
    <col min="7157" max="7157" width="11.7109375" style="3" bestFit="1" customWidth="1"/>
    <col min="7158" max="7158" width="14.140625" style="3" bestFit="1" customWidth="1"/>
    <col min="7159" max="7159" width="16.7109375" style="3" customWidth="1"/>
    <col min="7160" max="7160" width="16.5703125" style="3" customWidth="1"/>
    <col min="7161" max="7162" width="7.85546875" style="3" bestFit="1" customWidth="1"/>
    <col min="7163" max="7163" width="8" style="3" bestFit="1" customWidth="1"/>
    <col min="7164" max="7165" width="7.85546875" style="3" bestFit="1" customWidth="1"/>
    <col min="7166" max="7166" width="9.7109375" style="3" customWidth="1"/>
    <col min="7167" max="7167" width="12.85546875" style="3" customWidth="1"/>
    <col min="7168" max="7404" width="9.140625" style="3"/>
    <col min="7405" max="7405" width="9" style="3" bestFit="1" customWidth="1"/>
    <col min="7406" max="7406" width="9.85546875" style="3" bestFit="1" customWidth="1"/>
    <col min="7407" max="7407" width="9.140625" style="3" bestFit="1" customWidth="1"/>
    <col min="7408" max="7408" width="16" style="3" bestFit="1" customWidth="1"/>
    <col min="7409" max="7409" width="9" style="3" bestFit="1" customWidth="1"/>
    <col min="7410" max="7410" width="7.85546875" style="3" bestFit="1" customWidth="1"/>
    <col min="7411" max="7411" width="11.7109375" style="3" bestFit="1" customWidth="1"/>
    <col min="7412" max="7412" width="14.28515625" style="3" customWidth="1"/>
    <col min="7413" max="7413" width="11.7109375" style="3" bestFit="1" customWidth="1"/>
    <col min="7414" max="7414" width="14.140625" style="3" bestFit="1" customWidth="1"/>
    <col min="7415" max="7415" width="16.7109375" style="3" customWidth="1"/>
    <col min="7416" max="7416" width="16.5703125" style="3" customWidth="1"/>
    <col min="7417" max="7418" width="7.85546875" style="3" bestFit="1" customWidth="1"/>
    <col min="7419" max="7419" width="8" style="3" bestFit="1" customWidth="1"/>
    <col min="7420" max="7421" width="7.85546875" style="3" bestFit="1" customWidth="1"/>
    <col min="7422" max="7422" width="9.7109375" style="3" customWidth="1"/>
    <col min="7423" max="7423" width="12.85546875" style="3" customWidth="1"/>
    <col min="7424" max="7660" width="9.140625" style="3"/>
    <col min="7661" max="7661" width="9" style="3" bestFit="1" customWidth="1"/>
    <col min="7662" max="7662" width="9.85546875" style="3" bestFit="1" customWidth="1"/>
    <col min="7663" max="7663" width="9.140625" style="3" bestFit="1" customWidth="1"/>
    <col min="7664" max="7664" width="16" style="3" bestFit="1" customWidth="1"/>
    <col min="7665" max="7665" width="9" style="3" bestFit="1" customWidth="1"/>
    <col min="7666" max="7666" width="7.85546875" style="3" bestFit="1" customWidth="1"/>
    <col min="7667" max="7667" width="11.7109375" style="3" bestFit="1" customWidth="1"/>
    <col min="7668" max="7668" width="14.28515625" style="3" customWidth="1"/>
    <col min="7669" max="7669" width="11.7109375" style="3" bestFit="1" customWidth="1"/>
    <col min="7670" max="7670" width="14.140625" style="3" bestFit="1" customWidth="1"/>
    <col min="7671" max="7671" width="16.7109375" style="3" customWidth="1"/>
    <col min="7672" max="7672" width="16.5703125" style="3" customWidth="1"/>
    <col min="7673" max="7674" width="7.85546875" style="3" bestFit="1" customWidth="1"/>
    <col min="7675" max="7675" width="8" style="3" bestFit="1" customWidth="1"/>
    <col min="7676" max="7677" width="7.85546875" style="3" bestFit="1" customWidth="1"/>
    <col min="7678" max="7678" width="9.7109375" style="3" customWidth="1"/>
    <col min="7679" max="7679" width="12.85546875" style="3" customWidth="1"/>
    <col min="7680" max="7916" width="9.140625" style="3"/>
    <col min="7917" max="7917" width="9" style="3" bestFit="1" customWidth="1"/>
    <col min="7918" max="7918" width="9.85546875" style="3" bestFit="1" customWidth="1"/>
    <col min="7919" max="7919" width="9.140625" style="3" bestFit="1" customWidth="1"/>
    <col min="7920" max="7920" width="16" style="3" bestFit="1" customWidth="1"/>
    <col min="7921" max="7921" width="9" style="3" bestFit="1" customWidth="1"/>
    <col min="7922" max="7922" width="7.85546875" style="3" bestFit="1" customWidth="1"/>
    <col min="7923" max="7923" width="11.7109375" style="3" bestFit="1" customWidth="1"/>
    <col min="7924" max="7924" width="14.28515625" style="3" customWidth="1"/>
    <col min="7925" max="7925" width="11.7109375" style="3" bestFit="1" customWidth="1"/>
    <col min="7926" max="7926" width="14.140625" style="3" bestFit="1" customWidth="1"/>
    <col min="7927" max="7927" width="16.7109375" style="3" customWidth="1"/>
    <col min="7928" max="7928" width="16.5703125" style="3" customWidth="1"/>
    <col min="7929" max="7930" width="7.85546875" style="3" bestFit="1" customWidth="1"/>
    <col min="7931" max="7931" width="8" style="3" bestFit="1" customWidth="1"/>
    <col min="7932" max="7933" width="7.85546875" style="3" bestFit="1" customWidth="1"/>
    <col min="7934" max="7934" width="9.7109375" style="3" customWidth="1"/>
    <col min="7935" max="7935" width="12.85546875" style="3" customWidth="1"/>
    <col min="7936" max="8172" width="9.140625" style="3"/>
    <col min="8173" max="8173" width="9" style="3" bestFit="1" customWidth="1"/>
    <col min="8174" max="8174" width="9.85546875" style="3" bestFit="1" customWidth="1"/>
    <col min="8175" max="8175" width="9.140625" style="3" bestFit="1" customWidth="1"/>
    <col min="8176" max="8176" width="16" style="3" bestFit="1" customWidth="1"/>
    <col min="8177" max="8177" width="9" style="3" bestFit="1" customWidth="1"/>
    <col min="8178" max="8178" width="7.85546875" style="3" bestFit="1" customWidth="1"/>
    <col min="8179" max="8179" width="11.7109375" style="3" bestFit="1" customWidth="1"/>
    <col min="8180" max="8180" width="14.28515625" style="3" customWidth="1"/>
    <col min="8181" max="8181" width="11.7109375" style="3" bestFit="1" customWidth="1"/>
    <col min="8182" max="8182" width="14.140625" style="3" bestFit="1" customWidth="1"/>
    <col min="8183" max="8183" width="16.7109375" style="3" customWidth="1"/>
    <col min="8184" max="8184" width="16.5703125" style="3" customWidth="1"/>
    <col min="8185" max="8186" width="7.85546875" style="3" bestFit="1" customWidth="1"/>
    <col min="8187" max="8187" width="8" style="3" bestFit="1" customWidth="1"/>
    <col min="8188" max="8189" width="7.85546875" style="3" bestFit="1" customWidth="1"/>
    <col min="8190" max="8190" width="9.7109375" style="3" customWidth="1"/>
    <col min="8191" max="8191" width="12.85546875" style="3" customWidth="1"/>
    <col min="8192" max="8428" width="9.140625" style="3"/>
    <col min="8429" max="8429" width="9" style="3" bestFit="1" customWidth="1"/>
    <col min="8430" max="8430" width="9.85546875" style="3" bestFit="1" customWidth="1"/>
    <col min="8431" max="8431" width="9.140625" style="3" bestFit="1" customWidth="1"/>
    <col min="8432" max="8432" width="16" style="3" bestFit="1" customWidth="1"/>
    <col min="8433" max="8433" width="9" style="3" bestFit="1" customWidth="1"/>
    <col min="8434" max="8434" width="7.85546875" style="3" bestFit="1" customWidth="1"/>
    <col min="8435" max="8435" width="11.7109375" style="3" bestFit="1" customWidth="1"/>
    <col min="8436" max="8436" width="14.28515625" style="3" customWidth="1"/>
    <col min="8437" max="8437" width="11.7109375" style="3" bestFit="1" customWidth="1"/>
    <col min="8438" max="8438" width="14.140625" style="3" bestFit="1" customWidth="1"/>
    <col min="8439" max="8439" width="16.7109375" style="3" customWidth="1"/>
    <col min="8440" max="8440" width="16.5703125" style="3" customWidth="1"/>
    <col min="8441" max="8442" width="7.85546875" style="3" bestFit="1" customWidth="1"/>
    <col min="8443" max="8443" width="8" style="3" bestFit="1" customWidth="1"/>
    <col min="8444" max="8445" width="7.85546875" style="3" bestFit="1" customWidth="1"/>
    <col min="8446" max="8446" width="9.7109375" style="3" customWidth="1"/>
    <col min="8447" max="8447" width="12.85546875" style="3" customWidth="1"/>
    <col min="8448" max="8684" width="9.140625" style="3"/>
    <col min="8685" max="8685" width="9" style="3" bestFit="1" customWidth="1"/>
    <col min="8686" max="8686" width="9.85546875" style="3" bestFit="1" customWidth="1"/>
    <col min="8687" max="8687" width="9.140625" style="3" bestFit="1" customWidth="1"/>
    <col min="8688" max="8688" width="16" style="3" bestFit="1" customWidth="1"/>
    <col min="8689" max="8689" width="9" style="3" bestFit="1" customWidth="1"/>
    <col min="8690" max="8690" width="7.85546875" style="3" bestFit="1" customWidth="1"/>
    <col min="8691" max="8691" width="11.7109375" style="3" bestFit="1" customWidth="1"/>
    <col min="8692" max="8692" width="14.28515625" style="3" customWidth="1"/>
    <col min="8693" max="8693" width="11.7109375" style="3" bestFit="1" customWidth="1"/>
    <col min="8694" max="8694" width="14.140625" style="3" bestFit="1" customWidth="1"/>
    <col min="8695" max="8695" width="16.7109375" style="3" customWidth="1"/>
    <col min="8696" max="8696" width="16.5703125" style="3" customWidth="1"/>
    <col min="8697" max="8698" width="7.85546875" style="3" bestFit="1" customWidth="1"/>
    <col min="8699" max="8699" width="8" style="3" bestFit="1" customWidth="1"/>
    <col min="8700" max="8701" width="7.85546875" style="3" bestFit="1" customWidth="1"/>
    <col min="8702" max="8702" width="9.7109375" style="3" customWidth="1"/>
    <col min="8703" max="8703" width="12.85546875" style="3" customWidth="1"/>
    <col min="8704" max="8940" width="9.140625" style="3"/>
    <col min="8941" max="8941" width="9" style="3" bestFit="1" customWidth="1"/>
    <col min="8942" max="8942" width="9.85546875" style="3" bestFit="1" customWidth="1"/>
    <col min="8943" max="8943" width="9.140625" style="3" bestFit="1" customWidth="1"/>
    <col min="8944" max="8944" width="16" style="3" bestFit="1" customWidth="1"/>
    <col min="8945" max="8945" width="9" style="3" bestFit="1" customWidth="1"/>
    <col min="8946" max="8946" width="7.85546875" style="3" bestFit="1" customWidth="1"/>
    <col min="8947" max="8947" width="11.7109375" style="3" bestFit="1" customWidth="1"/>
    <col min="8948" max="8948" width="14.28515625" style="3" customWidth="1"/>
    <col min="8949" max="8949" width="11.7109375" style="3" bestFit="1" customWidth="1"/>
    <col min="8950" max="8950" width="14.140625" style="3" bestFit="1" customWidth="1"/>
    <col min="8951" max="8951" width="16.7109375" style="3" customWidth="1"/>
    <col min="8952" max="8952" width="16.5703125" style="3" customWidth="1"/>
    <col min="8953" max="8954" width="7.85546875" style="3" bestFit="1" customWidth="1"/>
    <col min="8955" max="8955" width="8" style="3" bestFit="1" customWidth="1"/>
    <col min="8956" max="8957" width="7.85546875" style="3" bestFit="1" customWidth="1"/>
    <col min="8958" max="8958" width="9.7109375" style="3" customWidth="1"/>
    <col min="8959" max="8959" width="12.85546875" style="3" customWidth="1"/>
    <col min="8960" max="9196" width="9.140625" style="3"/>
    <col min="9197" max="9197" width="9" style="3" bestFit="1" customWidth="1"/>
    <col min="9198" max="9198" width="9.85546875" style="3" bestFit="1" customWidth="1"/>
    <col min="9199" max="9199" width="9.140625" style="3" bestFit="1" customWidth="1"/>
    <col min="9200" max="9200" width="16" style="3" bestFit="1" customWidth="1"/>
    <col min="9201" max="9201" width="9" style="3" bestFit="1" customWidth="1"/>
    <col min="9202" max="9202" width="7.85546875" style="3" bestFit="1" customWidth="1"/>
    <col min="9203" max="9203" width="11.7109375" style="3" bestFit="1" customWidth="1"/>
    <col min="9204" max="9204" width="14.28515625" style="3" customWidth="1"/>
    <col min="9205" max="9205" width="11.7109375" style="3" bestFit="1" customWidth="1"/>
    <col min="9206" max="9206" width="14.140625" style="3" bestFit="1" customWidth="1"/>
    <col min="9207" max="9207" width="16.7109375" style="3" customWidth="1"/>
    <col min="9208" max="9208" width="16.5703125" style="3" customWidth="1"/>
    <col min="9209" max="9210" width="7.85546875" style="3" bestFit="1" customWidth="1"/>
    <col min="9211" max="9211" width="8" style="3" bestFit="1" customWidth="1"/>
    <col min="9212" max="9213" width="7.85546875" style="3" bestFit="1" customWidth="1"/>
    <col min="9214" max="9214" width="9.7109375" style="3" customWidth="1"/>
    <col min="9215" max="9215" width="12.85546875" style="3" customWidth="1"/>
    <col min="9216" max="9452" width="9.140625" style="3"/>
    <col min="9453" max="9453" width="9" style="3" bestFit="1" customWidth="1"/>
    <col min="9454" max="9454" width="9.85546875" style="3" bestFit="1" customWidth="1"/>
    <col min="9455" max="9455" width="9.140625" style="3" bestFit="1" customWidth="1"/>
    <col min="9456" max="9456" width="16" style="3" bestFit="1" customWidth="1"/>
    <col min="9457" max="9457" width="9" style="3" bestFit="1" customWidth="1"/>
    <col min="9458" max="9458" width="7.85546875" style="3" bestFit="1" customWidth="1"/>
    <col min="9459" max="9459" width="11.7109375" style="3" bestFit="1" customWidth="1"/>
    <col min="9460" max="9460" width="14.28515625" style="3" customWidth="1"/>
    <col min="9461" max="9461" width="11.7109375" style="3" bestFit="1" customWidth="1"/>
    <col min="9462" max="9462" width="14.140625" style="3" bestFit="1" customWidth="1"/>
    <col min="9463" max="9463" width="16.7109375" style="3" customWidth="1"/>
    <col min="9464" max="9464" width="16.5703125" style="3" customWidth="1"/>
    <col min="9465" max="9466" width="7.85546875" style="3" bestFit="1" customWidth="1"/>
    <col min="9467" max="9467" width="8" style="3" bestFit="1" customWidth="1"/>
    <col min="9468" max="9469" width="7.85546875" style="3" bestFit="1" customWidth="1"/>
    <col min="9470" max="9470" width="9.7109375" style="3" customWidth="1"/>
    <col min="9471" max="9471" width="12.85546875" style="3" customWidth="1"/>
    <col min="9472" max="9708" width="9.140625" style="3"/>
    <col min="9709" max="9709" width="9" style="3" bestFit="1" customWidth="1"/>
    <col min="9710" max="9710" width="9.85546875" style="3" bestFit="1" customWidth="1"/>
    <col min="9711" max="9711" width="9.140625" style="3" bestFit="1" customWidth="1"/>
    <col min="9712" max="9712" width="16" style="3" bestFit="1" customWidth="1"/>
    <col min="9713" max="9713" width="9" style="3" bestFit="1" customWidth="1"/>
    <col min="9714" max="9714" width="7.85546875" style="3" bestFit="1" customWidth="1"/>
    <col min="9715" max="9715" width="11.7109375" style="3" bestFit="1" customWidth="1"/>
    <col min="9716" max="9716" width="14.28515625" style="3" customWidth="1"/>
    <col min="9717" max="9717" width="11.7109375" style="3" bestFit="1" customWidth="1"/>
    <col min="9718" max="9718" width="14.140625" style="3" bestFit="1" customWidth="1"/>
    <col min="9719" max="9719" width="16.7109375" style="3" customWidth="1"/>
    <col min="9720" max="9720" width="16.5703125" style="3" customWidth="1"/>
    <col min="9721" max="9722" width="7.85546875" style="3" bestFit="1" customWidth="1"/>
    <col min="9723" max="9723" width="8" style="3" bestFit="1" customWidth="1"/>
    <col min="9724" max="9725" width="7.85546875" style="3" bestFit="1" customWidth="1"/>
    <col min="9726" max="9726" width="9.7109375" style="3" customWidth="1"/>
    <col min="9727" max="9727" width="12.85546875" style="3" customWidth="1"/>
    <col min="9728" max="9964" width="9.140625" style="3"/>
    <col min="9965" max="9965" width="9" style="3" bestFit="1" customWidth="1"/>
    <col min="9966" max="9966" width="9.85546875" style="3" bestFit="1" customWidth="1"/>
    <col min="9967" max="9967" width="9.140625" style="3" bestFit="1" customWidth="1"/>
    <col min="9968" max="9968" width="16" style="3" bestFit="1" customWidth="1"/>
    <col min="9969" max="9969" width="9" style="3" bestFit="1" customWidth="1"/>
    <col min="9970" max="9970" width="7.85546875" style="3" bestFit="1" customWidth="1"/>
    <col min="9971" max="9971" width="11.7109375" style="3" bestFit="1" customWidth="1"/>
    <col min="9972" max="9972" width="14.28515625" style="3" customWidth="1"/>
    <col min="9973" max="9973" width="11.7109375" style="3" bestFit="1" customWidth="1"/>
    <col min="9974" max="9974" width="14.140625" style="3" bestFit="1" customWidth="1"/>
    <col min="9975" max="9975" width="16.7109375" style="3" customWidth="1"/>
    <col min="9976" max="9976" width="16.5703125" style="3" customWidth="1"/>
    <col min="9977" max="9978" width="7.85546875" style="3" bestFit="1" customWidth="1"/>
    <col min="9979" max="9979" width="8" style="3" bestFit="1" customWidth="1"/>
    <col min="9980" max="9981" width="7.85546875" style="3" bestFit="1" customWidth="1"/>
    <col min="9982" max="9982" width="9.7109375" style="3" customWidth="1"/>
    <col min="9983" max="9983" width="12.85546875" style="3" customWidth="1"/>
    <col min="9984" max="10220" width="9.140625" style="3"/>
    <col min="10221" max="10221" width="9" style="3" bestFit="1" customWidth="1"/>
    <col min="10222" max="10222" width="9.85546875" style="3" bestFit="1" customWidth="1"/>
    <col min="10223" max="10223" width="9.140625" style="3" bestFit="1" customWidth="1"/>
    <col min="10224" max="10224" width="16" style="3" bestFit="1" customWidth="1"/>
    <col min="10225" max="10225" width="9" style="3" bestFit="1" customWidth="1"/>
    <col min="10226" max="10226" width="7.85546875" style="3" bestFit="1" customWidth="1"/>
    <col min="10227" max="10227" width="11.7109375" style="3" bestFit="1" customWidth="1"/>
    <col min="10228" max="10228" width="14.28515625" style="3" customWidth="1"/>
    <col min="10229" max="10229" width="11.7109375" style="3" bestFit="1" customWidth="1"/>
    <col min="10230" max="10230" width="14.140625" style="3" bestFit="1" customWidth="1"/>
    <col min="10231" max="10231" width="16.7109375" style="3" customWidth="1"/>
    <col min="10232" max="10232" width="16.5703125" style="3" customWidth="1"/>
    <col min="10233" max="10234" width="7.85546875" style="3" bestFit="1" customWidth="1"/>
    <col min="10235" max="10235" width="8" style="3" bestFit="1" customWidth="1"/>
    <col min="10236" max="10237" width="7.85546875" style="3" bestFit="1" customWidth="1"/>
    <col min="10238" max="10238" width="9.7109375" style="3" customWidth="1"/>
    <col min="10239" max="10239" width="12.85546875" style="3" customWidth="1"/>
    <col min="10240" max="10476" width="9.140625" style="3"/>
    <col min="10477" max="10477" width="9" style="3" bestFit="1" customWidth="1"/>
    <col min="10478" max="10478" width="9.85546875" style="3" bestFit="1" customWidth="1"/>
    <col min="10479" max="10479" width="9.140625" style="3" bestFit="1" customWidth="1"/>
    <col min="10480" max="10480" width="16" style="3" bestFit="1" customWidth="1"/>
    <col min="10481" max="10481" width="9" style="3" bestFit="1" customWidth="1"/>
    <col min="10482" max="10482" width="7.85546875" style="3" bestFit="1" customWidth="1"/>
    <col min="10483" max="10483" width="11.7109375" style="3" bestFit="1" customWidth="1"/>
    <col min="10484" max="10484" width="14.28515625" style="3" customWidth="1"/>
    <col min="10485" max="10485" width="11.7109375" style="3" bestFit="1" customWidth="1"/>
    <col min="10486" max="10486" width="14.140625" style="3" bestFit="1" customWidth="1"/>
    <col min="10487" max="10487" width="16.7109375" style="3" customWidth="1"/>
    <col min="10488" max="10488" width="16.5703125" style="3" customWidth="1"/>
    <col min="10489" max="10490" width="7.85546875" style="3" bestFit="1" customWidth="1"/>
    <col min="10491" max="10491" width="8" style="3" bestFit="1" customWidth="1"/>
    <col min="10492" max="10493" width="7.85546875" style="3" bestFit="1" customWidth="1"/>
    <col min="10494" max="10494" width="9.7109375" style="3" customWidth="1"/>
    <col min="10495" max="10495" width="12.85546875" style="3" customWidth="1"/>
    <col min="10496" max="10732" width="9.140625" style="3"/>
    <col min="10733" max="10733" width="9" style="3" bestFit="1" customWidth="1"/>
    <col min="10734" max="10734" width="9.85546875" style="3" bestFit="1" customWidth="1"/>
    <col min="10735" max="10735" width="9.140625" style="3" bestFit="1" customWidth="1"/>
    <col min="10736" max="10736" width="16" style="3" bestFit="1" customWidth="1"/>
    <col min="10737" max="10737" width="9" style="3" bestFit="1" customWidth="1"/>
    <col min="10738" max="10738" width="7.85546875" style="3" bestFit="1" customWidth="1"/>
    <col min="10739" max="10739" width="11.7109375" style="3" bestFit="1" customWidth="1"/>
    <col min="10740" max="10740" width="14.28515625" style="3" customWidth="1"/>
    <col min="10741" max="10741" width="11.7109375" style="3" bestFit="1" customWidth="1"/>
    <col min="10742" max="10742" width="14.140625" style="3" bestFit="1" customWidth="1"/>
    <col min="10743" max="10743" width="16.7109375" style="3" customWidth="1"/>
    <col min="10744" max="10744" width="16.5703125" style="3" customWidth="1"/>
    <col min="10745" max="10746" width="7.85546875" style="3" bestFit="1" customWidth="1"/>
    <col min="10747" max="10747" width="8" style="3" bestFit="1" customWidth="1"/>
    <col min="10748" max="10749" width="7.85546875" style="3" bestFit="1" customWidth="1"/>
    <col min="10750" max="10750" width="9.7109375" style="3" customWidth="1"/>
    <col min="10751" max="10751" width="12.85546875" style="3" customWidth="1"/>
    <col min="10752" max="10988" width="9.140625" style="3"/>
    <col min="10989" max="10989" width="9" style="3" bestFit="1" customWidth="1"/>
    <col min="10990" max="10990" width="9.85546875" style="3" bestFit="1" customWidth="1"/>
    <col min="10991" max="10991" width="9.140625" style="3" bestFit="1" customWidth="1"/>
    <col min="10992" max="10992" width="16" style="3" bestFit="1" customWidth="1"/>
    <col min="10993" max="10993" width="9" style="3" bestFit="1" customWidth="1"/>
    <col min="10994" max="10994" width="7.85546875" style="3" bestFit="1" customWidth="1"/>
    <col min="10995" max="10995" width="11.7109375" style="3" bestFit="1" customWidth="1"/>
    <col min="10996" max="10996" width="14.28515625" style="3" customWidth="1"/>
    <col min="10997" max="10997" width="11.7109375" style="3" bestFit="1" customWidth="1"/>
    <col min="10998" max="10998" width="14.140625" style="3" bestFit="1" customWidth="1"/>
    <col min="10999" max="10999" width="16.7109375" style="3" customWidth="1"/>
    <col min="11000" max="11000" width="16.5703125" style="3" customWidth="1"/>
    <col min="11001" max="11002" width="7.85546875" style="3" bestFit="1" customWidth="1"/>
    <col min="11003" max="11003" width="8" style="3" bestFit="1" customWidth="1"/>
    <col min="11004" max="11005" width="7.85546875" style="3" bestFit="1" customWidth="1"/>
    <col min="11006" max="11006" width="9.7109375" style="3" customWidth="1"/>
    <col min="11007" max="11007" width="12.85546875" style="3" customWidth="1"/>
    <col min="11008" max="11244" width="9.140625" style="3"/>
    <col min="11245" max="11245" width="9" style="3" bestFit="1" customWidth="1"/>
    <col min="11246" max="11246" width="9.85546875" style="3" bestFit="1" customWidth="1"/>
    <col min="11247" max="11247" width="9.140625" style="3" bestFit="1" customWidth="1"/>
    <col min="11248" max="11248" width="16" style="3" bestFit="1" customWidth="1"/>
    <col min="11249" max="11249" width="9" style="3" bestFit="1" customWidth="1"/>
    <col min="11250" max="11250" width="7.85546875" style="3" bestFit="1" customWidth="1"/>
    <col min="11251" max="11251" width="11.7109375" style="3" bestFit="1" customWidth="1"/>
    <col min="11252" max="11252" width="14.28515625" style="3" customWidth="1"/>
    <col min="11253" max="11253" width="11.7109375" style="3" bestFit="1" customWidth="1"/>
    <col min="11254" max="11254" width="14.140625" style="3" bestFit="1" customWidth="1"/>
    <col min="11255" max="11255" width="16.7109375" style="3" customWidth="1"/>
    <col min="11256" max="11256" width="16.5703125" style="3" customWidth="1"/>
    <col min="11257" max="11258" width="7.85546875" style="3" bestFit="1" customWidth="1"/>
    <col min="11259" max="11259" width="8" style="3" bestFit="1" customWidth="1"/>
    <col min="11260" max="11261" width="7.85546875" style="3" bestFit="1" customWidth="1"/>
    <col min="11262" max="11262" width="9.7109375" style="3" customWidth="1"/>
    <col min="11263" max="11263" width="12.85546875" style="3" customWidth="1"/>
    <col min="11264" max="11500" width="9.140625" style="3"/>
    <col min="11501" max="11501" width="9" style="3" bestFit="1" customWidth="1"/>
    <col min="11502" max="11502" width="9.85546875" style="3" bestFit="1" customWidth="1"/>
    <col min="11503" max="11503" width="9.140625" style="3" bestFit="1" customWidth="1"/>
    <col min="11504" max="11504" width="16" style="3" bestFit="1" customWidth="1"/>
    <col min="11505" max="11505" width="9" style="3" bestFit="1" customWidth="1"/>
    <col min="11506" max="11506" width="7.85546875" style="3" bestFit="1" customWidth="1"/>
    <col min="11507" max="11507" width="11.7109375" style="3" bestFit="1" customWidth="1"/>
    <col min="11508" max="11508" width="14.28515625" style="3" customWidth="1"/>
    <col min="11509" max="11509" width="11.7109375" style="3" bestFit="1" customWidth="1"/>
    <col min="11510" max="11510" width="14.140625" style="3" bestFit="1" customWidth="1"/>
    <col min="11511" max="11511" width="16.7109375" style="3" customWidth="1"/>
    <col min="11512" max="11512" width="16.5703125" style="3" customWidth="1"/>
    <col min="11513" max="11514" width="7.85546875" style="3" bestFit="1" customWidth="1"/>
    <col min="11515" max="11515" width="8" style="3" bestFit="1" customWidth="1"/>
    <col min="11516" max="11517" width="7.85546875" style="3" bestFit="1" customWidth="1"/>
    <col min="11518" max="11518" width="9.7109375" style="3" customWidth="1"/>
    <col min="11519" max="11519" width="12.85546875" style="3" customWidth="1"/>
    <col min="11520" max="11756" width="9.140625" style="3"/>
    <col min="11757" max="11757" width="9" style="3" bestFit="1" customWidth="1"/>
    <col min="11758" max="11758" width="9.85546875" style="3" bestFit="1" customWidth="1"/>
    <col min="11759" max="11759" width="9.140625" style="3" bestFit="1" customWidth="1"/>
    <col min="11760" max="11760" width="16" style="3" bestFit="1" customWidth="1"/>
    <col min="11761" max="11761" width="9" style="3" bestFit="1" customWidth="1"/>
    <col min="11762" max="11762" width="7.85546875" style="3" bestFit="1" customWidth="1"/>
    <col min="11763" max="11763" width="11.7109375" style="3" bestFit="1" customWidth="1"/>
    <col min="11764" max="11764" width="14.28515625" style="3" customWidth="1"/>
    <col min="11765" max="11765" width="11.7109375" style="3" bestFit="1" customWidth="1"/>
    <col min="11766" max="11766" width="14.140625" style="3" bestFit="1" customWidth="1"/>
    <col min="11767" max="11767" width="16.7109375" style="3" customWidth="1"/>
    <col min="11768" max="11768" width="16.5703125" style="3" customWidth="1"/>
    <col min="11769" max="11770" width="7.85546875" style="3" bestFit="1" customWidth="1"/>
    <col min="11771" max="11771" width="8" style="3" bestFit="1" customWidth="1"/>
    <col min="11772" max="11773" width="7.85546875" style="3" bestFit="1" customWidth="1"/>
    <col min="11774" max="11774" width="9.7109375" style="3" customWidth="1"/>
    <col min="11775" max="11775" width="12.85546875" style="3" customWidth="1"/>
    <col min="11776" max="12012" width="9.140625" style="3"/>
    <col min="12013" max="12013" width="9" style="3" bestFit="1" customWidth="1"/>
    <col min="12014" max="12014" width="9.85546875" style="3" bestFit="1" customWidth="1"/>
    <col min="12015" max="12015" width="9.140625" style="3" bestFit="1" customWidth="1"/>
    <col min="12016" max="12016" width="16" style="3" bestFit="1" customWidth="1"/>
    <col min="12017" max="12017" width="9" style="3" bestFit="1" customWidth="1"/>
    <col min="12018" max="12018" width="7.85546875" style="3" bestFit="1" customWidth="1"/>
    <col min="12019" max="12019" width="11.7109375" style="3" bestFit="1" customWidth="1"/>
    <col min="12020" max="12020" width="14.28515625" style="3" customWidth="1"/>
    <col min="12021" max="12021" width="11.7109375" style="3" bestFit="1" customWidth="1"/>
    <col min="12022" max="12022" width="14.140625" style="3" bestFit="1" customWidth="1"/>
    <col min="12023" max="12023" width="16.7109375" style="3" customWidth="1"/>
    <col min="12024" max="12024" width="16.5703125" style="3" customWidth="1"/>
    <col min="12025" max="12026" width="7.85546875" style="3" bestFit="1" customWidth="1"/>
    <col min="12027" max="12027" width="8" style="3" bestFit="1" customWidth="1"/>
    <col min="12028" max="12029" width="7.85546875" style="3" bestFit="1" customWidth="1"/>
    <col min="12030" max="12030" width="9.7109375" style="3" customWidth="1"/>
    <col min="12031" max="12031" width="12.85546875" style="3" customWidth="1"/>
    <col min="12032" max="12268" width="9.140625" style="3"/>
    <col min="12269" max="12269" width="9" style="3" bestFit="1" customWidth="1"/>
    <col min="12270" max="12270" width="9.85546875" style="3" bestFit="1" customWidth="1"/>
    <col min="12271" max="12271" width="9.140625" style="3" bestFit="1" customWidth="1"/>
    <col min="12272" max="12272" width="16" style="3" bestFit="1" customWidth="1"/>
    <col min="12273" max="12273" width="9" style="3" bestFit="1" customWidth="1"/>
    <col min="12274" max="12274" width="7.85546875" style="3" bestFit="1" customWidth="1"/>
    <col min="12275" max="12275" width="11.7109375" style="3" bestFit="1" customWidth="1"/>
    <col min="12276" max="12276" width="14.28515625" style="3" customWidth="1"/>
    <col min="12277" max="12277" width="11.7109375" style="3" bestFit="1" customWidth="1"/>
    <col min="12278" max="12278" width="14.140625" style="3" bestFit="1" customWidth="1"/>
    <col min="12279" max="12279" width="16.7109375" style="3" customWidth="1"/>
    <col min="12280" max="12280" width="16.5703125" style="3" customWidth="1"/>
    <col min="12281" max="12282" width="7.85546875" style="3" bestFit="1" customWidth="1"/>
    <col min="12283" max="12283" width="8" style="3" bestFit="1" customWidth="1"/>
    <col min="12284" max="12285" width="7.85546875" style="3" bestFit="1" customWidth="1"/>
    <col min="12286" max="12286" width="9.7109375" style="3" customWidth="1"/>
    <col min="12287" max="12287" width="12.85546875" style="3" customWidth="1"/>
    <col min="12288" max="12524" width="9.140625" style="3"/>
    <col min="12525" max="12525" width="9" style="3" bestFit="1" customWidth="1"/>
    <col min="12526" max="12526" width="9.85546875" style="3" bestFit="1" customWidth="1"/>
    <col min="12527" max="12527" width="9.140625" style="3" bestFit="1" customWidth="1"/>
    <col min="12528" max="12528" width="16" style="3" bestFit="1" customWidth="1"/>
    <col min="12529" max="12529" width="9" style="3" bestFit="1" customWidth="1"/>
    <col min="12530" max="12530" width="7.85546875" style="3" bestFit="1" customWidth="1"/>
    <col min="12531" max="12531" width="11.7109375" style="3" bestFit="1" customWidth="1"/>
    <col min="12532" max="12532" width="14.28515625" style="3" customWidth="1"/>
    <col min="12533" max="12533" width="11.7109375" style="3" bestFit="1" customWidth="1"/>
    <col min="12534" max="12534" width="14.140625" style="3" bestFit="1" customWidth="1"/>
    <col min="12535" max="12535" width="16.7109375" style="3" customWidth="1"/>
    <col min="12536" max="12536" width="16.5703125" style="3" customWidth="1"/>
    <col min="12537" max="12538" width="7.85546875" style="3" bestFit="1" customWidth="1"/>
    <col min="12539" max="12539" width="8" style="3" bestFit="1" customWidth="1"/>
    <col min="12540" max="12541" width="7.85546875" style="3" bestFit="1" customWidth="1"/>
    <col min="12542" max="12542" width="9.7109375" style="3" customWidth="1"/>
    <col min="12543" max="12543" width="12.85546875" style="3" customWidth="1"/>
    <col min="12544" max="12780" width="9.140625" style="3"/>
    <col min="12781" max="12781" width="9" style="3" bestFit="1" customWidth="1"/>
    <col min="12782" max="12782" width="9.85546875" style="3" bestFit="1" customWidth="1"/>
    <col min="12783" max="12783" width="9.140625" style="3" bestFit="1" customWidth="1"/>
    <col min="12784" max="12784" width="16" style="3" bestFit="1" customWidth="1"/>
    <col min="12785" max="12785" width="9" style="3" bestFit="1" customWidth="1"/>
    <col min="12786" max="12786" width="7.85546875" style="3" bestFit="1" customWidth="1"/>
    <col min="12787" max="12787" width="11.7109375" style="3" bestFit="1" customWidth="1"/>
    <col min="12788" max="12788" width="14.28515625" style="3" customWidth="1"/>
    <col min="12789" max="12789" width="11.7109375" style="3" bestFit="1" customWidth="1"/>
    <col min="12790" max="12790" width="14.140625" style="3" bestFit="1" customWidth="1"/>
    <col min="12791" max="12791" width="16.7109375" style="3" customWidth="1"/>
    <col min="12792" max="12792" width="16.5703125" style="3" customWidth="1"/>
    <col min="12793" max="12794" width="7.85546875" style="3" bestFit="1" customWidth="1"/>
    <col min="12795" max="12795" width="8" style="3" bestFit="1" customWidth="1"/>
    <col min="12796" max="12797" width="7.85546875" style="3" bestFit="1" customWidth="1"/>
    <col min="12798" max="12798" width="9.7109375" style="3" customWidth="1"/>
    <col min="12799" max="12799" width="12.85546875" style="3" customWidth="1"/>
    <col min="12800" max="13036" width="9.140625" style="3"/>
    <col min="13037" max="13037" width="9" style="3" bestFit="1" customWidth="1"/>
    <col min="13038" max="13038" width="9.85546875" style="3" bestFit="1" customWidth="1"/>
    <col min="13039" max="13039" width="9.140625" style="3" bestFit="1" customWidth="1"/>
    <col min="13040" max="13040" width="16" style="3" bestFit="1" customWidth="1"/>
    <col min="13041" max="13041" width="9" style="3" bestFit="1" customWidth="1"/>
    <col min="13042" max="13042" width="7.85546875" style="3" bestFit="1" customWidth="1"/>
    <col min="13043" max="13043" width="11.7109375" style="3" bestFit="1" customWidth="1"/>
    <col min="13044" max="13044" width="14.28515625" style="3" customWidth="1"/>
    <col min="13045" max="13045" width="11.7109375" style="3" bestFit="1" customWidth="1"/>
    <col min="13046" max="13046" width="14.140625" style="3" bestFit="1" customWidth="1"/>
    <col min="13047" max="13047" width="16.7109375" style="3" customWidth="1"/>
    <col min="13048" max="13048" width="16.5703125" style="3" customWidth="1"/>
    <col min="13049" max="13050" width="7.85546875" style="3" bestFit="1" customWidth="1"/>
    <col min="13051" max="13051" width="8" style="3" bestFit="1" customWidth="1"/>
    <col min="13052" max="13053" width="7.85546875" style="3" bestFit="1" customWidth="1"/>
    <col min="13054" max="13054" width="9.7109375" style="3" customWidth="1"/>
    <col min="13055" max="13055" width="12.85546875" style="3" customWidth="1"/>
    <col min="13056" max="13292" width="9.140625" style="3"/>
    <col min="13293" max="13293" width="9" style="3" bestFit="1" customWidth="1"/>
    <col min="13294" max="13294" width="9.85546875" style="3" bestFit="1" customWidth="1"/>
    <col min="13295" max="13295" width="9.140625" style="3" bestFit="1" customWidth="1"/>
    <col min="13296" max="13296" width="16" style="3" bestFit="1" customWidth="1"/>
    <col min="13297" max="13297" width="9" style="3" bestFit="1" customWidth="1"/>
    <col min="13298" max="13298" width="7.85546875" style="3" bestFit="1" customWidth="1"/>
    <col min="13299" max="13299" width="11.7109375" style="3" bestFit="1" customWidth="1"/>
    <col min="13300" max="13300" width="14.28515625" style="3" customWidth="1"/>
    <col min="13301" max="13301" width="11.7109375" style="3" bestFit="1" customWidth="1"/>
    <col min="13302" max="13302" width="14.140625" style="3" bestFit="1" customWidth="1"/>
    <col min="13303" max="13303" width="16.7109375" style="3" customWidth="1"/>
    <col min="13304" max="13304" width="16.5703125" style="3" customWidth="1"/>
    <col min="13305" max="13306" width="7.85546875" style="3" bestFit="1" customWidth="1"/>
    <col min="13307" max="13307" width="8" style="3" bestFit="1" customWidth="1"/>
    <col min="13308" max="13309" width="7.85546875" style="3" bestFit="1" customWidth="1"/>
    <col min="13310" max="13310" width="9.7109375" style="3" customWidth="1"/>
    <col min="13311" max="13311" width="12.85546875" style="3" customWidth="1"/>
    <col min="13312" max="13548" width="9.140625" style="3"/>
    <col min="13549" max="13549" width="9" style="3" bestFit="1" customWidth="1"/>
    <col min="13550" max="13550" width="9.85546875" style="3" bestFit="1" customWidth="1"/>
    <col min="13551" max="13551" width="9.140625" style="3" bestFit="1" customWidth="1"/>
    <col min="13552" max="13552" width="16" style="3" bestFit="1" customWidth="1"/>
    <col min="13553" max="13553" width="9" style="3" bestFit="1" customWidth="1"/>
    <col min="13554" max="13554" width="7.85546875" style="3" bestFit="1" customWidth="1"/>
    <col min="13555" max="13555" width="11.7109375" style="3" bestFit="1" customWidth="1"/>
    <col min="13556" max="13556" width="14.28515625" style="3" customWidth="1"/>
    <col min="13557" max="13557" width="11.7109375" style="3" bestFit="1" customWidth="1"/>
    <col min="13558" max="13558" width="14.140625" style="3" bestFit="1" customWidth="1"/>
    <col min="13559" max="13559" width="16.7109375" style="3" customWidth="1"/>
    <col min="13560" max="13560" width="16.5703125" style="3" customWidth="1"/>
    <col min="13561" max="13562" width="7.85546875" style="3" bestFit="1" customWidth="1"/>
    <col min="13563" max="13563" width="8" style="3" bestFit="1" customWidth="1"/>
    <col min="13564" max="13565" width="7.85546875" style="3" bestFit="1" customWidth="1"/>
    <col min="13566" max="13566" width="9.7109375" style="3" customWidth="1"/>
    <col min="13567" max="13567" width="12.85546875" style="3" customWidth="1"/>
    <col min="13568" max="13804" width="9.140625" style="3"/>
    <col min="13805" max="13805" width="9" style="3" bestFit="1" customWidth="1"/>
    <col min="13806" max="13806" width="9.85546875" style="3" bestFit="1" customWidth="1"/>
    <col min="13807" max="13807" width="9.140625" style="3" bestFit="1" customWidth="1"/>
    <col min="13808" max="13808" width="16" style="3" bestFit="1" customWidth="1"/>
    <col min="13809" max="13809" width="9" style="3" bestFit="1" customWidth="1"/>
    <col min="13810" max="13810" width="7.85546875" style="3" bestFit="1" customWidth="1"/>
    <col min="13811" max="13811" width="11.7109375" style="3" bestFit="1" customWidth="1"/>
    <col min="13812" max="13812" width="14.28515625" style="3" customWidth="1"/>
    <col min="13813" max="13813" width="11.7109375" style="3" bestFit="1" customWidth="1"/>
    <col min="13814" max="13814" width="14.140625" style="3" bestFit="1" customWidth="1"/>
    <col min="13815" max="13815" width="16.7109375" style="3" customWidth="1"/>
    <col min="13816" max="13816" width="16.5703125" style="3" customWidth="1"/>
    <col min="13817" max="13818" width="7.85546875" style="3" bestFit="1" customWidth="1"/>
    <col min="13819" max="13819" width="8" style="3" bestFit="1" customWidth="1"/>
    <col min="13820" max="13821" width="7.85546875" style="3" bestFit="1" customWidth="1"/>
    <col min="13822" max="13822" width="9.7109375" style="3" customWidth="1"/>
    <col min="13823" max="13823" width="12.85546875" style="3" customWidth="1"/>
    <col min="13824" max="14060" width="9.140625" style="3"/>
    <col min="14061" max="14061" width="9" style="3" bestFit="1" customWidth="1"/>
    <col min="14062" max="14062" width="9.85546875" style="3" bestFit="1" customWidth="1"/>
    <col min="14063" max="14063" width="9.140625" style="3" bestFit="1" customWidth="1"/>
    <col min="14064" max="14064" width="16" style="3" bestFit="1" customWidth="1"/>
    <col min="14065" max="14065" width="9" style="3" bestFit="1" customWidth="1"/>
    <col min="14066" max="14066" width="7.85546875" style="3" bestFit="1" customWidth="1"/>
    <col min="14067" max="14067" width="11.7109375" style="3" bestFit="1" customWidth="1"/>
    <col min="14068" max="14068" width="14.28515625" style="3" customWidth="1"/>
    <col min="14069" max="14069" width="11.7109375" style="3" bestFit="1" customWidth="1"/>
    <col min="14070" max="14070" width="14.140625" style="3" bestFit="1" customWidth="1"/>
    <col min="14071" max="14071" width="16.7109375" style="3" customWidth="1"/>
    <col min="14072" max="14072" width="16.5703125" style="3" customWidth="1"/>
    <col min="14073" max="14074" width="7.85546875" style="3" bestFit="1" customWidth="1"/>
    <col min="14075" max="14075" width="8" style="3" bestFit="1" customWidth="1"/>
    <col min="14076" max="14077" width="7.85546875" style="3" bestFit="1" customWidth="1"/>
    <col min="14078" max="14078" width="9.7109375" style="3" customWidth="1"/>
    <col min="14079" max="14079" width="12.85546875" style="3" customWidth="1"/>
    <col min="14080" max="14316" width="9.140625" style="3"/>
    <col min="14317" max="14317" width="9" style="3" bestFit="1" customWidth="1"/>
    <col min="14318" max="14318" width="9.85546875" style="3" bestFit="1" customWidth="1"/>
    <col min="14319" max="14319" width="9.140625" style="3" bestFit="1" customWidth="1"/>
    <col min="14320" max="14320" width="16" style="3" bestFit="1" customWidth="1"/>
    <col min="14321" max="14321" width="9" style="3" bestFit="1" customWidth="1"/>
    <col min="14322" max="14322" width="7.85546875" style="3" bestFit="1" customWidth="1"/>
    <col min="14323" max="14323" width="11.7109375" style="3" bestFit="1" customWidth="1"/>
    <col min="14324" max="14324" width="14.28515625" style="3" customWidth="1"/>
    <col min="14325" max="14325" width="11.7109375" style="3" bestFit="1" customWidth="1"/>
    <col min="14326" max="14326" width="14.140625" style="3" bestFit="1" customWidth="1"/>
    <col min="14327" max="14327" width="16.7109375" style="3" customWidth="1"/>
    <col min="14328" max="14328" width="16.5703125" style="3" customWidth="1"/>
    <col min="14329" max="14330" width="7.85546875" style="3" bestFit="1" customWidth="1"/>
    <col min="14331" max="14331" width="8" style="3" bestFit="1" customWidth="1"/>
    <col min="14332" max="14333" width="7.85546875" style="3" bestFit="1" customWidth="1"/>
    <col min="14334" max="14334" width="9.7109375" style="3" customWidth="1"/>
    <col min="14335" max="14335" width="12.85546875" style="3" customWidth="1"/>
    <col min="14336" max="14572" width="9.140625" style="3"/>
    <col min="14573" max="14573" width="9" style="3" bestFit="1" customWidth="1"/>
    <col min="14574" max="14574" width="9.85546875" style="3" bestFit="1" customWidth="1"/>
    <col min="14575" max="14575" width="9.140625" style="3" bestFit="1" customWidth="1"/>
    <col min="14576" max="14576" width="16" style="3" bestFit="1" customWidth="1"/>
    <col min="14577" max="14577" width="9" style="3" bestFit="1" customWidth="1"/>
    <col min="14578" max="14578" width="7.85546875" style="3" bestFit="1" customWidth="1"/>
    <col min="14579" max="14579" width="11.7109375" style="3" bestFit="1" customWidth="1"/>
    <col min="14580" max="14580" width="14.28515625" style="3" customWidth="1"/>
    <col min="14581" max="14581" width="11.7109375" style="3" bestFit="1" customWidth="1"/>
    <col min="14582" max="14582" width="14.140625" style="3" bestFit="1" customWidth="1"/>
    <col min="14583" max="14583" width="16.7109375" style="3" customWidth="1"/>
    <col min="14584" max="14584" width="16.5703125" style="3" customWidth="1"/>
    <col min="14585" max="14586" width="7.85546875" style="3" bestFit="1" customWidth="1"/>
    <col min="14587" max="14587" width="8" style="3" bestFit="1" customWidth="1"/>
    <col min="14588" max="14589" width="7.85546875" style="3" bestFit="1" customWidth="1"/>
    <col min="14590" max="14590" width="9.7109375" style="3" customWidth="1"/>
    <col min="14591" max="14591" width="12.85546875" style="3" customWidth="1"/>
    <col min="14592" max="14828" width="9.140625" style="3"/>
    <col min="14829" max="14829" width="9" style="3" bestFit="1" customWidth="1"/>
    <col min="14830" max="14830" width="9.85546875" style="3" bestFit="1" customWidth="1"/>
    <col min="14831" max="14831" width="9.140625" style="3" bestFit="1" customWidth="1"/>
    <col min="14832" max="14832" width="16" style="3" bestFit="1" customWidth="1"/>
    <col min="14833" max="14833" width="9" style="3" bestFit="1" customWidth="1"/>
    <col min="14834" max="14834" width="7.85546875" style="3" bestFit="1" customWidth="1"/>
    <col min="14835" max="14835" width="11.7109375" style="3" bestFit="1" customWidth="1"/>
    <col min="14836" max="14836" width="14.28515625" style="3" customWidth="1"/>
    <col min="14837" max="14837" width="11.7109375" style="3" bestFit="1" customWidth="1"/>
    <col min="14838" max="14838" width="14.140625" style="3" bestFit="1" customWidth="1"/>
    <col min="14839" max="14839" width="16.7109375" style="3" customWidth="1"/>
    <col min="14840" max="14840" width="16.5703125" style="3" customWidth="1"/>
    <col min="14841" max="14842" width="7.85546875" style="3" bestFit="1" customWidth="1"/>
    <col min="14843" max="14843" width="8" style="3" bestFit="1" customWidth="1"/>
    <col min="14844" max="14845" width="7.85546875" style="3" bestFit="1" customWidth="1"/>
    <col min="14846" max="14846" width="9.7109375" style="3" customWidth="1"/>
    <col min="14847" max="14847" width="12.85546875" style="3" customWidth="1"/>
    <col min="14848" max="15084" width="9.140625" style="3"/>
    <col min="15085" max="15085" width="9" style="3" bestFit="1" customWidth="1"/>
    <col min="15086" max="15086" width="9.85546875" style="3" bestFit="1" customWidth="1"/>
    <col min="15087" max="15087" width="9.140625" style="3" bestFit="1" customWidth="1"/>
    <col min="15088" max="15088" width="16" style="3" bestFit="1" customWidth="1"/>
    <col min="15089" max="15089" width="9" style="3" bestFit="1" customWidth="1"/>
    <col min="15090" max="15090" width="7.85546875" style="3" bestFit="1" customWidth="1"/>
    <col min="15091" max="15091" width="11.7109375" style="3" bestFit="1" customWidth="1"/>
    <col min="15092" max="15092" width="14.28515625" style="3" customWidth="1"/>
    <col min="15093" max="15093" width="11.7109375" style="3" bestFit="1" customWidth="1"/>
    <col min="15094" max="15094" width="14.140625" style="3" bestFit="1" customWidth="1"/>
    <col min="15095" max="15095" width="16.7109375" style="3" customWidth="1"/>
    <col min="15096" max="15096" width="16.5703125" style="3" customWidth="1"/>
    <col min="15097" max="15098" width="7.85546875" style="3" bestFit="1" customWidth="1"/>
    <col min="15099" max="15099" width="8" style="3" bestFit="1" customWidth="1"/>
    <col min="15100" max="15101" width="7.85546875" style="3" bestFit="1" customWidth="1"/>
    <col min="15102" max="15102" width="9.7109375" style="3" customWidth="1"/>
    <col min="15103" max="15103" width="12.85546875" style="3" customWidth="1"/>
    <col min="15104" max="15340" width="9.140625" style="3"/>
    <col min="15341" max="15341" width="9" style="3" bestFit="1" customWidth="1"/>
    <col min="15342" max="15342" width="9.85546875" style="3" bestFit="1" customWidth="1"/>
    <col min="15343" max="15343" width="9.140625" style="3" bestFit="1" customWidth="1"/>
    <col min="15344" max="15344" width="16" style="3" bestFit="1" customWidth="1"/>
    <col min="15345" max="15345" width="9" style="3" bestFit="1" customWidth="1"/>
    <col min="15346" max="15346" width="7.85546875" style="3" bestFit="1" customWidth="1"/>
    <col min="15347" max="15347" width="11.7109375" style="3" bestFit="1" customWidth="1"/>
    <col min="15348" max="15348" width="14.28515625" style="3" customWidth="1"/>
    <col min="15349" max="15349" width="11.7109375" style="3" bestFit="1" customWidth="1"/>
    <col min="15350" max="15350" width="14.140625" style="3" bestFit="1" customWidth="1"/>
    <col min="15351" max="15351" width="16.7109375" style="3" customWidth="1"/>
    <col min="15352" max="15352" width="16.5703125" style="3" customWidth="1"/>
    <col min="15353" max="15354" width="7.85546875" style="3" bestFit="1" customWidth="1"/>
    <col min="15355" max="15355" width="8" style="3" bestFit="1" customWidth="1"/>
    <col min="15356" max="15357" width="7.85546875" style="3" bestFit="1" customWidth="1"/>
    <col min="15358" max="15358" width="9.7109375" style="3" customWidth="1"/>
    <col min="15359" max="15359" width="12.85546875" style="3" customWidth="1"/>
    <col min="15360" max="15596" width="9.140625" style="3"/>
    <col min="15597" max="15597" width="9" style="3" bestFit="1" customWidth="1"/>
    <col min="15598" max="15598" width="9.85546875" style="3" bestFit="1" customWidth="1"/>
    <col min="15599" max="15599" width="9.140625" style="3" bestFit="1" customWidth="1"/>
    <col min="15600" max="15600" width="16" style="3" bestFit="1" customWidth="1"/>
    <col min="15601" max="15601" width="9" style="3" bestFit="1" customWidth="1"/>
    <col min="15602" max="15602" width="7.85546875" style="3" bestFit="1" customWidth="1"/>
    <col min="15603" max="15603" width="11.7109375" style="3" bestFit="1" customWidth="1"/>
    <col min="15604" max="15604" width="14.28515625" style="3" customWidth="1"/>
    <col min="15605" max="15605" width="11.7109375" style="3" bestFit="1" customWidth="1"/>
    <col min="15606" max="15606" width="14.140625" style="3" bestFit="1" customWidth="1"/>
    <col min="15607" max="15607" width="16.7109375" style="3" customWidth="1"/>
    <col min="15608" max="15608" width="16.5703125" style="3" customWidth="1"/>
    <col min="15609" max="15610" width="7.85546875" style="3" bestFit="1" customWidth="1"/>
    <col min="15611" max="15611" width="8" style="3" bestFit="1" customWidth="1"/>
    <col min="15612" max="15613" width="7.85546875" style="3" bestFit="1" customWidth="1"/>
    <col min="15614" max="15614" width="9.7109375" style="3" customWidth="1"/>
    <col min="15615" max="15615" width="12.85546875" style="3" customWidth="1"/>
    <col min="15616" max="15852" width="9.140625" style="3"/>
    <col min="15853" max="15853" width="9" style="3" bestFit="1" customWidth="1"/>
    <col min="15854" max="15854" width="9.85546875" style="3" bestFit="1" customWidth="1"/>
    <col min="15855" max="15855" width="9.140625" style="3" bestFit="1" customWidth="1"/>
    <col min="15856" max="15856" width="16" style="3" bestFit="1" customWidth="1"/>
    <col min="15857" max="15857" width="9" style="3" bestFit="1" customWidth="1"/>
    <col min="15858" max="15858" width="7.85546875" style="3" bestFit="1" customWidth="1"/>
    <col min="15859" max="15859" width="11.7109375" style="3" bestFit="1" customWidth="1"/>
    <col min="15860" max="15860" width="14.28515625" style="3" customWidth="1"/>
    <col min="15861" max="15861" width="11.7109375" style="3" bestFit="1" customWidth="1"/>
    <col min="15862" max="15862" width="14.140625" style="3" bestFit="1" customWidth="1"/>
    <col min="15863" max="15863" width="16.7109375" style="3" customWidth="1"/>
    <col min="15864" max="15864" width="16.5703125" style="3" customWidth="1"/>
    <col min="15865" max="15866" width="7.85546875" style="3" bestFit="1" customWidth="1"/>
    <col min="15867" max="15867" width="8" style="3" bestFit="1" customWidth="1"/>
    <col min="15868" max="15869" width="7.85546875" style="3" bestFit="1" customWidth="1"/>
    <col min="15870" max="15870" width="9.7109375" style="3" customWidth="1"/>
    <col min="15871" max="15871" width="12.85546875" style="3" customWidth="1"/>
    <col min="15872" max="16108" width="9.140625" style="3"/>
    <col min="16109" max="16109" width="9" style="3" bestFit="1" customWidth="1"/>
    <col min="16110" max="16110" width="9.85546875" style="3" bestFit="1" customWidth="1"/>
    <col min="16111" max="16111" width="9.140625" style="3" bestFit="1" customWidth="1"/>
    <col min="16112" max="16112" width="16" style="3" bestFit="1" customWidth="1"/>
    <col min="16113" max="16113" width="9" style="3" bestFit="1" customWidth="1"/>
    <col min="16114" max="16114" width="7.85546875" style="3" bestFit="1" customWidth="1"/>
    <col min="16115" max="16115" width="11.7109375" style="3" bestFit="1" customWidth="1"/>
    <col min="16116" max="16116" width="14.28515625" style="3" customWidth="1"/>
    <col min="16117" max="16117" width="11.7109375" style="3" bestFit="1" customWidth="1"/>
    <col min="16118" max="16118" width="14.140625" style="3" bestFit="1" customWidth="1"/>
    <col min="16119" max="16119" width="16.7109375" style="3" customWidth="1"/>
    <col min="16120" max="16120" width="16.5703125" style="3" customWidth="1"/>
    <col min="16121" max="16122" width="7.85546875" style="3" bestFit="1" customWidth="1"/>
    <col min="16123" max="16123" width="8" style="3" bestFit="1" customWidth="1"/>
    <col min="16124" max="16125" width="7.85546875" style="3" bestFit="1" customWidth="1"/>
    <col min="16126" max="16126" width="9.7109375" style="3" customWidth="1"/>
    <col min="16127" max="16127" width="12.85546875" style="3" customWidth="1"/>
    <col min="16128" max="16384" width="9.140625" style="3"/>
  </cols>
  <sheetData>
    <row r="1" spans="1:28" s="6" customFormat="1" ht="24.75" customHeight="1">
      <c r="A1" s="715" t="s">
        <v>1</v>
      </c>
      <c r="B1" s="717" t="s">
        <v>2</v>
      </c>
      <c r="C1" s="719" t="s">
        <v>0</v>
      </c>
      <c r="D1" s="721" t="s">
        <v>62</v>
      </c>
      <c r="E1" s="710" t="s">
        <v>569</v>
      </c>
      <c r="F1" s="725" t="s">
        <v>84</v>
      </c>
      <c r="G1" s="726"/>
      <c r="H1" s="726"/>
      <c r="I1" s="726"/>
      <c r="J1" s="726"/>
      <c r="K1" s="726"/>
      <c r="L1" s="726"/>
      <c r="M1" s="729" t="s">
        <v>366</v>
      </c>
      <c r="N1" s="729"/>
      <c r="O1" s="727" t="s">
        <v>63</v>
      </c>
      <c r="P1" s="728"/>
      <c r="Q1" s="722" t="s">
        <v>29</v>
      </c>
      <c r="R1" s="723"/>
      <c r="S1" s="723"/>
      <c r="T1" s="723"/>
      <c r="U1" s="723"/>
      <c r="V1" s="723"/>
      <c r="W1" s="723"/>
      <c r="X1" s="723"/>
      <c r="Y1" s="723"/>
      <c r="Z1" s="723"/>
      <c r="AA1" s="723"/>
      <c r="AB1" s="724"/>
    </row>
    <row r="2" spans="1:28" ht="12" thickBot="1">
      <c r="A2" s="716"/>
      <c r="B2" s="718"/>
      <c r="C2" s="720"/>
      <c r="D2" s="711"/>
      <c r="E2" s="711"/>
      <c r="F2" s="87" t="s">
        <v>93</v>
      </c>
      <c r="G2" s="87" t="s">
        <v>3</v>
      </c>
      <c r="H2" s="87" t="s">
        <v>141</v>
      </c>
      <c r="I2" s="87" t="s">
        <v>94</v>
      </c>
      <c r="J2" s="87" t="s">
        <v>95</v>
      </c>
      <c r="K2" s="87" t="s">
        <v>96</v>
      </c>
      <c r="L2" s="97" t="s">
        <v>139</v>
      </c>
      <c r="M2" s="64" t="s">
        <v>23</v>
      </c>
      <c r="N2" s="148" t="s">
        <v>69</v>
      </c>
      <c r="O2" s="143" t="s">
        <v>23</v>
      </c>
      <c r="P2" s="96" t="s">
        <v>140</v>
      </c>
      <c r="Q2" s="150">
        <v>1</v>
      </c>
      <c r="R2" s="150" t="s">
        <v>222</v>
      </c>
      <c r="S2" s="150" t="s">
        <v>223</v>
      </c>
      <c r="T2" s="150" t="s">
        <v>224</v>
      </c>
      <c r="U2" s="150" t="s">
        <v>225</v>
      </c>
      <c r="V2" s="150" t="s">
        <v>377</v>
      </c>
      <c r="W2" s="150" t="s">
        <v>378</v>
      </c>
      <c r="X2" s="150" t="s">
        <v>379</v>
      </c>
      <c r="Y2" s="150" t="s">
        <v>380</v>
      </c>
      <c r="Z2" s="150"/>
      <c r="AA2" s="150"/>
      <c r="AB2" s="151"/>
    </row>
    <row r="3" spans="1:28" s="5" customFormat="1" ht="12" thickBot="1">
      <c r="A3" s="582">
        <v>111</v>
      </c>
      <c r="B3" s="514">
        <v>36101</v>
      </c>
      <c r="C3" s="515" t="s">
        <v>560</v>
      </c>
      <c r="D3" s="516"/>
      <c r="E3" s="598">
        <f>D3/340.75</f>
        <v>0</v>
      </c>
      <c r="F3" s="517">
        <f>'2-δικαιώμ'!M3</f>
        <v>2670</v>
      </c>
      <c r="G3" s="517">
        <f>'3-φύλλα2α'!F3</f>
        <v>800</v>
      </c>
      <c r="H3" s="517">
        <f>'4-πολλυπρ'!P3</f>
        <v>3800</v>
      </c>
      <c r="I3" s="516">
        <f>'5-αντίγρ'!M3</f>
        <v>1958</v>
      </c>
      <c r="J3" s="516">
        <f>'6-μεταγρ'!I3</f>
        <v>0</v>
      </c>
      <c r="K3" s="516">
        <f>'7-προςΔΟΥ'!F3</f>
        <v>0</v>
      </c>
      <c r="L3" s="516"/>
      <c r="M3" s="517">
        <f t="shared" ref="M3:M11" si="0">F3+G3+H3+I3+J3+K3+L3</f>
        <v>9228</v>
      </c>
      <c r="N3" s="517">
        <v>6542</v>
      </c>
      <c r="O3" s="511">
        <f>N3-Q3-'14-βιβλΕσ'!M3-'8-κ-15-17'!AF3-100-I37</f>
        <v>5162</v>
      </c>
      <c r="P3" s="511">
        <f t="shared" ref="P3:P16" si="1">M3-O3</f>
        <v>4066</v>
      </c>
      <c r="Q3" s="512">
        <f>'1β-ΤΑΧΔΙΚκλπ'!K2</f>
        <v>566</v>
      </c>
      <c r="R3" s="562"/>
      <c r="S3" s="562"/>
      <c r="T3" s="562"/>
      <c r="U3" s="562"/>
      <c r="V3" s="298"/>
      <c r="W3" s="298"/>
      <c r="X3" s="298"/>
      <c r="Y3" s="298"/>
      <c r="Z3" s="298"/>
      <c r="AA3" s="74"/>
      <c r="AB3" s="74"/>
    </row>
    <row r="4" spans="1:28" s="5" customFormat="1">
      <c r="A4" s="462">
        <v>113</v>
      </c>
      <c r="B4" s="360">
        <v>36102</v>
      </c>
      <c r="C4" s="460" t="s">
        <v>597</v>
      </c>
      <c r="D4" s="302">
        <v>2400000</v>
      </c>
      <c r="E4" s="311">
        <f t="shared" ref="E4:E7" si="2">D4/340.75</f>
        <v>7043.2868672046952</v>
      </c>
      <c r="F4" s="273">
        <f>'2-δικαιώμ'!M4</f>
        <v>27206</v>
      </c>
      <c r="G4" s="273">
        <f>'3-φύλλα2α'!F4</f>
        <v>3300</v>
      </c>
      <c r="H4" s="273">
        <f>'4-πολλυπρ'!P4</f>
        <v>0</v>
      </c>
      <c r="I4" s="302">
        <f>'5-αντίγρ'!M4</f>
        <v>7832</v>
      </c>
      <c r="J4" s="302">
        <f>'6-μεταγρ'!I4</f>
        <v>4400</v>
      </c>
      <c r="K4" s="302">
        <f>'7-προςΔΟΥ'!F4</f>
        <v>2200</v>
      </c>
      <c r="L4" s="302"/>
      <c r="M4" s="273">
        <f t="shared" si="0"/>
        <v>44938</v>
      </c>
      <c r="N4" s="273">
        <v>63868</v>
      </c>
      <c r="O4" s="274">
        <f>N4-Q4-'14-βιβλΕσ'!M4-'8-κ-15-17'!AF4-1000-288</f>
        <v>34290</v>
      </c>
      <c r="P4" s="274">
        <f t="shared" si="1"/>
        <v>10648</v>
      </c>
      <c r="Q4" s="417">
        <f>'1β-ΤΑΧΔΙΚκλπ'!K3</f>
        <v>4288</v>
      </c>
      <c r="R4" s="556"/>
      <c r="S4" s="556"/>
      <c r="T4" s="556"/>
      <c r="U4" s="556"/>
      <c r="V4" s="298"/>
      <c r="W4" s="298"/>
      <c r="X4" s="298"/>
      <c r="Y4" s="298"/>
      <c r="Z4" s="298"/>
      <c r="AA4" s="74"/>
      <c r="AB4" s="74"/>
    </row>
    <row r="5" spans="1:28" s="5" customFormat="1">
      <c r="A5" s="409"/>
      <c r="B5" s="299"/>
      <c r="C5" s="296" t="s">
        <v>561</v>
      </c>
      <c r="D5" s="475">
        <v>222222</v>
      </c>
      <c r="E5" s="599">
        <f t="shared" si="2"/>
        <v>652.15553925165079</v>
      </c>
      <c r="F5" s="297">
        <f>'2-δικαιώμ'!M5</f>
        <v>4992.6643999999997</v>
      </c>
      <c r="G5" s="273">
        <f>'3-φύλλα2α'!F5</f>
        <v>3300</v>
      </c>
      <c r="H5" s="273">
        <f>'4-πολλυπρ'!P5</f>
        <v>0</v>
      </c>
      <c r="I5" s="272">
        <f>'5-αντίγρ'!M5</f>
        <v>0</v>
      </c>
      <c r="J5" s="272">
        <f>'6-μεταγρ'!I5</f>
        <v>0</v>
      </c>
      <c r="K5" s="272">
        <f>'7-προςΔΟΥ'!F5</f>
        <v>2200</v>
      </c>
      <c r="L5" s="272"/>
      <c r="M5" s="297">
        <f t="shared" si="0"/>
        <v>10492.6644</v>
      </c>
      <c r="N5" s="297"/>
      <c r="O5" s="274"/>
      <c r="P5" s="274">
        <f t="shared" si="1"/>
        <v>10492.6644</v>
      </c>
      <c r="Q5" s="275">
        <f>'1β-ΤΑΧΔΙΚκλπ'!K4</f>
        <v>0</v>
      </c>
      <c r="R5" s="298"/>
      <c r="S5" s="298"/>
      <c r="T5" s="298"/>
      <c r="U5" s="298"/>
      <c r="V5" s="298"/>
      <c r="W5" s="298"/>
      <c r="X5" s="298"/>
      <c r="Y5" s="298"/>
      <c r="Z5" s="298"/>
      <c r="AA5" s="74"/>
      <c r="AB5" s="74"/>
    </row>
    <row r="6" spans="1:28" s="5" customFormat="1">
      <c r="A6" s="409"/>
      <c r="B6" s="299"/>
      <c r="C6" s="296" t="s">
        <v>598</v>
      </c>
      <c r="D6" s="272">
        <v>2987306</v>
      </c>
      <c r="E6" s="601">
        <f t="shared" si="2"/>
        <v>8766.8554658840785</v>
      </c>
      <c r="F6" s="297">
        <f>'2-δικαιώμ'!M6</f>
        <v>33196.521199999996</v>
      </c>
      <c r="G6" s="297">
        <f>'3-φύλλα2α'!F6</f>
        <v>3300</v>
      </c>
      <c r="H6" s="297">
        <f>'4-πολλυπρ'!P6</f>
        <v>0</v>
      </c>
      <c r="I6" s="272">
        <f>'5-αντίγρ'!M6</f>
        <v>0</v>
      </c>
      <c r="J6" s="272">
        <f>'6-μεταγρ'!I6</f>
        <v>4400</v>
      </c>
      <c r="K6" s="272">
        <f>'7-προςΔΟΥ'!F6</f>
        <v>2200</v>
      </c>
      <c r="L6" s="272"/>
      <c r="M6" s="297">
        <f t="shared" si="0"/>
        <v>43096.521199999996</v>
      </c>
      <c r="N6" s="297"/>
      <c r="O6" s="278"/>
      <c r="P6" s="278">
        <f t="shared" si="1"/>
        <v>43096.521199999996</v>
      </c>
      <c r="Q6" s="275">
        <f>'1β-ΤΑΧΔΙΚκλπ'!K5</f>
        <v>0</v>
      </c>
      <c r="R6" s="298"/>
      <c r="S6" s="298"/>
      <c r="T6" s="298"/>
      <c r="U6" s="298"/>
      <c r="V6" s="298"/>
      <c r="W6" s="298"/>
      <c r="X6" s="298"/>
      <c r="Y6" s="298"/>
      <c r="Z6" s="298"/>
      <c r="AA6" s="74"/>
      <c r="AB6" s="74"/>
    </row>
    <row r="7" spans="1:28" s="5" customFormat="1" ht="12" thickBot="1">
      <c r="A7" s="423"/>
      <c r="B7" s="415"/>
      <c r="C7" s="461" t="s">
        <v>556</v>
      </c>
      <c r="D7" s="416">
        <v>906347</v>
      </c>
      <c r="E7" s="536">
        <f t="shared" si="2"/>
        <v>2659.859134262656</v>
      </c>
      <c r="F7" s="467">
        <f>'2-δικαιώμ'!M7</f>
        <v>11970.7394</v>
      </c>
      <c r="G7" s="467">
        <f>'3-φύλλα2α'!F7</f>
        <v>3300</v>
      </c>
      <c r="H7" s="467">
        <f>'4-πολλυπρ'!P7</f>
        <v>0</v>
      </c>
      <c r="I7" s="416">
        <f>'5-αντίγρ'!M7</f>
        <v>0</v>
      </c>
      <c r="J7" s="416">
        <f>'6-μεταγρ'!I7</f>
        <v>0</v>
      </c>
      <c r="K7" s="416">
        <f>'7-προςΔΟΥ'!F7</f>
        <v>0</v>
      </c>
      <c r="L7" s="416"/>
      <c r="M7" s="467">
        <f t="shared" si="0"/>
        <v>15270.7394</v>
      </c>
      <c r="N7" s="467"/>
      <c r="O7" s="418"/>
      <c r="P7" s="418">
        <f t="shared" si="1"/>
        <v>15270.7394</v>
      </c>
      <c r="Q7" s="474">
        <f>'1β-ΤΑΧΔΙΚκλπ'!K6</f>
        <v>0</v>
      </c>
      <c r="R7" s="560"/>
      <c r="S7" s="560"/>
      <c r="T7" s="298"/>
      <c r="U7" s="298"/>
      <c r="V7" s="298"/>
      <c r="W7" s="298"/>
      <c r="X7" s="298"/>
      <c r="Y7" s="298"/>
      <c r="Z7" s="298"/>
      <c r="AA7" s="74"/>
      <c r="AB7" s="74"/>
    </row>
    <row r="8" spans="1:28" s="5" customFormat="1">
      <c r="A8" s="591">
        <v>114</v>
      </c>
      <c r="B8" s="360">
        <v>36102</v>
      </c>
      <c r="C8" s="460" t="s">
        <v>599</v>
      </c>
      <c r="D8" s="302">
        <v>400000</v>
      </c>
      <c r="E8" s="311">
        <f t="shared" ref="E8:E16" si="3">D8/340.75</f>
        <v>1173.8811445341159</v>
      </c>
      <c r="F8" s="273">
        <f>'2-δικαιώμ'!M8</f>
        <v>6806</v>
      </c>
      <c r="G8" s="273">
        <f>'3-φύλλα2α'!F8</f>
        <v>3300</v>
      </c>
      <c r="H8" s="273">
        <f>'4-πολλυπρ'!P8</f>
        <v>0</v>
      </c>
      <c r="I8" s="302">
        <f>'5-αντίγρ'!M8</f>
        <v>7832</v>
      </c>
      <c r="J8" s="302">
        <f>'6-μεταγρ'!I8</f>
        <v>4400</v>
      </c>
      <c r="K8" s="302">
        <f>'7-προςΔΟΥ'!F8</f>
        <v>2200</v>
      </c>
      <c r="L8" s="302"/>
      <c r="M8" s="273">
        <f t="shared" si="0"/>
        <v>24538</v>
      </c>
      <c r="N8" s="273">
        <v>24460</v>
      </c>
      <c r="O8" s="618">
        <f>N8-Q8-'14-βιβλΕσ'!M8-'8-κ-15-17'!AF8-1000-1288</f>
        <v>13299</v>
      </c>
      <c r="P8" s="274">
        <f t="shared" si="1"/>
        <v>11239</v>
      </c>
      <c r="Q8" s="417">
        <f>'1β-ΤΑΧΔΙΚκλπ'!K7</f>
        <v>3888</v>
      </c>
      <c r="R8" s="556"/>
      <c r="S8" s="556"/>
      <c r="T8" s="298"/>
      <c r="U8" s="298"/>
      <c r="V8" s="298"/>
      <c r="W8" s="298"/>
      <c r="X8" s="298"/>
      <c r="Y8" s="298"/>
      <c r="Z8" s="298"/>
      <c r="AA8" s="74"/>
      <c r="AB8" s="74"/>
    </row>
    <row r="9" spans="1:28" s="5" customFormat="1" ht="12" thickBot="1">
      <c r="A9" s="592"/>
      <c r="B9" s="415"/>
      <c r="C9" s="461" t="s">
        <v>562</v>
      </c>
      <c r="D9" s="476">
        <v>333333</v>
      </c>
      <c r="E9" s="600">
        <f t="shared" si="3"/>
        <v>978.23330887747613</v>
      </c>
      <c r="F9" s="467">
        <f>'2-δικαιώμ'!M9</f>
        <v>6125.9966000000004</v>
      </c>
      <c r="G9" s="467">
        <f>'3-φύλλα2α'!F9</f>
        <v>3300</v>
      </c>
      <c r="H9" s="467">
        <f>'4-πολλυπρ'!P9</f>
        <v>0</v>
      </c>
      <c r="I9" s="416">
        <f>'5-αντίγρ'!M9</f>
        <v>0</v>
      </c>
      <c r="J9" s="416">
        <f>'6-μεταγρ'!I9</f>
        <v>0</v>
      </c>
      <c r="K9" s="416">
        <f>'7-προςΔΟΥ'!F9</f>
        <v>2200</v>
      </c>
      <c r="L9" s="416"/>
      <c r="M9" s="467">
        <f t="shared" si="0"/>
        <v>11625.9966</v>
      </c>
      <c r="N9" s="467"/>
      <c r="O9" s="418"/>
      <c r="P9" s="418"/>
      <c r="Q9" s="474">
        <f>'1β-ΤΑΧΔΙΚκλπ'!K8</f>
        <v>0</v>
      </c>
      <c r="R9" s="560"/>
      <c r="S9" s="298"/>
      <c r="T9" s="298"/>
      <c r="U9" s="298"/>
      <c r="V9" s="298"/>
      <c r="W9" s="298"/>
      <c r="X9" s="298"/>
      <c r="Y9" s="298"/>
      <c r="Z9" s="298"/>
      <c r="AA9" s="74"/>
      <c r="AB9" s="74"/>
    </row>
    <row r="10" spans="1:28" s="5" customFormat="1">
      <c r="A10" s="333" t="s">
        <v>565</v>
      </c>
      <c r="B10" s="360" t="s">
        <v>565</v>
      </c>
      <c r="C10" s="460" t="s">
        <v>600</v>
      </c>
      <c r="D10" s="302"/>
      <c r="E10" s="311">
        <f t="shared" si="3"/>
        <v>0</v>
      </c>
      <c r="F10" s="273">
        <f>'2-δικαιώμ'!M10</f>
        <v>2670</v>
      </c>
      <c r="G10" s="273">
        <f>'3-φύλλα2α'!F10</f>
        <v>800</v>
      </c>
      <c r="H10" s="273">
        <f>'4-πολλυπρ'!P10</f>
        <v>0</v>
      </c>
      <c r="I10" s="302">
        <f>'5-αντίγρ'!M10</f>
        <v>1958</v>
      </c>
      <c r="J10" s="302">
        <f>'6-μεταγρ'!I10</f>
        <v>3300</v>
      </c>
      <c r="K10" s="302">
        <f>'7-προςΔΟΥ'!F10</f>
        <v>0</v>
      </c>
      <c r="L10" s="302"/>
      <c r="M10" s="273">
        <f t="shared" si="0"/>
        <v>8728</v>
      </c>
      <c r="N10" s="273">
        <v>6100</v>
      </c>
      <c r="O10" s="274">
        <f>N10-Q10-'14-βιβλΕσ'!M10-'8-κ-15-17'!AF10-100-139</f>
        <v>5289</v>
      </c>
      <c r="P10" s="274">
        <f t="shared" si="1"/>
        <v>3439</v>
      </c>
      <c r="Q10" s="417">
        <f>'1β-ΤΑΧΔΙΚκλπ'!K9</f>
        <v>0</v>
      </c>
      <c r="R10" s="556"/>
      <c r="S10" s="298"/>
      <c r="T10" s="298"/>
      <c r="U10" s="298"/>
      <c r="V10" s="298"/>
      <c r="W10" s="298"/>
      <c r="X10" s="298"/>
      <c r="Y10" s="298"/>
      <c r="Z10" s="298"/>
      <c r="AA10" s="74"/>
      <c r="AB10" s="74"/>
    </row>
    <row r="11" spans="1:28" s="5" customFormat="1">
      <c r="A11" s="312" t="s">
        <v>565</v>
      </c>
      <c r="B11" s="299" t="s">
        <v>565</v>
      </c>
      <c r="C11" s="296" t="s">
        <v>601</v>
      </c>
      <c r="D11" s="272"/>
      <c r="E11" s="601">
        <f t="shared" si="3"/>
        <v>0</v>
      </c>
      <c r="F11" s="297">
        <f>'2-δικαιώμ'!M11</f>
        <v>2670</v>
      </c>
      <c r="G11" s="297">
        <f>'3-φύλλα2α'!F11</f>
        <v>800</v>
      </c>
      <c r="H11" s="297">
        <f>'4-πολλυπρ'!P11</f>
        <v>0</v>
      </c>
      <c r="I11" s="272">
        <f>'5-αντίγρ'!M11</f>
        <v>1958</v>
      </c>
      <c r="J11" s="272">
        <f>'6-μεταγρ'!I11</f>
        <v>3300</v>
      </c>
      <c r="K11" s="272">
        <f>'7-προςΔΟΥ'!F11</f>
        <v>0</v>
      </c>
      <c r="L11" s="272"/>
      <c r="M11" s="297">
        <f t="shared" si="0"/>
        <v>8728</v>
      </c>
      <c r="N11" s="297">
        <v>6100</v>
      </c>
      <c r="O11" s="278">
        <f>N11-Q11-'14-βιβλΕσ'!M11-'8-κ-15-17'!AF11-100-139</f>
        <v>5289</v>
      </c>
      <c r="P11" s="278">
        <f t="shared" si="1"/>
        <v>3439</v>
      </c>
      <c r="Q11" s="275">
        <f>'1β-ΤΑΧΔΙΚκλπ'!K10</f>
        <v>0</v>
      </c>
      <c r="R11" s="298"/>
      <c r="S11" s="298"/>
      <c r="T11" s="298"/>
      <c r="U11" s="298"/>
      <c r="V11" s="298"/>
      <c r="W11" s="298"/>
      <c r="X11" s="298"/>
      <c r="Y11" s="298"/>
      <c r="Z11" s="298"/>
      <c r="AA11" s="74"/>
      <c r="AB11" s="74"/>
    </row>
    <row r="12" spans="1:28" s="5" customFormat="1" ht="12" thickBot="1">
      <c r="A12" s="421">
        <v>552</v>
      </c>
      <c r="B12" s="415">
        <v>36384</v>
      </c>
      <c r="C12" s="461" t="s">
        <v>534</v>
      </c>
      <c r="D12" s="416"/>
      <c r="E12" s="536">
        <f t="shared" si="3"/>
        <v>0</v>
      </c>
      <c r="F12" s="467">
        <f>'2-δικαιώμ'!M12</f>
        <v>2670</v>
      </c>
      <c r="G12" s="467">
        <f>'3-φύλλα2α'!F12</f>
        <v>800</v>
      </c>
      <c r="H12" s="467">
        <f>'4-πολλυπρ'!P12</f>
        <v>0</v>
      </c>
      <c r="I12" s="416">
        <f>'5-αντίγρ'!M12</f>
        <v>1958</v>
      </c>
      <c r="J12" s="416">
        <f>'6-μεταγρ'!I12</f>
        <v>0</v>
      </c>
      <c r="K12" s="416">
        <f>'7-προςΔΟΥ'!F12</f>
        <v>0</v>
      </c>
      <c r="L12" s="416"/>
      <c r="M12" s="467">
        <f t="shared" ref="M12:M16" si="4">F12+G12+H12+I12+J12+K12+L12</f>
        <v>5428</v>
      </c>
      <c r="N12" s="467">
        <v>6542</v>
      </c>
      <c r="O12" s="418">
        <f>N12-Q12-'14-βιβλΕσ'!M12-'8-κ-15-17'!AF12-100</f>
        <v>5574</v>
      </c>
      <c r="P12" s="418">
        <f t="shared" si="1"/>
        <v>-146</v>
      </c>
      <c r="Q12" s="474">
        <f>'1β-ΤΑΧΔΙΚκλπ'!K11</f>
        <v>296</v>
      </c>
      <c r="R12" s="560"/>
      <c r="S12" s="560"/>
      <c r="T12" s="298"/>
      <c r="U12" s="298"/>
      <c r="V12" s="298"/>
      <c r="W12" s="298"/>
      <c r="X12" s="298"/>
      <c r="Y12" s="298"/>
      <c r="Z12" s="298"/>
      <c r="AA12" s="74"/>
      <c r="AB12" s="74"/>
    </row>
    <row r="13" spans="1:28" s="5" customFormat="1">
      <c r="A13" s="462">
        <v>564</v>
      </c>
      <c r="B13" s="360">
        <v>36388</v>
      </c>
      <c r="C13" s="460" t="s">
        <v>553</v>
      </c>
      <c r="D13" s="302">
        <v>3450000</v>
      </c>
      <c r="E13" s="311">
        <f t="shared" si="3"/>
        <v>10124.72487160675</v>
      </c>
      <c r="F13" s="273">
        <f>'2-δικαιώμ'!M13</f>
        <v>37916</v>
      </c>
      <c r="G13" s="273">
        <f>'3-φύλλα2α'!F13</f>
        <v>3300</v>
      </c>
      <c r="H13" s="273">
        <f>'4-πολλυπρ'!P13</f>
        <v>0</v>
      </c>
      <c r="I13" s="302">
        <f>'5-αντίγρ'!M13</f>
        <v>7832</v>
      </c>
      <c r="J13" s="302">
        <f>'6-μεταγρ'!I13</f>
        <v>4400</v>
      </c>
      <c r="K13" s="302">
        <f>'7-προςΔΟΥ'!F13</f>
        <v>2200</v>
      </c>
      <c r="L13" s="302"/>
      <c r="M13" s="273">
        <f t="shared" si="4"/>
        <v>55648</v>
      </c>
      <c r="N13" s="273">
        <v>82625</v>
      </c>
      <c r="O13" s="274">
        <f>N13-Q13-'14-βιβλΕσ'!M13-'8-κ-15-17'!AF13-1000-288</f>
        <v>45327</v>
      </c>
      <c r="P13" s="274">
        <f t="shared" si="1"/>
        <v>10321</v>
      </c>
      <c r="Q13" s="417">
        <f>'1β-ΤΑΧΔΙΚκλπ'!K12</f>
        <v>3688</v>
      </c>
      <c r="R13" s="556"/>
      <c r="S13" s="556"/>
      <c r="T13" s="298"/>
      <c r="U13" s="298"/>
      <c r="V13" s="298"/>
      <c r="W13" s="298"/>
      <c r="X13" s="298"/>
      <c r="Y13" s="298"/>
      <c r="Z13" s="298"/>
      <c r="AA13" s="74"/>
      <c r="AB13" s="74"/>
    </row>
    <row r="14" spans="1:28" s="5" customFormat="1">
      <c r="A14" s="409"/>
      <c r="B14" s="299"/>
      <c r="C14" s="296" t="s">
        <v>563</v>
      </c>
      <c r="D14" s="475">
        <v>3333333</v>
      </c>
      <c r="E14" s="599">
        <f t="shared" si="3"/>
        <v>9782.3418928833453</v>
      </c>
      <c r="F14" s="297">
        <f>'2-δικαιώμ'!M14</f>
        <v>36725.996599999999</v>
      </c>
      <c r="G14" s="297">
        <f>'3-φύλλα2α'!F14</f>
        <v>3300</v>
      </c>
      <c r="H14" s="297">
        <f>'4-πολλυπρ'!P14</f>
        <v>0</v>
      </c>
      <c r="I14" s="272">
        <f>'5-αντίγρ'!M14</f>
        <v>0</v>
      </c>
      <c r="J14" s="272">
        <f>'6-μεταγρ'!I14</f>
        <v>0</v>
      </c>
      <c r="K14" s="272">
        <f>'7-προςΔΟΥ'!F14</f>
        <v>2200</v>
      </c>
      <c r="L14" s="272"/>
      <c r="M14" s="297">
        <f t="shared" si="4"/>
        <v>42225.996599999999</v>
      </c>
      <c r="N14" s="297"/>
      <c r="O14" s="274"/>
      <c r="P14" s="278">
        <f t="shared" si="1"/>
        <v>42225.996599999999</v>
      </c>
      <c r="Q14" s="275">
        <f>'1β-ΤΑΧΔΙΚκλπ'!K13</f>
        <v>0</v>
      </c>
      <c r="R14" s="298"/>
      <c r="S14" s="298"/>
      <c r="T14" s="298"/>
      <c r="U14" s="298"/>
      <c r="V14" s="298"/>
      <c r="W14" s="298"/>
      <c r="X14" s="298"/>
      <c r="Y14" s="298"/>
      <c r="Z14" s="298"/>
      <c r="AA14" s="74"/>
      <c r="AB14" s="74"/>
    </row>
    <row r="15" spans="1:28" s="5" customFormat="1">
      <c r="A15" s="409"/>
      <c r="B15" s="299"/>
      <c r="C15" s="296" t="s">
        <v>564</v>
      </c>
      <c r="D15" s="272">
        <v>3450000</v>
      </c>
      <c r="E15" s="601">
        <f t="shared" si="3"/>
        <v>10124.72487160675</v>
      </c>
      <c r="F15" s="297">
        <f>'2-δικαιώμ'!M15</f>
        <v>37916</v>
      </c>
      <c r="G15" s="297">
        <f>'3-φύλλα2α'!F15</f>
        <v>3300</v>
      </c>
      <c r="H15" s="297">
        <f>'4-πολλυπρ'!P15</f>
        <v>0</v>
      </c>
      <c r="I15" s="272">
        <f>'5-αντίγρ'!M15</f>
        <v>0</v>
      </c>
      <c r="J15" s="272">
        <f>'6-μεταγρ'!I15</f>
        <v>4400</v>
      </c>
      <c r="K15" s="272">
        <f>'7-προςΔΟΥ'!F15</f>
        <v>2200</v>
      </c>
      <c r="L15" s="272"/>
      <c r="M15" s="297">
        <f t="shared" si="4"/>
        <v>47816</v>
      </c>
      <c r="N15" s="297"/>
      <c r="O15" s="274"/>
      <c r="P15" s="278">
        <f t="shared" si="1"/>
        <v>47816</v>
      </c>
      <c r="Q15" s="275">
        <f>'1β-ΤΑΧΔΙΚκλπ'!K14</f>
        <v>0</v>
      </c>
      <c r="R15" s="298"/>
      <c r="S15" s="298"/>
      <c r="T15" s="298"/>
      <c r="U15" s="298"/>
      <c r="V15" s="298"/>
      <c r="W15" s="298"/>
      <c r="X15" s="298"/>
      <c r="Y15" s="298"/>
      <c r="Z15" s="298"/>
      <c r="AA15" s="74"/>
      <c r="AB15" s="74"/>
    </row>
    <row r="16" spans="1:28" s="5" customFormat="1">
      <c r="A16" s="409"/>
      <c r="B16" s="299"/>
      <c r="C16" s="296" t="s">
        <v>556</v>
      </c>
      <c r="D16" s="475">
        <v>111111</v>
      </c>
      <c r="E16" s="599">
        <f t="shared" si="3"/>
        <v>326.0777696258254</v>
      </c>
      <c r="F16" s="297">
        <f>'2-δικαιώμ'!M16</f>
        <v>3950</v>
      </c>
      <c r="G16" s="297">
        <f>'3-φύλλα2α'!F16</f>
        <v>3300</v>
      </c>
      <c r="H16" s="297">
        <f>'4-πολλυπρ'!P16</f>
        <v>0</v>
      </c>
      <c r="I16" s="272">
        <f>'5-αντίγρ'!M16</f>
        <v>0</v>
      </c>
      <c r="J16" s="272">
        <f>'6-μεταγρ'!I16</f>
        <v>0</v>
      </c>
      <c r="K16" s="272">
        <f>'7-προςΔΟΥ'!F16</f>
        <v>0</v>
      </c>
      <c r="L16" s="272"/>
      <c r="M16" s="297">
        <f t="shared" si="4"/>
        <v>7250</v>
      </c>
      <c r="N16" s="297"/>
      <c r="O16" s="274"/>
      <c r="P16" s="278">
        <f t="shared" si="1"/>
        <v>7250</v>
      </c>
      <c r="Q16" s="275">
        <f>'1β-ΤΑΧΔΙΚκλπ'!K15</f>
        <v>0</v>
      </c>
      <c r="R16" s="298"/>
      <c r="S16" s="298"/>
      <c r="T16" s="298"/>
      <c r="U16" s="298"/>
      <c r="V16" s="298"/>
      <c r="W16" s="298"/>
      <c r="X16" s="298"/>
      <c r="Y16" s="298"/>
      <c r="Z16" s="298"/>
      <c r="AA16" s="74"/>
      <c r="AB16" s="74"/>
    </row>
    <row r="17" spans="1:28">
      <c r="A17" s="713" t="s">
        <v>47</v>
      </c>
      <c r="B17" s="714"/>
      <c r="C17" s="714"/>
      <c r="D17" s="714"/>
      <c r="E17" s="593"/>
      <c r="F17" s="419">
        <f t="shared" ref="F17:P17" si="5">SUM(F3:F16)</f>
        <v>217485.91820000001</v>
      </c>
      <c r="G17" s="419">
        <f t="shared" si="5"/>
        <v>36200</v>
      </c>
      <c r="H17" s="419">
        <f t="shared" si="5"/>
        <v>3800</v>
      </c>
      <c r="I17" s="419">
        <f t="shared" si="5"/>
        <v>31328</v>
      </c>
      <c r="J17" s="419">
        <f t="shared" si="5"/>
        <v>28600</v>
      </c>
      <c r="K17" s="419">
        <f t="shared" si="5"/>
        <v>17600</v>
      </c>
      <c r="L17" s="419">
        <f t="shared" si="5"/>
        <v>0</v>
      </c>
      <c r="M17" s="419">
        <f t="shared" si="5"/>
        <v>335013.91820000001</v>
      </c>
      <c r="N17" s="419">
        <f t="shared" si="5"/>
        <v>196237</v>
      </c>
      <c r="O17" s="419">
        <f t="shared" si="5"/>
        <v>114230</v>
      </c>
      <c r="P17" s="419">
        <f t="shared" si="5"/>
        <v>209157.9216</v>
      </c>
    </row>
    <row r="19" spans="1:28">
      <c r="C19" s="127" t="s">
        <v>594</v>
      </c>
      <c r="Q19" s="197" t="s">
        <v>99</v>
      </c>
      <c r="R19" s="126"/>
      <c r="S19" s="126"/>
      <c r="T19" s="126"/>
      <c r="U19" s="136"/>
      <c r="V19" s="136"/>
      <c r="W19" s="136"/>
      <c r="X19" s="136"/>
      <c r="Y19" s="136"/>
      <c r="AA19" s="126"/>
      <c r="AB19" s="126"/>
    </row>
    <row r="20" spans="1:28">
      <c r="C20" s="300" t="s">
        <v>595</v>
      </c>
      <c r="D20" s="8"/>
      <c r="E20" s="8"/>
      <c r="L20" s="211" t="s">
        <v>370</v>
      </c>
      <c r="M20" s="8"/>
      <c r="N20" s="8"/>
      <c r="Q20" s="8"/>
      <c r="R20" s="114" t="s">
        <v>372</v>
      </c>
      <c r="S20" s="114"/>
      <c r="T20" s="114"/>
      <c r="U20" s="128"/>
      <c r="V20" s="136"/>
      <c r="W20" s="136"/>
      <c r="X20" s="136"/>
      <c r="Y20" s="136"/>
      <c r="AA20" s="127"/>
      <c r="AB20" s="114"/>
    </row>
    <row r="21" spans="1:28">
      <c r="C21" s="617" t="s">
        <v>596</v>
      </c>
      <c r="D21" s="8"/>
      <c r="E21" s="8"/>
      <c r="F21" s="8"/>
      <c r="G21" s="165"/>
      <c r="L21" s="153" t="s">
        <v>226</v>
      </c>
      <c r="M21" s="116"/>
      <c r="N21" s="116"/>
      <c r="Q21" s="8"/>
      <c r="R21" s="114"/>
      <c r="S21" s="114" t="s">
        <v>136</v>
      </c>
      <c r="T21" s="114"/>
      <c r="U21" s="136"/>
      <c r="V21" s="136"/>
      <c r="W21" s="136"/>
      <c r="X21" s="136"/>
      <c r="Y21" s="136"/>
      <c r="AA21" s="114"/>
    </row>
    <row r="22" spans="1:28">
      <c r="D22" s="8"/>
      <c r="G22" s="165"/>
      <c r="L22" s="210" t="s">
        <v>227</v>
      </c>
      <c r="Q22" s="8"/>
      <c r="T22" s="114" t="s">
        <v>371</v>
      </c>
      <c r="U22" s="91"/>
      <c r="V22" s="91"/>
      <c r="W22" s="91"/>
      <c r="X22" s="91"/>
      <c r="Y22" s="91"/>
    </row>
    <row r="23" spans="1:28">
      <c r="C23" s="616"/>
      <c r="F23" s="8"/>
      <c r="G23" s="82"/>
      <c r="H23" s="8"/>
      <c r="I23" s="8"/>
      <c r="J23" s="8"/>
      <c r="K23" s="8"/>
      <c r="L23" s="8"/>
      <c r="M23" s="8"/>
      <c r="N23" s="8"/>
      <c r="O23" s="8"/>
      <c r="P23" s="8"/>
      <c r="Q23" s="8"/>
      <c r="U23" s="114" t="s">
        <v>373</v>
      </c>
      <c r="V23" s="136"/>
      <c r="W23" s="136"/>
      <c r="X23" s="136"/>
      <c r="Y23" s="136"/>
    </row>
    <row r="24" spans="1:28">
      <c r="F24" s="8"/>
      <c r="Q24" s="8"/>
      <c r="U24" s="91"/>
      <c r="V24" s="136" t="s">
        <v>374</v>
      </c>
      <c r="W24" s="136"/>
      <c r="X24" s="136"/>
      <c r="Y24" s="136"/>
    </row>
    <row r="25" spans="1:28">
      <c r="A25" s="8" t="s">
        <v>592</v>
      </c>
      <c r="B25" s="134">
        <v>28338</v>
      </c>
      <c r="C25" s="3" t="s">
        <v>593</v>
      </c>
      <c r="D25" s="8"/>
      <c r="F25" s="8"/>
      <c r="Q25" s="8"/>
      <c r="U25" s="91"/>
      <c r="V25" s="91"/>
      <c r="W25" s="136" t="s">
        <v>375</v>
      </c>
      <c r="X25" s="91"/>
      <c r="Y25" s="91"/>
    </row>
    <row r="26" spans="1:28">
      <c r="C26" s="616" t="s">
        <v>578</v>
      </c>
      <c r="D26" s="8"/>
      <c r="F26" s="8"/>
      <c r="Q26" s="8"/>
      <c r="U26" s="91"/>
      <c r="V26" s="91"/>
      <c r="W26" s="91"/>
      <c r="X26" s="212" t="s">
        <v>376</v>
      </c>
      <c r="Y26" s="91"/>
    </row>
    <row r="27" spans="1:28">
      <c r="D27" s="8"/>
    </row>
    <row r="28" spans="1:28">
      <c r="D28" s="8"/>
      <c r="F28" s="8"/>
      <c r="H28" s="8"/>
      <c r="I28" s="8"/>
      <c r="J28" s="8" t="s">
        <v>252</v>
      </c>
      <c r="K28" s="463" t="s">
        <v>554</v>
      </c>
      <c r="L28" s="344"/>
      <c r="M28" s="712" t="s">
        <v>504</v>
      </c>
      <c r="N28" s="712"/>
    </row>
    <row r="29" spans="1:28">
      <c r="D29" s="8"/>
      <c r="F29" s="343" t="s">
        <v>580</v>
      </c>
      <c r="G29" s="8">
        <v>6542</v>
      </c>
      <c r="H29" s="2" t="s">
        <v>315</v>
      </c>
      <c r="I29" s="58">
        <v>100</v>
      </c>
      <c r="J29" s="58"/>
      <c r="K29" s="58">
        <v>100</v>
      </c>
      <c r="L29" s="58"/>
      <c r="M29" s="58">
        <v>100</v>
      </c>
      <c r="N29" s="58"/>
      <c r="O29" s="8"/>
      <c r="P29" s="2" t="s">
        <v>315</v>
      </c>
      <c r="Q29" s="8"/>
      <c r="R29" s="3" t="s">
        <v>536</v>
      </c>
    </row>
    <row r="30" spans="1:28">
      <c r="F30" s="361"/>
      <c r="H30" s="2" t="s">
        <v>365</v>
      </c>
      <c r="I30" s="58"/>
      <c r="J30" s="58"/>
      <c r="K30" s="58"/>
      <c r="L30" s="58"/>
      <c r="M30" s="58"/>
      <c r="N30" s="58"/>
      <c r="O30" s="8"/>
      <c r="P30" s="2" t="s">
        <v>516</v>
      </c>
      <c r="Q30" s="8"/>
      <c r="R30" s="3" t="s">
        <v>369</v>
      </c>
    </row>
    <row r="31" spans="1:28">
      <c r="F31" s="343"/>
      <c r="H31" s="2" t="s">
        <v>79</v>
      </c>
      <c r="I31" s="58">
        <v>3000</v>
      </c>
      <c r="J31" s="58">
        <v>330</v>
      </c>
      <c r="K31" s="58">
        <v>3000</v>
      </c>
      <c r="L31" s="58"/>
      <c r="M31" s="58">
        <v>3000</v>
      </c>
      <c r="N31" s="58"/>
      <c r="O31" s="8"/>
      <c r="P31" s="8">
        <v>3600</v>
      </c>
      <c r="Q31" s="8"/>
      <c r="U31" s="8"/>
    </row>
    <row r="32" spans="1:28">
      <c r="H32" s="2" t="s">
        <v>500</v>
      </c>
      <c r="I32" s="58"/>
      <c r="J32" s="58"/>
      <c r="K32" s="58"/>
      <c r="L32" s="58"/>
      <c r="M32" s="58"/>
      <c r="N32" s="58"/>
      <c r="O32" s="8"/>
      <c r="P32" s="2" t="s">
        <v>517</v>
      </c>
      <c r="Q32" s="8"/>
      <c r="U32" s="8"/>
    </row>
    <row r="33" spans="3:21">
      <c r="H33" s="345" t="s">
        <v>501</v>
      </c>
      <c r="I33" s="58"/>
      <c r="J33" s="58"/>
      <c r="K33" s="58"/>
      <c r="L33" s="58"/>
      <c r="M33" s="58"/>
      <c r="N33" s="58"/>
      <c r="O33" s="8"/>
      <c r="P33" s="2" t="s">
        <v>518</v>
      </c>
      <c r="Q33" s="8"/>
    </row>
    <row r="34" spans="3:21">
      <c r="H34" s="132" t="s">
        <v>502</v>
      </c>
      <c r="I34" s="58"/>
      <c r="J34" s="58"/>
      <c r="K34" s="58"/>
      <c r="L34" s="58"/>
      <c r="M34" s="58"/>
      <c r="N34" s="58"/>
      <c r="O34" s="8"/>
      <c r="P34" s="2" t="s">
        <v>519</v>
      </c>
      <c r="Q34" s="8"/>
      <c r="U34" s="366"/>
    </row>
    <row r="35" spans="3:21">
      <c r="H35" s="2" t="s">
        <v>503</v>
      </c>
      <c r="I35" s="58">
        <v>1100</v>
      </c>
      <c r="J35" s="58"/>
      <c r="K35" s="58">
        <v>1100</v>
      </c>
      <c r="L35" s="58"/>
      <c r="M35" s="58">
        <v>1100</v>
      </c>
      <c r="N35" s="58"/>
      <c r="O35" s="8"/>
      <c r="P35" s="2" t="s">
        <v>520</v>
      </c>
      <c r="Q35" s="8"/>
    </row>
    <row r="36" spans="3:21">
      <c r="G36" s="425"/>
      <c r="H36" s="2" t="s">
        <v>94</v>
      </c>
      <c r="I36" s="58">
        <v>2200</v>
      </c>
      <c r="J36" s="58">
        <v>242</v>
      </c>
      <c r="K36" s="58">
        <v>2200</v>
      </c>
      <c r="L36" s="58"/>
      <c r="M36" s="58">
        <v>2200</v>
      </c>
      <c r="N36" s="58"/>
      <c r="O36" s="8"/>
      <c r="P36" s="2" t="s">
        <v>521</v>
      </c>
      <c r="Q36" s="8"/>
    </row>
    <row r="37" spans="3:21">
      <c r="H37" s="200" t="s">
        <v>454</v>
      </c>
      <c r="I37" s="432">
        <v>142</v>
      </c>
      <c r="J37" s="8"/>
      <c r="K37" s="8"/>
      <c r="L37" s="8"/>
      <c r="M37" s="8"/>
      <c r="N37" s="8"/>
      <c r="O37" s="8"/>
    </row>
    <row r="38" spans="3:21">
      <c r="I38" s="223">
        <f>SUM(I29:I37)</f>
        <v>6542</v>
      </c>
      <c r="J38" s="223">
        <f>SUM(J29:J37)</f>
        <v>572</v>
      </c>
      <c r="K38" s="223">
        <f>SUM(K29:K37)</f>
        <v>6400</v>
      </c>
      <c r="L38" s="223"/>
      <c r="M38" s="223">
        <f>SUM(M29:M37)</f>
        <v>6400</v>
      </c>
      <c r="N38" s="223">
        <f>SUM(N29:N37)</f>
        <v>0</v>
      </c>
      <c r="O38" s="365">
        <f>SUM(M38:N38)</f>
        <v>6400</v>
      </c>
    </row>
    <row r="39" spans="3:21">
      <c r="I39" s="8">
        <f>G29-I38</f>
        <v>0</v>
      </c>
    </row>
    <row r="41" spans="3:21">
      <c r="F41" s="8"/>
      <c r="H41" s="223" t="s">
        <v>576</v>
      </c>
      <c r="I41" s="465" t="s">
        <v>555</v>
      </c>
      <c r="J41" s="8" t="s">
        <v>252</v>
      </c>
      <c r="K41" s="463" t="s">
        <v>554</v>
      </c>
      <c r="L41" s="344"/>
      <c r="M41" s="712" t="s">
        <v>504</v>
      </c>
      <c r="N41" s="712"/>
      <c r="O41" s="712"/>
    </row>
    <row r="42" spans="3:21">
      <c r="F42" s="343" t="s">
        <v>581</v>
      </c>
      <c r="G42" s="8">
        <v>63868</v>
      </c>
      <c r="H42" s="2" t="s">
        <v>315</v>
      </c>
      <c r="I42" s="58">
        <v>1000</v>
      </c>
      <c r="J42" s="58"/>
      <c r="K42" s="58">
        <v>1000</v>
      </c>
      <c r="L42" s="58"/>
      <c r="M42" s="58">
        <v>1000</v>
      </c>
      <c r="N42" s="58">
        <v>1000</v>
      </c>
      <c r="O42" s="58">
        <v>1000</v>
      </c>
      <c r="P42" s="58">
        <v>1000</v>
      </c>
      <c r="Q42" s="8"/>
      <c r="R42" s="8">
        <v>1000</v>
      </c>
      <c r="S42" s="2" t="s">
        <v>315</v>
      </c>
      <c r="T42" s="8">
        <v>288</v>
      </c>
      <c r="U42" s="3" t="s">
        <v>536</v>
      </c>
    </row>
    <row r="43" spans="3:21">
      <c r="F43" s="361"/>
      <c r="H43" s="2" t="s">
        <v>365</v>
      </c>
      <c r="I43" s="466">
        <f>R45+R47</f>
        <v>18476</v>
      </c>
      <c r="J43" s="58"/>
      <c r="K43" s="58">
        <v>18600</v>
      </c>
      <c r="L43" s="58"/>
      <c r="M43" s="58">
        <v>18600</v>
      </c>
      <c r="N43" s="58">
        <v>1722</v>
      </c>
      <c r="O43" s="58"/>
      <c r="P43" s="58">
        <v>11783</v>
      </c>
      <c r="Q43" s="8"/>
      <c r="R43" s="8">
        <v>27098</v>
      </c>
      <c r="S43" s="2" t="s">
        <v>516</v>
      </c>
      <c r="T43" s="8"/>
    </row>
    <row r="44" spans="3:21">
      <c r="F44" s="343"/>
      <c r="H44" s="2" t="s">
        <v>79</v>
      </c>
      <c r="I44" s="58"/>
      <c r="J44" s="58"/>
      <c r="K44" s="58"/>
      <c r="L44" s="58"/>
      <c r="M44" s="58"/>
      <c r="N44" s="58"/>
      <c r="O44" s="58"/>
      <c r="P44" s="58"/>
      <c r="Q44" s="8"/>
      <c r="R44" s="8">
        <v>3600</v>
      </c>
      <c r="S44" s="8">
        <v>3600</v>
      </c>
      <c r="T44" s="8"/>
    </row>
    <row r="45" spans="3:21">
      <c r="H45" s="2" t="s">
        <v>500</v>
      </c>
      <c r="I45" s="609"/>
      <c r="J45" s="58"/>
      <c r="K45" s="58">
        <v>1000</v>
      </c>
      <c r="L45" s="58"/>
      <c r="M45" s="58">
        <v>1000</v>
      </c>
      <c r="N45" s="58">
        <v>1000</v>
      </c>
      <c r="O45" s="58">
        <v>1000</v>
      </c>
      <c r="P45" s="58">
        <v>1000</v>
      </c>
      <c r="Q45" s="8"/>
      <c r="R45" s="8">
        <v>15600</v>
      </c>
      <c r="S45" s="2" t="s">
        <v>517</v>
      </c>
      <c r="T45" s="8"/>
    </row>
    <row r="46" spans="3:21">
      <c r="H46" s="345" t="s">
        <v>501</v>
      </c>
      <c r="I46" s="58">
        <v>3600</v>
      </c>
      <c r="J46" s="58"/>
      <c r="K46" s="8">
        <v>3600</v>
      </c>
      <c r="L46" s="58"/>
      <c r="M46" s="8">
        <v>3600</v>
      </c>
      <c r="N46" s="8">
        <v>3600</v>
      </c>
      <c r="O46" s="8">
        <v>3600</v>
      </c>
      <c r="P46" s="8">
        <v>3600</v>
      </c>
      <c r="Q46" s="8"/>
      <c r="R46" s="8">
        <v>3000</v>
      </c>
      <c r="S46" s="2" t="s">
        <v>518</v>
      </c>
      <c r="T46" s="8"/>
      <c r="U46" s="366"/>
    </row>
    <row r="47" spans="3:21">
      <c r="H47" s="132" t="s">
        <v>502</v>
      </c>
      <c r="I47" s="466">
        <v>27098</v>
      </c>
      <c r="J47" s="58">
        <f>Q46+Q48+Q49</f>
        <v>0</v>
      </c>
      <c r="K47" s="58">
        <v>27360</v>
      </c>
      <c r="L47" s="58"/>
      <c r="M47" s="58">
        <v>27360</v>
      </c>
      <c r="N47" s="58">
        <v>1227</v>
      </c>
      <c r="O47" s="58">
        <v>34408</v>
      </c>
      <c r="P47" s="58">
        <v>9436</v>
      </c>
      <c r="Q47" s="8"/>
      <c r="R47" s="8">
        <v>2876</v>
      </c>
      <c r="S47" s="2" t="s">
        <v>519</v>
      </c>
      <c r="T47" s="8"/>
    </row>
    <row r="48" spans="3:21">
      <c r="C48" s="300"/>
      <c r="H48" s="2" t="s">
        <v>503</v>
      </c>
      <c r="I48" s="58">
        <v>3300</v>
      </c>
      <c r="J48" s="58"/>
      <c r="K48" s="58">
        <v>3300</v>
      </c>
      <c r="L48" s="58"/>
      <c r="M48" s="58">
        <v>3300</v>
      </c>
      <c r="N48" s="58">
        <v>3300</v>
      </c>
      <c r="O48" s="58">
        <v>3300</v>
      </c>
      <c r="P48" s="58">
        <v>3300</v>
      </c>
      <c r="Q48" s="8"/>
      <c r="R48" s="8">
        <v>1598</v>
      </c>
      <c r="S48" s="2" t="s">
        <v>520</v>
      </c>
      <c r="T48" s="8"/>
    </row>
    <row r="49" spans="3:20">
      <c r="C49" s="300"/>
      <c r="G49" s="425"/>
      <c r="H49" s="2" t="s">
        <v>94</v>
      </c>
      <c r="I49" s="466">
        <v>7880</v>
      </c>
      <c r="J49" s="58">
        <v>640</v>
      </c>
      <c r="K49" s="58">
        <v>8800</v>
      </c>
      <c r="L49" s="58"/>
      <c r="M49" s="58">
        <v>8800</v>
      </c>
      <c r="N49" s="58"/>
      <c r="O49" s="58"/>
      <c r="P49" s="58"/>
      <c r="Q49" s="8"/>
      <c r="R49" s="8">
        <v>288</v>
      </c>
      <c r="S49" s="2" t="s">
        <v>521</v>
      </c>
      <c r="T49" s="8"/>
    </row>
    <row r="50" spans="3:20">
      <c r="C50" s="300"/>
      <c r="H50" s="200" t="s">
        <v>454</v>
      </c>
      <c r="I50" s="432">
        <v>2514</v>
      </c>
      <c r="J50" s="8"/>
      <c r="K50" s="8"/>
      <c r="L50" s="8"/>
      <c r="M50" s="8"/>
      <c r="N50" s="8"/>
      <c r="O50" s="8"/>
      <c r="P50" s="8"/>
      <c r="Q50" s="366"/>
    </row>
    <row r="51" spans="3:20">
      <c r="C51" s="300"/>
      <c r="I51" s="223">
        <f>SUM(I42:I50)</f>
        <v>63868</v>
      </c>
      <c r="J51" s="223">
        <f>SUM(J42:J50)</f>
        <v>640</v>
      </c>
      <c r="K51" s="223">
        <f>SUM(K42:K50)</f>
        <v>63660</v>
      </c>
      <c r="L51" s="223"/>
      <c r="M51" s="223">
        <f>SUM(M42:M50)</f>
        <v>63660</v>
      </c>
      <c r="N51" s="223">
        <f>SUM(N42:N50)</f>
        <v>11849</v>
      </c>
      <c r="O51" s="223">
        <f>SUM(O42:O50)</f>
        <v>43308</v>
      </c>
      <c r="P51" s="223">
        <f>SUM(P42:P50)</f>
        <v>30119</v>
      </c>
      <c r="Q51" s="630">
        <f>SUM(M51:P51)</f>
        <v>148936</v>
      </c>
    </row>
    <row r="52" spans="3:20">
      <c r="C52" s="300"/>
      <c r="I52" s="465">
        <f>G42-I51</f>
        <v>0</v>
      </c>
    </row>
    <row r="53" spans="3:20">
      <c r="C53" s="300"/>
    </row>
    <row r="54" spans="3:20">
      <c r="C54" s="300"/>
      <c r="F54" s="8"/>
      <c r="H54" s="8"/>
      <c r="I54" s="465" t="s">
        <v>555</v>
      </c>
      <c r="J54" s="8" t="s">
        <v>252</v>
      </c>
      <c r="K54" s="463" t="s">
        <v>554</v>
      </c>
      <c r="L54" s="344"/>
      <c r="M54" s="712" t="s">
        <v>504</v>
      </c>
      <c r="N54" s="712"/>
    </row>
    <row r="55" spans="3:20">
      <c r="C55" s="300"/>
      <c r="F55" s="343" t="s">
        <v>582</v>
      </c>
      <c r="G55" s="8">
        <v>24460</v>
      </c>
      <c r="H55" s="2" t="s">
        <v>315</v>
      </c>
      <c r="I55" s="58">
        <v>1000</v>
      </c>
      <c r="J55" s="58"/>
      <c r="K55" s="58">
        <v>1000</v>
      </c>
      <c r="L55" s="58"/>
      <c r="M55" s="58">
        <v>1000</v>
      </c>
      <c r="N55" s="58">
        <v>1000</v>
      </c>
      <c r="O55" s="58">
        <v>1000</v>
      </c>
      <c r="P55" s="2" t="s">
        <v>315</v>
      </c>
      <c r="Q55" s="8">
        <v>288</v>
      </c>
      <c r="R55" s="3" t="s">
        <v>536</v>
      </c>
    </row>
    <row r="56" spans="3:20">
      <c r="C56" s="300"/>
      <c r="F56" s="361"/>
      <c r="H56" s="2" t="s">
        <v>365</v>
      </c>
      <c r="I56" s="58">
        <f>O60+O59</f>
        <v>3100</v>
      </c>
      <c r="J56" s="58"/>
      <c r="K56" s="58">
        <v>3100</v>
      </c>
      <c r="L56" s="58"/>
      <c r="M56" s="58">
        <v>3100</v>
      </c>
      <c r="N56" s="58">
        <v>2583</v>
      </c>
      <c r="O56" s="58">
        <v>6765</v>
      </c>
      <c r="P56" s="2" t="s">
        <v>516</v>
      </c>
      <c r="Q56" s="8"/>
    </row>
    <row r="57" spans="3:20">
      <c r="C57" s="300"/>
      <c r="F57" s="343"/>
      <c r="H57" s="2" t="s">
        <v>79</v>
      </c>
      <c r="I57" s="58"/>
      <c r="J57" s="58"/>
      <c r="K57" s="58"/>
      <c r="L57" s="58"/>
      <c r="M57" s="58"/>
      <c r="N57" s="58"/>
      <c r="O57" s="58">
        <v>3600</v>
      </c>
      <c r="P57" s="8">
        <v>3600</v>
      </c>
      <c r="Q57" s="8"/>
      <c r="T57" s="8"/>
    </row>
    <row r="58" spans="3:20">
      <c r="C58" s="9" t="s">
        <v>577</v>
      </c>
      <c r="H58" s="2" t="s">
        <v>500</v>
      </c>
      <c r="I58" s="609"/>
      <c r="J58" s="58"/>
      <c r="K58" s="58">
        <v>1000</v>
      </c>
      <c r="L58" s="58"/>
      <c r="M58" s="58">
        <v>1000</v>
      </c>
      <c r="N58" s="58">
        <v>1000</v>
      </c>
      <c r="O58" s="58">
        <v>717</v>
      </c>
      <c r="P58" s="2" t="s">
        <v>517</v>
      </c>
      <c r="Q58" s="8"/>
      <c r="T58" s="8"/>
    </row>
    <row r="59" spans="3:20">
      <c r="C59" s="300"/>
      <c r="H59" s="345" t="s">
        <v>501</v>
      </c>
      <c r="I59" s="58">
        <v>3600</v>
      </c>
      <c r="J59" s="58"/>
      <c r="K59" s="58">
        <v>3600</v>
      </c>
      <c r="L59" s="58"/>
      <c r="M59" s="58">
        <v>3600</v>
      </c>
      <c r="N59" s="58">
        <v>3600</v>
      </c>
      <c r="O59" s="58">
        <v>500</v>
      </c>
      <c r="P59" s="2" t="s">
        <v>518</v>
      </c>
      <c r="Q59" s="8"/>
      <c r="R59" s="366"/>
    </row>
    <row r="60" spans="3:20">
      <c r="C60" s="300"/>
      <c r="H60" s="132" t="s">
        <v>502</v>
      </c>
      <c r="I60" s="611">
        <v>6765</v>
      </c>
      <c r="J60" s="58">
        <f>O58+O61+O62</f>
        <v>1195</v>
      </c>
      <c r="K60" s="58">
        <v>3360</v>
      </c>
      <c r="L60" s="58"/>
      <c r="M60" s="58">
        <v>3360</v>
      </c>
      <c r="N60" s="58">
        <v>25620</v>
      </c>
      <c r="O60" s="58">
        <v>2600</v>
      </c>
      <c r="P60" s="2" t="s">
        <v>519</v>
      </c>
      <c r="Q60" s="8"/>
    </row>
    <row r="61" spans="3:20">
      <c r="C61" s="300"/>
      <c r="H61" s="2" t="s">
        <v>503</v>
      </c>
      <c r="I61" s="609"/>
      <c r="J61" s="58"/>
      <c r="K61" s="58">
        <v>3300</v>
      </c>
      <c r="L61" s="58"/>
      <c r="M61" s="58">
        <v>3300</v>
      </c>
      <c r="N61" s="58">
        <v>3300</v>
      </c>
      <c r="O61" s="58">
        <v>398</v>
      </c>
      <c r="P61" s="2" t="s">
        <v>520</v>
      </c>
      <c r="Q61" s="8"/>
    </row>
    <row r="62" spans="3:20">
      <c r="C62" s="300"/>
      <c r="G62" s="425"/>
      <c r="H62" s="2" t="s">
        <v>94</v>
      </c>
      <c r="I62" s="466">
        <v>7880</v>
      </c>
      <c r="J62" s="58">
        <v>690</v>
      </c>
      <c r="K62" s="58">
        <v>8800</v>
      </c>
      <c r="L62" s="58"/>
      <c r="M62" s="58">
        <v>8800</v>
      </c>
      <c r="N62" s="58">
        <v>8800</v>
      </c>
      <c r="O62" s="58">
        <v>80</v>
      </c>
      <c r="P62" s="2" t="s">
        <v>521</v>
      </c>
      <c r="Q62" s="8"/>
    </row>
    <row r="63" spans="3:20">
      <c r="C63" s="300"/>
      <c r="H63" s="200" t="s">
        <v>454</v>
      </c>
      <c r="I63" s="432">
        <v>2115</v>
      </c>
      <c r="J63" s="58"/>
      <c r="K63" s="58"/>
      <c r="L63" s="58"/>
      <c r="M63" s="58"/>
      <c r="N63" s="58"/>
      <c r="O63" s="58"/>
    </row>
    <row r="64" spans="3:20">
      <c r="C64" s="300"/>
      <c r="I64" s="223">
        <f>SUM(I55:I63)</f>
        <v>24460</v>
      </c>
      <c r="J64" s="223">
        <f>SUM(J55:J63)</f>
        <v>1885</v>
      </c>
      <c r="K64" s="223">
        <f>SUM(K55:K63)</f>
        <v>24160</v>
      </c>
      <c r="L64" s="223"/>
      <c r="M64" s="223">
        <f>SUM(M55:M63)</f>
        <v>24160</v>
      </c>
      <c r="N64" s="223">
        <f>SUM(N55:N63)</f>
        <v>45903</v>
      </c>
      <c r="O64" s="365">
        <f>SUM(M64:N64)</f>
        <v>70063</v>
      </c>
    </row>
    <row r="65" spans="3:20">
      <c r="C65" s="300"/>
      <c r="I65" s="2">
        <f>G55-I64</f>
        <v>0</v>
      </c>
    </row>
    <row r="66" spans="3:20">
      <c r="C66" s="300"/>
    </row>
    <row r="67" spans="3:20">
      <c r="J67" s="8" t="s">
        <v>252</v>
      </c>
      <c r="K67" s="602" t="s">
        <v>554</v>
      </c>
      <c r="L67" s="344"/>
      <c r="M67" s="712" t="s">
        <v>504</v>
      </c>
      <c r="N67" s="712"/>
      <c r="O67" s="712"/>
      <c r="P67" s="712"/>
      <c r="Q67" s="712"/>
    </row>
    <row r="68" spans="3:20">
      <c r="F68" s="343" t="s">
        <v>585</v>
      </c>
      <c r="G68" s="8">
        <v>6542</v>
      </c>
      <c r="H68" s="2" t="s">
        <v>315</v>
      </c>
      <c r="I68" s="8">
        <v>100</v>
      </c>
      <c r="J68" s="8"/>
      <c r="K68" s="8">
        <v>100</v>
      </c>
      <c r="L68" s="8"/>
      <c r="M68" s="8">
        <v>100</v>
      </c>
      <c r="N68" s="8"/>
      <c r="O68" s="8"/>
      <c r="P68" s="8"/>
      <c r="Q68" s="8"/>
      <c r="R68" s="2"/>
      <c r="S68" s="8"/>
      <c r="T68" s="2" t="s">
        <v>315</v>
      </c>
    </row>
    <row r="69" spans="3:20">
      <c r="F69" s="343"/>
      <c r="H69" s="132" t="s">
        <v>570</v>
      </c>
      <c r="I69" s="8"/>
      <c r="J69" s="8"/>
      <c r="K69" s="8"/>
      <c r="L69" s="8"/>
      <c r="M69" s="8"/>
      <c r="N69" s="8"/>
      <c r="O69" s="8"/>
      <c r="P69" s="8"/>
      <c r="Q69" s="8"/>
      <c r="R69" s="2"/>
      <c r="S69" s="8"/>
      <c r="T69" s="2" t="s">
        <v>536</v>
      </c>
    </row>
    <row r="70" spans="3:20">
      <c r="F70" s="343"/>
      <c r="H70" s="2" t="s">
        <v>79</v>
      </c>
      <c r="I70" s="8">
        <v>3000</v>
      </c>
      <c r="J70" s="8">
        <v>330</v>
      </c>
      <c r="K70" s="8">
        <v>3000</v>
      </c>
      <c r="L70" s="8"/>
      <c r="M70" s="8">
        <v>3000</v>
      </c>
      <c r="N70" s="8"/>
      <c r="O70" s="8"/>
      <c r="P70" s="8"/>
      <c r="Q70" s="8"/>
      <c r="R70" s="2"/>
      <c r="S70" s="8"/>
      <c r="T70" s="2"/>
    </row>
    <row r="71" spans="3:20">
      <c r="F71" s="343"/>
      <c r="H71" s="2" t="s">
        <v>500</v>
      </c>
      <c r="I71" s="8"/>
      <c r="J71" s="8"/>
      <c r="K71" s="8"/>
      <c r="L71" s="8"/>
      <c r="M71" s="8"/>
      <c r="N71" s="8"/>
      <c r="O71" s="8"/>
      <c r="P71" s="8"/>
      <c r="Q71" s="8"/>
      <c r="R71" s="2"/>
      <c r="S71" s="8"/>
      <c r="T71" s="2"/>
    </row>
    <row r="72" spans="3:20">
      <c r="F72" s="343"/>
      <c r="H72" s="345" t="s">
        <v>501</v>
      </c>
      <c r="I72" s="8"/>
      <c r="J72" s="8"/>
      <c r="K72" s="8"/>
      <c r="L72" s="8"/>
      <c r="M72" s="8"/>
      <c r="N72" s="8"/>
      <c r="O72" s="8"/>
      <c r="P72" s="8"/>
      <c r="Q72" s="8"/>
      <c r="R72" s="2"/>
      <c r="S72" s="8"/>
      <c r="T72" s="2" t="s">
        <v>520</v>
      </c>
    </row>
    <row r="73" spans="3:20">
      <c r="F73" s="343"/>
      <c r="H73" s="603" t="s">
        <v>502</v>
      </c>
      <c r="I73" s="8"/>
      <c r="J73" s="8"/>
      <c r="K73" s="8"/>
      <c r="L73" s="8"/>
      <c r="M73" s="8"/>
      <c r="N73" s="8"/>
      <c r="O73" s="8"/>
      <c r="P73" s="8"/>
      <c r="Q73" s="8"/>
      <c r="R73" s="2"/>
      <c r="S73" s="8"/>
      <c r="T73" s="2" t="s">
        <v>521</v>
      </c>
    </row>
    <row r="74" spans="3:20">
      <c r="F74" s="343"/>
      <c r="H74" s="2" t="s">
        <v>503</v>
      </c>
      <c r="I74" s="8">
        <v>800</v>
      </c>
      <c r="J74" s="8"/>
      <c r="K74" s="8">
        <v>800</v>
      </c>
      <c r="L74" s="8"/>
      <c r="M74" s="8">
        <v>800</v>
      </c>
      <c r="N74" s="8"/>
      <c r="O74" s="8"/>
      <c r="P74" s="8"/>
      <c r="Q74" s="8"/>
      <c r="R74" s="2"/>
      <c r="S74" s="8"/>
      <c r="T74" s="2"/>
    </row>
    <row r="75" spans="3:20">
      <c r="F75" s="343"/>
      <c r="H75" s="2" t="s">
        <v>94</v>
      </c>
      <c r="I75" s="8">
        <v>2200</v>
      </c>
      <c r="J75" s="8">
        <v>242</v>
      </c>
      <c r="K75" s="8">
        <v>2200</v>
      </c>
      <c r="L75" s="8"/>
      <c r="M75" s="8">
        <v>2200</v>
      </c>
      <c r="N75" s="8"/>
      <c r="O75" s="8"/>
      <c r="P75" s="8"/>
      <c r="Q75" s="8"/>
      <c r="R75" s="2"/>
      <c r="S75" s="58"/>
      <c r="T75" s="3" t="s">
        <v>571</v>
      </c>
    </row>
    <row r="76" spans="3:20">
      <c r="F76" s="343"/>
      <c r="H76" s="2" t="s">
        <v>365</v>
      </c>
      <c r="I76" s="58"/>
      <c r="J76" s="8"/>
      <c r="K76" s="8"/>
      <c r="L76" s="8"/>
      <c r="M76" s="8"/>
      <c r="N76" s="8"/>
      <c r="O76" s="8"/>
      <c r="P76" s="8"/>
      <c r="Q76" s="8"/>
      <c r="R76" s="2"/>
      <c r="S76" s="8"/>
      <c r="T76" s="3" t="s">
        <v>517</v>
      </c>
    </row>
    <row r="77" spans="3:20">
      <c r="F77" s="343"/>
      <c r="G77" s="223"/>
      <c r="H77" s="199" t="s">
        <v>454</v>
      </c>
      <c r="I77" s="604">
        <v>442</v>
      </c>
      <c r="J77" s="8"/>
      <c r="K77" s="8"/>
      <c r="L77" s="8"/>
      <c r="M77" s="8"/>
      <c r="N77" s="8"/>
      <c r="O77" s="8"/>
      <c r="P77" s="8"/>
      <c r="Q77" s="8"/>
      <c r="R77" s="8"/>
      <c r="S77" s="8"/>
      <c r="T77" s="3" t="s">
        <v>95</v>
      </c>
    </row>
    <row r="78" spans="3:20">
      <c r="I78" s="223">
        <f>SUM(I68:I77)</f>
        <v>6542</v>
      </c>
      <c r="J78" s="223">
        <f>SUM(J68:J77)</f>
        <v>572</v>
      </c>
      <c r="K78" s="223">
        <f>SUM(K68:K77)</f>
        <v>6100</v>
      </c>
      <c r="L78" s="223"/>
      <c r="M78" s="223">
        <f>SUM(M68:M77)</f>
        <v>6100</v>
      </c>
      <c r="N78" s="223">
        <f>SUM(N68:N77)</f>
        <v>0</v>
      </c>
      <c r="O78" s="223">
        <f>SUM(O68:O77)</f>
        <v>0</v>
      </c>
      <c r="P78" s="223">
        <f t="shared" ref="P78:Q78" si="6">SUM(P68:P77)</f>
        <v>0</v>
      </c>
      <c r="Q78" s="223">
        <f t="shared" si="6"/>
        <v>0</v>
      </c>
      <c r="R78" s="432">
        <f>SUM(M78:Q78)</f>
        <v>6100</v>
      </c>
      <c r="S78" s="8"/>
    </row>
    <row r="79" spans="3:20">
      <c r="I79" s="8">
        <f>G68-I78</f>
        <v>0</v>
      </c>
      <c r="Q79" s="2"/>
      <c r="R79" s="2"/>
      <c r="T79" s="8"/>
    </row>
    <row r="80" spans="3:20">
      <c r="Q80" s="8"/>
    </row>
    <row r="81" spans="3:20">
      <c r="J81" s="8" t="s">
        <v>252</v>
      </c>
      <c r="K81" s="602" t="s">
        <v>554</v>
      </c>
      <c r="L81" s="344"/>
      <c r="M81" s="712" t="s">
        <v>504</v>
      </c>
      <c r="N81" s="712"/>
      <c r="O81" s="712"/>
      <c r="P81" s="712"/>
      <c r="Q81" s="712"/>
    </row>
    <row r="82" spans="3:20">
      <c r="C82" s="3" t="s">
        <v>587</v>
      </c>
      <c r="F82" s="343" t="s">
        <v>586</v>
      </c>
      <c r="G82" s="8">
        <v>82625</v>
      </c>
      <c r="H82" s="2" t="s">
        <v>315</v>
      </c>
      <c r="I82" s="8">
        <v>1000</v>
      </c>
      <c r="J82" s="8"/>
      <c r="K82" s="8">
        <v>1000</v>
      </c>
      <c r="L82" s="8"/>
      <c r="M82" s="8">
        <v>1000</v>
      </c>
      <c r="N82" s="8">
        <v>1000</v>
      </c>
      <c r="O82" s="8">
        <v>1000</v>
      </c>
      <c r="P82" s="8">
        <v>1000</v>
      </c>
      <c r="Q82" s="8"/>
      <c r="R82" s="2"/>
      <c r="S82" s="8">
        <v>1000</v>
      </c>
      <c r="T82" s="2" t="s">
        <v>315</v>
      </c>
    </row>
    <row r="83" spans="3:20">
      <c r="C83" s="3" t="s">
        <v>588</v>
      </c>
      <c r="F83" s="343"/>
      <c r="H83" s="132" t="s">
        <v>570</v>
      </c>
      <c r="I83" s="8"/>
      <c r="J83" s="8">
        <v>2228</v>
      </c>
      <c r="K83" s="8"/>
      <c r="L83" s="8"/>
      <c r="M83" s="8"/>
      <c r="N83" s="8"/>
      <c r="O83" s="8"/>
      <c r="P83" s="8"/>
      <c r="Q83" s="8"/>
      <c r="R83" s="2"/>
      <c r="S83" s="8">
        <v>288</v>
      </c>
      <c r="T83" s="2" t="s">
        <v>536</v>
      </c>
    </row>
    <row r="84" spans="3:20">
      <c r="F84" s="343"/>
      <c r="H84" s="2" t="s">
        <v>79</v>
      </c>
      <c r="I84" s="8"/>
      <c r="J84" s="8">
        <v>446</v>
      </c>
      <c r="K84" s="8"/>
      <c r="L84" s="8"/>
      <c r="M84" s="8"/>
      <c r="N84" s="8"/>
      <c r="O84" s="8"/>
      <c r="P84" s="8"/>
      <c r="Q84" s="8"/>
      <c r="R84" s="2"/>
      <c r="S84" s="8">
        <v>3600</v>
      </c>
      <c r="T84" s="2">
        <v>3600</v>
      </c>
    </row>
    <row r="85" spans="3:20">
      <c r="C85" s="9" t="s">
        <v>572</v>
      </c>
      <c r="F85" s="343"/>
      <c r="H85" s="2" t="s">
        <v>500</v>
      </c>
      <c r="I85" s="8"/>
      <c r="J85" s="8"/>
      <c r="K85" s="8">
        <v>1000</v>
      </c>
      <c r="L85" s="8"/>
      <c r="M85" s="8">
        <v>1000</v>
      </c>
      <c r="N85" s="8">
        <v>1000</v>
      </c>
      <c r="O85" s="8">
        <v>1000</v>
      </c>
      <c r="P85" s="8">
        <v>1000</v>
      </c>
      <c r="Q85" s="8"/>
      <c r="R85" s="2"/>
      <c r="S85" s="8">
        <v>37876</v>
      </c>
      <c r="T85" s="2" t="s">
        <v>369</v>
      </c>
    </row>
    <row r="86" spans="3:20">
      <c r="C86" s="300" t="s">
        <v>573</v>
      </c>
      <c r="F86" s="343"/>
      <c r="H86" s="345" t="s">
        <v>501</v>
      </c>
      <c r="I86" s="58">
        <v>3600</v>
      </c>
      <c r="J86" s="8"/>
      <c r="K86" s="8">
        <v>3600</v>
      </c>
      <c r="L86" s="8"/>
      <c r="M86" s="8">
        <v>3600</v>
      </c>
      <c r="N86" s="8">
        <v>3600</v>
      </c>
      <c r="O86" s="8">
        <v>3600</v>
      </c>
      <c r="P86" s="8">
        <v>3600</v>
      </c>
      <c r="Q86" s="8"/>
      <c r="R86" s="2"/>
      <c r="S86" s="8">
        <v>2228</v>
      </c>
      <c r="T86" s="2" t="s">
        <v>520</v>
      </c>
    </row>
    <row r="87" spans="3:20">
      <c r="C87" s="300" t="s">
        <v>574</v>
      </c>
      <c r="F87" s="343"/>
      <c r="H87" s="603" t="s">
        <v>502</v>
      </c>
      <c r="I87" s="466">
        <v>37876</v>
      </c>
      <c r="J87" s="8">
        <v>4313</v>
      </c>
      <c r="K87" s="8">
        <v>39960</v>
      </c>
      <c r="L87" s="8"/>
      <c r="M87" s="8">
        <v>39960</v>
      </c>
      <c r="N87" s="8">
        <v>38560</v>
      </c>
      <c r="O87" s="8">
        <v>39960</v>
      </c>
      <c r="P87" s="8"/>
      <c r="Q87" s="8"/>
      <c r="R87" s="2"/>
      <c r="S87" s="8">
        <v>446</v>
      </c>
      <c r="T87" s="2" t="s">
        <v>521</v>
      </c>
    </row>
    <row r="88" spans="3:20">
      <c r="F88" s="343"/>
      <c r="H88" s="2" t="s">
        <v>503</v>
      </c>
      <c r="I88" s="58"/>
      <c r="J88" s="8"/>
      <c r="K88" s="8">
        <v>3000</v>
      </c>
      <c r="L88" s="8"/>
      <c r="M88" s="8">
        <v>3000</v>
      </c>
      <c r="N88" s="8">
        <v>3000</v>
      </c>
      <c r="O88" s="8">
        <v>3000</v>
      </c>
      <c r="P88" s="8">
        <v>3000</v>
      </c>
      <c r="Q88" s="8"/>
      <c r="R88" s="2"/>
      <c r="S88" s="8"/>
      <c r="T88" s="2"/>
    </row>
    <row r="89" spans="3:20">
      <c r="F89" s="343"/>
      <c r="H89" s="2" t="s">
        <v>94</v>
      </c>
      <c r="I89" s="466">
        <v>7880</v>
      </c>
      <c r="J89" s="8">
        <v>680</v>
      </c>
      <c r="K89" s="8">
        <v>8800</v>
      </c>
      <c r="L89" s="8"/>
      <c r="M89" s="8">
        <v>8800</v>
      </c>
      <c r="N89" s="8"/>
      <c r="O89" s="8"/>
      <c r="P89" s="8"/>
      <c r="Q89" s="8"/>
      <c r="R89" s="2"/>
      <c r="S89" s="58">
        <v>4010</v>
      </c>
      <c r="T89" s="3" t="s">
        <v>571</v>
      </c>
    </row>
    <row r="90" spans="3:20">
      <c r="F90" s="343"/>
      <c r="H90" s="2" t="s">
        <v>365</v>
      </c>
      <c r="I90" s="466">
        <v>24710</v>
      </c>
      <c r="J90" s="8"/>
      <c r="K90" s="8">
        <v>26738</v>
      </c>
      <c r="L90" s="8"/>
      <c r="M90" s="8">
        <v>26738</v>
      </c>
      <c r="N90" s="8">
        <v>25833</v>
      </c>
      <c r="O90" s="8">
        <v>26738</v>
      </c>
      <c r="P90" s="8">
        <v>1444</v>
      </c>
      <c r="Q90" s="8"/>
      <c r="R90" s="2"/>
      <c r="S90" s="8">
        <v>20700</v>
      </c>
      <c r="T90" s="3" t="s">
        <v>517</v>
      </c>
    </row>
    <row r="91" spans="3:20">
      <c r="F91" s="343"/>
      <c r="G91" s="223"/>
      <c r="H91" s="199" t="s">
        <v>454</v>
      </c>
      <c r="I91" s="604">
        <v>7559</v>
      </c>
      <c r="J91" s="8"/>
      <c r="K91" s="8"/>
      <c r="L91" s="8"/>
      <c r="M91" s="8"/>
      <c r="N91" s="8"/>
      <c r="O91" s="8"/>
      <c r="P91" s="8"/>
      <c r="Q91" s="8"/>
      <c r="R91" s="8"/>
      <c r="S91" s="8">
        <v>4313</v>
      </c>
      <c r="T91" s="3" t="s">
        <v>95</v>
      </c>
    </row>
    <row r="92" spans="3:20">
      <c r="I92" s="223">
        <f>SUM(I82:I91)</f>
        <v>82625</v>
      </c>
      <c r="J92" s="223">
        <f>SUM(J82:J91)</f>
        <v>7667</v>
      </c>
      <c r="K92" s="223">
        <f>SUM(K82:K91)</f>
        <v>84098</v>
      </c>
      <c r="L92" s="223"/>
      <c r="M92" s="223">
        <f>SUM(M82:M91)</f>
        <v>84098</v>
      </c>
      <c r="N92" s="223">
        <f>SUM(N82:N91)</f>
        <v>72993</v>
      </c>
      <c r="O92" s="223">
        <f>SUM(O82:O91)</f>
        <v>75298</v>
      </c>
      <c r="P92" s="223">
        <f t="shared" ref="P92:Q92" si="7">SUM(P82:P91)</f>
        <v>10044</v>
      </c>
      <c r="Q92" s="223">
        <f t="shared" si="7"/>
        <v>0</v>
      </c>
      <c r="R92" s="432">
        <f>SUM(M92:Q92)</f>
        <v>242433</v>
      </c>
      <c r="S92" s="8"/>
    </row>
    <row r="93" spans="3:20">
      <c r="I93" s="8">
        <f>G82-I92</f>
        <v>0</v>
      </c>
      <c r="Q93" s="2"/>
      <c r="R93" s="2"/>
      <c r="T93" s="8"/>
    </row>
    <row r="94" spans="3:20">
      <c r="Q94" s="8"/>
    </row>
    <row r="95" spans="3:20">
      <c r="Q95" s="8"/>
    </row>
    <row r="96" spans="3:20">
      <c r="F96" s="2" t="s">
        <v>591</v>
      </c>
      <c r="I96" s="8">
        <v>3000</v>
      </c>
      <c r="J96" s="8">
        <v>800</v>
      </c>
      <c r="K96" s="8">
        <v>2200</v>
      </c>
      <c r="L96" s="8">
        <v>100</v>
      </c>
      <c r="M96" s="8"/>
      <c r="N96" s="432">
        <f>SUM(I96:M96)</f>
        <v>6100</v>
      </c>
      <c r="O96" s="8"/>
      <c r="P96" s="8"/>
    </row>
  </sheetData>
  <mergeCells count="15">
    <mergeCell ref="E1:E2"/>
    <mergeCell ref="M67:Q67"/>
    <mergeCell ref="M81:Q81"/>
    <mergeCell ref="A17:D17"/>
    <mergeCell ref="A1:A2"/>
    <mergeCell ref="B1:B2"/>
    <mergeCell ref="C1:C2"/>
    <mergeCell ref="D1:D2"/>
    <mergeCell ref="Q1:AB1"/>
    <mergeCell ref="F1:L1"/>
    <mergeCell ref="M28:N28"/>
    <mergeCell ref="M54:N54"/>
    <mergeCell ref="O1:P1"/>
    <mergeCell ref="M1:N1"/>
    <mergeCell ref="M41:O4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41"/>
  <sheetViews>
    <sheetView workbookViewId="0">
      <pane ySplit="2" topLeftCell="A3" activePane="bottomLeft" state="frozen"/>
      <selection pane="bottomLeft" activeCell="C47" sqref="C46:C47"/>
    </sheetView>
  </sheetViews>
  <sheetFormatPr defaultRowHeight="11.25"/>
  <cols>
    <col min="1" max="1" width="8.140625" style="3" bestFit="1" customWidth="1"/>
    <col min="2" max="2" width="51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874" t="s">
        <v>19</v>
      </c>
      <c r="B1" s="876" t="s">
        <v>350</v>
      </c>
      <c r="C1" s="876" t="s">
        <v>86</v>
      </c>
      <c r="D1" s="878" t="s">
        <v>351</v>
      </c>
      <c r="E1" s="879"/>
      <c r="F1" s="879"/>
      <c r="G1" s="880" t="s">
        <v>319</v>
      </c>
      <c r="H1" s="881"/>
      <c r="I1" s="870" t="s">
        <v>320</v>
      </c>
      <c r="J1" s="870"/>
      <c r="K1" s="258"/>
      <c r="L1" s="259"/>
      <c r="M1" s="871" t="s">
        <v>352</v>
      </c>
      <c r="N1" s="871"/>
      <c r="O1" s="871"/>
      <c r="P1" s="259"/>
      <c r="Q1" s="871" t="s">
        <v>353</v>
      </c>
      <c r="R1" s="871"/>
      <c r="S1" s="871"/>
      <c r="T1" s="871"/>
      <c r="U1" s="260"/>
      <c r="V1" s="872" t="s">
        <v>319</v>
      </c>
      <c r="W1" s="872" t="s">
        <v>354</v>
      </c>
      <c r="X1" s="872" t="s">
        <v>355</v>
      </c>
      <c r="Y1" s="260"/>
      <c r="Z1" s="864" t="s">
        <v>356</v>
      </c>
      <c r="AA1" s="865"/>
      <c r="AB1" s="865"/>
      <c r="AC1" s="865"/>
      <c r="AD1" s="866"/>
    </row>
    <row r="2" spans="1:30" ht="12" thickBot="1">
      <c r="A2" s="875"/>
      <c r="B2" s="877"/>
      <c r="C2" s="877"/>
      <c r="D2" s="205" t="s">
        <v>328</v>
      </c>
      <c r="E2" s="205" t="s">
        <v>334</v>
      </c>
      <c r="F2" s="146" t="s">
        <v>335</v>
      </c>
      <c r="G2" s="206" t="s">
        <v>357</v>
      </c>
      <c r="H2" s="207" t="s">
        <v>358</v>
      </c>
      <c r="I2" s="206" t="s">
        <v>359</v>
      </c>
      <c r="J2" s="208" t="s">
        <v>360</v>
      </c>
      <c r="K2" s="261" t="s">
        <v>361</v>
      </c>
      <c r="L2" s="262"/>
      <c r="M2" s="263" t="s">
        <v>364</v>
      </c>
      <c r="N2" s="263" t="s">
        <v>362</v>
      </c>
      <c r="O2" s="263" t="s">
        <v>363</v>
      </c>
      <c r="P2" s="262"/>
      <c r="Q2" s="264" t="s">
        <v>364</v>
      </c>
      <c r="R2" s="265">
        <v>1.2999999999999999E-2</v>
      </c>
      <c r="S2" s="265">
        <v>6.4999999999999997E-3</v>
      </c>
      <c r="T2" s="266">
        <v>1.25E-3</v>
      </c>
      <c r="U2" s="267"/>
      <c r="V2" s="873"/>
      <c r="W2" s="873"/>
      <c r="X2" s="873"/>
      <c r="Y2" s="267"/>
      <c r="Z2" s="268" t="s">
        <v>364</v>
      </c>
      <c r="AA2" s="268" t="s">
        <v>362</v>
      </c>
      <c r="AB2" s="269" t="s">
        <v>363</v>
      </c>
      <c r="AC2" s="268" t="s">
        <v>354</v>
      </c>
      <c r="AD2" s="268" t="s">
        <v>355</v>
      </c>
    </row>
    <row r="3" spans="1:30" s="18" customFormat="1">
      <c r="A3" s="121">
        <f>'1-συμβολαια'!A3</f>
        <v>111</v>
      </c>
      <c r="B3" s="121" t="str">
        <f>'1-συμβολαια'!C3</f>
        <v>πληρεξύσιο</v>
      </c>
      <c r="C3" s="209">
        <f>'1-συμβολαια'!D3</f>
        <v>0</v>
      </c>
      <c r="D3" s="209">
        <f>'8-κ-15-17'!D3</f>
        <v>0</v>
      </c>
      <c r="E3" s="209">
        <f>'8-κ-15-17'!M3</f>
        <v>0</v>
      </c>
      <c r="F3" s="209">
        <f>'8-κ-15-17'!V3</f>
        <v>0</v>
      </c>
      <c r="G3" s="209">
        <f>'2-δικαιώμ'!I3</f>
        <v>0</v>
      </c>
      <c r="H3" s="209">
        <f>'2-δικαιώμ'!J3</f>
        <v>150</v>
      </c>
      <c r="I3" s="209">
        <f>'2-δικαιώμ'!K3</f>
        <v>150</v>
      </c>
      <c r="J3" s="209">
        <f>'2-δικαιώμ'!L3</f>
        <v>30</v>
      </c>
      <c r="M3" s="25"/>
      <c r="N3" s="25"/>
      <c r="O3" s="25"/>
      <c r="Q3" s="12"/>
      <c r="R3" s="12"/>
      <c r="S3" s="12"/>
      <c r="T3" s="12"/>
      <c r="V3" s="12">
        <f>'2-δικαιώμ'!I3+'2-δικαιώμ'!J3</f>
        <v>150</v>
      </c>
      <c r="W3" s="12">
        <f>'2-δικαιώμ'!K3</f>
        <v>150</v>
      </c>
      <c r="X3" s="12">
        <f>'2-δικαιώμ'!L3</f>
        <v>30</v>
      </c>
      <c r="Z3" s="12"/>
      <c r="AA3" s="12"/>
      <c r="AB3" s="12"/>
      <c r="AC3" s="12"/>
      <c r="AD3" s="12"/>
    </row>
    <row r="4" spans="1:30" s="18" customFormat="1">
      <c r="A4" s="121">
        <f>'1-συμβολαια'!A4</f>
        <v>113</v>
      </c>
      <c r="B4" s="121" t="str">
        <f>'1-συμβολαια'!C4</f>
        <v>δωρεάς ΠΡΟΤΑΣΗ [1/2 αγροτεμάχιο ;;;??? [το ανατολικό] Θεολόγος -Ποτός -'';;;???'' 2.798μ2</v>
      </c>
      <c r="C4" s="209">
        <f>'1-συμβολαια'!D4</f>
        <v>2400000</v>
      </c>
      <c r="D4" s="209">
        <f>'8-κ-15-17'!D4</f>
        <v>0</v>
      </c>
      <c r="E4" s="209">
        <f>'8-κ-15-17'!M4</f>
        <v>15600.000000000002</v>
      </c>
      <c r="F4" s="209">
        <f>'8-κ-15-17'!V4</f>
        <v>3000</v>
      </c>
      <c r="G4" s="209">
        <f>'2-δικαιώμ'!I4</f>
        <v>2786.4</v>
      </c>
      <c r="H4" s="209">
        <f>'2-δικαιώμ'!J4</f>
        <v>50</v>
      </c>
      <c r="I4" s="209">
        <f>'2-δικαιώμ'!K4</f>
        <v>1598</v>
      </c>
      <c r="J4" s="209">
        <f>'2-δικαιώμ'!L4</f>
        <v>319.60000000000002</v>
      </c>
      <c r="M4" s="25"/>
      <c r="N4" s="25"/>
      <c r="O4" s="25"/>
      <c r="Q4" s="12"/>
      <c r="R4" s="12"/>
      <c r="S4" s="12"/>
      <c r="T4" s="12"/>
      <c r="V4" s="12">
        <f>'2-δικαιώμ'!I4+'2-δικαιώμ'!J4</f>
        <v>2836.4</v>
      </c>
      <c r="W4" s="12">
        <f>'2-δικαιώμ'!K4</f>
        <v>1598</v>
      </c>
      <c r="X4" s="12">
        <f>'2-δικαιώμ'!L4</f>
        <v>319.60000000000002</v>
      </c>
      <c r="Z4" s="12"/>
      <c r="AA4" s="12"/>
      <c r="AB4" s="12"/>
      <c r="AC4" s="12"/>
      <c r="AD4" s="12"/>
    </row>
    <row r="5" spans="1:30" s="18" customFormat="1">
      <c r="A5" s="121"/>
      <c r="B5" s="121" t="str">
        <f>'1-συμβολαια'!C5</f>
        <v>χρησικτησία αγροτεμαχίου = 1984 ΑΝΑΔΑΣΜΟΣ</v>
      </c>
      <c r="C5" s="209">
        <f>'1-συμβολαια'!D5</f>
        <v>222222</v>
      </c>
      <c r="D5" s="209">
        <f>'8-κ-15-17'!D5</f>
        <v>0</v>
      </c>
      <c r="E5" s="209">
        <f>'8-κ-15-17'!M5</f>
        <v>1444.4430000000002</v>
      </c>
      <c r="F5" s="209">
        <f>'8-κ-15-17'!V5</f>
        <v>277.77750000000003</v>
      </c>
      <c r="G5" s="209">
        <f>'2-δικαιώμ'!I5</f>
        <v>434.39975999999996</v>
      </c>
      <c r="H5" s="209">
        <f>'2-δικαιώμ'!J5</f>
        <v>50</v>
      </c>
      <c r="I5" s="209">
        <f>'2-δικαιώμ'!K5</f>
        <v>291.33319999999998</v>
      </c>
      <c r="J5" s="209">
        <f>'2-δικαιώμ'!L5</f>
        <v>58.266639999999995</v>
      </c>
      <c r="M5" s="25"/>
      <c r="N5" s="25"/>
      <c r="O5" s="25"/>
      <c r="Q5" s="12"/>
      <c r="R5" s="12"/>
      <c r="S5" s="12"/>
      <c r="T5" s="12"/>
      <c r="V5" s="12">
        <f>'2-δικαιώμ'!I5+'2-δικαιώμ'!J5</f>
        <v>484.39975999999996</v>
      </c>
      <c r="W5" s="12">
        <f>'2-δικαιώμ'!K5</f>
        <v>291.33319999999998</v>
      </c>
      <c r="X5" s="12">
        <f>'2-δικαιώμ'!L5</f>
        <v>58.266639999999995</v>
      </c>
      <c r="Z5" s="12"/>
      <c r="AA5" s="12"/>
      <c r="AB5" s="12"/>
      <c r="AC5" s="12"/>
      <c r="AD5" s="12"/>
    </row>
    <row r="6" spans="1:30" s="18" customFormat="1">
      <c r="A6" s="121"/>
      <c r="B6" s="121" t="str">
        <f>'1-συμβολαια'!C6</f>
        <v>διανομή [= ισομερής ΑΛΛΑ βάσει ΦΜΑ της Δ.Ο.Υ (3ου &amp; ;;;???}</v>
      </c>
      <c r="C6" s="209">
        <f>'1-συμβολαια'!D6</f>
        <v>2987306</v>
      </c>
      <c r="D6" s="209">
        <f>'8-κ-15-17'!D6</f>
        <v>0</v>
      </c>
      <c r="E6" s="209">
        <f>'8-κ-15-17'!M6</f>
        <v>0</v>
      </c>
      <c r="F6" s="209">
        <f>'8-κ-15-17'!V6</f>
        <v>0</v>
      </c>
      <c r="G6" s="209">
        <f>'2-δικαιώμ'!I6</f>
        <v>3420.6904799999998</v>
      </c>
      <c r="H6" s="209">
        <f>'2-δικαιώμ'!J6</f>
        <v>50</v>
      </c>
      <c r="I6" s="209">
        <f>'2-δικαιώμ'!K6</f>
        <v>1950.3836000000001</v>
      </c>
      <c r="J6" s="209">
        <f>'2-δικαιώμ'!L6</f>
        <v>390.07672000000002</v>
      </c>
      <c r="M6" s="25"/>
      <c r="N6" s="25"/>
      <c r="O6" s="25"/>
      <c r="Q6" s="12"/>
      <c r="R6" s="12"/>
      <c r="S6" s="12"/>
      <c r="T6" s="12"/>
      <c r="V6" s="12">
        <f>'2-δικαιώμ'!I6+'2-δικαιώμ'!J6</f>
        <v>3470.6904799999998</v>
      </c>
      <c r="W6" s="12">
        <f>'2-δικαιώμ'!K6</f>
        <v>1950.3836000000001</v>
      </c>
      <c r="X6" s="12">
        <f>'2-δικαιώμ'!L6</f>
        <v>390.07672000000002</v>
      </c>
      <c r="Z6" s="12"/>
      <c r="AA6" s="12"/>
      <c r="AB6" s="12"/>
      <c r="AC6" s="12"/>
      <c r="AD6" s="12"/>
    </row>
    <row r="7" spans="1:30" s="18" customFormat="1">
      <c r="A7" s="121"/>
      <c r="B7" s="121" t="str">
        <f>'1-συμβολαια'!C7</f>
        <v>εξισορρόπηση διαφοράς διανεμομένων μεριδίων</v>
      </c>
      <c r="C7" s="209">
        <f>'1-συμβολαια'!D7</f>
        <v>906347</v>
      </c>
      <c r="D7" s="209">
        <f>'8-κ-15-17'!D7</f>
        <v>11782.511</v>
      </c>
      <c r="E7" s="209">
        <f>'8-κ-15-17'!M7</f>
        <v>0</v>
      </c>
      <c r="F7" s="209">
        <f>'8-κ-15-17'!V7</f>
        <v>0</v>
      </c>
      <c r="G7" s="209">
        <f>'2-δικαιώμ'!I7</f>
        <v>1173.25476</v>
      </c>
      <c r="H7" s="209">
        <f>'2-δικαιώμ'!J7</f>
        <v>50</v>
      </c>
      <c r="I7" s="209">
        <f>'2-δικαιώμ'!K7</f>
        <v>701.80820000000006</v>
      </c>
      <c r="J7" s="209">
        <f>'2-δικαιώμ'!L7</f>
        <v>140.36164000000002</v>
      </c>
      <c r="M7" s="25"/>
      <c r="N7" s="25"/>
      <c r="O7" s="25"/>
      <c r="Q7" s="12"/>
      <c r="R7" s="12"/>
      <c r="S7" s="12"/>
      <c r="T7" s="12"/>
      <c r="V7" s="12">
        <f>'2-δικαιώμ'!I7+'2-δικαιώμ'!J7</f>
        <v>1223.25476</v>
      </c>
      <c r="W7" s="12">
        <f>'2-δικαιώμ'!K7</f>
        <v>701.80820000000006</v>
      </c>
      <c r="X7" s="12">
        <f>'2-δικαιώμ'!L7</f>
        <v>140.36164000000002</v>
      </c>
      <c r="Z7" s="12"/>
      <c r="AA7" s="12"/>
      <c r="AB7" s="12"/>
      <c r="AC7" s="12"/>
      <c r="AD7" s="12"/>
    </row>
    <row r="8" spans="1:30" s="18" customFormat="1">
      <c r="A8" s="121">
        <f>'1-συμβολαια'!A8</f>
        <v>114</v>
      </c>
      <c r="B8" s="121" t="str">
        <f>'1-συμβολαια'!C8</f>
        <v>δωρεάς ΠΡΟΤΑΣΗ [αγροτεμάχιο Θεολόγος -'';;;???'' 2.000μ2</v>
      </c>
      <c r="C8" s="209">
        <f>'1-συμβολαια'!D8</f>
        <v>400000</v>
      </c>
      <c r="D8" s="209">
        <f>'8-κ-15-17'!D8</f>
        <v>0</v>
      </c>
      <c r="E8" s="209">
        <f>'8-κ-15-17'!M8</f>
        <v>2600.0000000000005</v>
      </c>
      <c r="F8" s="209">
        <f>'8-κ-15-17'!V8</f>
        <v>500</v>
      </c>
      <c r="G8" s="209">
        <f>'2-δικαιώμ'!I8</f>
        <v>626.4</v>
      </c>
      <c r="H8" s="209">
        <f>'2-δικαιώμ'!J8</f>
        <v>50</v>
      </c>
      <c r="I8" s="209">
        <f>'2-δικαιώμ'!K8</f>
        <v>398</v>
      </c>
      <c r="J8" s="209">
        <f>'2-δικαιώμ'!L8</f>
        <v>79.600000000000009</v>
      </c>
      <c r="M8" s="25"/>
      <c r="N8" s="25"/>
      <c r="O8" s="25"/>
      <c r="Q8" s="12"/>
      <c r="R8" s="12"/>
      <c r="S8" s="12"/>
      <c r="T8" s="12"/>
      <c r="V8" s="12">
        <f>'2-δικαιώμ'!I8+'2-δικαιώμ'!J8</f>
        <v>676.4</v>
      </c>
      <c r="W8" s="12">
        <f>'2-δικαιώμ'!K8</f>
        <v>398</v>
      </c>
      <c r="X8" s="12">
        <f>'2-δικαιώμ'!L8</f>
        <v>79.600000000000009</v>
      </c>
      <c r="Z8" s="12"/>
      <c r="AA8" s="12"/>
      <c r="AB8" s="12"/>
      <c r="AC8" s="12"/>
      <c r="AD8" s="12"/>
    </row>
    <row r="9" spans="1:30" s="18" customFormat="1">
      <c r="A9" s="121"/>
      <c r="B9" s="121" t="str">
        <f>'1-συμβολαια'!C9</f>
        <v>χρησικτησία αγροτεμαχίου = 1910 πατρός ΔΩΡΕΑ άτυπος</v>
      </c>
      <c r="C9" s="209">
        <f>'1-συμβολαια'!D9</f>
        <v>333333</v>
      </c>
      <c r="D9" s="209">
        <f>'8-κ-15-17'!D9</f>
        <v>0</v>
      </c>
      <c r="E9" s="209">
        <f>'8-κ-15-17'!M9</f>
        <v>2166.6645000000003</v>
      </c>
      <c r="F9" s="209">
        <f>'8-κ-15-17'!V9</f>
        <v>416.66624999999999</v>
      </c>
      <c r="G9" s="209">
        <f>'2-δικαιώμ'!I9</f>
        <v>554.39963999999998</v>
      </c>
      <c r="H9" s="209">
        <f>'2-δικαιώμ'!J9</f>
        <v>50</v>
      </c>
      <c r="I9" s="209">
        <f>'2-δικαιώμ'!K9</f>
        <v>357.99980000000005</v>
      </c>
      <c r="J9" s="209">
        <f>'2-δικαιώμ'!L9</f>
        <v>71.599959999999996</v>
      </c>
      <c r="M9" s="25"/>
      <c r="N9" s="25"/>
      <c r="O9" s="25"/>
      <c r="Q9" s="12"/>
      <c r="R9" s="12"/>
      <c r="S9" s="12"/>
      <c r="T9" s="12"/>
      <c r="V9" s="12">
        <f>'2-δικαιώμ'!I9+'2-δικαιώμ'!J9</f>
        <v>604.39963999999998</v>
      </c>
      <c r="W9" s="12">
        <f>'2-δικαιώμ'!K9</f>
        <v>357.99980000000005</v>
      </c>
      <c r="X9" s="12">
        <f>'2-δικαιώμ'!L9</f>
        <v>71.599959999999996</v>
      </c>
      <c r="Z9" s="12"/>
      <c r="AA9" s="12"/>
      <c r="AB9" s="12"/>
      <c r="AC9" s="12"/>
      <c r="AD9" s="12"/>
    </row>
    <row r="10" spans="1:30" s="18" customFormat="1">
      <c r="A10" s="121" t="str">
        <f>'1-συμβολαια'!A10</f>
        <v>;;;???</v>
      </c>
      <c r="B10" s="121" t="str">
        <f>'1-συμβολαια'!C10</f>
        <v>δωρεάς πρότασης 2ου  ΑΠΟΔΟΧΗ</v>
      </c>
      <c r="C10" s="209">
        <f>'1-συμβολαια'!D10</f>
        <v>0</v>
      </c>
      <c r="D10" s="209">
        <f>'8-κ-15-17'!D10</f>
        <v>0</v>
      </c>
      <c r="E10" s="209">
        <f>'8-κ-15-17'!M10</f>
        <v>0</v>
      </c>
      <c r="F10" s="209">
        <f>'8-κ-15-17'!V10</f>
        <v>0</v>
      </c>
      <c r="G10" s="209">
        <f>'2-δικαιώμ'!I10</f>
        <v>0</v>
      </c>
      <c r="H10" s="209">
        <f>'2-δικαιώμ'!J10</f>
        <v>150</v>
      </c>
      <c r="I10" s="209">
        <f>'2-δικαιώμ'!K10</f>
        <v>150</v>
      </c>
      <c r="J10" s="209">
        <f>'2-δικαιώμ'!L10</f>
        <v>30</v>
      </c>
      <c r="M10" s="25"/>
      <c r="N10" s="25"/>
      <c r="O10" s="25"/>
      <c r="Q10" s="12"/>
      <c r="R10" s="12"/>
      <c r="S10" s="12"/>
      <c r="T10" s="12"/>
      <c r="V10" s="12">
        <f>'2-δικαιώμ'!I10+'2-δικαιώμ'!J10</f>
        <v>150</v>
      </c>
      <c r="W10" s="12">
        <f>'2-δικαιώμ'!K10</f>
        <v>150</v>
      </c>
      <c r="X10" s="12">
        <f>'2-δικαιώμ'!L10</f>
        <v>30</v>
      </c>
      <c r="Z10" s="12"/>
      <c r="AA10" s="12"/>
      <c r="AB10" s="12"/>
      <c r="AC10" s="12"/>
      <c r="AD10" s="12"/>
    </row>
    <row r="11" spans="1:30" s="18" customFormat="1">
      <c r="A11" s="121" t="str">
        <f>'1-συμβολαια'!A11</f>
        <v>;;;???</v>
      </c>
      <c r="B11" s="121" t="str">
        <f>'1-συμβολαια'!C11</f>
        <v>δωρεάς πρότασης  3ου  ΑΠΟΔΟΧΗ</v>
      </c>
      <c r="C11" s="209">
        <f>'1-συμβολαια'!D11</f>
        <v>0</v>
      </c>
      <c r="D11" s="209">
        <f>'8-κ-15-17'!D11</f>
        <v>0</v>
      </c>
      <c r="E11" s="209">
        <f>'8-κ-15-17'!M11</f>
        <v>0</v>
      </c>
      <c r="F11" s="209">
        <f>'8-κ-15-17'!V11</f>
        <v>0</v>
      </c>
      <c r="G11" s="209">
        <f>'2-δικαιώμ'!I11</f>
        <v>0</v>
      </c>
      <c r="H11" s="209">
        <f>'2-δικαιώμ'!J11</f>
        <v>150</v>
      </c>
      <c r="I11" s="209">
        <f>'2-δικαιώμ'!K11</f>
        <v>150</v>
      </c>
      <c r="J11" s="209">
        <f>'2-δικαιώμ'!L11</f>
        <v>30</v>
      </c>
      <c r="M11" s="25"/>
      <c r="N11" s="25"/>
      <c r="O11" s="25"/>
      <c r="Q11" s="12"/>
      <c r="R11" s="12"/>
      <c r="S11" s="12"/>
      <c r="T11" s="12"/>
      <c r="V11" s="12">
        <f>'2-δικαιώμ'!I11+'2-δικαιώμ'!J11</f>
        <v>150</v>
      </c>
      <c r="W11" s="12">
        <f>'2-δικαιώμ'!K11</f>
        <v>150</v>
      </c>
      <c r="X11" s="12">
        <f>'2-δικαιώμ'!L11</f>
        <v>30</v>
      </c>
      <c r="Z11" s="12"/>
      <c r="AA11" s="12"/>
      <c r="AB11" s="12"/>
      <c r="AC11" s="12"/>
      <c r="AD11" s="12"/>
    </row>
    <row r="12" spans="1:30" s="18" customFormat="1">
      <c r="A12" s="121">
        <f>'1-συμβολαια'!A12</f>
        <v>552</v>
      </c>
      <c r="B12" s="121" t="str">
        <f>'1-συμβολαια'!C12</f>
        <v>πληρεξούσιο</v>
      </c>
      <c r="C12" s="209">
        <f>'1-συμβολαια'!D12</f>
        <v>0</v>
      </c>
      <c r="D12" s="209">
        <f>'8-κ-15-17'!D12</f>
        <v>0</v>
      </c>
      <c r="E12" s="209">
        <f>'8-κ-15-17'!M12</f>
        <v>0</v>
      </c>
      <c r="F12" s="209">
        <f>'8-κ-15-17'!V12</f>
        <v>0</v>
      </c>
      <c r="G12" s="209">
        <f>'2-δικαιώμ'!I12</f>
        <v>0</v>
      </c>
      <c r="H12" s="209">
        <f>'2-δικαιώμ'!J12</f>
        <v>150</v>
      </c>
      <c r="I12" s="209">
        <f>'2-δικαιώμ'!K12</f>
        <v>150</v>
      </c>
      <c r="J12" s="209">
        <f>'2-δικαιώμ'!L12</f>
        <v>30</v>
      </c>
      <c r="M12" s="25"/>
      <c r="N12" s="25"/>
      <c r="O12" s="25"/>
      <c r="Q12" s="12"/>
      <c r="R12" s="12"/>
      <c r="S12" s="12"/>
      <c r="T12" s="12"/>
      <c r="V12" s="12">
        <f>'2-δικαιώμ'!I12+'2-δικαιώμ'!J12</f>
        <v>150</v>
      </c>
      <c r="W12" s="12">
        <f>'2-δικαιώμ'!K12</f>
        <v>150</v>
      </c>
      <c r="X12" s="12">
        <f>'2-δικαιώμ'!L12</f>
        <v>30</v>
      </c>
      <c r="Z12" s="12"/>
      <c r="AA12" s="12"/>
      <c r="AB12" s="12"/>
      <c r="AC12" s="12"/>
      <c r="AD12" s="12"/>
    </row>
    <row r="13" spans="1:30" s="18" customFormat="1">
      <c r="A13" s="121">
        <f>'1-συμβολαια'!A13</f>
        <v>564</v>
      </c>
      <c r="B13" s="121" t="str">
        <f>'1-συμβολαια'!C13</f>
        <v>γονική</v>
      </c>
      <c r="C13" s="209">
        <f>'1-συμβολαια'!D13</f>
        <v>3450000</v>
      </c>
      <c r="D13" s="209">
        <f>'8-κ-15-17'!D13</f>
        <v>0</v>
      </c>
      <c r="E13" s="209">
        <f>'8-κ-15-17'!M13</f>
        <v>22425.000000000004</v>
      </c>
      <c r="F13" s="209">
        <f>'8-κ-15-17'!V13</f>
        <v>4312.5</v>
      </c>
      <c r="G13" s="209">
        <f>'2-δικαιώμ'!I13</f>
        <v>3920.3999999999996</v>
      </c>
      <c r="H13" s="209">
        <f>'2-δικαιώμ'!J13</f>
        <v>50</v>
      </c>
      <c r="I13" s="209">
        <f>'2-δικαιώμ'!K13</f>
        <v>2228</v>
      </c>
      <c r="J13" s="209">
        <f>'2-δικαιώμ'!L13</f>
        <v>445.6</v>
      </c>
      <c r="M13" s="25"/>
      <c r="N13" s="25"/>
      <c r="O13" s="25"/>
      <c r="Q13" s="12"/>
      <c r="R13" s="12"/>
      <c r="S13" s="12"/>
      <c r="T13" s="12"/>
      <c r="V13" s="12">
        <f>'2-δικαιώμ'!I13+'2-δικαιώμ'!J13</f>
        <v>3970.3999999999996</v>
      </c>
      <c r="W13" s="12">
        <f>'2-δικαιώμ'!K13</f>
        <v>2228</v>
      </c>
      <c r="X13" s="12">
        <f>'2-δικαιώμ'!L13</f>
        <v>445.6</v>
      </c>
      <c r="Z13" s="12"/>
      <c r="AA13" s="12"/>
      <c r="AB13" s="12"/>
      <c r="AC13" s="12"/>
      <c r="AD13" s="12"/>
    </row>
    <row r="14" spans="1:30" s="18" customFormat="1">
      <c r="A14" s="121"/>
      <c r="B14" s="121" t="str">
        <f>'1-συμβολαια'!C14</f>
        <v>χρησικτησία αγροτεμαχίων = 1912 πατρός ΔΩΡΕΑ άτυπος</v>
      </c>
      <c r="C14" s="209">
        <f>'1-συμβολαια'!D14</f>
        <v>3333333</v>
      </c>
      <c r="D14" s="209">
        <f>'8-κ-15-17'!D14</f>
        <v>0</v>
      </c>
      <c r="E14" s="209">
        <f>'8-κ-15-17'!M14</f>
        <v>21666.664500000003</v>
      </c>
      <c r="F14" s="209">
        <f>'8-κ-15-17'!V14</f>
        <v>4166.6662500000002</v>
      </c>
      <c r="G14" s="209">
        <f>'2-δικαιώμ'!I14</f>
        <v>3794.3996399999996</v>
      </c>
      <c r="H14" s="209">
        <f>'2-δικαιώμ'!J14</f>
        <v>50</v>
      </c>
      <c r="I14" s="209">
        <f>'2-δικαιώμ'!K14</f>
        <v>2157.9998000000001</v>
      </c>
      <c r="J14" s="209">
        <f>'2-δικαιώμ'!L14</f>
        <v>431.59996000000001</v>
      </c>
      <c r="M14" s="25"/>
      <c r="N14" s="25"/>
      <c r="O14" s="25"/>
      <c r="Q14" s="12"/>
      <c r="R14" s="12"/>
      <c r="S14" s="12"/>
      <c r="T14" s="12"/>
      <c r="V14" s="12">
        <f>'2-δικαιώμ'!I14+'2-δικαιώμ'!J14</f>
        <v>3844.3996399999996</v>
      </c>
      <c r="W14" s="12">
        <f>'2-δικαιώμ'!K14</f>
        <v>2157.9998000000001</v>
      </c>
      <c r="X14" s="12">
        <f>'2-δικαιώμ'!L14</f>
        <v>431.59996000000001</v>
      </c>
      <c r="Z14" s="12"/>
      <c r="AA14" s="12"/>
      <c r="AB14" s="12"/>
      <c r="AC14" s="12"/>
      <c r="AD14" s="12"/>
    </row>
    <row r="15" spans="1:30" s="18" customFormat="1">
      <c r="A15" s="121"/>
      <c r="B15" s="121" t="str">
        <f>'1-συμβολαια'!C15</f>
        <v>χρησικτησία αγροτεμαχίων = 1920 ΔΙΑΝΟΜΗ άτυπος</v>
      </c>
      <c r="C15" s="209">
        <f>'1-συμβολαια'!D15</f>
        <v>3450000</v>
      </c>
      <c r="D15" s="209">
        <f>'8-κ-15-17'!D15</f>
        <v>0</v>
      </c>
      <c r="E15" s="209">
        <f>'8-κ-15-17'!M15</f>
        <v>22425.000000000004</v>
      </c>
      <c r="F15" s="209">
        <f>'8-κ-15-17'!V15</f>
        <v>4312.5</v>
      </c>
      <c r="G15" s="209">
        <f>'2-δικαιώμ'!I15</f>
        <v>3920.3999999999996</v>
      </c>
      <c r="H15" s="209">
        <f>'2-δικαιώμ'!J15</f>
        <v>50</v>
      </c>
      <c r="I15" s="209">
        <f>'2-δικαιώμ'!K15</f>
        <v>2228</v>
      </c>
      <c r="J15" s="209">
        <f>'2-δικαιώμ'!L15</f>
        <v>445.6</v>
      </c>
      <c r="M15" s="25"/>
      <c r="N15" s="25"/>
      <c r="O15" s="25"/>
      <c r="Q15" s="12"/>
      <c r="R15" s="12"/>
      <c r="S15" s="12"/>
      <c r="T15" s="12"/>
      <c r="V15" s="12">
        <f>'2-δικαιώμ'!I15+'2-δικαιώμ'!J15</f>
        <v>3970.3999999999996</v>
      </c>
      <c r="W15" s="12">
        <f>'2-δικαιώμ'!K15</f>
        <v>2228</v>
      </c>
      <c r="X15" s="12">
        <f>'2-δικαιώμ'!L15</f>
        <v>445.6</v>
      </c>
      <c r="Z15" s="12"/>
      <c r="AA15" s="12"/>
      <c r="AB15" s="12"/>
      <c r="AC15" s="12"/>
      <c r="AD15" s="12"/>
    </row>
    <row r="16" spans="1:30" s="18" customFormat="1">
      <c r="A16" s="121"/>
      <c r="B16" s="121" t="str">
        <f>'1-συμβολαια'!C16</f>
        <v>εξισορρόπηση διαφοράς διανεμομένων μεριδίων</v>
      </c>
      <c r="C16" s="209">
        <f>'1-συμβολαια'!D16</f>
        <v>111111</v>
      </c>
      <c r="D16" s="209">
        <f>'8-κ-15-17'!D16</f>
        <v>1444.4430000000002</v>
      </c>
      <c r="E16" s="209">
        <f>'8-κ-15-17'!M16</f>
        <v>0</v>
      </c>
      <c r="F16" s="209">
        <f>'8-κ-15-17'!V16</f>
        <v>0</v>
      </c>
      <c r="G16" s="209">
        <f>'2-δικαιώμ'!I16</f>
        <v>324</v>
      </c>
      <c r="H16" s="209">
        <f>'2-δικαιώμ'!J16</f>
        <v>50</v>
      </c>
      <c r="I16" s="209">
        <f>'2-δικαιώμ'!K16</f>
        <v>230</v>
      </c>
      <c r="J16" s="209">
        <f>'2-δικαιώμ'!L16</f>
        <v>46</v>
      </c>
      <c r="M16" s="25"/>
      <c r="N16" s="25"/>
      <c r="O16" s="25"/>
      <c r="Q16" s="12"/>
      <c r="R16" s="12"/>
      <c r="S16" s="12"/>
      <c r="T16" s="12"/>
      <c r="V16" s="12">
        <f>'2-δικαιώμ'!I16+'2-δικαιώμ'!J16</f>
        <v>374</v>
      </c>
      <c r="W16" s="12">
        <f>'2-δικαιώμ'!K16</f>
        <v>230</v>
      </c>
      <c r="X16" s="12">
        <f>'2-δικαιώμ'!L16</f>
        <v>46</v>
      </c>
      <c r="Z16" s="12"/>
      <c r="AA16" s="12"/>
      <c r="AB16" s="12"/>
      <c r="AC16" s="12"/>
      <c r="AD16" s="12"/>
    </row>
    <row r="17" spans="1:12">
      <c r="A17" s="867" t="str">
        <f>'1-συμβολαια'!A17</f>
        <v>σύνολο</v>
      </c>
      <c r="B17" s="868"/>
      <c r="C17" s="869"/>
      <c r="D17" s="195">
        <f t="shared" ref="D17:J17" si="0">SUM(D3:D16)</f>
        <v>13226.954000000002</v>
      </c>
      <c r="E17" s="195">
        <f t="shared" si="0"/>
        <v>88327.772000000012</v>
      </c>
      <c r="F17" s="195">
        <f t="shared" si="0"/>
        <v>16986.11</v>
      </c>
      <c r="G17" s="195">
        <f t="shared" si="0"/>
        <v>20954.744279999999</v>
      </c>
      <c r="H17" s="195">
        <f t="shared" si="0"/>
        <v>1100</v>
      </c>
      <c r="I17" s="195">
        <f t="shared" si="0"/>
        <v>12741.524600000001</v>
      </c>
      <c r="J17" s="195">
        <f t="shared" si="0"/>
        <v>2548.30492</v>
      </c>
    </row>
    <row r="20" spans="1:12">
      <c r="B20" s="91"/>
      <c r="D20" s="2"/>
      <c r="E20" s="2"/>
      <c r="F20" s="2"/>
      <c r="G20" s="2"/>
      <c r="H20" s="2"/>
      <c r="I20" s="2"/>
      <c r="J20" s="2"/>
    </row>
    <row r="21" spans="1:12" ht="12.75">
      <c r="B21" s="220" t="s">
        <v>394</v>
      </c>
      <c r="D21" s="2"/>
      <c r="E21" s="2"/>
      <c r="F21" s="2"/>
      <c r="G21" s="156">
        <v>50</v>
      </c>
      <c r="H21" s="5"/>
      <c r="I21" s="5" t="s">
        <v>398</v>
      </c>
      <c r="J21" s="2"/>
      <c r="K21" s="3" t="s">
        <v>422</v>
      </c>
    </row>
    <row r="22" spans="1:12" ht="12.75">
      <c r="B22" s="221" t="s">
        <v>395</v>
      </c>
      <c r="D22" s="2"/>
      <c r="E22" s="2"/>
      <c r="F22" s="2"/>
      <c r="G22" s="114">
        <v>150</v>
      </c>
      <c r="H22" s="3">
        <v>191</v>
      </c>
      <c r="I22" s="3" t="s">
        <v>399</v>
      </c>
      <c r="J22" s="2"/>
      <c r="L22" s="114" t="s">
        <v>423</v>
      </c>
    </row>
    <row r="23" spans="1:12" ht="15.75">
      <c r="B23" s="235" t="s">
        <v>396</v>
      </c>
      <c r="D23" s="2"/>
      <c r="E23" s="2"/>
      <c r="F23" s="2"/>
      <c r="G23" s="2"/>
      <c r="H23" s="5">
        <v>250</v>
      </c>
      <c r="I23" s="5" t="s">
        <v>132</v>
      </c>
      <c r="J23" s="2"/>
    </row>
    <row r="24" spans="1:12">
      <c r="B24" s="91"/>
      <c r="D24" s="2"/>
      <c r="E24" s="2"/>
      <c r="F24" s="2"/>
      <c r="G24" s="2"/>
      <c r="H24" s="5">
        <v>500</v>
      </c>
      <c r="I24" s="3" t="s">
        <v>400</v>
      </c>
      <c r="J24" s="2"/>
    </row>
    <row r="25" spans="1:12">
      <c r="B25" s="91"/>
      <c r="D25" s="2"/>
      <c r="E25" s="2"/>
      <c r="F25" s="2"/>
      <c r="G25" s="2"/>
      <c r="H25" s="228">
        <v>1260</v>
      </c>
      <c r="I25" s="5" t="s">
        <v>401</v>
      </c>
      <c r="J25" s="5"/>
    </row>
    <row r="26" spans="1:12">
      <c r="B26" s="91"/>
      <c r="D26" s="2"/>
      <c r="E26" s="2"/>
      <c r="F26" s="2"/>
      <c r="G26" s="2"/>
      <c r="H26" s="2"/>
      <c r="I26" s="2"/>
      <c r="J26" s="2"/>
    </row>
    <row r="27" spans="1:12">
      <c r="B27" s="91"/>
      <c r="D27" s="2"/>
      <c r="E27" s="2"/>
      <c r="F27" s="2"/>
      <c r="G27" s="2"/>
      <c r="H27" s="2"/>
      <c r="I27" s="2"/>
      <c r="J27" s="2"/>
    </row>
    <row r="28" spans="1:12">
      <c r="B28" s="91"/>
      <c r="D28" s="2"/>
      <c r="E28" s="2"/>
      <c r="F28" s="2"/>
      <c r="G28" s="2"/>
      <c r="H28" s="2"/>
      <c r="I28" s="2"/>
      <c r="J28" s="2"/>
    </row>
    <row r="29" spans="1:12">
      <c r="B29" s="92"/>
      <c r="C29" s="5"/>
      <c r="D29" s="4"/>
      <c r="E29" s="4"/>
      <c r="F29" s="4"/>
      <c r="G29" s="4"/>
      <c r="H29" s="2"/>
      <c r="I29" s="2"/>
      <c r="J29" s="2"/>
    </row>
    <row r="30" spans="1:12">
      <c r="B30" s="5"/>
      <c r="C30" s="5"/>
      <c r="D30" s="5"/>
      <c r="E30" s="5"/>
      <c r="F30" s="5"/>
      <c r="G30" s="5"/>
    </row>
    <row r="31" spans="1:12">
      <c r="B31" s="359"/>
      <c r="C31" s="5"/>
      <c r="D31" s="5"/>
      <c r="E31" s="5"/>
      <c r="F31" s="58"/>
      <c r="G31" s="58"/>
      <c r="H31" s="8"/>
      <c r="I31" s="8"/>
    </row>
    <row r="32" spans="1:12">
      <c r="B32" s="5"/>
      <c r="C32" s="5"/>
      <c r="D32" s="5"/>
      <c r="E32" s="5"/>
      <c r="F32" s="58"/>
      <c r="G32" s="58"/>
      <c r="H32" s="8"/>
      <c r="I32" s="8"/>
    </row>
    <row r="33" spans="2:9">
      <c r="B33" s="5"/>
      <c r="C33" s="5"/>
      <c r="D33" s="5"/>
      <c r="E33" s="5"/>
      <c r="F33" s="58"/>
      <c r="G33" s="58"/>
      <c r="H33" s="8"/>
      <c r="I33" s="8"/>
    </row>
    <row r="34" spans="2:9">
      <c r="B34" s="5"/>
      <c r="C34" s="5"/>
      <c r="D34" s="5"/>
      <c r="E34" s="5"/>
      <c r="F34" s="58"/>
      <c r="G34" s="58"/>
      <c r="H34" s="8"/>
      <c r="I34" s="8"/>
    </row>
    <row r="35" spans="2:9">
      <c r="B35" s="5"/>
      <c r="C35" s="5"/>
      <c r="D35" s="5"/>
      <c r="E35" s="5"/>
      <c r="F35" s="58"/>
      <c r="G35" s="58"/>
      <c r="H35" s="8"/>
      <c r="I35" s="8"/>
    </row>
    <row r="36" spans="2:9">
      <c r="B36" s="5"/>
      <c r="C36" s="5"/>
      <c r="D36" s="5"/>
      <c r="E36" s="5"/>
      <c r="F36" s="58"/>
      <c r="G36" s="58"/>
      <c r="H36" s="8"/>
      <c r="I36" s="8"/>
    </row>
    <row r="37" spans="2:9">
      <c r="B37" s="359"/>
      <c r="C37" s="5"/>
      <c r="D37" s="5"/>
      <c r="E37" s="5"/>
      <c r="F37" s="58"/>
      <c r="G37" s="58"/>
      <c r="H37" s="8"/>
      <c r="I37" s="8"/>
    </row>
    <row r="38" spans="2:9">
      <c r="B38" s="5"/>
      <c r="C38" s="5"/>
      <c r="D38" s="5"/>
      <c r="E38" s="5"/>
      <c r="F38" s="58"/>
      <c r="G38" s="58"/>
      <c r="H38" s="8"/>
      <c r="I38" s="8"/>
    </row>
    <row r="39" spans="2:9">
      <c r="B39" s="5"/>
      <c r="C39" s="5"/>
      <c r="D39" s="5"/>
      <c r="E39" s="5"/>
      <c r="F39" s="58"/>
      <c r="G39" s="58"/>
      <c r="H39" s="8"/>
      <c r="I39" s="8"/>
    </row>
    <row r="40" spans="2:9">
      <c r="B40" s="5"/>
      <c r="C40" s="5"/>
      <c r="D40" s="5"/>
      <c r="E40" s="5"/>
      <c r="F40" s="58"/>
      <c r="G40" s="58"/>
      <c r="H40" s="8"/>
      <c r="I40" s="2"/>
    </row>
    <row r="41" spans="2:9">
      <c r="B41" s="5"/>
      <c r="C41" s="5"/>
      <c r="D41" s="5"/>
      <c r="E41" s="5"/>
      <c r="F41" s="58"/>
      <c r="G41" s="58"/>
      <c r="H41" s="8"/>
      <c r="I41" s="2"/>
    </row>
  </sheetData>
  <mergeCells count="13">
    <mergeCell ref="Z1:AD1"/>
    <mergeCell ref="A17:C17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34"/>
  <sheetViews>
    <sheetView workbookViewId="0">
      <pane ySplit="2" topLeftCell="A3" activePane="bottomLeft" state="frozen"/>
      <selection pane="bottomLeft" activeCell="N27" sqref="N27"/>
    </sheetView>
  </sheetViews>
  <sheetFormatPr defaultRowHeight="11.25"/>
  <cols>
    <col min="1" max="1" width="10.42578125" style="8" bestFit="1" customWidth="1"/>
    <col min="2" max="2" width="91.85546875" style="91" bestFit="1" customWidth="1"/>
    <col min="3" max="3" width="14.28515625" style="8" bestFit="1" customWidth="1"/>
    <col min="4" max="4" width="9.28515625" style="2" bestFit="1" customWidth="1"/>
    <col min="5" max="5" width="9.85546875" style="2" customWidth="1"/>
    <col min="6" max="6" width="9.42578125" style="2" bestFit="1" customWidth="1"/>
    <col min="7" max="7" width="9.28515625" style="2" bestFit="1" customWidth="1"/>
    <col min="8" max="8" width="7.7109375" style="2" customWidth="1"/>
    <col min="9" max="9" width="8.85546875" style="2" customWidth="1"/>
    <col min="10" max="11" width="7.7109375" style="2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19" s="6" customFormat="1" ht="34.5" customHeight="1">
      <c r="A1" s="750" t="s">
        <v>1</v>
      </c>
      <c r="B1" s="752" t="s">
        <v>0</v>
      </c>
      <c r="C1" s="800" t="s">
        <v>7</v>
      </c>
      <c r="D1" s="887" t="s">
        <v>45</v>
      </c>
      <c r="E1" s="888"/>
      <c r="F1" s="888"/>
      <c r="G1" s="889" t="s">
        <v>425</v>
      </c>
      <c r="H1" s="890"/>
      <c r="I1" s="890"/>
      <c r="J1" s="890"/>
      <c r="K1" s="891"/>
      <c r="L1" s="885" t="s">
        <v>57</v>
      </c>
      <c r="M1" s="882" t="s">
        <v>29</v>
      </c>
      <c r="N1" s="883"/>
      <c r="O1" s="883"/>
      <c r="P1" s="883"/>
      <c r="Q1" s="883"/>
      <c r="R1" s="883"/>
      <c r="S1" s="884"/>
    </row>
    <row r="2" spans="1:19" ht="34.5" customHeight="1" thickBot="1">
      <c r="A2" s="783"/>
      <c r="B2" s="784"/>
      <c r="C2" s="801"/>
      <c r="D2" s="232" t="s">
        <v>315</v>
      </c>
      <c r="E2" s="232" t="s">
        <v>424</v>
      </c>
      <c r="F2" s="238" t="s">
        <v>91</v>
      </c>
      <c r="G2" s="236" t="s">
        <v>315</v>
      </c>
      <c r="H2" s="237" t="s">
        <v>319</v>
      </c>
      <c r="I2" s="237" t="s">
        <v>426</v>
      </c>
      <c r="J2" s="237" t="s">
        <v>320</v>
      </c>
      <c r="K2" s="234" t="s">
        <v>33</v>
      </c>
      <c r="L2" s="886"/>
      <c r="M2" s="743"/>
      <c r="N2" s="744"/>
      <c r="O2" s="744"/>
      <c r="P2" s="744"/>
      <c r="Q2" s="744"/>
      <c r="R2" s="744"/>
      <c r="S2" s="745"/>
    </row>
    <row r="3" spans="1:19" s="329" customFormat="1" ht="14.25">
      <c r="A3" s="438">
        <f>'1-συμβολαια'!A3</f>
        <v>111</v>
      </c>
      <c r="B3" s="325" t="str">
        <f>'1-συμβολαια'!C3</f>
        <v>πληρεξύσιο</v>
      </c>
      <c r="C3" s="326">
        <f>'1-συμβολαια'!D3</f>
        <v>0</v>
      </c>
      <c r="D3" s="555"/>
      <c r="E3" s="555"/>
      <c r="F3" s="464"/>
      <c r="G3" s="327">
        <v>100</v>
      </c>
      <c r="H3" s="327">
        <v>190</v>
      </c>
      <c r="I3" s="327">
        <v>276</v>
      </c>
      <c r="J3" s="464"/>
      <c r="K3" s="328"/>
      <c r="L3" s="328"/>
      <c r="M3" s="298"/>
      <c r="N3" s="298"/>
      <c r="O3" s="298">
        <v>21</v>
      </c>
      <c r="P3" s="298"/>
      <c r="Q3" s="298"/>
      <c r="R3" s="298"/>
      <c r="S3" s="74"/>
    </row>
    <row r="4" spans="1:19" s="329" customFormat="1" ht="14.25">
      <c r="A4" s="684">
        <f>'1-συμβολαια'!A4</f>
        <v>113</v>
      </c>
      <c r="B4" s="325" t="str">
        <f>'1-συμβολαια'!C4</f>
        <v>δωρεάς ΠΡΟΤΑΣΗ [1/2 αγροτεμάχιο ;;;??? [το ανατολικό] Θεολόγος -Ποτός -'';;;???'' 2.798μ2</v>
      </c>
      <c r="C4" s="326">
        <f>'1-συμβολαια'!D4</f>
        <v>2400000</v>
      </c>
      <c r="D4" s="327">
        <v>1000</v>
      </c>
      <c r="E4" s="327">
        <v>288</v>
      </c>
      <c r="F4" s="555"/>
      <c r="G4" s="327">
        <v>1000</v>
      </c>
      <c r="H4" s="464"/>
      <c r="I4" s="327">
        <v>288</v>
      </c>
      <c r="J4" s="464"/>
      <c r="K4" s="328"/>
      <c r="L4" s="328"/>
      <c r="M4" s="298"/>
      <c r="N4" s="298"/>
      <c r="O4" s="298">
        <v>21</v>
      </c>
      <c r="P4" s="298"/>
      <c r="Q4" s="298"/>
      <c r="R4" s="298"/>
      <c r="S4" s="74"/>
    </row>
    <row r="5" spans="1:19" s="329" customFormat="1" ht="14.25">
      <c r="A5" s="684">
        <f>'1-συμβολαια'!A5</f>
        <v>0</v>
      </c>
      <c r="B5" s="325" t="str">
        <f>'1-συμβολαια'!C5</f>
        <v>χρησικτησία αγροτεμαχίου = 1984 ΑΝΑΔΑΣΜΟΣ</v>
      </c>
      <c r="C5" s="326">
        <f>'1-συμβολαια'!D5</f>
        <v>222222</v>
      </c>
      <c r="D5" s="464"/>
      <c r="E5" s="464"/>
      <c r="F5" s="555"/>
      <c r="G5" s="464"/>
      <c r="H5" s="464"/>
      <c r="I5" s="464"/>
      <c r="J5" s="464"/>
      <c r="K5" s="328"/>
      <c r="L5" s="328">
        <v>1000</v>
      </c>
      <c r="M5" s="298"/>
      <c r="N5" s="298"/>
      <c r="O5" s="298">
        <v>21</v>
      </c>
      <c r="P5" s="298"/>
      <c r="Q5" s="298"/>
      <c r="R5" s="298"/>
      <c r="S5" s="74"/>
    </row>
    <row r="6" spans="1:19" s="329" customFormat="1" ht="14.25">
      <c r="A6" s="684">
        <f>'1-συμβολαια'!A6</f>
        <v>0</v>
      </c>
      <c r="B6" s="325" t="str">
        <f>'1-συμβολαια'!C6</f>
        <v>διανομή [= ισομερής ΑΛΛΑ βάσει ΦΜΑ της Δ.Ο.Υ (3ου &amp; ;;;???}</v>
      </c>
      <c r="C6" s="326">
        <f>'1-συμβολαια'!D6</f>
        <v>2987306</v>
      </c>
      <c r="D6" s="555"/>
      <c r="E6" s="555"/>
      <c r="F6" s="555"/>
      <c r="G6" s="464"/>
      <c r="H6" s="464"/>
      <c r="I6" s="464"/>
      <c r="J6" s="464"/>
      <c r="K6" s="328"/>
      <c r="L6" s="328">
        <v>1000</v>
      </c>
      <c r="M6" s="298" t="s">
        <v>431</v>
      </c>
      <c r="N6" s="298" t="s">
        <v>431</v>
      </c>
      <c r="O6" s="298"/>
      <c r="P6" s="298"/>
      <c r="Q6" s="298"/>
      <c r="R6" s="298"/>
      <c r="S6" s="74"/>
    </row>
    <row r="7" spans="1:19" s="329" customFormat="1" ht="14.25">
      <c r="A7" s="684">
        <f>'1-συμβολαια'!A7</f>
        <v>0</v>
      </c>
      <c r="B7" s="325" t="str">
        <f>'1-συμβολαια'!C7</f>
        <v>εξισορρόπηση διαφοράς διανεμομένων μεριδίων</v>
      </c>
      <c r="C7" s="326">
        <f>'1-συμβολαια'!D7</f>
        <v>906347</v>
      </c>
      <c r="D7" s="555"/>
      <c r="E7" s="555"/>
      <c r="F7" s="555"/>
      <c r="G7" s="464"/>
      <c r="H7" s="464"/>
      <c r="I7" s="464"/>
      <c r="J7" s="464"/>
      <c r="K7" s="328"/>
      <c r="L7" s="328">
        <v>1000</v>
      </c>
      <c r="M7" s="298" t="s">
        <v>431</v>
      </c>
      <c r="N7" s="298" t="s">
        <v>431</v>
      </c>
      <c r="O7" s="298"/>
      <c r="P7" s="298"/>
      <c r="Q7" s="298"/>
      <c r="R7" s="298"/>
      <c r="S7" s="74"/>
    </row>
    <row r="8" spans="1:19" s="329" customFormat="1" ht="14.25">
      <c r="A8" s="685">
        <f>'1-συμβολαια'!A8</f>
        <v>114</v>
      </c>
      <c r="B8" s="325" t="str">
        <f>'1-συμβολαια'!C8</f>
        <v>δωρεάς ΠΡΟΤΑΣΗ [αγροτεμάχιο Θεολόγος -'';;;???'' 2.000μ2</v>
      </c>
      <c r="C8" s="681">
        <f>'1-συμβολαια'!D8</f>
        <v>400000</v>
      </c>
      <c r="D8" s="327">
        <v>1000</v>
      </c>
      <c r="E8" s="327">
        <v>288</v>
      </c>
      <c r="F8" s="555"/>
      <c r="G8" s="327">
        <v>1000</v>
      </c>
      <c r="H8" s="464"/>
      <c r="I8" s="327">
        <v>288</v>
      </c>
      <c r="J8" s="464"/>
      <c r="K8" s="682"/>
      <c r="L8" s="682"/>
      <c r="M8" s="298"/>
      <c r="N8" s="298"/>
      <c r="O8" s="298">
        <v>21</v>
      </c>
      <c r="P8" s="298"/>
      <c r="Q8" s="298"/>
      <c r="R8" s="298"/>
      <c r="S8" s="74"/>
    </row>
    <row r="9" spans="1:19" s="329" customFormat="1" ht="14.25">
      <c r="A9" s="685">
        <f>'1-συμβολαια'!A9</f>
        <v>0</v>
      </c>
      <c r="B9" s="325" t="str">
        <f>'1-συμβολαια'!C9</f>
        <v>χρησικτησία αγροτεμαχίου = 1910 πατρός ΔΩΡΕΑ άτυπος</v>
      </c>
      <c r="C9" s="681">
        <f>'1-συμβολαια'!D9</f>
        <v>333333</v>
      </c>
      <c r="D9" s="464"/>
      <c r="E9" s="464"/>
      <c r="F9" s="555"/>
      <c r="G9" s="464"/>
      <c r="H9" s="464"/>
      <c r="I9" s="464"/>
      <c r="J9" s="464"/>
      <c r="K9" s="682"/>
      <c r="L9" s="682">
        <v>1000</v>
      </c>
      <c r="M9" s="298"/>
      <c r="N9" s="298"/>
      <c r="O9" s="298"/>
      <c r="P9" s="298"/>
      <c r="Q9" s="298"/>
      <c r="R9" s="298"/>
      <c r="S9" s="74"/>
    </row>
    <row r="10" spans="1:19" s="329" customFormat="1" ht="14.25">
      <c r="A10" s="680" t="str">
        <f>'1-συμβολαια'!A10</f>
        <v>;;;???</v>
      </c>
      <c r="B10" s="325" t="str">
        <f>'1-συμβολαια'!C10</f>
        <v>δωρεάς πρότασης 2ου  ΑΠΟΔΟΧΗ</v>
      </c>
      <c r="C10" s="681">
        <f>'1-συμβολαια'!D10</f>
        <v>0</v>
      </c>
      <c r="D10" s="686"/>
      <c r="E10" s="686"/>
      <c r="F10" s="687"/>
      <c r="G10" s="686"/>
      <c r="H10" s="464"/>
      <c r="I10" s="686"/>
      <c r="J10" s="686"/>
      <c r="K10" s="682"/>
      <c r="L10" s="682"/>
      <c r="M10" s="298" t="s">
        <v>431</v>
      </c>
      <c r="N10" s="298" t="s">
        <v>431</v>
      </c>
      <c r="O10" s="298">
        <v>21</v>
      </c>
      <c r="P10" s="298"/>
      <c r="Q10" s="298"/>
      <c r="R10" s="298"/>
      <c r="S10" s="74"/>
    </row>
    <row r="11" spans="1:19" s="329" customFormat="1" ht="14.25">
      <c r="A11" s="680" t="str">
        <f>'1-συμβολαια'!A11</f>
        <v>;;;???</v>
      </c>
      <c r="B11" s="325" t="str">
        <f>'1-συμβολαια'!C11</f>
        <v>δωρεάς πρότασης  3ου  ΑΠΟΔΟΧΗ</v>
      </c>
      <c r="C11" s="681">
        <f>'1-συμβολαια'!D11</f>
        <v>0</v>
      </c>
      <c r="D11" s="686"/>
      <c r="E11" s="686"/>
      <c r="F11" s="686"/>
      <c r="G11" s="686"/>
      <c r="H11" s="464"/>
      <c r="I11" s="686"/>
      <c r="J11" s="686"/>
      <c r="K11" s="682"/>
      <c r="L11" s="682"/>
      <c r="M11" s="298" t="s">
        <v>431</v>
      </c>
      <c r="N11" s="298" t="s">
        <v>431</v>
      </c>
      <c r="O11" s="298">
        <v>21</v>
      </c>
      <c r="P11" s="298"/>
      <c r="Q11" s="298"/>
      <c r="R11" s="298"/>
      <c r="S11" s="74"/>
    </row>
    <row r="12" spans="1:19" s="329" customFormat="1" ht="14.25">
      <c r="A12" s="680">
        <f>'1-συμβολαια'!A12</f>
        <v>552</v>
      </c>
      <c r="B12" s="325" t="str">
        <f>'1-συμβολαια'!C12</f>
        <v>πληρεξούσιο</v>
      </c>
      <c r="C12" s="681">
        <f>'1-συμβολαια'!D12</f>
        <v>0</v>
      </c>
      <c r="D12" s="464"/>
      <c r="E12" s="464"/>
      <c r="F12" s="464"/>
      <c r="G12" s="327">
        <v>100</v>
      </c>
      <c r="H12" s="464"/>
      <c r="I12" s="464"/>
      <c r="J12" s="464"/>
      <c r="K12" s="682"/>
      <c r="L12" s="682"/>
      <c r="M12" s="298" t="s">
        <v>431</v>
      </c>
      <c r="N12" s="298" t="s">
        <v>431</v>
      </c>
      <c r="O12" s="298">
        <v>21</v>
      </c>
      <c r="P12" s="298"/>
      <c r="Q12" s="298"/>
      <c r="R12" s="298"/>
      <c r="S12" s="74"/>
    </row>
    <row r="13" spans="1:19" s="329" customFormat="1" ht="14.25">
      <c r="A13" s="683">
        <f>'1-συμβολαια'!A13</f>
        <v>564</v>
      </c>
      <c r="B13" s="325" t="str">
        <f>'1-συμβολαια'!C13</f>
        <v>γονική</v>
      </c>
      <c r="C13" s="681">
        <f>'1-συμβολαια'!D13</f>
        <v>3450000</v>
      </c>
      <c r="D13" s="327">
        <v>1000</v>
      </c>
      <c r="E13" s="327">
        <v>288</v>
      </c>
      <c r="F13" s="464"/>
      <c r="G13" s="327">
        <v>1000</v>
      </c>
      <c r="H13" s="464"/>
      <c r="I13" s="327">
        <v>288</v>
      </c>
      <c r="J13" s="464"/>
      <c r="K13" s="682"/>
      <c r="L13" s="682"/>
      <c r="M13" s="298" t="s">
        <v>431</v>
      </c>
      <c r="N13" s="298" t="s">
        <v>431</v>
      </c>
      <c r="O13" s="298"/>
      <c r="P13" s="298"/>
      <c r="Q13" s="298"/>
      <c r="R13" s="298"/>
      <c r="S13" s="74"/>
    </row>
    <row r="14" spans="1:19" s="329" customFormat="1" ht="14.25">
      <c r="A14" s="683">
        <f>'1-συμβολαια'!A14</f>
        <v>0</v>
      </c>
      <c r="B14" s="325" t="str">
        <f>'1-συμβολαια'!C14</f>
        <v>χρησικτησία αγροτεμαχίων = 1912 πατρός ΔΩΡΕΑ άτυπος</v>
      </c>
      <c r="C14" s="681">
        <f>'1-συμβολαια'!D14</f>
        <v>3333333</v>
      </c>
      <c r="D14" s="464"/>
      <c r="E14" s="464"/>
      <c r="F14" s="464"/>
      <c r="G14" s="464"/>
      <c r="H14" s="464"/>
      <c r="I14" s="464"/>
      <c r="J14" s="464"/>
      <c r="K14" s="682"/>
      <c r="L14" s="682">
        <v>1000</v>
      </c>
      <c r="M14" s="298"/>
      <c r="N14" s="298"/>
      <c r="O14" s="298">
        <v>21</v>
      </c>
      <c r="P14" s="298"/>
      <c r="Q14" s="298"/>
      <c r="R14" s="298"/>
      <c r="S14" s="74"/>
    </row>
    <row r="15" spans="1:19" s="329" customFormat="1" ht="14.25">
      <c r="A15" s="683">
        <f>'1-συμβολαια'!A15</f>
        <v>0</v>
      </c>
      <c r="B15" s="325" t="str">
        <f>'1-συμβολαια'!C15</f>
        <v>χρησικτησία αγροτεμαχίων = 1920 ΔΙΑΝΟΜΗ άτυπος</v>
      </c>
      <c r="C15" s="681">
        <f>'1-συμβολαια'!D15</f>
        <v>3450000</v>
      </c>
      <c r="D15" s="464"/>
      <c r="E15" s="464"/>
      <c r="F15" s="464"/>
      <c r="G15" s="464"/>
      <c r="H15" s="464"/>
      <c r="I15" s="464"/>
      <c r="J15" s="464"/>
      <c r="K15" s="682"/>
      <c r="L15" s="682">
        <v>1000</v>
      </c>
      <c r="M15" s="298" t="s">
        <v>431</v>
      </c>
      <c r="N15" s="298" t="s">
        <v>431</v>
      </c>
      <c r="O15" s="298">
        <v>21</v>
      </c>
      <c r="P15" s="298"/>
      <c r="Q15" s="298"/>
      <c r="R15" s="298"/>
      <c r="S15" s="74"/>
    </row>
    <row r="16" spans="1:19" s="329" customFormat="1" ht="15" thickBot="1">
      <c r="A16" s="561">
        <f>'1-συμβολαια'!A16</f>
        <v>0</v>
      </c>
      <c r="B16" s="557" t="str">
        <f>'1-συμβολαια'!C16</f>
        <v>εξισορρόπηση διαφοράς διανεμομένων μεριδίων</v>
      </c>
      <c r="C16" s="558">
        <f>'1-συμβολαια'!D16</f>
        <v>111111</v>
      </c>
      <c r="D16" s="472"/>
      <c r="E16" s="472"/>
      <c r="F16" s="472"/>
      <c r="G16" s="472"/>
      <c r="H16" s="472"/>
      <c r="I16" s="472"/>
      <c r="J16" s="472"/>
      <c r="K16" s="559"/>
      <c r="L16" s="559">
        <v>1000</v>
      </c>
      <c r="M16" s="560" t="s">
        <v>431</v>
      </c>
      <c r="N16" s="560" t="s">
        <v>431</v>
      </c>
      <c r="O16" s="560">
        <v>21</v>
      </c>
      <c r="P16" s="560"/>
      <c r="Q16" s="560"/>
      <c r="R16" s="560"/>
      <c r="S16" s="473"/>
    </row>
    <row r="17" spans="1:25" ht="15.75">
      <c r="A17" s="781" t="s">
        <v>56</v>
      </c>
      <c r="B17" s="782"/>
      <c r="C17" s="782"/>
      <c r="D17" s="239">
        <f t="shared" ref="D17:L17" si="0">SUM(D3:D16)</f>
        <v>3000</v>
      </c>
      <c r="E17" s="239">
        <f t="shared" si="0"/>
        <v>864</v>
      </c>
      <c r="F17" s="239">
        <f t="shared" si="0"/>
        <v>0</v>
      </c>
      <c r="G17" s="239">
        <f t="shared" si="0"/>
        <v>3200</v>
      </c>
      <c r="H17" s="239">
        <f t="shared" si="0"/>
        <v>190</v>
      </c>
      <c r="I17" s="239">
        <f t="shared" si="0"/>
        <v>1140</v>
      </c>
      <c r="J17" s="239">
        <f t="shared" si="0"/>
        <v>0</v>
      </c>
      <c r="K17" s="239">
        <f t="shared" si="0"/>
        <v>0</v>
      </c>
      <c r="L17" s="239">
        <f t="shared" si="0"/>
        <v>7000</v>
      </c>
    </row>
    <row r="18" spans="1:25" ht="15.75">
      <c r="M18" s="123" t="s">
        <v>102</v>
      </c>
      <c r="N18" s="138"/>
      <c r="O18" s="138"/>
      <c r="P18" s="138"/>
      <c r="Q18" s="138"/>
      <c r="R18" s="138"/>
      <c r="S18" s="138"/>
      <c r="T18" s="119"/>
      <c r="U18" s="119"/>
      <c r="V18" s="119"/>
      <c r="W18" s="119"/>
      <c r="X18" s="5"/>
    </row>
    <row r="19" spans="1:25" ht="15.75">
      <c r="M19" s="233"/>
      <c r="N19" s="123" t="s">
        <v>427</v>
      </c>
      <c r="O19" s="233"/>
      <c r="P19" s="233"/>
      <c r="Q19" s="233"/>
      <c r="R19" s="233"/>
      <c r="S19" s="233"/>
      <c r="T19" s="233"/>
      <c r="U19" s="233"/>
      <c r="V19" s="233"/>
      <c r="W19" s="241"/>
      <c r="X19" s="241"/>
      <c r="Y19" s="241"/>
    </row>
    <row r="20" spans="1:25" ht="15.75">
      <c r="M20" s="241"/>
      <c r="N20" s="241"/>
      <c r="O20" s="138" t="s">
        <v>103</v>
      </c>
      <c r="P20" s="138"/>
      <c r="Q20" s="138"/>
      <c r="R20" s="138"/>
      <c r="S20" s="138"/>
      <c r="T20" s="138"/>
      <c r="U20" s="138"/>
      <c r="V20" s="138"/>
      <c r="W20" s="138"/>
      <c r="X20" s="241"/>
      <c r="Y20" s="240"/>
    </row>
    <row r="21" spans="1:25" ht="15.75">
      <c r="B21" s="129"/>
      <c r="M21" s="241"/>
      <c r="N21" s="241"/>
      <c r="O21" s="241"/>
      <c r="P21" s="242" t="s">
        <v>428</v>
      </c>
      <c r="Q21" s="241"/>
      <c r="R21" s="241"/>
      <c r="S21" s="242"/>
      <c r="T21" s="242"/>
      <c r="U21" s="242"/>
      <c r="V21" s="242"/>
      <c r="W21" s="242"/>
      <c r="X21" s="242"/>
      <c r="Y21" s="240"/>
    </row>
    <row r="22" spans="1:25" ht="15.75">
      <c r="B22" s="130"/>
      <c r="M22" s="241"/>
      <c r="N22" s="241"/>
      <c r="O22" s="241"/>
      <c r="P22" s="241"/>
      <c r="Q22" s="138" t="s">
        <v>429</v>
      </c>
      <c r="R22" s="138"/>
      <c r="S22" s="138"/>
      <c r="T22" s="242"/>
      <c r="U22" s="242"/>
      <c r="V22" s="138"/>
      <c r="W22" s="138"/>
      <c r="X22" s="138"/>
      <c r="Y22" s="240"/>
    </row>
    <row r="23" spans="1:25" ht="15.75">
      <c r="M23" s="241"/>
      <c r="N23" s="241"/>
      <c r="O23" s="241"/>
      <c r="P23" s="241"/>
      <c r="Q23" s="241"/>
      <c r="R23" s="242" t="s">
        <v>430</v>
      </c>
      <c r="S23" s="242"/>
      <c r="T23" s="242"/>
      <c r="U23" s="242"/>
      <c r="V23" s="242"/>
      <c r="W23" s="242"/>
      <c r="X23" s="242"/>
      <c r="Y23" s="240"/>
    </row>
    <row r="24" spans="1:25" ht="15.75">
      <c r="B24" s="129"/>
      <c r="T24" s="125"/>
      <c r="Y24" s="240"/>
    </row>
    <row r="25" spans="1:25" ht="15.75">
      <c r="B25" s="130"/>
      <c r="T25" s="125"/>
    </row>
    <row r="26" spans="1:25" ht="15.75">
      <c r="B26" s="300"/>
      <c r="C26" s="3"/>
      <c r="T26" s="125"/>
    </row>
    <row r="27" spans="1:25" ht="15.75">
      <c r="B27" s="3"/>
      <c r="C27" s="3"/>
      <c r="T27" s="125"/>
    </row>
    <row r="28" spans="1:25">
      <c r="B28" s="3"/>
      <c r="C28" s="3"/>
    </row>
    <row r="29" spans="1:25">
      <c r="B29" s="3"/>
      <c r="C29" s="3"/>
    </row>
    <row r="30" spans="1:25">
      <c r="B30" s="3"/>
      <c r="C30" s="3"/>
    </row>
    <row r="31" spans="1:25">
      <c r="B31" s="3"/>
      <c r="C31" s="3"/>
    </row>
    <row r="32" spans="1:25">
      <c r="B32" s="300"/>
      <c r="C32" s="3"/>
    </row>
    <row r="33" spans="2:3">
      <c r="B33" s="3"/>
      <c r="C33" s="3"/>
    </row>
    <row r="34" spans="2:3">
      <c r="B34" s="3"/>
      <c r="C34" s="3"/>
    </row>
  </sheetData>
  <mergeCells count="8">
    <mergeCell ref="M1:S2"/>
    <mergeCell ref="L1:L2"/>
    <mergeCell ref="A17:C17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46"/>
  <sheetViews>
    <sheetView workbookViewId="0">
      <pane ySplit="2" topLeftCell="A3" activePane="bottomLeft" state="frozen"/>
      <selection pane="bottomLeft" activeCell="E27" sqref="E27"/>
    </sheetView>
  </sheetViews>
  <sheetFormatPr defaultRowHeight="15"/>
  <cols>
    <col min="1" max="1" width="11.5703125" style="103" bestFit="1" customWidth="1"/>
    <col min="2" max="2" width="87.7109375" style="104" bestFit="1" customWidth="1"/>
    <col min="3" max="3" width="14.28515625" style="105" customWidth="1"/>
    <col min="4" max="4" width="12.85546875" style="105" bestFit="1" customWidth="1"/>
    <col min="5" max="5" width="16.7109375" style="105" bestFit="1" customWidth="1"/>
    <col min="6" max="6" width="7.85546875" style="102" customWidth="1"/>
    <col min="7" max="7" width="10" style="102" customWidth="1"/>
    <col min="8" max="8" width="6.140625" style="102" bestFit="1" customWidth="1"/>
    <col min="9" max="12" width="7.140625" style="102" customWidth="1"/>
    <col min="13" max="13" width="6.28515625" style="102" customWidth="1"/>
    <col min="14" max="21" width="7.140625" style="102" customWidth="1"/>
    <col min="22" max="22" width="30.85546875" style="102" customWidth="1"/>
    <col min="23" max="220" width="9.140625" style="98"/>
    <col min="221" max="221" width="9" style="98" bestFit="1" customWidth="1"/>
    <col min="222" max="222" width="9.85546875" style="98" bestFit="1" customWidth="1"/>
    <col min="223" max="223" width="9.140625" style="98" bestFit="1" customWidth="1"/>
    <col min="224" max="224" width="16" style="98" bestFit="1" customWidth="1"/>
    <col min="225" max="225" width="9" style="98" bestFit="1" customWidth="1"/>
    <col min="226" max="226" width="7.85546875" style="98" bestFit="1" customWidth="1"/>
    <col min="227" max="227" width="11.7109375" style="98" bestFit="1" customWidth="1"/>
    <col min="228" max="228" width="14.28515625" style="98" customWidth="1"/>
    <col min="229" max="229" width="11.7109375" style="98" bestFit="1" customWidth="1"/>
    <col min="230" max="230" width="14.140625" style="98" bestFit="1" customWidth="1"/>
    <col min="231" max="231" width="16.7109375" style="98" customWidth="1"/>
    <col min="232" max="232" width="16.5703125" style="98" customWidth="1"/>
    <col min="233" max="234" width="7.85546875" style="98" bestFit="1" customWidth="1"/>
    <col min="235" max="235" width="8" style="98" bestFit="1" customWidth="1"/>
    <col min="236" max="237" width="7.85546875" style="98" bestFit="1" customWidth="1"/>
    <col min="238" max="238" width="9.7109375" style="98" customWidth="1"/>
    <col min="239" max="239" width="12.85546875" style="98" customWidth="1"/>
    <col min="240" max="476" width="9.140625" style="98"/>
    <col min="477" max="477" width="9" style="98" bestFit="1" customWidth="1"/>
    <col min="478" max="478" width="9.85546875" style="98" bestFit="1" customWidth="1"/>
    <col min="479" max="479" width="9.140625" style="98" bestFit="1" customWidth="1"/>
    <col min="480" max="480" width="16" style="98" bestFit="1" customWidth="1"/>
    <col min="481" max="481" width="9" style="98" bestFit="1" customWidth="1"/>
    <col min="482" max="482" width="7.85546875" style="98" bestFit="1" customWidth="1"/>
    <col min="483" max="483" width="11.7109375" style="98" bestFit="1" customWidth="1"/>
    <col min="484" max="484" width="14.28515625" style="98" customWidth="1"/>
    <col min="485" max="485" width="11.7109375" style="98" bestFit="1" customWidth="1"/>
    <col min="486" max="486" width="14.140625" style="98" bestFit="1" customWidth="1"/>
    <col min="487" max="487" width="16.7109375" style="98" customWidth="1"/>
    <col min="488" max="488" width="16.5703125" style="98" customWidth="1"/>
    <col min="489" max="490" width="7.85546875" style="98" bestFit="1" customWidth="1"/>
    <col min="491" max="491" width="8" style="98" bestFit="1" customWidth="1"/>
    <col min="492" max="493" width="7.85546875" style="98" bestFit="1" customWidth="1"/>
    <col min="494" max="494" width="9.7109375" style="98" customWidth="1"/>
    <col min="495" max="495" width="12.85546875" style="98" customWidth="1"/>
    <col min="496" max="732" width="9.140625" style="98"/>
    <col min="733" max="733" width="9" style="98" bestFit="1" customWidth="1"/>
    <col min="734" max="734" width="9.85546875" style="98" bestFit="1" customWidth="1"/>
    <col min="735" max="735" width="9.140625" style="98" bestFit="1" customWidth="1"/>
    <col min="736" max="736" width="16" style="98" bestFit="1" customWidth="1"/>
    <col min="737" max="737" width="9" style="98" bestFit="1" customWidth="1"/>
    <col min="738" max="738" width="7.85546875" style="98" bestFit="1" customWidth="1"/>
    <col min="739" max="739" width="11.7109375" style="98" bestFit="1" customWidth="1"/>
    <col min="740" max="740" width="14.28515625" style="98" customWidth="1"/>
    <col min="741" max="741" width="11.7109375" style="98" bestFit="1" customWidth="1"/>
    <col min="742" max="742" width="14.140625" style="98" bestFit="1" customWidth="1"/>
    <col min="743" max="743" width="16.7109375" style="98" customWidth="1"/>
    <col min="744" max="744" width="16.5703125" style="98" customWidth="1"/>
    <col min="745" max="746" width="7.85546875" style="98" bestFit="1" customWidth="1"/>
    <col min="747" max="747" width="8" style="98" bestFit="1" customWidth="1"/>
    <col min="748" max="749" width="7.85546875" style="98" bestFit="1" customWidth="1"/>
    <col min="750" max="750" width="9.7109375" style="98" customWidth="1"/>
    <col min="751" max="751" width="12.85546875" style="98" customWidth="1"/>
    <col min="752" max="988" width="9.140625" style="98"/>
    <col min="989" max="989" width="9" style="98" bestFit="1" customWidth="1"/>
    <col min="990" max="990" width="9.85546875" style="98" bestFit="1" customWidth="1"/>
    <col min="991" max="991" width="9.140625" style="98" bestFit="1" customWidth="1"/>
    <col min="992" max="992" width="16" style="98" bestFit="1" customWidth="1"/>
    <col min="993" max="993" width="9" style="98" bestFit="1" customWidth="1"/>
    <col min="994" max="994" width="7.85546875" style="98" bestFit="1" customWidth="1"/>
    <col min="995" max="995" width="11.7109375" style="98" bestFit="1" customWidth="1"/>
    <col min="996" max="996" width="14.28515625" style="98" customWidth="1"/>
    <col min="997" max="997" width="11.7109375" style="98" bestFit="1" customWidth="1"/>
    <col min="998" max="998" width="14.140625" style="98" bestFit="1" customWidth="1"/>
    <col min="999" max="999" width="16.7109375" style="98" customWidth="1"/>
    <col min="1000" max="1000" width="16.5703125" style="98" customWidth="1"/>
    <col min="1001" max="1002" width="7.85546875" style="98" bestFit="1" customWidth="1"/>
    <col min="1003" max="1003" width="8" style="98" bestFit="1" customWidth="1"/>
    <col min="1004" max="1005" width="7.85546875" style="98" bestFit="1" customWidth="1"/>
    <col min="1006" max="1006" width="9.7109375" style="98" customWidth="1"/>
    <col min="1007" max="1007" width="12.85546875" style="98" customWidth="1"/>
    <col min="1008" max="1244" width="9.140625" style="98"/>
    <col min="1245" max="1245" width="9" style="98" bestFit="1" customWidth="1"/>
    <col min="1246" max="1246" width="9.85546875" style="98" bestFit="1" customWidth="1"/>
    <col min="1247" max="1247" width="9.140625" style="98" bestFit="1" customWidth="1"/>
    <col min="1248" max="1248" width="16" style="98" bestFit="1" customWidth="1"/>
    <col min="1249" max="1249" width="9" style="98" bestFit="1" customWidth="1"/>
    <col min="1250" max="1250" width="7.85546875" style="98" bestFit="1" customWidth="1"/>
    <col min="1251" max="1251" width="11.7109375" style="98" bestFit="1" customWidth="1"/>
    <col min="1252" max="1252" width="14.28515625" style="98" customWidth="1"/>
    <col min="1253" max="1253" width="11.7109375" style="98" bestFit="1" customWidth="1"/>
    <col min="1254" max="1254" width="14.140625" style="98" bestFit="1" customWidth="1"/>
    <col min="1255" max="1255" width="16.7109375" style="98" customWidth="1"/>
    <col min="1256" max="1256" width="16.5703125" style="98" customWidth="1"/>
    <col min="1257" max="1258" width="7.85546875" style="98" bestFit="1" customWidth="1"/>
    <col min="1259" max="1259" width="8" style="98" bestFit="1" customWidth="1"/>
    <col min="1260" max="1261" width="7.85546875" style="98" bestFit="1" customWidth="1"/>
    <col min="1262" max="1262" width="9.7109375" style="98" customWidth="1"/>
    <col min="1263" max="1263" width="12.85546875" style="98" customWidth="1"/>
    <col min="1264" max="1500" width="9.140625" style="98"/>
    <col min="1501" max="1501" width="9" style="98" bestFit="1" customWidth="1"/>
    <col min="1502" max="1502" width="9.85546875" style="98" bestFit="1" customWidth="1"/>
    <col min="1503" max="1503" width="9.140625" style="98" bestFit="1" customWidth="1"/>
    <col min="1504" max="1504" width="16" style="98" bestFit="1" customWidth="1"/>
    <col min="1505" max="1505" width="9" style="98" bestFit="1" customWidth="1"/>
    <col min="1506" max="1506" width="7.85546875" style="98" bestFit="1" customWidth="1"/>
    <col min="1507" max="1507" width="11.7109375" style="98" bestFit="1" customWidth="1"/>
    <col min="1508" max="1508" width="14.28515625" style="98" customWidth="1"/>
    <col min="1509" max="1509" width="11.7109375" style="98" bestFit="1" customWidth="1"/>
    <col min="1510" max="1510" width="14.140625" style="98" bestFit="1" customWidth="1"/>
    <col min="1511" max="1511" width="16.7109375" style="98" customWidth="1"/>
    <col min="1512" max="1512" width="16.5703125" style="98" customWidth="1"/>
    <col min="1513" max="1514" width="7.85546875" style="98" bestFit="1" customWidth="1"/>
    <col min="1515" max="1515" width="8" style="98" bestFit="1" customWidth="1"/>
    <col min="1516" max="1517" width="7.85546875" style="98" bestFit="1" customWidth="1"/>
    <col min="1518" max="1518" width="9.7109375" style="98" customWidth="1"/>
    <col min="1519" max="1519" width="12.85546875" style="98" customWidth="1"/>
    <col min="1520" max="1756" width="9.140625" style="98"/>
    <col min="1757" max="1757" width="9" style="98" bestFit="1" customWidth="1"/>
    <col min="1758" max="1758" width="9.85546875" style="98" bestFit="1" customWidth="1"/>
    <col min="1759" max="1759" width="9.140625" style="98" bestFit="1" customWidth="1"/>
    <col min="1760" max="1760" width="16" style="98" bestFit="1" customWidth="1"/>
    <col min="1761" max="1761" width="9" style="98" bestFit="1" customWidth="1"/>
    <col min="1762" max="1762" width="7.85546875" style="98" bestFit="1" customWidth="1"/>
    <col min="1763" max="1763" width="11.7109375" style="98" bestFit="1" customWidth="1"/>
    <col min="1764" max="1764" width="14.28515625" style="98" customWidth="1"/>
    <col min="1765" max="1765" width="11.7109375" style="98" bestFit="1" customWidth="1"/>
    <col min="1766" max="1766" width="14.140625" style="98" bestFit="1" customWidth="1"/>
    <col min="1767" max="1767" width="16.7109375" style="98" customWidth="1"/>
    <col min="1768" max="1768" width="16.5703125" style="98" customWidth="1"/>
    <col min="1769" max="1770" width="7.85546875" style="98" bestFit="1" customWidth="1"/>
    <col min="1771" max="1771" width="8" style="98" bestFit="1" customWidth="1"/>
    <col min="1772" max="1773" width="7.85546875" style="98" bestFit="1" customWidth="1"/>
    <col min="1774" max="1774" width="9.7109375" style="98" customWidth="1"/>
    <col min="1775" max="1775" width="12.85546875" style="98" customWidth="1"/>
    <col min="1776" max="2012" width="9.140625" style="98"/>
    <col min="2013" max="2013" width="9" style="98" bestFit="1" customWidth="1"/>
    <col min="2014" max="2014" width="9.85546875" style="98" bestFit="1" customWidth="1"/>
    <col min="2015" max="2015" width="9.140625" style="98" bestFit="1" customWidth="1"/>
    <col min="2016" max="2016" width="16" style="98" bestFit="1" customWidth="1"/>
    <col min="2017" max="2017" width="9" style="98" bestFit="1" customWidth="1"/>
    <col min="2018" max="2018" width="7.85546875" style="98" bestFit="1" customWidth="1"/>
    <col min="2019" max="2019" width="11.7109375" style="98" bestFit="1" customWidth="1"/>
    <col min="2020" max="2020" width="14.28515625" style="98" customWidth="1"/>
    <col min="2021" max="2021" width="11.7109375" style="98" bestFit="1" customWidth="1"/>
    <col min="2022" max="2022" width="14.140625" style="98" bestFit="1" customWidth="1"/>
    <col min="2023" max="2023" width="16.7109375" style="98" customWidth="1"/>
    <col min="2024" max="2024" width="16.5703125" style="98" customWidth="1"/>
    <col min="2025" max="2026" width="7.85546875" style="98" bestFit="1" customWidth="1"/>
    <col min="2027" max="2027" width="8" style="98" bestFit="1" customWidth="1"/>
    <col min="2028" max="2029" width="7.85546875" style="98" bestFit="1" customWidth="1"/>
    <col min="2030" max="2030" width="9.7109375" style="98" customWidth="1"/>
    <col min="2031" max="2031" width="12.85546875" style="98" customWidth="1"/>
    <col min="2032" max="2268" width="9.140625" style="98"/>
    <col min="2269" max="2269" width="9" style="98" bestFit="1" customWidth="1"/>
    <col min="2270" max="2270" width="9.85546875" style="98" bestFit="1" customWidth="1"/>
    <col min="2271" max="2271" width="9.140625" style="98" bestFit="1" customWidth="1"/>
    <col min="2272" max="2272" width="16" style="98" bestFit="1" customWidth="1"/>
    <col min="2273" max="2273" width="9" style="98" bestFit="1" customWidth="1"/>
    <col min="2274" max="2274" width="7.85546875" style="98" bestFit="1" customWidth="1"/>
    <col min="2275" max="2275" width="11.7109375" style="98" bestFit="1" customWidth="1"/>
    <col min="2276" max="2276" width="14.28515625" style="98" customWidth="1"/>
    <col min="2277" max="2277" width="11.7109375" style="98" bestFit="1" customWidth="1"/>
    <col min="2278" max="2278" width="14.140625" style="98" bestFit="1" customWidth="1"/>
    <col min="2279" max="2279" width="16.7109375" style="98" customWidth="1"/>
    <col min="2280" max="2280" width="16.5703125" style="98" customWidth="1"/>
    <col min="2281" max="2282" width="7.85546875" style="98" bestFit="1" customWidth="1"/>
    <col min="2283" max="2283" width="8" style="98" bestFit="1" customWidth="1"/>
    <col min="2284" max="2285" width="7.85546875" style="98" bestFit="1" customWidth="1"/>
    <col min="2286" max="2286" width="9.7109375" style="98" customWidth="1"/>
    <col min="2287" max="2287" width="12.85546875" style="98" customWidth="1"/>
    <col min="2288" max="2524" width="9.140625" style="98"/>
    <col min="2525" max="2525" width="9" style="98" bestFit="1" customWidth="1"/>
    <col min="2526" max="2526" width="9.85546875" style="98" bestFit="1" customWidth="1"/>
    <col min="2527" max="2527" width="9.140625" style="98" bestFit="1" customWidth="1"/>
    <col min="2528" max="2528" width="16" style="98" bestFit="1" customWidth="1"/>
    <col min="2529" max="2529" width="9" style="98" bestFit="1" customWidth="1"/>
    <col min="2530" max="2530" width="7.85546875" style="98" bestFit="1" customWidth="1"/>
    <col min="2531" max="2531" width="11.7109375" style="98" bestFit="1" customWidth="1"/>
    <col min="2532" max="2532" width="14.28515625" style="98" customWidth="1"/>
    <col min="2533" max="2533" width="11.7109375" style="98" bestFit="1" customWidth="1"/>
    <col min="2534" max="2534" width="14.140625" style="98" bestFit="1" customWidth="1"/>
    <col min="2535" max="2535" width="16.7109375" style="98" customWidth="1"/>
    <col min="2536" max="2536" width="16.5703125" style="98" customWidth="1"/>
    <col min="2537" max="2538" width="7.85546875" style="98" bestFit="1" customWidth="1"/>
    <col min="2539" max="2539" width="8" style="98" bestFit="1" customWidth="1"/>
    <col min="2540" max="2541" width="7.85546875" style="98" bestFit="1" customWidth="1"/>
    <col min="2542" max="2542" width="9.7109375" style="98" customWidth="1"/>
    <col min="2543" max="2543" width="12.85546875" style="98" customWidth="1"/>
    <col min="2544" max="2780" width="9.140625" style="98"/>
    <col min="2781" max="2781" width="9" style="98" bestFit="1" customWidth="1"/>
    <col min="2782" max="2782" width="9.85546875" style="98" bestFit="1" customWidth="1"/>
    <col min="2783" max="2783" width="9.140625" style="98" bestFit="1" customWidth="1"/>
    <col min="2784" max="2784" width="16" style="98" bestFit="1" customWidth="1"/>
    <col min="2785" max="2785" width="9" style="98" bestFit="1" customWidth="1"/>
    <col min="2786" max="2786" width="7.85546875" style="98" bestFit="1" customWidth="1"/>
    <col min="2787" max="2787" width="11.7109375" style="98" bestFit="1" customWidth="1"/>
    <col min="2788" max="2788" width="14.28515625" style="98" customWidth="1"/>
    <col min="2789" max="2789" width="11.7109375" style="98" bestFit="1" customWidth="1"/>
    <col min="2790" max="2790" width="14.140625" style="98" bestFit="1" customWidth="1"/>
    <col min="2791" max="2791" width="16.7109375" style="98" customWidth="1"/>
    <col min="2792" max="2792" width="16.5703125" style="98" customWidth="1"/>
    <col min="2793" max="2794" width="7.85546875" style="98" bestFit="1" customWidth="1"/>
    <col min="2795" max="2795" width="8" style="98" bestFit="1" customWidth="1"/>
    <col min="2796" max="2797" width="7.85546875" style="98" bestFit="1" customWidth="1"/>
    <col min="2798" max="2798" width="9.7109375" style="98" customWidth="1"/>
    <col min="2799" max="2799" width="12.85546875" style="98" customWidth="1"/>
    <col min="2800" max="3036" width="9.140625" style="98"/>
    <col min="3037" max="3037" width="9" style="98" bestFit="1" customWidth="1"/>
    <col min="3038" max="3038" width="9.85546875" style="98" bestFit="1" customWidth="1"/>
    <col min="3039" max="3039" width="9.140625" style="98" bestFit="1" customWidth="1"/>
    <col min="3040" max="3040" width="16" style="98" bestFit="1" customWidth="1"/>
    <col min="3041" max="3041" width="9" style="98" bestFit="1" customWidth="1"/>
    <col min="3042" max="3042" width="7.85546875" style="98" bestFit="1" customWidth="1"/>
    <col min="3043" max="3043" width="11.7109375" style="98" bestFit="1" customWidth="1"/>
    <col min="3044" max="3044" width="14.28515625" style="98" customWidth="1"/>
    <col min="3045" max="3045" width="11.7109375" style="98" bestFit="1" customWidth="1"/>
    <col min="3046" max="3046" width="14.140625" style="98" bestFit="1" customWidth="1"/>
    <col min="3047" max="3047" width="16.7109375" style="98" customWidth="1"/>
    <col min="3048" max="3048" width="16.5703125" style="98" customWidth="1"/>
    <col min="3049" max="3050" width="7.85546875" style="98" bestFit="1" customWidth="1"/>
    <col min="3051" max="3051" width="8" style="98" bestFit="1" customWidth="1"/>
    <col min="3052" max="3053" width="7.85546875" style="98" bestFit="1" customWidth="1"/>
    <col min="3054" max="3054" width="9.7109375" style="98" customWidth="1"/>
    <col min="3055" max="3055" width="12.85546875" style="98" customWidth="1"/>
    <col min="3056" max="3292" width="9.140625" style="98"/>
    <col min="3293" max="3293" width="9" style="98" bestFit="1" customWidth="1"/>
    <col min="3294" max="3294" width="9.85546875" style="98" bestFit="1" customWidth="1"/>
    <col min="3295" max="3295" width="9.140625" style="98" bestFit="1" customWidth="1"/>
    <col min="3296" max="3296" width="16" style="98" bestFit="1" customWidth="1"/>
    <col min="3297" max="3297" width="9" style="98" bestFit="1" customWidth="1"/>
    <col min="3298" max="3298" width="7.85546875" style="98" bestFit="1" customWidth="1"/>
    <col min="3299" max="3299" width="11.7109375" style="98" bestFit="1" customWidth="1"/>
    <col min="3300" max="3300" width="14.28515625" style="98" customWidth="1"/>
    <col min="3301" max="3301" width="11.7109375" style="98" bestFit="1" customWidth="1"/>
    <col min="3302" max="3302" width="14.140625" style="98" bestFit="1" customWidth="1"/>
    <col min="3303" max="3303" width="16.7109375" style="98" customWidth="1"/>
    <col min="3304" max="3304" width="16.5703125" style="98" customWidth="1"/>
    <col min="3305" max="3306" width="7.85546875" style="98" bestFit="1" customWidth="1"/>
    <col min="3307" max="3307" width="8" style="98" bestFit="1" customWidth="1"/>
    <col min="3308" max="3309" width="7.85546875" style="98" bestFit="1" customWidth="1"/>
    <col min="3310" max="3310" width="9.7109375" style="98" customWidth="1"/>
    <col min="3311" max="3311" width="12.85546875" style="98" customWidth="1"/>
    <col min="3312" max="3548" width="9.140625" style="98"/>
    <col min="3549" max="3549" width="9" style="98" bestFit="1" customWidth="1"/>
    <col min="3550" max="3550" width="9.85546875" style="98" bestFit="1" customWidth="1"/>
    <col min="3551" max="3551" width="9.140625" style="98" bestFit="1" customWidth="1"/>
    <col min="3552" max="3552" width="16" style="98" bestFit="1" customWidth="1"/>
    <col min="3553" max="3553" width="9" style="98" bestFit="1" customWidth="1"/>
    <col min="3554" max="3554" width="7.85546875" style="98" bestFit="1" customWidth="1"/>
    <col min="3555" max="3555" width="11.7109375" style="98" bestFit="1" customWidth="1"/>
    <col min="3556" max="3556" width="14.28515625" style="98" customWidth="1"/>
    <col min="3557" max="3557" width="11.7109375" style="98" bestFit="1" customWidth="1"/>
    <col min="3558" max="3558" width="14.140625" style="98" bestFit="1" customWidth="1"/>
    <col min="3559" max="3559" width="16.7109375" style="98" customWidth="1"/>
    <col min="3560" max="3560" width="16.5703125" style="98" customWidth="1"/>
    <col min="3561" max="3562" width="7.85546875" style="98" bestFit="1" customWidth="1"/>
    <col min="3563" max="3563" width="8" style="98" bestFit="1" customWidth="1"/>
    <col min="3564" max="3565" width="7.85546875" style="98" bestFit="1" customWidth="1"/>
    <col min="3566" max="3566" width="9.7109375" style="98" customWidth="1"/>
    <col min="3567" max="3567" width="12.85546875" style="98" customWidth="1"/>
    <col min="3568" max="3804" width="9.140625" style="98"/>
    <col min="3805" max="3805" width="9" style="98" bestFit="1" customWidth="1"/>
    <col min="3806" max="3806" width="9.85546875" style="98" bestFit="1" customWidth="1"/>
    <col min="3807" max="3807" width="9.140625" style="98" bestFit="1" customWidth="1"/>
    <col min="3808" max="3808" width="16" style="98" bestFit="1" customWidth="1"/>
    <col min="3809" max="3809" width="9" style="98" bestFit="1" customWidth="1"/>
    <col min="3810" max="3810" width="7.85546875" style="98" bestFit="1" customWidth="1"/>
    <col min="3811" max="3811" width="11.7109375" style="98" bestFit="1" customWidth="1"/>
    <col min="3812" max="3812" width="14.28515625" style="98" customWidth="1"/>
    <col min="3813" max="3813" width="11.7109375" style="98" bestFit="1" customWidth="1"/>
    <col min="3814" max="3814" width="14.140625" style="98" bestFit="1" customWidth="1"/>
    <col min="3815" max="3815" width="16.7109375" style="98" customWidth="1"/>
    <col min="3816" max="3816" width="16.5703125" style="98" customWidth="1"/>
    <col min="3817" max="3818" width="7.85546875" style="98" bestFit="1" customWidth="1"/>
    <col min="3819" max="3819" width="8" style="98" bestFit="1" customWidth="1"/>
    <col min="3820" max="3821" width="7.85546875" style="98" bestFit="1" customWidth="1"/>
    <col min="3822" max="3822" width="9.7109375" style="98" customWidth="1"/>
    <col min="3823" max="3823" width="12.85546875" style="98" customWidth="1"/>
    <col min="3824" max="4060" width="9.140625" style="98"/>
    <col min="4061" max="4061" width="9" style="98" bestFit="1" customWidth="1"/>
    <col min="4062" max="4062" width="9.85546875" style="98" bestFit="1" customWidth="1"/>
    <col min="4063" max="4063" width="9.140625" style="98" bestFit="1" customWidth="1"/>
    <col min="4064" max="4064" width="16" style="98" bestFit="1" customWidth="1"/>
    <col min="4065" max="4065" width="9" style="98" bestFit="1" customWidth="1"/>
    <col min="4066" max="4066" width="7.85546875" style="98" bestFit="1" customWidth="1"/>
    <col min="4067" max="4067" width="11.7109375" style="98" bestFit="1" customWidth="1"/>
    <col min="4068" max="4068" width="14.28515625" style="98" customWidth="1"/>
    <col min="4069" max="4069" width="11.7109375" style="98" bestFit="1" customWidth="1"/>
    <col min="4070" max="4070" width="14.140625" style="98" bestFit="1" customWidth="1"/>
    <col min="4071" max="4071" width="16.7109375" style="98" customWidth="1"/>
    <col min="4072" max="4072" width="16.5703125" style="98" customWidth="1"/>
    <col min="4073" max="4074" width="7.85546875" style="98" bestFit="1" customWidth="1"/>
    <col min="4075" max="4075" width="8" style="98" bestFit="1" customWidth="1"/>
    <col min="4076" max="4077" width="7.85546875" style="98" bestFit="1" customWidth="1"/>
    <col min="4078" max="4078" width="9.7109375" style="98" customWidth="1"/>
    <col min="4079" max="4079" width="12.85546875" style="98" customWidth="1"/>
    <col min="4080" max="4316" width="9.140625" style="98"/>
    <col min="4317" max="4317" width="9" style="98" bestFit="1" customWidth="1"/>
    <col min="4318" max="4318" width="9.85546875" style="98" bestFit="1" customWidth="1"/>
    <col min="4319" max="4319" width="9.140625" style="98" bestFit="1" customWidth="1"/>
    <col min="4320" max="4320" width="16" style="98" bestFit="1" customWidth="1"/>
    <col min="4321" max="4321" width="9" style="98" bestFit="1" customWidth="1"/>
    <col min="4322" max="4322" width="7.85546875" style="98" bestFit="1" customWidth="1"/>
    <col min="4323" max="4323" width="11.7109375" style="98" bestFit="1" customWidth="1"/>
    <col min="4324" max="4324" width="14.28515625" style="98" customWidth="1"/>
    <col min="4325" max="4325" width="11.7109375" style="98" bestFit="1" customWidth="1"/>
    <col min="4326" max="4326" width="14.140625" style="98" bestFit="1" customWidth="1"/>
    <col min="4327" max="4327" width="16.7109375" style="98" customWidth="1"/>
    <col min="4328" max="4328" width="16.5703125" style="98" customWidth="1"/>
    <col min="4329" max="4330" width="7.85546875" style="98" bestFit="1" customWidth="1"/>
    <col min="4331" max="4331" width="8" style="98" bestFit="1" customWidth="1"/>
    <col min="4332" max="4333" width="7.85546875" style="98" bestFit="1" customWidth="1"/>
    <col min="4334" max="4334" width="9.7109375" style="98" customWidth="1"/>
    <col min="4335" max="4335" width="12.85546875" style="98" customWidth="1"/>
    <col min="4336" max="4572" width="9.140625" style="98"/>
    <col min="4573" max="4573" width="9" style="98" bestFit="1" customWidth="1"/>
    <col min="4574" max="4574" width="9.85546875" style="98" bestFit="1" customWidth="1"/>
    <col min="4575" max="4575" width="9.140625" style="98" bestFit="1" customWidth="1"/>
    <col min="4576" max="4576" width="16" style="98" bestFit="1" customWidth="1"/>
    <col min="4577" max="4577" width="9" style="98" bestFit="1" customWidth="1"/>
    <col min="4578" max="4578" width="7.85546875" style="98" bestFit="1" customWidth="1"/>
    <col min="4579" max="4579" width="11.7109375" style="98" bestFit="1" customWidth="1"/>
    <col min="4580" max="4580" width="14.28515625" style="98" customWidth="1"/>
    <col min="4581" max="4581" width="11.7109375" style="98" bestFit="1" customWidth="1"/>
    <col min="4582" max="4582" width="14.140625" style="98" bestFit="1" customWidth="1"/>
    <col min="4583" max="4583" width="16.7109375" style="98" customWidth="1"/>
    <col min="4584" max="4584" width="16.5703125" style="98" customWidth="1"/>
    <col min="4585" max="4586" width="7.85546875" style="98" bestFit="1" customWidth="1"/>
    <col min="4587" max="4587" width="8" style="98" bestFit="1" customWidth="1"/>
    <col min="4588" max="4589" width="7.85546875" style="98" bestFit="1" customWidth="1"/>
    <col min="4590" max="4590" width="9.7109375" style="98" customWidth="1"/>
    <col min="4591" max="4591" width="12.85546875" style="98" customWidth="1"/>
    <col min="4592" max="4828" width="9.140625" style="98"/>
    <col min="4829" max="4829" width="9" style="98" bestFit="1" customWidth="1"/>
    <col min="4830" max="4830" width="9.85546875" style="98" bestFit="1" customWidth="1"/>
    <col min="4831" max="4831" width="9.140625" style="98" bestFit="1" customWidth="1"/>
    <col min="4832" max="4832" width="16" style="98" bestFit="1" customWidth="1"/>
    <col min="4833" max="4833" width="9" style="98" bestFit="1" customWidth="1"/>
    <col min="4834" max="4834" width="7.85546875" style="98" bestFit="1" customWidth="1"/>
    <col min="4835" max="4835" width="11.7109375" style="98" bestFit="1" customWidth="1"/>
    <col min="4836" max="4836" width="14.28515625" style="98" customWidth="1"/>
    <col min="4837" max="4837" width="11.7109375" style="98" bestFit="1" customWidth="1"/>
    <col min="4838" max="4838" width="14.140625" style="98" bestFit="1" customWidth="1"/>
    <col min="4839" max="4839" width="16.7109375" style="98" customWidth="1"/>
    <col min="4840" max="4840" width="16.5703125" style="98" customWidth="1"/>
    <col min="4841" max="4842" width="7.85546875" style="98" bestFit="1" customWidth="1"/>
    <col min="4843" max="4843" width="8" style="98" bestFit="1" customWidth="1"/>
    <col min="4844" max="4845" width="7.85546875" style="98" bestFit="1" customWidth="1"/>
    <col min="4846" max="4846" width="9.7109375" style="98" customWidth="1"/>
    <col min="4847" max="4847" width="12.85546875" style="98" customWidth="1"/>
    <col min="4848" max="5084" width="9.140625" style="98"/>
    <col min="5085" max="5085" width="9" style="98" bestFit="1" customWidth="1"/>
    <col min="5086" max="5086" width="9.85546875" style="98" bestFit="1" customWidth="1"/>
    <col min="5087" max="5087" width="9.140625" style="98" bestFit="1" customWidth="1"/>
    <col min="5088" max="5088" width="16" style="98" bestFit="1" customWidth="1"/>
    <col min="5089" max="5089" width="9" style="98" bestFit="1" customWidth="1"/>
    <col min="5090" max="5090" width="7.85546875" style="98" bestFit="1" customWidth="1"/>
    <col min="5091" max="5091" width="11.7109375" style="98" bestFit="1" customWidth="1"/>
    <col min="5092" max="5092" width="14.28515625" style="98" customWidth="1"/>
    <col min="5093" max="5093" width="11.7109375" style="98" bestFit="1" customWidth="1"/>
    <col min="5094" max="5094" width="14.140625" style="98" bestFit="1" customWidth="1"/>
    <col min="5095" max="5095" width="16.7109375" style="98" customWidth="1"/>
    <col min="5096" max="5096" width="16.5703125" style="98" customWidth="1"/>
    <col min="5097" max="5098" width="7.85546875" style="98" bestFit="1" customWidth="1"/>
    <col min="5099" max="5099" width="8" style="98" bestFit="1" customWidth="1"/>
    <col min="5100" max="5101" width="7.85546875" style="98" bestFit="1" customWidth="1"/>
    <col min="5102" max="5102" width="9.7109375" style="98" customWidth="1"/>
    <col min="5103" max="5103" width="12.85546875" style="98" customWidth="1"/>
    <col min="5104" max="5340" width="9.140625" style="98"/>
    <col min="5341" max="5341" width="9" style="98" bestFit="1" customWidth="1"/>
    <col min="5342" max="5342" width="9.85546875" style="98" bestFit="1" customWidth="1"/>
    <col min="5343" max="5343" width="9.140625" style="98" bestFit="1" customWidth="1"/>
    <col min="5344" max="5344" width="16" style="98" bestFit="1" customWidth="1"/>
    <col min="5345" max="5345" width="9" style="98" bestFit="1" customWidth="1"/>
    <col min="5346" max="5346" width="7.85546875" style="98" bestFit="1" customWidth="1"/>
    <col min="5347" max="5347" width="11.7109375" style="98" bestFit="1" customWidth="1"/>
    <col min="5348" max="5348" width="14.28515625" style="98" customWidth="1"/>
    <col min="5349" max="5349" width="11.7109375" style="98" bestFit="1" customWidth="1"/>
    <col min="5350" max="5350" width="14.140625" style="98" bestFit="1" customWidth="1"/>
    <col min="5351" max="5351" width="16.7109375" style="98" customWidth="1"/>
    <col min="5352" max="5352" width="16.5703125" style="98" customWidth="1"/>
    <col min="5353" max="5354" width="7.85546875" style="98" bestFit="1" customWidth="1"/>
    <col min="5355" max="5355" width="8" style="98" bestFit="1" customWidth="1"/>
    <col min="5356" max="5357" width="7.85546875" style="98" bestFit="1" customWidth="1"/>
    <col min="5358" max="5358" width="9.7109375" style="98" customWidth="1"/>
    <col min="5359" max="5359" width="12.85546875" style="98" customWidth="1"/>
    <col min="5360" max="5596" width="9.140625" style="98"/>
    <col min="5597" max="5597" width="9" style="98" bestFit="1" customWidth="1"/>
    <col min="5598" max="5598" width="9.85546875" style="98" bestFit="1" customWidth="1"/>
    <col min="5599" max="5599" width="9.140625" style="98" bestFit="1" customWidth="1"/>
    <col min="5600" max="5600" width="16" style="98" bestFit="1" customWidth="1"/>
    <col min="5601" max="5601" width="9" style="98" bestFit="1" customWidth="1"/>
    <col min="5602" max="5602" width="7.85546875" style="98" bestFit="1" customWidth="1"/>
    <col min="5603" max="5603" width="11.7109375" style="98" bestFit="1" customWidth="1"/>
    <col min="5604" max="5604" width="14.28515625" style="98" customWidth="1"/>
    <col min="5605" max="5605" width="11.7109375" style="98" bestFit="1" customWidth="1"/>
    <col min="5606" max="5606" width="14.140625" style="98" bestFit="1" customWidth="1"/>
    <col min="5607" max="5607" width="16.7109375" style="98" customWidth="1"/>
    <col min="5608" max="5608" width="16.5703125" style="98" customWidth="1"/>
    <col min="5609" max="5610" width="7.85546875" style="98" bestFit="1" customWidth="1"/>
    <col min="5611" max="5611" width="8" style="98" bestFit="1" customWidth="1"/>
    <col min="5612" max="5613" width="7.85546875" style="98" bestFit="1" customWidth="1"/>
    <col min="5614" max="5614" width="9.7109375" style="98" customWidth="1"/>
    <col min="5615" max="5615" width="12.85546875" style="98" customWidth="1"/>
    <col min="5616" max="5852" width="9.140625" style="98"/>
    <col min="5853" max="5853" width="9" style="98" bestFit="1" customWidth="1"/>
    <col min="5854" max="5854" width="9.85546875" style="98" bestFit="1" customWidth="1"/>
    <col min="5855" max="5855" width="9.140625" style="98" bestFit="1" customWidth="1"/>
    <col min="5856" max="5856" width="16" style="98" bestFit="1" customWidth="1"/>
    <col min="5857" max="5857" width="9" style="98" bestFit="1" customWidth="1"/>
    <col min="5858" max="5858" width="7.85546875" style="98" bestFit="1" customWidth="1"/>
    <col min="5859" max="5859" width="11.7109375" style="98" bestFit="1" customWidth="1"/>
    <col min="5860" max="5860" width="14.28515625" style="98" customWidth="1"/>
    <col min="5861" max="5861" width="11.7109375" style="98" bestFit="1" customWidth="1"/>
    <col min="5862" max="5862" width="14.140625" style="98" bestFit="1" customWidth="1"/>
    <col min="5863" max="5863" width="16.7109375" style="98" customWidth="1"/>
    <col min="5864" max="5864" width="16.5703125" style="98" customWidth="1"/>
    <col min="5865" max="5866" width="7.85546875" style="98" bestFit="1" customWidth="1"/>
    <col min="5867" max="5867" width="8" style="98" bestFit="1" customWidth="1"/>
    <col min="5868" max="5869" width="7.85546875" style="98" bestFit="1" customWidth="1"/>
    <col min="5870" max="5870" width="9.7109375" style="98" customWidth="1"/>
    <col min="5871" max="5871" width="12.85546875" style="98" customWidth="1"/>
    <col min="5872" max="6108" width="9.140625" style="98"/>
    <col min="6109" max="6109" width="9" style="98" bestFit="1" customWidth="1"/>
    <col min="6110" max="6110" width="9.85546875" style="98" bestFit="1" customWidth="1"/>
    <col min="6111" max="6111" width="9.140625" style="98" bestFit="1" customWidth="1"/>
    <col min="6112" max="6112" width="16" style="98" bestFit="1" customWidth="1"/>
    <col min="6113" max="6113" width="9" style="98" bestFit="1" customWidth="1"/>
    <col min="6114" max="6114" width="7.85546875" style="98" bestFit="1" customWidth="1"/>
    <col min="6115" max="6115" width="11.7109375" style="98" bestFit="1" customWidth="1"/>
    <col min="6116" max="6116" width="14.28515625" style="98" customWidth="1"/>
    <col min="6117" max="6117" width="11.7109375" style="98" bestFit="1" customWidth="1"/>
    <col min="6118" max="6118" width="14.140625" style="98" bestFit="1" customWidth="1"/>
    <col min="6119" max="6119" width="16.7109375" style="98" customWidth="1"/>
    <col min="6120" max="6120" width="16.5703125" style="98" customWidth="1"/>
    <col min="6121" max="6122" width="7.85546875" style="98" bestFit="1" customWidth="1"/>
    <col min="6123" max="6123" width="8" style="98" bestFit="1" customWidth="1"/>
    <col min="6124" max="6125" width="7.85546875" style="98" bestFit="1" customWidth="1"/>
    <col min="6126" max="6126" width="9.7109375" style="98" customWidth="1"/>
    <col min="6127" max="6127" width="12.85546875" style="98" customWidth="1"/>
    <col min="6128" max="6364" width="9.140625" style="98"/>
    <col min="6365" max="6365" width="9" style="98" bestFit="1" customWidth="1"/>
    <col min="6366" max="6366" width="9.85546875" style="98" bestFit="1" customWidth="1"/>
    <col min="6367" max="6367" width="9.140625" style="98" bestFit="1" customWidth="1"/>
    <col min="6368" max="6368" width="16" style="98" bestFit="1" customWidth="1"/>
    <col min="6369" max="6369" width="9" style="98" bestFit="1" customWidth="1"/>
    <col min="6370" max="6370" width="7.85546875" style="98" bestFit="1" customWidth="1"/>
    <col min="6371" max="6371" width="11.7109375" style="98" bestFit="1" customWidth="1"/>
    <col min="6372" max="6372" width="14.28515625" style="98" customWidth="1"/>
    <col min="6373" max="6373" width="11.7109375" style="98" bestFit="1" customWidth="1"/>
    <col min="6374" max="6374" width="14.140625" style="98" bestFit="1" customWidth="1"/>
    <col min="6375" max="6375" width="16.7109375" style="98" customWidth="1"/>
    <col min="6376" max="6376" width="16.5703125" style="98" customWidth="1"/>
    <col min="6377" max="6378" width="7.85546875" style="98" bestFit="1" customWidth="1"/>
    <col min="6379" max="6379" width="8" style="98" bestFit="1" customWidth="1"/>
    <col min="6380" max="6381" width="7.85546875" style="98" bestFit="1" customWidth="1"/>
    <col min="6382" max="6382" width="9.7109375" style="98" customWidth="1"/>
    <col min="6383" max="6383" width="12.85546875" style="98" customWidth="1"/>
    <col min="6384" max="6620" width="9.140625" style="98"/>
    <col min="6621" max="6621" width="9" style="98" bestFit="1" customWidth="1"/>
    <col min="6622" max="6622" width="9.85546875" style="98" bestFit="1" customWidth="1"/>
    <col min="6623" max="6623" width="9.140625" style="98" bestFit="1" customWidth="1"/>
    <col min="6624" max="6624" width="16" style="98" bestFit="1" customWidth="1"/>
    <col min="6625" max="6625" width="9" style="98" bestFit="1" customWidth="1"/>
    <col min="6626" max="6626" width="7.85546875" style="98" bestFit="1" customWidth="1"/>
    <col min="6627" max="6627" width="11.7109375" style="98" bestFit="1" customWidth="1"/>
    <col min="6628" max="6628" width="14.28515625" style="98" customWidth="1"/>
    <col min="6629" max="6629" width="11.7109375" style="98" bestFit="1" customWidth="1"/>
    <col min="6630" max="6630" width="14.140625" style="98" bestFit="1" customWidth="1"/>
    <col min="6631" max="6631" width="16.7109375" style="98" customWidth="1"/>
    <col min="6632" max="6632" width="16.5703125" style="98" customWidth="1"/>
    <col min="6633" max="6634" width="7.85546875" style="98" bestFit="1" customWidth="1"/>
    <col min="6635" max="6635" width="8" style="98" bestFit="1" customWidth="1"/>
    <col min="6636" max="6637" width="7.85546875" style="98" bestFit="1" customWidth="1"/>
    <col min="6638" max="6638" width="9.7109375" style="98" customWidth="1"/>
    <col min="6639" max="6639" width="12.85546875" style="98" customWidth="1"/>
    <col min="6640" max="6876" width="9.140625" style="98"/>
    <col min="6877" max="6877" width="9" style="98" bestFit="1" customWidth="1"/>
    <col min="6878" max="6878" width="9.85546875" style="98" bestFit="1" customWidth="1"/>
    <col min="6879" max="6879" width="9.140625" style="98" bestFit="1" customWidth="1"/>
    <col min="6880" max="6880" width="16" style="98" bestFit="1" customWidth="1"/>
    <col min="6881" max="6881" width="9" style="98" bestFit="1" customWidth="1"/>
    <col min="6882" max="6882" width="7.85546875" style="98" bestFit="1" customWidth="1"/>
    <col min="6883" max="6883" width="11.7109375" style="98" bestFit="1" customWidth="1"/>
    <col min="6884" max="6884" width="14.28515625" style="98" customWidth="1"/>
    <col min="6885" max="6885" width="11.7109375" style="98" bestFit="1" customWidth="1"/>
    <col min="6886" max="6886" width="14.140625" style="98" bestFit="1" customWidth="1"/>
    <col min="6887" max="6887" width="16.7109375" style="98" customWidth="1"/>
    <col min="6888" max="6888" width="16.5703125" style="98" customWidth="1"/>
    <col min="6889" max="6890" width="7.85546875" style="98" bestFit="1" customWidth="1"/>
    <col min="6891" max="6891" width="8" style="98" bestFit="1" customWidth="1"/>
    <col min="6892" max="6893" width="7.85546875" style="98" bestFit="1" customWidth="1"/>
    <col min="6894" max="6894" width="9.7109375" style="98" customWidth="1"/>
    <col min="6895" max="6895" width="12.85546875" style="98" customWidth="1"/>
    <col min="6896" max="7132" width="9.140625" style="98"/>
    <col min="7133" max="7133" width="9" style="98" bestFit="1" customWidth="1"/>
    <col min="7134" max="7134" width="9.85546875" style="98" bestFit="1" customWidth="1"/>
    <col min="7135" max="7135" width="9.140625" style="98" bestFit="1" customWidth="1"/>
    <col min="7136" max="7136" width="16" style="98" bestFit="1" customWidth="1"/>
    <col min="7137" max="7137" width="9" style="98" bestFit="1" customWidth="1"/>
    <col min="7138" max="7138" width="7.85546875" style="98" bestFit="1" customWidth="1"/>
    <col min="7139" max="7139" width="11.7109375" style="98" bestFit="1" customWidth="1"/>
    <col min="7140" max="7140" width="14.28515625" style="98" customWidth="1"/>
    <col min="7141" max="7141" width="11.7109375" style="98" bestFit="1" customWidth="1"/>
    <col min="7142" max="7142" width="14.140625" style="98" bestFit="1" customWidth="1"/>
    <col min="7143" max="7143" width="16.7109375" style="98" customWidth="1"/>
    <col min="7144" max="7144" width="16.5703125" style="98" customWidth="1"/>
    <col min="7145" max="7146" width="7.85546875" style="98" bestFit="1" customWidth="1"/>
    <col min="7147" max="7147" width="8" style="98" bestFit="1" customWidth="1"/>
    <col min="7148" max="7149" width="7.85546875" style="98" bestFit="1" customWidth="1"/>
    <col min="7150" max="7150" width="9.7109375" style="98" customWidth="1"/>
    <col min="7151" max="7151" width="12.85546875" style="98" customWidth="1"/>
    <col min="7152" max="7388" width="9.140625" style="98"/>
    <col min="7389" max="7389" width="9" style="98" bestFit="1" customWidth="1"/>
    <col min="7390" max="7390" width="9.85546875" style="98" bestFit="1" customWidth="1"/>
    <col min="7391" max="7391" width="9.140625" style="98" bestFit="1" customWidth="1"/>
    <col min="7392" max="7392" width="16" style="98" bestFit="1" customWidth="1"/>
    <col min="7393" max="7393" width="9" style="98" bestFit="1" customWidth="1"/>
    <col min="7394" max="7394" width="7.85546875" style="98" bestFit="1" customWidth="1"/>
    <col min="7395" max="7395" width="11.7109375" style="98" bestFit="1" customWidth="1"/>
    <col min="7396" max="7396" width="14.28515625" style="98" customWidth="1"/>
    <col min="7397" max="7397" width="11.7109375" style="98" bestFit="1" customWidth="1"/>
    <col min="7398" max="7398" width="14.140625" style="98" bestFit="1" customWidth="1"/>
    <col min="7399" max="7399" width="16.7109375" style="98" customWidth="1"/>
    <col min="7400" max="7400" width="16.5703125" style="98" customWidth="1"/>
    <col min="7401" max="7402" width="7.85546875" style="98" bestFit="1" customWidth="1"/>
    <col min="7403" max="7403" width="8" style="98" bestFit="1" customWidth="1"/>
    <col min="7404" max="7405" width="7.85546875" style="98" bestFit="1" customWidth="1"/>
    <col min="7406" max="7406" width="9.7109375" style="98" customWidth="1"/>
    <col min="7407" max="7407" width="12.85546875" style="98" customWidth="1"/>
    <col min="7408" max="7644" width="9.140625" style="98"/>
    <col min="7645" max="7645" width="9" style="98" bestFit="1" customWidth="1"/>
    <col min="7646" max="7646" width="9.85546875" style="98" bestFit="1" customWidth="1"/>
    <col min="7647" max="7647" width="9.140625" style="98" bestFit="1" customWidth="1"/>
    <col min="7648" max="7648" width="16" style="98" bestFit="1" customWidth="1"/>
    <col min="7649" max="7649" width="9" style="98" bestFit="1" customWidth="1"/>
    <col min="7650" max="7650" width="7.85546875" style="98" bestFit="1" customWidth="1"/>
    <col min="7651" max="7651" width="11.7109375" style="98" bestFit="1" customWidth="1"/>
    <col min="7652" max="7652" width="14.28515625" style="98" customWidth="1"/>
    <col min="7653" max="7653" width="11.7109375" style="98" bestFit="1" customWidth="1"/>
    <col min="7654" max="7654" width="14.140625" style="98" bestFit="1" customWidth="1"/>
    <col min="7655" max="7655" width="16.7109375" style="98" customWidth="1"/>
    <col min="7656" max="7656" width="16.5703125" style="98" customWidth="1"/>
    <col min="7657" max="7658" width="7.85546875" style="98" bestFit="1" customWidth="1"/>
    <col min="7659" max="7659" width="8" style="98" bestFit="1" customWidth="1"/>
    <col min="7660" max="7661" width="7.85546875" style="98" bestFit="1" customWidth="1"/>
    <col min="7662" max="7662" width="9.7109375" style="98" customWidth="1"/>
    <col min="7663" max="7663" width="12.85546875" style="98" customWidth="1"/>
    <col min="7664" max="7900" width="9.140625" style="98"/>
    <col min="7901" max="7901" width="9" style="98" bestFit="1" customWidth="1"/>
    <col min="7902" max="7902" width="9.85546875" style="98" bestFit="1" customWidth="1"/>
    <col min="7903" max="7903" width="9.140625" style="98" bestFit="1" customWidth="1"/>
    <col min="7904" max="7904" width="16" style="98" bestFit="1" customWidth="1"/>
    <col min="7905" max="7905" width="9" style="98" bestFit="1" customWidth="1"/>
    <col min="7906" max="7906" width="7.85546875" style="98" bestFit="1" customWidth="1"/>
    <col min="7907" max="7907" width="11.7109375" style="98" bestFit="1" customWidth="1"/>
    <col min="7908" max="7908" width="14.28515625" style="98" customWidth="1"/>
    <col min="7909" max="7909" width="11.7109375" style="98" bestFit="1" customWidth="1"/>
    <col min="7910" max="7910" width="14.140625" style="98" bestFit="1" customWidth="1"/>
    <col min="7911" max="7911" width="16.7109375" style="98" customWidth="1"/>
    <col min="7912" max="7912" width="16.5703125" style="98" customWidth="1"/>
    <col min="7913" max="7914" width="7.85546875" style="98" bestFit="1" customWidth="1"/>
    <col min="7915" max="7915" width="8" style="98" bestFit="1" customWidth="1"/>
    <col min="7916" max="7917" width="7.85546875" style="98" bestFit="1" customWidth="1"/>
    <col min="7918" max="7918" width="9.7109375" style="98" customWidth="1"/>
    <col min="7919" max="7919" width="12.85546875" style="98" customWidth="1"/>
    <col min="7920" max="8156" width="9.140625" style="98"/>
    <col min="8157" max="8157" width="9" style="98" bestFit="1" customWidth="1"/>
    <col min="8158" max="8158" width="9.85546875" style="98" bestFit="1" customWidth="1"/>
    <col min="8159" max="8159" width="9.140625" style="98" bestFit="1" customWidth="1"/>
    <col min="8160" max="8160" width="16" style="98" bestFit="1" customWidth="1"/>
    <col min="8161" max="8161" width="9" style="98" bestFit="1" customWidth="1"/>
    <col min="8162" max="8162" width="7.85546875" style="98" bestFit="1" customWidth="1"/>
    <col min="8163" max="8163" width="11.7109375" style="98" bestFit="1" customWidth="1"/>
    <col min="8164" max="8164" width="14.28515625" style="98" customWidth="1"/>
    <col min="8165" max="8165" width="11.7109375" style="98" bestFit="1" customWidth="1"/>
    <col min="8166" max="8166" width="14.140625" style="98" bestFit="1" customWidth="1"/>
    <col min="8167" max="8167" width="16.7109375" style="98" customWidth="1"/>
    <col min="8168" max="8168" width="16.5703125" style="98" customWidth="1"/>
    <col min="8169" max="8170" width="7.85546875" style="98" bestFit="1" customWidth="1"/>
    <col min="8171" max="8171" width="8" style="98" bestFit="1" customWidth="1"/>
    <col min="8172" max="8173" width="7.85546875" style="98" bestFit="1" customWidth="1"/>
    <col min="8174" max="8174" width="9.7109375" style="98" customWidth="1"/>
    <col min="8175" max="8175" width="12.85546875" style="98" customWidth="1"/>
    <col min="8176" max="8412" width="9.140625" style="98"/>
    <col min="8413" max="8413" width="9" style="98" bestFit="1" customWidth="1"/>
    <col min="8414" max="8414" width="9.85546875" style="98" bestFit="1" customWidth="1"/>
    <col min="8415" max="8415" width="9.140625" style="98" bestFit="1" customWidth="1"/>
    <col min="8416" max="8416" width="16" style="98" bestFit="1" customWidth="1"/>
    <col min="8417" max="8417" width="9" style="98" bestFit="1" customWidth="1"/>
    <col min="8418" max="8418" width="7.85546875" style="98" bestFit="1" customWidth="1"/>
    <col min="8419" max="8419" width="11.7109375" style="98" bestFit="1" customWidth="1"/>
    <col min="8420" max="8420" width="14.28515625" style="98" customWidth="1"/>
    <col min="8421" max="8421" width="11.7109375" style="98" bestFit="1" customWidth="1"/>
    <col min="8422" max="8422" width="14.140625" style="98" bestFit="1" customWidth="1"/>
    <col min="8423" max="8423" width="16.7109375" style="98" customWidth="1"/>
    <col min="8424" max="8424" width="16.5703125" style="98" customWidth="1"/>
    <col min="8425" max="8426" width="7.85546875" style="98" bestFit="1" customWidth="1"/>
    <col min="8427" max="8427" width="8" style="98" bestFit="1" customWidth="1"/>
    <col min="8428" max="8429" width="7.85546875" style="98" bestFit="1" customWidth="1"/>
    <col min="8430" max="8430" width="9.7109375" style="98" customWidth="1"/>
    <col min="8431" max="8431" width="12.85546875" style="98" customWidth="1"/>
    <col min="8432" max="8668" width="9.140625" style="98"/>
    <col min="8669" max="8669" width="9" style="98" bestFit="1" customWidth="1"/>
    <col min="8670" max="8670" width="9.85546875" style="98" bestFit="1" customWidth="1"/>
    <col min="8671" max="8671" width="9.140625" style="98" bestFit="1" customWidth="1"/>
    <col min="8672" max="8672" width="16" style="98" bestFit="1" customWidth="1"/>
    <col min="8673" max="8673" width="9" style="98" bestFit="1" customWidth="1"/>
    <col min="8674" max="8674" width="7.85546875" style="98" bestFit="1" customWidth="1"/>
    <col min="8675" max="8675" width="11.7109375" style="98" bestFit="1" customWidth="1"/>
    <col min="8676" max="8676" width="14.28515625" style="98" customWidth="1"/>
    <col min="8677" max="8677" width="11.7109375" style="98" bestFit="1" customWidth="1"/>
    <col min="8678" max="8678" width="14.140625" style="98" bestFit="1" customWidth="1"/>
    <col min="8679" max="8679" width="16.7109375" style="98" customWidth="1"/>
    <col min="8680" max="8680" width="16.5703125" style="98" customWidth="1"/>
    <col min="8681" max="8682" width="7.85546875" style="98" bestFit="1" customWidth="1"/>
    <col min="8683" max="8683" width="8" style="98" bestFit="1" customWidth="1"/>
    <col min="8684" max="8685" width="7.85546875" style="98" bestFit="1" customWidth="1"/>
    <col min="8686" max="8686" width="9.7109375" style="98" customWidth="1"/>
    <col min="8687" max="8687" width="12.85546875" style="98" customWidth="1"/>
    <col min="8688" max="8924" width="9.140625" style="98"/>
    <col min="8925" max="8925" width="9" style="98" bestFit="1" customWidth="1"/>
    <col min="8926" max="8926" width="9.85546875" style="98" bestFit="1" customWidth="1"/>
    <col min="8927" max="8927" width="9.140625" style="98" bestFit="1" customWidth="1"/>
    <col min="8928" max="8928" width="16" style="98" bestFit="1" customWidth="1"/>
    <col min="8929" max="8929" width="9" style="98" bestFit="1" customWidth="1"/>
    <col min="8930" max="8930" width="7.85546875" style="98" bestFit="1" customWidth="1"/>
    <col min="8931" max="8931" width="11.7109375" style="98" bestFit="1" customWidth="1"/>
    <col min="8932" max="8932" width="14.28515625" style="98" customWidth="1"/>
    <col min="8933" max="8933" width="11.7109375" style="98" bestFit="1" customWidth="1"/>
    <col min="8934" max="8934" width="14.140625" style="98" bestFit="1" customWidth="1"/>
    <col min="8935" max="8935" width="16.7109375" style="98" customWidth="1"/>
    <col min="8936" max="8936" width="16.5703125" style="98" customWidth="1"/>
    <col min="8937" max="8938" width="7.85546875" style="98" bestFit="1" customWidth="1"/>
    <col min="8939" max="8939" width="8" style="98" bestFit="1" customWidth="1"/>
    <col min="8940" max="8941" width="7.85546875" style="98" bestFit="1" customWidth="1"/>
    <col min="8942" max="8942" width="9.7109375" style="98" customWidth="1"/>
    <col min="8943" max="8943" width="12.85546875" style="98" customWidth="1"/>
    <col min="8944" max="9180" width="9.140625" style="98"/>
    <col min="9181" max="9181" width="9" style="98" bestFit="1" customWidth="1"/>
    <col min="9182" max="9182" width="9.85546875" style="98" bestFit="1" customWidth="1"/>
    <col min="9183" max="9183" width="9.140625" style="98" bestFit="1" customWidth="1"/>
    <col min="9184" max="9184" width="16" style="98" bestFit="1" customWidth="1"/>
    <col min="9185" max="9185" width="9" style="98" bestFit="1" customWidth="1"/>
    <col min="9186" max="9186" width="7.85546875" style="98" bestFit="1" customWidth="1"/>
    <col min="9187" max="9187" width="11.7109375" style="98" bestFit="1" customWidth="1"/>
    <col min="9188" max="9188" width="14.28515625" style="98" customWidth="1"/>
    <col min="9189" max="9189" width="11.7109375" style="98" bestFit="1" customWidth="1"/>
    <col min="9190" max="9190" width="14.140625" style="98" bestFit="1" customWidth="1"/>
    <col min="9191" max="9191" width="16.7109375" style="98" customWidth="1"/>
    <col min="9192" max="9192" width="16.5703125" style="98" customWidth="1"/>
    <col min="9193" max="9194" width="7.85546875" style="98" bestFit="1" customWidth="1"/>
    <col min="9195" max="9195" width="8" style="98" bestFit="1" customWidth="1"/>
    <col min="9196" max="9197" width="7.85546875" style="98" bestFit="1" customWidth="1"/>
    <col min="9198" max="9198" width="9.7109375" style="98" customWidth="1"/>
    <col min="9199" max="9199" width="12.85546875" style="98" customWidth="1"/>
    <col min="9200" max="9436" width="9.140625" style="98"/>
    <col min="9437" max="9437" width="9" style="98" bestFit="1" customWidth="1"/>
    <col min="9438" max="9438" width="9.85546875" style="98" bestFit="1" customWidth="1"/>
    <col min="9439" max="9439" width="9.140625" style="98" bestFit="1" customWidth="1"/>
    <col min="9440" max="9440" width="16" style="98" bestFit="1" customWidth="1"/>
    <col min="9441" max="9441" width="9" style="98" bestFit="1" customWidth="1"/>
    <col min="9442" max="9442" width="7.85546875" style="98" bestFit="1" customWidth="1"/>
    <col min="9443" max="9443" width="11.7109375" style="98" bestFit="1" customWidth="1"/>
    <col min="9444" max="9444" width="14.28515625" style="98" customWidth="1"/>
    <col min="9445" max="9445" width="11.7109375" style="98" bestFit="1" customWidth="1"/>
    <col min="9446" max="9446" width="14.140625" style="98" bestFit="1" customWidth="1"/>
    <col min="9447" max="9447" width="16.7109375" style="98" customWidth="1"/>
    <col min="9448" max="9448" width="16.5703125" style="98" customWidth="1"/>
    <col min="9449" max="9450" width="7.85546875" style="98" bestFit="1" customWidth="1"/>
    <col min="9451" max="9451" width="8" style="98" bestFit="1" customWidth="1"/>
    <col min="9452" max="9453" width="7.85546875" style="98" bestFit="1" customWidth="1"/>
    <col min="9454" max="9454" width="9.7109375" style="98" customWidth="1"/>
    <col min="9455" max="9455" width="12.85546875" style="98" customWidth="1"/>
    <col min="9456" max="9692" width="9.140625" style="98"/>
    <col min="9693" max="9693" width="9" style="98" bestFit="1" customWidth="1"/>
    <col min="9694" max="9694" width="9.85546875" style="98" bestFit="1" customWidth="1"/>
    <col min="9695" max="9695" width="9.140625" style="98" bestFit="1" customWidth="1"/>
    <col min="9696" max="9696" width="16" style="98" bestFit="1" customWidth="1"/>
    <col min="9697" max="9697" width="9" style="98" bestFit="1" customWidth="1"/>
    <col min="9698" max="9698" width="7.85546875" style="98" bestFit="1" customWidth="1"/>
    <col min="9699" max="9699" width="11.7109375" style="98" bestFit="1" customWidth="1"/>
    <col min="9700" max="9700" width="14.28515625" style="98" customWidth="1"/>
    <col min="9701" max="9701" width="11.7109375" style="98" bestFit="1" customWidth="1"/>
    <col min="9702" max="9702" width="14.140625" style="98" bestFit="1" customWidth="1"/>
    <col min="9703" max="9703" width="16.7109375" style="98" customWidth="1"/>
    <col min="9704" max="9704" width="16.5703125" style="98" customWidth="1"/>
    <col min="9705" max="9706" width="7.85546875" style="98" bestFit="1" customWidth="1"/>
    <col min="9707" max="9707" width="8" style="98" bestFit="1" customWidth="1"/>
    <col min="9708" max="9709" width="7.85546875" style="98" bestFit="1" customWidth="1"/>
    <col min="9710" max="9710" width="9.7109375" style="98" customWidth="1"/>
    <col min="9711" max="9711" width="12.85546875" style="98" customWidth="1"/>
    <col min="9712" max="9948" width="9.140625" style="98"/>
    <col min="9949" max="9949" width="9" style="98" bestFit="1" customWidth="1"/>
    <col min="9950" max="9950" width="9.85546875" style="98" bestFit="1" customWidth="1"/>
    <col min="9951" max="9951" width="9.140625" style="98" bestFit="1" customWidth="1"/>
    <col min="9952" max="9952" width="16" style="98" bestFit="1" customWidth="1"/>
    <col min="9953" max="9953" width="9" style="98" bestFit="1" customWidth="1"/>
    <col min="9954" max="9954" width="7.85546875" style="98" bestFit="1" customWidth="1"/>
    <col min="9955" max="9955" width="11.7109375" style="98" bestFit="1" customWidth="1"/>
    <col min="9956" max="9956" width="14.28515625" style="98" customWidth="1"/>
    <col min="9957" max="9957" width="11.7109375" style="98" bestFit="1" customWidth="1"/>
    <col min="9958" max="9958" width="14.140625" style="98" bestFit="1" customWidth="1"/>
    <col min="9959" max="9959" width="16.7109375" style="98" customWidth="1"/>
    <col min="9960" max="9960" width="16.5703125" style="98" customWidth="1"/>
    <col min="9961" max="9962" width="7.85546875" style="98" bestFit="1" customWidth="1"/>
    <col min="9963" max="9963" width="8" style="98" bestFit="1" customWidth="1"/>
    <col min="9964" max="9965" width="7.85546875" style="98" bestFit="1" customWidth="1"/>
    <col min="9966" max="9966" width="9.7109375" style="98" customWidth="1"/>
    <col min="9967" max="9967" width="12.85546875" style="98" customWidth="1"/>
    <col min="9968" max="10204" width="9.140625" style="98"/>
    <col min="10205" max="10205" width="9" style="98" bestFit="1" customWidth="1"/>
    <col min="10206" max="10206" width="9.85546875" style="98" bestFit="1" customWidth="1"/>
    <col min="10207" max="10207" width="9.140625" style="98" bestFit="1" customWidth="1"/>
    <col min="10208" max="10208" width="16" style="98" bestFit="1" customWidth="1"/>
    <col min="10209" max="10209" width="9" style="98" bestFit="1" customWidth="1"/>
    <col min="10210" max="10210" width="7.85546875" style="98" bestFit="1" customWidth="1"/>
    <col min="10211" max="10211" width="11.7109375" style="98" bestFit="1" customWidth="1"/>
    <col min="10212" max="10212" width="14.28515625" style="98" customWidth="1"/>
    <col min="10213" max="10213" width="11.7109375" style="98" bestFit="1" customWidth="1"/>
    <col min="10214" max="10214" width="14.140625" style="98" bestFit="1" customWidth="1"/>
    <col min="10215" max="10215" width="16.7109375" style="98" customWidth="1"/>
    <col min="10216" max="10216" width="16.5703125" style="98" customWidth="1"/>
    <col min="10217" max="10218" width="7.85546875" style="98" bestFit="1" customWidth="1"/>
    <col min="10219" max="10219" width="8" style="98" bestFit="1" customWidth="1"/>
    <col min="10220" max="10221" width="7.85546875" style="98" bestFit="1" customWidth="1"/>
    <col min="10222" max="10222" width="9.7109375" style="98" customWidth="1"/>
    <col min="10223" max="10223" width="12.85546875" style="98" customWidth="1"/>
    <col min="10224" max="10460" width="9.140625" style="98"/>
    <col min="10461" max="10461" width="9" style="98" bestFit="1" customWidth="1"/>
    <col min="10462" max="10462" width="9.85546875" style="98" bestFit="1" customWidth="1"/>
    <col min="10463" max="10463" width="9.140625" style="98" bestFit="1" customWidth="1"/>
    <col min="10464" max="10464" width="16" style="98" bestFit="1" customWidth="1"/>
    <col min="10465" max="10465" width="9" style="98" bestFit="1" customWidth="1"/>
    <col min="10466" max="10466" width="7.85546875" style="98" bestFit="1" customWidth="1"/>
    <col min="10467" max="10467" width="11.7109375" style="98" bestFit="1" customWidth="1"/>
    <col min="10468" max="10468" width="14.28515625" style="98" customWidth="1"/>
    <col min="10469" max="10469" width="11.7109375" style="98" bestFit="1" customWidth="1"/>
    <col min="10470" max="10470" width="14.140625" style="98" bestFit="1" customWidth="1"/>
    <col min="10471" max="10471" width="16.7109375" style="98" customWidth="1"/>
    <col min="10472" max="10472" width="16.5703125" style="98" customWidth="1"/>
    <col min="10473" max="10474" width="7.85546875" style="98" bestFit="1" customWidth="1"/>
    <col min="10475" max="10475" width="8" style="98" bestFit="1" customWidth="1"/>
    <col min="10476" max="10477" width="7.85546875" style="98" bestFit="1" customWidth="1"/>
    <col min="10478" max="10478" width="9.7109375" style="98" customWidth="1"/>
    <col min="10479" max="10479" width="12.85546875" style="98" customWidth="1"/>
    <col min="10480" max="10716" width="9.140625" style="98"/>
    <col min="10717" max="10717" width="9" style="98" bestFit="1" customWidth="1"/>
    <col min="10718" max="10718" width="9.85546875" style="98" bestFit="1" customWidth="1"/>
    <col min="10719" max="10719" width="9.140625" style="98" bestFit="1" customWidth="1"/>
    <col min="10720" max="10720" width="16" style="98" bestFit="1" customWidth="1"/>
    <col min="10721" max="10721" width="9" style="98" bestFit="1" customWidth="1"/>
    <col min="10722" max="10722" width="7.85546875" style="98" bestFit="1" customWidth="1"/>
    <col min="10723" max="10723" width="11.7109375" style="98" bestFit="1" customWidth="1"/>
    <col min="10724" max="10724" width="14.28515625" style="98" customWidth="1"/>
    <col min="10725" max="10725" width="11.7109375" style="98" bestFit="1" customWidth="1"/>
    <col min="10726" max="10726" width="14.140625" style="98" bestFit="1" customWidth="1"/>
    <col min="10727" max="10727" width="16.7109375" style="98" customWidth="1"/>
    <col min="10728" max="10728" width="16.5703125" style="98" customWidth="1"/>
    <col min="10729" max="10730" width="7.85546875" style="98" bestFit="1" customWidth="1"/>
    <col min="10731" max="10731" width="8" style="98" bestFit="1" customWidth="1"/>
    <col min="10732" max="10733" width="7.85546875" style="98" bestFit="1" customWidth="1"/>
    <col min="10734" max="10734" width="9.7109375" style="98" customWidth="1"/>
    <col min="10735" max="10735" width="12.85546875" style="98" customWidth="1"/>
    <col min="10736" max="10972" width="9.140625" style="98"/>
    <col min="10973" max="10973" width="9" style="98" bestFit="1" customWidth="1"/>
    <col min="10974" max="10974" width="9.85546875" style="98" bestFit="1" customWidth="1"/>
    <col min="10975" max="10975" width="9.140625" style="98" bestFit="1" customWidth="1"/>
    <col min="10976" max="10976" width="16" style="98" bestFit="1" customWidth="1"/>
    <col min="10977" max="10977" width="9" style="98" bestFit="1" customWidth="1"/>
    <col min="10978" max="10978" width="7.85546875" style="98" bestFit="1" customWidth="1"/>
    <col min="10979" max="10979" width="11.7109375" style="98" bestFit="1" customWidth="1"/>
    <col min="10980" max="10980" width="14.28515625" style="98" customWidth="1"/>
    <col min="10981" max="10981" width="11.7109375" style="98" bestFit="1" customWidth="1"/>
    <col min="10982" max="10982" width="14.140625" style="98" bestFit="1" customWidth="1"/>
    <col min="10983" max="10983" width="16.7109375" style="98" customWidth="1"/>
    <col min="10984" max="10984" width="16.5703125" style="98" customWidth="1"/>
    <col min="10985" max="10986" width="7.85546875" style="98" bestFit="1" customWidth="1"/>
    <col min="10987" max="10987" width="8" style="98" bestFit="1" customWidth="1"/>
    <col min="10988" max="10989" width="7.85546875" style="98" bestFit="1" customWidth="1"/>
    <col min="10990" max="10990" width="9.7109375" style="98" customWidth="1"/>
    <col min="10991" max="10991" width="12.85546875" style="98" customWidth="1"/>
    <col min="10992" max="11228" width="9.140625" style="98"/>
    <col min="11229" max="11229" width="9" style="98" bestFit="1" customWidth="1"/>
    <col min="11230" max="11230" width="9.85546875" style="98" bestFit="1" customWidth="1"/>
    <col min="11231" max="11231" width="9.140625" style="98" bestFit="1" customWidth="1"/>
    <col min="11232" max="11232" width="16" style="98" bestFit="1" customWidth="1"/>
    <col min="11233" max="11233" width="9" style="98" bestFit="1" customWidth="1"/>
    <col min="11234" max="11234" width="7.85546875" style="98" bestFit="1" customWidth="1"/>
    <col min="11235" max="11235" width="11.7109375" style="98" bestFit="1" customWidth="1"/>
    <col min="11236" max="11236" width="14.28515625" style="98" customWidth="1"/>
    <col min="11237" max="11237" width="11.7109375" style="98" bestFit="1" customWidth="1"/>
    <col min="11238" max="11238" width="14.140625" style="98" bestFit="1" customWidth="1"/>
    <col min="11239" max="11239" width="16.7109375" style="98" customWidth="1"/>
    <col min="11240" max="11240" width="16.5703125" style="98" customWidth="1"/>
    <col min="11241" max="11242" width="7.85546875" style="98" bestFit="1" customWidth="1"/>
    <col min="11243" max="11243" width="8" style="98" bestFit="1" customWidth="1"/>
    <col min="11244" max="11245" width="7.85546875" style="98" bestFit="1" customWidth="1"/>
    <col min="11246" max="11246" width="9.7109375" style="98" customWidth="1"/>
    <col min="11247" max="11247" width="12.85546875" style="98" customWidth="1"/>
    <col min="11248" max="11484" width="9.140625" style="98"/>
    <col min="11485" max="11485" width="9" style="98" bestFit="1" customWidth="1"/>
    <col min="11486" max="11486" width="9.85546875" style="98" bestFit="1" customWidth="1"/>
    <col min="11487" max="11487" width="9.140625" style="98" bestFit="1" customWidth="1"/>
    <col min="11488" max="11488" width="16" style="98" bestFit="1" customWidth="1"/>
    <col min="11489" max="11489" width="9" style="98" bestFit="1" customWidth="1"/>
    <col min="11490" max="11490" width="7.85546875" style="98" bestFit="1" customWidth="1"/>
    <col min="11491" max="11491" width="11.7109375" style="98" bestFit="1" customWidth="1"/>
    <col min="11492" max="11492" width="14.28515625" style="98" customWidth="1"/>
    <col min="11493" max="11493" width="11.7109375" style="98" bestFit="1" customWidth="1"/>
    <col min="11494" max="11494" width="14.140625" style="98" bestFit="1" customWidth="1"/>
    <col min="11495" max="11495" width="16.7109375" style="98" customWidth="1"/>
    <col min="11496" max="11496" width="16.5703125" style="98" customWidth="1"/>
    <col min="11497" max="11498" width="7.85546875" style="98" bestFit="1" customWidth="1"/>
    <col min="11499" max="11499" width="8" style="98" bestFit="1" customWidth="1"/>
    <col min="11500" max="11501" width="7.85546875" style="98" bestFit="1" customWidth="1"/>
    <col min="11502" max="11502" width="9.7109375" style="98" customWidth="1"/>
    <col min="11503" max="11503" width="12.85546875" style="98" customWidth="1"/>
    <col min="11504" max="11740" width="9.140625" style="98"/>
    <col min="11741" max="11741" width="9" style="98" bestFit="1" customWidth="1"/>
    <col min="11742" max="11742" width="9.85546875" style="98" bestFit="1" customWidth="1"/>
    <col min="11743" max="11743" width="9.140625" style="98" bestFit="1" customWidth="1"/>
    <col min="11744" max="11744" width="16" style="98" bestFit="1" customWidth="1"/>
    <col min="11745" max="11745" width="9" style="98" bestFit="1" customWidth="1"/>
    <col min="11746" max="11746" width="7.85546875" style="98" bestFit="1" customWidth="1"/>
    <col min="11747" max="11747" width="11.7109375" style="98" bestFit="1" customWidth="1"/>
    <col min="11748" max="11748" width="14.28515625" style="98" customWidth="1"/>
    <col min="11749" max="11749" width="11.7109375" style="98" bestFit="1" customWidth="1"/>
    <col min="11750" max="11750" width="14.140625" style="98" bestFit="1" customWidth="1"/>
    <col min="11751" max="11751" width="16.7109375" style="98" customWidth="1"/>
    <col min="11752" max="11752" width="16.5703125" style="98" customWidth="1"/>
    <col min="11753" max="11754" width="7.85546875" style="98" bestFit="1" customWidth="1"/>
    <col min="11755" max="11755" width="8" style="98" bestFit="1" customWidth="1"/>
    <col min="11756" max="11757" width="7.85546875" style="98" bestFit="1" customWidth="1"/>
    <col min="11758" max="11758" width="9.7109375" style="98" customWidth="1"/>
    <col min="11759" max="11759" width="12.85546875" style="98" customWidth="1"/>
    <col min="11760" max="11996" width="9.140625" style="98"/>
    <col min="11997" max="11997" width="9" style="98" bestFit="1" customWidth="1"/>
    <col min="11998" max="11998" width="9.85546875" style="98" bestFit="1" customWidth="1"/>
    <col min="11999" max="11999" width="9.140625" style="98" bestFit="1" customWidth="1"/>
    <col min="12000" max="12000" width="16" style="98" bestFit="1" customWidth="1"/>
    <col min="12001" max="12001" width="9" style="98" bestFit="1" customWidth="1"/>
    <col min="12002" max="12002" width="7.85546875" style="98" bestFit="1" customWidth="1"/>
    <col min="12003" max="12003" width="11.7109375" style="98" bestFit="1" customWidth="1"/>
    <col min="12004" max="12004" width="14.28515625" style="98" customWidth="1"/>
    <col min="12005" max="12005" width="11.7109375" style="98" bestFit="1" customWidth="1"/>
    <col min="12006" max="12006" width="14.140625" style="98" bestFit="1" customWidth="1"/>
    <col min="12007" max="12007" width="16.7109375" style="98" customWidth="1"/>
    <col min="12008" max="12008" width="16.5703125" style="98" customWidth="1"/>
    <col min="12009" max="12010" width="7.85546875" style="98" bestFit="1" customWidth="1"/>
    <col min="12011" max="12011" width="8" style="98" bestFit="1" customWidth="1"/>
    <col min="12012" max="12013" width="7.85546875" style="98" bestFit="1" customWidth="1"/>
    <col min="12014" max="12014" width="9.7109375" style="98" customWidth="1"/>
    <col min="12015" max="12015" width="12.85546875" style="98" customWidth="1"/>
    <col min="12016" max="12252" width="9.140625" style="98"/>
    <col min="12253" max="12253" width="9" style="98" bestFit="1" customWidth="1"/>
    <col min="12254" max="12254" width="9.85546875" style="98" bestFit="1" customWidth="1"/>
    <col min="12255" max="12255" width="9.140625" style="98" bestFit="1" customWidth="1"/>
    <col min="12256" max="12256" width="16" style="98" bestFit="1" customWidth="1"/>
    <col min="12257" max="12257" width="9" style="98" bestFit="1" customWidth="1"/>
    <col min="12258" max="12258" width="7.85546875" style="98" bestFit="1" customWidth="1"/>
    <col min="12259" max="12259" width="11.7109375" style="98" bestFit="1" customWidth="1"/>
    <col min="12260" max="12260" width="14.28515625" style="98" customWidth="1"/>
    <col min="12261" max="12261" width="11.7109375" style="98" bestFit="1" customWidth="1"/>
    <col min="12262" max="12262" width="14.140625" style="98" bestFit="1" customWidth="1"/>
    <col min="12263" max="12263" width="16.7109375" style="98" customWidth="1"/>
    <col min="12264" max="12264" width="16.5703125" style="98" customWidth="1"/>
    <col min="12265" max="12266" width="7.85546875" style="98" bestFit="1" customWidth="1"/>
    <col min="12267" max="12267" width="8" style="98" bestFit="1" customWidth="1"/>
    <col min="12268" max="12269" width="7.85546875" style="98" bestFit="1" customWidth="1"/>
    <col min="12270" max="12270" width="9.7109375" style="98" customWidth="1"/>
    <col min="12271" max="12271" width="12.85546875" style="98" customWidth="1"/>
    <col min="12272" max="12508" width="9.140625" style="98"/>
    <col min="12509" max="12509" width="9" style="98" bestFit="1" customWidth="1"/>
    <col min="12510" max="12510" width="9.85546875" style="98" bestFit="1" customWidth="1"/>
    <col min="12511" max="12511" width="9.140625" style="98" bestFit="1" customWidth="1"/>
    <col min="12512" max="12512" width="16" style="98" bestFit="1" customWidth="1"/>
    <col min="12513" max="12513" width="9" style="98" bestFit="1" customWidth="1"/>
    <col min="12514" max="12514" width="7.85546875" style="98" bestFit="1" customWidth="1"/>
    <col min="12515" max="12515" width="11.7109375" style="98" bestFit="1" customWidth="1"/>
    <col min="12516" max="12516" width="14.28515625" style="98" customWidth="1"/>
    <col min="12517" max="12517" width="11.7109375" style="98" bestFit="1" customWidth="1"/>
    <col min="12518" max="12518" width="14.140625" style="98" bestFit="1" customWidth="1"/>
    <col min="12519" max="12519" width="16.7109375" style="98" customWidth="1"/>
    <col min="12520" max="12520" width="16.5703125" style="98" customWidth="1"/>
    <col min="12521" max="12522" width="7.85546875" style="98" bestFit="1" customWidth="1"/>
    <col min="12523" max="12523" width="8" style="98" bestFit="1" customWidth="1"/>
    <col min="12524" max="12525" width="7.85546875" style="98" bestFit="1" customWidth="1"/>
    <col min="12526" max="12526" width="9.7109375" style="98" customWidth="1"/>
    <col min="12527" max="12527" width="12.85546875" style="98" customWidth="1"/>
    <col min="12528" max="12764" width="9.140625" style="98"/>
    <col min="12765" max="12765" width="9" style="98" bestFit="1" customWidth="1"/>
    <col min="12766" max="12766" width="9.85546875" style="98" bestFit="1" customWidth="1"/>
    <col min="12767" max="12767" width="9.140625" style="98" bestFit="1" customWidth="1"/>
    <col min="12768" max="12768" width="16" style="98" bestFit="1" customWidth="1"/>
    <col min="12769" max="12769" width="9" style="98" bestFit="1" customWidth="1"/>
    <col min="12770" max="12770" width="7.85546875" style="98" bestFit="1" customWidth="1"/>
    <col min="12771" max="12771" width="11.7109375" style="98" bestFit="1" customWidth="1"/>
    <col min="12772" max="12772" width="14.28515625" style="98" customWidth="1"/>
    <col min="12773" max="12773" width="11.7109375" style="98" bestFit="1" customWidth="1"/>
    <col min="12774" max="12774" width="14.140625" style="98" bestFit="1" customWidth="1"/>
    <col min="12775" max="12775" width="16.7109375" style="98" customWidth="1"/>
    <col min="12776" max="12776" width="16.5703125" style="98" customWidth="1"/>
    <col min="12777" max="12778" width="7.85546875" style="98" bestFit="1" customWidth="1"/>
    <col min="12779" max="12779" width="8" style="98" bestFit="1" customWidth="1"/>
    <col min="12780" max="12781" width="7.85546875" style="98" bestFit="1" customWidth="1"/>
    <col min="12782" max="12782" width="9.7109375" style="98" customWidth="1"/>
    <col min="12783" max="12783" width="12.85546875" style="98" customWidth="1"/>
    <col min="12784" max="13020" width="9.140625" style="98"/>
    <col min="13021" max="13021" width="9" style="98" bestFit="1" customWidth="1"/>
    <col min="13022" max="13022" width="9.85546875" style="98" bestFit="1" customWidth="1"/>
    <col min="13023" max="13023" width="9.140625" style="98" bestFit="1" customWidth="1"/>
    <col min="13024" max="13024" width="16" style="98" bestFit="1" customWidth="1"/>
    <col min="13025" max="13025" width="9" style="98" bestFit="1" customWidth="1"/>
    <col min="13026" max="13026" width="7.85546875" style="98" bestFit="1" customWidth="1"/>
    <col min="13027" max="13027" width="11.7109375" style="98" bestFit="1" customWidth="1"/>
    <col min="13028" max="13028" width="14.28515625" style="98" customWidth="1"/>
    <col min="13029" max="13029" width="11.7109375" style="98" bestFit="1" customWidth="1"/>
    <col min="13030" max="13030" width="14.140625" style="98" bestFit="1" customWidth="1"/>
    <col min="13031" max="13031" width="16.7109375" style="98" customWidth="1"/>
    <col min="13032" max="13032" width="16.5703125" style="98" customWidth="1"/>
    <col min="13033" max="13034" width="7.85546875" style="98" bestFit="1" customWidth="1"/>
    <col min="13035" max="13035" width="8" style="98" bestFit="1" customWidth="1"/>
    <col min="13036" max="13037" width="7.85546875" style="98" bestFit="1" customWidth="1"/>
    <col min="13038" max="13038" width="9.7109375" style="98" customWidth="1"/>
    <col min="13039" max="13039" width="12.85546875" style="98" customWidth="1"/>
    <col min="13040" max="13276" width="9.140625" style="98"/>
    <col min="13277" max="13277" width="9" style="98" bestFit="1" customWidth="1"/>
    <col min="13278" max="13278" width="9.85546875" style="98" bestFit="1" customWidth="1"/>
    <col min="13279" max="13279" width="9.140625" style="98" bestFit="1" customWidth="1"/>
    <col min="13280" max="13280" width="16" style="98" bestFit="1" customWidth="1"/>
    <col min="13281" max="13281" width="9" style="98" bestFit="1" customWidth="1"/>
    <col min="13282" max="13282" width="7.85546875" style="98" bestFit="1" customWidth="1"/>
    <col min="13283" max="13283" width="11.7109375" style="98" bestFit="1" customWidth="1"/>
    <col min="13284" max="13284" width="14.28515625" style="98" customWidth="1"/>
    <col min="13285" max="13285" width="11.7109375" style="98" bestFit="1" customWidth="1"/>
    <col min="13286" max="13286" width="14.140625" style="98" bestFit="1" customWidth="1"/>
    <col min="13287" max="13287" width="16.7109375" style="98" customWidth="1"/>
    <col min="13288" max="13288" width="16.5703125" style="98" customWidth="1"/>
    <col min="13289" max="13290" width="7.85546875" style="98" bestFit="1" customWidth="1"/>
    <col min="13291" max="13291" width="8" style="98" bestFit="1" customWidth="1"/>
    <col min="13292" max="13293" width="7.85546875" style="98" bestFit="1" customWidth="1"/>
    <col min="13294" max="13294" width="9.7109375" style="98" customWidth="1"/>
    <col min="13295" max="13295" width="12.85546875" style="98" customWidth="1"/>
    <col min="13296" max="13532" width="9.140625" style="98"/>
    <col min="13533" max="13533" width="9" style="98" bestFit="1" customWidth="1"/>
    <col min="13534" max="13534" width="9.85546875" style="98" bestFit="1" customWidth="1"/>
    <col min="13535" max="13535" width="9.140625" style="98" bestFit="1" customWidth="1"/>
    <col min="13536" max="13536" width="16" style="98" bestFit="1" customWidth="1"/>
    <col min="13537" max="13537" width="9" style="98" bestFit="1" customWidth="1"/>
    <col min="13538" max="13538" width="7.85546875" style="98" bestFit="1" customWidth="1"/>
    <col min="13539" max="13539" width="11.7109375" style="98" bestFit="1" customWidth="1"/>
    <col min="13540" max="13540" width="14.28515625" style="98" customWidth="1"/>
    <col min="13541" max="13541" width="11.7109375" style="98" bestFit="1" customWidth="1"/>
    <col min="13542" max="13542" width="14.140625" style="98" bestFit="1" customWidth="1"/>
    <col min="13543" max="13543" width="16.7109375" style="98" customWidth="1"/>
    <col min="13544" max="13544" width="16.5703125" style="98" customWidth="1"/>
    <col min="13545" max="13546" width="7.85546875" style="98" bestFit="1" customWidth="1"/>
    <col min="13547" max="13547" width="8" style="98" bestFit="1" customWidth="1"/>
    <col min="13548" max="13549" width="7.85546875" style="98" bestFit="1" customWidth="1"/>
    <col min="13550" max="13550" width="9.7109375" style="98" customWidth="1"/>
    <col min="13551" max="13551" width="12.85546875" style="98" customWidth="1"/>
    <col min="13552" max="13788" width="9.140625" style="98"/>
    <col min="13789" max="13789" width="9" style="98" bestFit="1" customWidth="1"/>
    <col min="13790" max="13790" width="9.85546875" style="98" bestFit="1" customWidth="1"/>
    <col min="13791" max="13791" width="9.140625" style="98" bestFit="1" customWidth="1"/>
    <col min="13792" max="13792" width="16" style="98" bestFit="1" customWidth="1"/>
    <col min="13793" max="13793" width="9" style="98" bestFit="1" customWidth="1"/>
    <col min="13794" max="13794" width="7.85546875" style="98" bestFit="1" customWidth="1"/>
    <col min="13795" max="13795" width="11.7109375" style="98" bestFit="1" customWidth="1"/>
    <col min="13796" max="13796" width="14.28515625" style="98" customWidth="1"/>
    <col min="13797" max="13797" width="11.7109375" style="98" bestFit="1" customWidth="1"/>
    <col min="13798" max="13798" width="14.140625" style="98" bestFit="1" customWidth="1"/>
    <col min="13799" max="13799" width="16.7109375" style="98" customWidth="1"/>
    <col min="13800" max="13800" width="16.5703125" style="98" customWidth="1"/>
    <col min="13801" max="13802" width="7.85546875" style="98" bestFit="1" customWidth="1"/>
    <col min="13803" max="13803" width="8" style="98" bestFit="1" customWidth="1"/>
    <col min="13804" max="13805" width="7.85546875" style="98" bestFit="1" customWidth="1"/>
    <col min="13806" max="13806" width="9.7109375" style="98" customWidth="1"/>
    <col min="13807" max="13807" width="12.85546875" style="98" customWidth="1"/>
    <col min="13808" max="14044" width="9.140625" style="98"/>
    <col min="14045" max="14045" width="9" style="98" bestFit="1" customWidth="1"/>
    <col min="14046" max="14046" width="9.85546875" style="98" bestFit="1" customWidth="1"/>
    <col min="14047" max="14047" width="9.140625" style="98" bestFit="1" customWidth="1"/>
    <col min="14048" max="14048" width="16" style="98" bestFit="1" customWidth="1"/>
    <col min="14049" max="14049" width="9" style="98" bestFit="1" customWidth="1"/>
    <col min="14050" max="14050" width="7.85546875" style="98" bestFit="1" customWidth="1"/>
    <col min="14051" max="14051" width="11.7109375" style="98" bestFit="1" customWidth="1"/>
    <col min="14052" max="14052" width="14.28515625" style="98" customWidth="1"/>
    <col min="14053" max="14053" width="11.7109375" style="98" bestFit="1" customWidth="1"/>
    <col min="14054" max="14054" width="14.140625" style="98" bestFit="1" customWidth="1"/>
    <col min="14055" max="14055" width="16.7109375" style="98" customWidth="1"/>
    <col min="14056" max="14056" width="16.5703125" style="98" customWidth="1"/>
    <col min="14057" max="14058" width="7.85546875" style="98" bestFit="1" customWidth="1"/>
    <col min="14059" max="14059" width="8" style="98" bestFit="1" customWidth="1"/>
    <col min="14060" max="14061" width="7.85546875" style="98" bestFit="1" customWidth="1"/>
    <col min="14062" max="14062" width="9.7109375" style="98" customWidth="1"/>
    <col min="14063" max="14063" width="12.85546875" style="98" customWidth="1"/>
    <col min="14064" max="14300" width="9.140625" style="98"/>
    <col min="14301" max="14301" width="9" style="98" bestFit="1" customWidth="1"/>
    <col min="14302" max="14302" width="9.85546875" style="98" bestFit="1" customWidth="1"/>
    <col min="14303" max="14303" width="9.140625" style="98" bestFit="1" customWidth="1"/>
    <col min="14304" max="14304" width="16" style="98" bestFit="1" customWidth="1"/>
    <col min="14305" max="14305" width="9" style="98" bestFit="1" customWidth="1"/>
    <col min="14306" max="14306" width="7.85546875" style="98" bestFit="1" customWidth="1"/>
    <col min="14307" max="14307" width="11.7109375" style="98" bestFit="1" customWidth="1"/>
    <col min="14308" max="14308" width="14.28515625" style="98" customWidth="1"/>
    <col min="14309" max="14309" width="11.7109375" style="98" bestFit="1" customWidth="1"/>
    <col min="14310" max="14310" width="14.140625" style="98" bestFit="1" customWidth="1"/>
    <col min="14311" max="14311" width="16.7109375" style="98" customWidth="1"/>
    <col min="14312" max="14312" width="16.5703125" style="98" customWidth="1"/>
    <col min="14313" max="14314" width="7.85546875" style="98" bestFit="1" customWidth="1"/>
    <col min="14315" max="14315" width="8" style="98" bestFit="1" customWidth="1"/>
    <col min="14316" max="14317" width="7.85546875" style="98" bestFit="1" customWidth="1"/>
    <col min="14318" max="14318" width="9.7109375" style="98" customWidth="1"/>
    <col min="14319" max="14319" width="12.85546875" style="98" customWidth="1"/>
    <col min="14320" max="14556" width="9.140625" style="98"/>
    <col min="14557" max="14557" width="9" style="98" bestFit="1" customWidth="1"/>
    <col min="14558" max="14558" width="9.85546875" style="98" bestFit="1" customWidth="1"/>
    <col min="14559" max="14559" width="9.140625" style="98" bestFit="1" customWidth="1"/>
    <col min="14560" max="14560" width="16" style="98" bestFit="1" customWidth="1"/>
    <col min="14561" max="14561" width="9" style="98" bestFit="1" customWidth="1"/>
    <col min="14562" max="14562" width="7.85546875" style="98" bestFit="1" customWidth="1"/>
    <col min="14563" max="14563" width="11.7109375" style="98" bestFit="1" customWidth="1"/>
    <col min="14564" max="14564" width="14.28515625" style="98" customWidth="1"/>
    <col min="14565" max="14565" width="11.7109375" style="98" bestFit="1" customWidth="1"/>
    <col min="14566" max="14566" width="14.140625" style="98" bestFit="1" customWidth="1"/>
    <col min="14567" max="14567" width="16.7109375" style="98" customWidth="1"/>
    <col min="14568" max="14568" width="16.5703125" style="98" customWidth="1"/>
    <col min="14569" max="14570" width="7.85546875" style="98" bestFit="1" customWidth="1"/>
    <col min="14571" max="14571" width="8" style="98" bestFit="1" customWidth="1"/>
    <col min="14572" max="14573" width="7.85546875" style="98" bestFit="1" customWidth="1"/>
    <col min="14574" max="14574" width="9.7109375" style="98" customWidth="1"/>
    <col min="14575" max="14575" width="12.85546875" style="98" customWidth="1"/>
    <col min="14576" max="14812" width="9.140625" style="98"/>
    <col min="14813" max="14813" width="9" style="98" bestFit="1" customWidth="1"/>
    <col min="14814" max="14814" width="9.85546875" style="98" bestFit="1" customWidth="1"/>
    <col min="14815" max="14815" width="9.140625" style="98" bestFit="1" customWidth="1"/>
    <col min="14816" max="14816" width="16" style="98" bestFit="1" customWidth="1"/>
    <col min="14817" max="14817" width="9" style="98" bestFit="1" customWidth="1"/>
    <col min="14818" max="14818" width="7.85546875" style="98" bestFit="1" customWidth="1"/>
    <col min="14819" max="14819" width="11.7109375" style="98" bestFit="1" customWidth="1"/>
    <col min="14820" max="14820" width="14.28515625" style="98" customWidth="1"/>
    <col min="14821" max="14821" width="11.7109375" style="98" bestFit="1" customWidth="1"/>
    <col min="14822" max="14822" width="14.140625" style="98" bestFit="1" customWidth="1"/>
    <col min="14823" max="14823" width="16.7109375" style="98" customWidth="1"/>
    <col min="14824" max="14824" width="16.5703125" style="98" customWidth="1"/>
    <col min="14825" max="14826" width="7.85546875" style="98" bestFit="1" customWidth="1"/>
    <col min="14827" max="14827" width="8" style="98" bestFit="1" customWidth="1"/>
    <col min="14828" max="14829" width="7.85546875" style="98" bestFit="1" customWidth="1"/>
    <col min="14830" max="14830" width="9.7109375" style="98" customWidth="1"/>
    <col min="14831" max="14831" width="12.85546875" style="98" customWidth="1"/>
    <col min="14832" max="15068" width="9.140625" style="98"/>
    <col min="15069" max="15069" width="9" style="98" bestFit="1" customWidth="1"/>
    <col min="15070" max="15070" width="9.85546875" style="98" bestFit="1" customWidth="1"/>
    <col min="15071" max="15071" width="9.140625" style="98" bestFit="1" customWidth="1"/>
    <col min="15072" max="15072" width="16" style="98" bestFit="1" customWidth="1"/>
    <col min="15073" max="15073" width="9" style="98" bestFit="1" customWidth="1"/>
    <col min="15074" max="15074" width="7.85546875" style="98" bestFit="1" customWidth="1"/>
    <col min="15075" max="15075" width="11.7109375" style="98" bestFit="1" customWidth="1"/>
    <col min="15076" max="15076" width="14.28515625" style="98" customWidth="1"/>
    <col min="15077" max="15077" width="11.7109375" style="98" bestFit="1" customWidth="1"/>
    <col min="15078" max="15078" width="14.140625" style="98" bestFit="1" customWidth="1"/>
    <col min="15079" max="15079" width="16.7109375" style="98" customWidth="1"/>
    <col min="15080" max="15080" width="16.5703125" style="98" customWidth="1"/>
    <col min="15081" max="15082" width="7.85546875" style="98" bestFit="1" customWidth="1"/>
    <col min="15083" max="15083" width="8" style="98" bestFit="1" customWidth="1"/>
    <col min="15084" max="15085" width="7.85546875" style="98" bestFit="1" customWidth="1"/>
    <col min="15086" max="15086" width="9.7109375" style="98" customWidth="1"/>
    <col min="15087" max="15087" width="12.85546875" style="98" customWidth="1"/>
    <col min="15088" max="15324" width="9.140625" style="98"/>
    <col min="15325" max="15325" width="9" style="98" bestFit="1" customWidth="1"/>
    <col min="15326" max="15326" width="9.85546875" style="98" bestFit="1" customWidth="1"/>
    <col min="15327" max="15327" width="9.140625" style="98" bestFit="1" customWidth="1"/>
    <col min="15328" max="15328" width="16" style="98" bestFit="1" customWidth="1"/>
    <col min="15329" max="15329" width="9" style="98" bestFit="1" customWidth="1"/>
    <col min="15330" max="15330" width="7.85546875" style="98" bestFit="1" customWidth="1"/>
    <col min="15331" max="15331" width="11.7109375" style="98" bestFit="1" customWidth="1"/>
    <col min="15332" max="15332" width="14.28515625" style="98" customWidth="1"/>
    <col min="15333" max="15333" width="11.7109375" style="98" bestFit="1" customWidth="1"/>
    <col min="15334" max="15334" width="14.140625" style="98" bestFit="1" customWidth="1"/>
    <col min="15335" max="15335" width="16.7109375" style="98" customWidth="1"/>
    <col min="15336" max="15336" width="16.5703125" style="98" customWidth="1"/>
    <col min="15337" max="15338" width="7.85546875" style="98" bestFit="1" customWidth="1"/>
    <col min="15339" max="15339" width="8" style="98" bestFit="1" customWidth="1"/>
    <col min="15340" max="15341" width="7.85546875" style="98" bestFit="1" customWidth="1"/>
    <col min="15342" max="15342" width="9.7109375" style="98" customWidth="1"/>
    <col min="15343" max="15343" width="12.85546875" style="98" customWidth="1"/>
    <col min="15344" max="15580" width="9.140625" style="98"/>
    <col min="15581" max="15581" width="9" style="98" bestFit="1" customWidth="1"/>
    <col min="15582" max="15582" width="9.85546875" style="98" bestFit="1" customWidth="1"/>
    <col min="15583" max="15583" width="9.140625" style="98" bestFit="1" customWidth="1"/>
    <col min="15584" max="15584" width="16" style="98" bestFit="1" customWidth="1"/>
    <col min="15585" max="15585" width="9" style="98" bestFit="1" customWidth="1"/>
    <col min="15586" max="15586" width="7.85546875" style="98" bestFit="1" customWidth="1"/>
    <col min="15587" max="15587" width="11.7109375" style="98" bestFit="1" customWidth="1"/>
    <col min="15588" max="15588" width="14.28515625" style="98" customWidth="1"/>
    <col min="15589" max="15589" width="11.7109375" style="98" bestFit="1" customWidth="1"/>
    <col min="15590" max="15590" width="14.140625" style="98" bestFit="1" customWidth="1"/>
    <col min="15591" max="15591" width="16.7109375" style="98" customWidth="1"/>
    <col min="15592" max="15592" width="16.5703125" style="98" customWidth="1"/>
    <col min="15593" max="15594" width="7.85546875" style="98" bestFit="1" customWidth="1"/>
    <col min="15595" max="15595" width="8" style="98" bestFit="1" customWidth="1"/>
    <col min="15596" max="15597" width="7.85546875" style="98" bestFit="1" customWidth="1"/>
    <col min="15598" max="15598" width="9.7109375" style="98" customWidth="1"/>
    <col min="15599" max="15599" width="12.85546875" style="98" customWidth="1"/>
    <col min="15600" max="15836" width="9.140625" style="98"/>
    <col min="15837" max="15837" width="9" style="98" bestFit="1" customWidth="1"/>
    <col min="15838" max="15838" width="9.85546875" style="98" bestFit="1" customWidth="1"/>
    <col min="15839" max="15839" width="9.140625" style="98" bestFit="1" customWidth="1"/>
    <col min="15840" max="15840" width="16" style="98" bestFit="1" customWidth="1"/>
    <col min="15841" max="15841" width="9" style="98" bestFit="1" customWidth="1"/>
    <col min="15842" max="15842" width="7.85546875" style="98" bestFit="1" customWidth="1"/>
    <col min="15843" max="15843" width="11.7109375" style="98" bestFit="1" customWidth="1"/>
    <col min="15844" max="15844" width="14.28515625" style="98" customWidth="1"/>
    <col min="15845" max="15845" width="11.7109375" style="98" bestFit="1" customWidth="1"/>
    <col min="15846" max="15846" width="14.140625" style="98" bestFit="1" customWidth="1"/>
    <col min="15847" max="15847" width="16.7109375" style="98" customWidth="1"/>
    <col min="15848" max="15848" width="16.5703125" style="98" customWidth="1"/>
    <col min="15849" max="15850" width="7.85546875" style="98" bestFit="1" customWidth="1"/>
    <col min="15851" max="15851" width="8" style="98" bestFit="1" customWidth="1"/>
    <col min="15852" max="15853" width="7.85546875" style="98" bestFit="1" customWidth="1"/>
    <col min="15854" max="15854" width="9.7109375" style="98" customWidth="1"/>
    <col min="15855" max="15855" width="12.85546875" style="98" customWidth="1"/>
    <col min="15856" max="16092" width="9.140625" style="98"/>
    <col min="16093" max="16093" width="9" style="98" bestFit="1" customWidth="1"/>
    <col min="16094" max="16094" width="9.85546875" style="98" bestFit="1" customWidth="1"/>
    <col min="16095" max="16095" width="9.140625" style="98" bestFit="1" customWidth="1"/>
    <col min="16096" max="16096" width="16" style="98" bestFit="1" customWidth="1"/>
    <col min="16097" max="16097" width="9" style="98" bestFit="1" customWidth="1"/>
    <col min="16098" max="16098" width="7.85546875" style="98" bestFit="1" customWidth="1"/>
    <col min="16099" max="16099" width="11.7109375" style="98" bestFit="1" customWidth="1"/>
    <col min="16100" max="16100" width="14.28515625" style="98" customWidth="1"/>
    <col min="16101" max="16101" width="11.7109375" style="98" bestFit="1" customWidth="1"/>
    <col min="16102" max="16102" width="14.140625" style="98" bestFit="1" customWidth="1"/>
    <col min="16103" max="16103" width="16.7109375" style="98" customWidth="1"/>
    <col min="16104" max="16104" width="16.5703125" style="98" customWidth="1"/>
    <col min="16105" max="16106" width="7.85546875" style="98" bestFit="1" customWidth="1"/>
    <col min="16107" max="16107" width="8" style="98" bestFit="1" customWidth="1"/>
    <col min="16108" max="16109" width="7.85546875" style="98" bestFit="1" customWidth="1"/>
    <col min="16110" max="16110" width="9.7109375" style="98" customWidth="1"/>
    <col min="16111" max="16111" width="12.85546875" style="98" customWidth="1"/>
    <col min="16112" max="16384" width="9.140625" style="98"/>
  </cols>
  <sheetData>
    <row r="1" spans="1:22" s="100" customFormat="1" ht="15.75" customHeight="1">
      <c r="A1" s="750" t="s">
        <v>1</v>
      </c>
      <c r="B1" s="892" t="s">
        <v>0</v>
      </c>
      <c r="C1" s="894" t="s">
        <v>142</v>
      </c>
      <c r="D1" s="894"/>
      <c r="E1" s="894"/>
      <c r="F1" s="895" t="s">
        <v>29</v>
      </c>
      <c r="G1" s="896"/>
      <c r="H1" s="896"/>
      <c r="I1" s="896"/>
      <c r="J1" s="896"/>
      <c r="K1" s="896"/>
      <c r="L1" s="896"/>
      <c r="M1" s="896"/>
      <c r="N1" s="896"/>
      <c r="O1" s="896"/>
      <c r="P1" s="896"/>
      <c r="Q1" s="896"/>
      <c r="R1" s="896"/>
      <c r="S1" s="896"/>
      <c r="T1" s="896"/>
      <c r="U1" s="896"/>
      <c r="V1" s="897"/>
    </row>
    <row r="2" spans="1:22" ht="16.5" thickBot="1">
      <c r="A2" s="783"/>
      <c r="B2" s="893"/>
      <c r="C2" s="101" t="s">
        <v>23</v>
      </c>
      <c r="D2" s="106" t="s">
        <v>9</v>
      </c>
      <c r="E2" s="108" t="s">
        <v>33</v>
      </c>
      <c r="F2" s="286">
        <v>61</v>
      </c>
      <c r="G2" s="286">
        <v>62</v>
      </c>
      <c r="H2" s="286">
        <v>63</v>
      </c>
      <c r="I2" s="287">
        <v>64</v>
      </c>
      <c r="J2" s="288" t="s">
        <v>461</v>
      </c>
      <c r="K2" s="288" t="s">
        <v>462</v>
      </c>
      <c r="L2" s="288" t="s">
        <v>463</v>
      </c>
      <c r="M2" s="289">
        <v>65</v>
      </c>
      <c r="N2" s="290" t="s">
        <v>464</v>
      </c>
      <c r="O2" s="290" t="s">
        <v>465</v>
      </c>
      <c r="P2" s="290" t="s">
        <v>466</v>
      </c>
      <c r="Q2" s="290" t="s">
        <v>467</v>
      </c>
      <c r="R2" s="290" t="s">
        <v>468</v>
      </c>
      <c r="S2" s="286">
        <v>67</v>
      </c>
      <c r="T2" s="171"/>
      <c r="U2" s="171"/>
      <c r="V2" s="285"/>
    </row>
    <row r="3" spans="1:22" s="135" customFormat="1" ht="15.75" thickBot="1">
      <c r="A3" s="608">
        <f>'1-συμβολαια'!A3</f>
        <v>111</v>
      </c>
      <c r="B3" s="688" t="str">
        <f>'1-συμβολαια'!C3</f>
        <v>πληρεξύσιο</v>
      </c>
      <c r="C3" s="522"/>
      <c r="D3" s="522"/>
      <c r="E3" s="522"/>
      <c r="F3" s="642"/>
      <c r="G3" s="642"/>
      <c r="H3" s="689"/>
      <c r="I3" s="690"/>
      <c r="J3" s="690"/>
      <c r="K3" s="690"/>
      <c r="L3" s="690"/>
      <c r="M3" s="690"/>
      <c r="N3" s="642"/>
      <c r="O3" s="642"/>
      <c r="P3" s="642"/>
      <c r="Q3" s="642"/>
      <c r="R3" s="642"/>
      <c r="S3" s="642"/>
      <c r="T3" s="305"/>
      <c r="U3" s="305"/>
      <c r="V3" s="305"/>
    </row>
    <row r="4" spans="1:22" s="135" customFormat="1">
      <c r="A4" s="571">
        <f>'1-συμβολαια'!A4</f>
        <v>113</v>
      </c>
      <c r="B4" s="564" t="str">
        <f>'1-συμβολαια'!C4</f>
        <v>δωρεάς ΠΡΟΤΑΣΗ [1/2 αγροτεμάχιο ;;;??? [το ανατολικό] Θεολόγος -Ποτός -'';;;???'' 2.798μ2</v>
      </c>
      <c r="C4" s="331"/>
      <c r="D4" s="331"/>
      <c r="E4" s="331"/>
      <c r="F4" s="480"/>
      <c r="G4" s="480"/>
      <c r="H4" s="565"/>
      <c r="I4" s="566"/>
      <c r="J4" s="566"/>
      <c r="K4" s="566"/>
      <c r="L4" s="566"/>
      <c r="M4" s="566"/>
      <c r="N4" s="480"/>
      <c r="O4" s="480"/>
      <c r="P4" s="480"/>
      <c r="Q4" s="480"/>
      <c r="R4" s="480"/>
      <c r="S4" s="480"/>
      <c r="T4" s="305"/>
      <c r="U4" s="305"/>
      <c r="V4" s="305"/>
    </row>
    <row r="5" spans="1:22" s="135" customFormat="1">
      <c r="A5" s="563">
        <f>'1-συμβολαια'!A5</f>
        <v>0</v>
      </c>
      <c r="B5" s="330" t="str">
        <f>'1-συμβολαια'!C5</f>
        <v>χρησικτησία αγροτεμαχίου = 1984 ΑΝΑΔΑΣΜΟΣ</v>
      </c>
      <c r="C5" s="304">
        <f>'1-συμβολαια'!M5</f>
        <v>10492.6644</v>
      </c>
      <c r="D5" s="331"/>
      <c r="E5" s="331">
        <f>C5</f>
        <v>10492.6644</v>
      </c>
      <c r="F5" s="305">
        <v>61</v>
      </c>
      <c r="G5" s="305">
        <v>62</v>
      </c>
      <c r="H5" s="404"/>
      <c r="I5" s="405"/>
      <c r="J5" s="405"/>
      <c r="K5" s="405"/>
      <c r="L5" s="405"/>
      <c r="M5" s="405"/>
      <c r="N5" s="305"/>
      <c r="O5" s="305"/>
      <c r="P5" s="305"/>
      <c r="Q5" s="305"/>
      <c r="R5" s="305"/>
      <c r="S5" s="305"/>
      <c r="T5" s="305"/>
      <c r="U5" s="305"/>
      <c r="V5" s="305"/>
    </row>
    <row r="6" spans="1:22" s="135" customFormat="1">
      <c r="A6" s="563">
        <f>'1-συμβολαια'!A6</f>
        <v>0</v>
      </c>
      <c r="B6" s="330" t="str">
        <f>'1-συμβολαια'!C6</f>
        <v>διανομή [= ισομερής ΑΛΛΑ βάσει ΦΜΑ της Δ.Ο.Υ (3ου &amp; ;;;???}</v>
      </c>
      <c r="C6" s="304">
        <f>'1-συμβολαια'!M6</f>
        <v>43096.521199999996</v>
      </c>
      <c r="D6" s="331"/>
      <c r="E6" s="331">
        <f t="shared" ref="E6:E16" si="0">C6</f>
        <v>43096.521199999996</v>
      </c>
      <c r="F6" s="305">
        <v>61</v>
      </c>
      <c r="G6" s="305">
        <v>62</v>
      </c>
      <c r="H6" s="404"/>
      <c r="I6" s="405"/>
      <c r="J6" s="405"/>
      <c r="K6" s="405"/>
      <c r="L6" s="405"/>
      <c r="M6" s="405"/>
      <c r="N6" s="305"/>
      <c r="O6" s="305"/>
      <c r="P6" s="305"/>
      <c r="Q6" s="305"/>
      <c r="R6" s="305"/>
      <c r="S6" s="305"/>
      <c r="T6" s="305"/>
      <c r="U6" s="305"/>
      <c r="V6" s="305"/>
    </row>
    <row r="7" spans="1:22" s="135" customFormat="1" ht="15.75" thickBot="1">
      <c r="A7" s="567">
        <f>'1-συμβολαια'!A7</f>
        <v>0</v>
      </c>
      <c r="B7" s="568" t="str">
        <f>'1-συμβολαια'!C7</f>
        <v>εξισορρόπηση διαφοράς διανεμομένων μεριδίων</v>
      </c>
      <c r="C7" s="482">
        <f>'1-συμβολαια'!M7</f>
        <v>15270.7394</v>
      </c>
      <c r="D7" s="482"/>
      <c r="E7" s="482">
        <f t="shared" si="0"/>
        <v>15270.7394</v>
      </c>
      <c r="F7" s="483">
        <v>61</v>
      </c>
      <c r="G7" s="483">
        <v>62</v>
      </c>
      <c r="H7" s="569"/>
      <c r="I7" s="570"/>
      <c r="J7" s="570"/>
      <c r="K7" s="570"/>
      <c r="L7" s="570"/>
      <c r="M7" s="570"/>
      <c r="N7" s="483"/>
      <c r="O7" s="483"/>
      <c r="P7" s="483"/>
      <c r="Q7" s="483"/>
      <c r="R7" s="483"/>
      <c r="S7" s="305"/>
      <c r="T7" s="305"/>
      <c r="U7" s="305"/>
      <c r="V7" s="305"/>
    </row>
    <row r="8" spans="1:22" s="135" customFormat="1">
      <c r="A8" s="619">
        <f>'1-συμβολαια'!A8</f>
        <v>114</v>
      </c>
      <c r="B8" s="564" t="str">
        <f>'1-συμβολαια'!C8</f>
        <v>δωρεάς ΠΡΟΤΑΣΗ [αγροτεμάχιο Θεολόγος -'';;;???'' 2.000μ2</v>
      </c>
      <c r="C8" s="331"/>
      <c r="D8" s="331"/>
      <c r="E8" s="331">
        <f t="shared" si="0"/>
        <v>0</v>
      </c>
      <c r="F8" s="480"/>
      <c r="G8" s="480"/>
      <c r="H8" s="565"/>
      <c r="I8" s="566"/>
      <c r="J8" s="566"/>
      <c r="K8" s="566"/>
      <c r="L8" s="566"/>
      <c r="M8" s="566"/>
      <c r="N8" s="480"/>
      <c r="O8" s="480"/>
      <c r="P8" s="480"/>
      <c r="Q8" s="480"/>
      <c r="R8" s="480"/>
      <c r="S8" s="305"/>
      <c r="T8" s="305"/>
      <c r="U8" s="305"/>
      <c r="V8" s="305"/>
    </row>
    <row r="9" spans="1:22" s="135" customFormat="1" ht="15.75" thickBot="1">
      <c r="A9" s="620">
        <f>'1-συμβολαια'!A9</f>
        <v>0</v>
      </c>
      <c r="B9" s="568" t="str">
        <f>'1-συμβολαια'!C9</f>
        <v>χρησικτησία αγροτεμαχίου = 1910 πατρός ΔΩΡΕΑ άτυπος</v>
      </c>
      <c r="C9" s="482"/>
      <c r="D9" s="482"/>
      <c r="E9" s="482">
        <f t="shared" si="0"/>
        <v>0</v>
      </c>
      <c r="F9" s="483">
        <v>61</v>
      </c>
      <c r="G9" s="483">
        <v>62</v>
      </c>
      <c r="H9" s="569"/>
      <c r="I9" s="570"/>
      <c r="J9" s="570"/>
      <c r="K9" s="570"/>
      <c r="L9" s="570"/>
      <c r="M9" s="570"/>
      <c r="N9" s="483"/>
      <c r="O9" s="483"/>
      <c r="P9" s="483"/>
      <c r="Q9" s="483"/>
      <c r="R9" s="483"/>
      <c r="S9" s="305"/>
      <c r="T9" s="305"/>
      <c r="U9" s="305"/>
      <c r="V9" s="305"/>
    </row>
    <row r="10" spans="1:22" s="135" customFormat="1">
      <c r="A10" s="478" t="str">
        <f>'1-συμβολαια'!A10</f>
        <v>;;;???</v>
      </c>
      <c r="B10" s="564" t="str">
        <f>'1-συμβολαια'!C10</f>
        <v>δωρεάς πρότασης 2ου  ΑΠΟΔΟΧΗ</v>
      </c>
      <c r="C10" s="331"/>
      <c r="D10" s="331"/>
      <c r="E10" s="331">
        <f t="shared" si="0"/>
        <v>0</v>
      </c>
      <c r="F10" s="480"/>
      <c r="G10" s="480"/>
      <c r="H10" s="565"/>
      <c r="I10" s="566"/>
      <c r="J10" s="566"/>
      <c r="K10" s="566"/>
      <c r="L10" s="566"/>
      <c r="M10" s="566"/>
      <c r="N10" s="480"/>
      <c r="O10" s="480"/>
      <c r="P10" s="480"/>
      <c r="Q10" s="480"/>
      <c r="R10" s="480"/>
      <c r="S10" s="305"/>
      <c r="T10" s="305"/>
      <c r="U10" s="305"/>
      <c r="V10" s="305"/>
    </row>
    <row r="11" spans="1:22" s="135" customFormat="1">
      <c r="A11" s="346" t="str">
        <f>'1-συμβολαια'!A11</f>
        <v>;;;???</v>
      </c>
      <c r="B11" s="330" t="str">
        <f>'1-συμβολαια'!C11</f>
        <v>δωρεάς πρότασης  3ου  ΑΠΟΔΟΧΗ</v>
      </c>
      <c r="C11" s="304"/>
      <c r="D11" s="304"/>
      <c r="E11" s="331">
        <f t="shared" si="0"/>
        <v>0</v>
      </c>
      <c r="F11" s="305"/>
      <c r="G11" s="305"/>
      <c r="H11" s="404"/>
      <c r="I11" s="405"/>
      <c r="J11" s="405"/>
      <c r="K11" s="405"/>
      <c r="L11" s="405"/>
      <c r="M11" s="405"/>
      <c r="N11" s="305"/>
      <c r="O11" s="305"/>
      <c r="P11" s="305"/>
      <c r="Q11" s="305"/>
      <c r="R11" s="305"/>
      <c r="S11" s="305"/>
      <c r="T11" s="305"/>
      <c r="U11" s="305"/>
      <c r="V11" s="305"/>
    </row>
    <row r="12" spans="1:22" s="135" customFormat="1" ht="15.75" thickBot="1">
      <c r="A12" s="481">
        <f>'1-συμβολαια'!A12</f>
        <v>552</v>
      </c>
      <c r="B12" s="568" t="str">
        <f>'1-συμβολαια'!C12</f>
        <v>πληρεξούσιο</v>
      </c>
      <c r="C12" s="482"/>
      <c r="D12" s="482"/>
      <c r="E12" s="482">
        <f t="shared" si="0"/>
        <v>0</v>
      </c>
      <c r="F12" s="483"/>
      <c r="G12" s="483"/>
      <c r="H12" s="569"/>
      <c r="I12" s="570"/>
      <c r="J12" s="570"/>
      <c r="K12" s="570"/>
      <c r="L12" s="570"/>
      <c r="M12" s="570"/>
      <c r="N12" s="483"/>
      <c r="O12" s="483"/>
      <c r="P12" s="483"/>
      <c r="Q12" s="483"/>
      <c r="R12" s="483"/>
      <c r="S12" s="483"/>
      <c r="T12" s="483"/>
      <c r="U12" s="483"/>
      <c r="V12" s="305"/>
    </row>
    <row r="13" spans="1:22" s="135" customFormat="1">
      <c r="A13" s="571">
        <f>'1-συμβολαια'!A13</f>
        <v>564</v>
      </c>
      <c r="B13" s="564" t="str">
        <f>'1-συμβολαια'!C13</f>
        <v>γονική</v>
      </c>
      <c r="C13" s="331"/>
      <c r="D13" s="331"/>
      <c r="E13" s="331">
        <f t="shared" si="0"/>
        <v>0</v>
      </c>
      <c r="F13" s="480"/>
      <c r="G13" s="480"/>
      <c r="H13" s="565"/>
      <c r="I13" s="566"/>
      <c r="J13" s="566"/>
      <c r="K13" s="566"/>
      <c r="L13" s="566"/>
      <c r="M13" s="566"/>
      <c r="N13" s="480"/>
      <c r="O13" s="480"/>
      <c r="P13" s="480"/>
      <c r="Q13" s="480"/>
      <c r="R13" s="480"/>
      <c r="S13" s="480"/>
      <c r="T13" s="480"/>
      <c r="U13" s="480"/>
      <c r="V13" s="305"/>
    </row>
    <row r="14" spans="1:22" s="135" customFormat="1">
      <c r="A14" s="563">
        <f>'1-συμβολαια'!A14</f>
        <v>0</v>
      </c>
      <c r="B14" s="330" t="str">
        <f>'1-συμβολαια'!C14</f>
        <v>χρησικτησία αγροτεμαχίων = 1912 πατρός ΔΩΡΕΑ άτυπος</v>
      </c>
      <c r="C14" s="304">
        <f>'1-συμβολαια'!M14</f>
        <v>42225.996599999999</v>
      </c>
      <c r="D14" s="304"/>
      <c r="E14" s="331">
        <f t="shared" si="0"/>
        <v>42225.996599999999</v>
      </c>
      <c r="F14" s="305">
        <v>61</v>
      </c>
      <c r="G14" s="305">
        <v>62</v>
      </c>
      <c r="H14" s="404"/>
      <c r="I14" s="405"/>
      <c r="J14" s="405"/>
      <c r="K14" s="405"/>
      <c r="L14" s="405"/>
      <c r="M14" s="405"/>
      <c r="N14" s="305"/>
      <c r="O14" s="305"/>
      <c r="P14" s="305"/>
      <c r="Q14" s="305"/>
      <c r="R14" s="305"/>
      <c r="S14" s="305"/>
      <c r="T14" s="305"/>
      <c r="U14" s="305"/>
      <c r="V14" s="305"/>
    </row>
    <row r="15" spans="1:22" s="135" customFormat="1">
      <c r="A15" s="563">
        <f>'1-συμβολαια'!A15</f>
        <v>0</v>
      </c>
      <c r="B15" s="330" t="str">
        <f>'1-συμβολαια'!C15</f>
        <v>χρησικτησία αγροτεμαχίων = 1920 ΔΙΑΝΟΜΗ άτυπος</v>
      </c>
      <c r="C15" s="304">
        <f>'1-συμβολαια'!M15</f>
        <v>47816</v>
      </c>
      <c r="D15" s="331"/>
      <c r="E15" s="331">
        <f t="shared" si="0"/>
        <v>47816</v>
      </c>
      <c r="F15" s="305">
        <v>61</v>
      </c>
      <c r="G15" s="305">
        <v>62</v>
      </c>
      <c r="H15" s="404"/>
      <c r="I15" s="405"/>
      <c r="J15" s="405"/>
      <c r="K15" s="405"/>
      <c r="L15" s="405"/>
      <c r="M15" s="405"/>
      <c r="N15" s="305"/>
      <c r="O15" s="305"/>
      <c r="P15" s="305"/>
      <c r="Q15" s="305"/>
      <c r="R15" s="305"/>
      <c r="S15" s="305"/>
      <c r="T15" s="305"/>
      <c r="U15" s="305"/>
      <c r="V15" s="305"/>
    </row>
    <row r="16" spans="1:22" s="135" customFormat="1" ht="15.75" thickBot="1">
      <c r="A16" s="567">
        <f>'1-συμβολαια'!A16</f>
        <v>0</v>
      </c>
      <c r="B16" s="568" t="str">
        <f>'1-συμβολαια'!C16</f>
        <v>εξισορρόπηση διαφοράς διανεμομένων μεριδίων</v>
      </c>
      <c r="C16" s="482">
        <f>'1-συμβολαια'!M16</f>
        <v>7250</v>
      </c>
      <c r="D16" s="482"/>
      <c r="E16" s="482">
        <f t="shared" si="0"/>
        <v>7250</v>
      </c>
      <c r="F16" s="483">
        <v>61</v>
      </c>
      <c r="G16" s="483">
        <v>62</v>
      </c>
      <c r="H16" s="569"/>
      <c r="I16" s="570"/>
      <c r="J16" s="570"/>
      <c r="K16" s="570"/>
      <c r="L16" s="570"/>
      <c r="M16" s="570"/>
      <c r="N16" s="483"/>
      <c r="O16" s="483"/>
      <c r="P16" s="483"/>
      <c r="Q16" s="483"/>
      <c r="R16" s="305"/>
      <c r="S16" s="305"/>
      <c r="T16" s="305"/>
      <c r="U16" s="305"/>
      <c r="V16" s="305"/>
    </row>
    <row r="17" spans="1:22" ht="15.75">
      <c r="A17" s="781" t="s">
        <v>47</v>
      </c>
      <c r="B17" s="782"/>
      <c r="C17" s="107">
        <f>SUM(C3:C16)</f>
        <v>166151.9216</v>
      </c>
      <c r="D17" s="107">
        <f>SUM(D3:D16)</f>
        <v>0</v>
      </c>
      <c r="E17" s="691">
        <f>SUM(E3:E16)</f>
        <v>166151.9216</v>
      </c>
      <c r="I17" s="69">
        <f t="shared" ref="I17:T17" si="1">SUM(I3:I16)</f>
        <v>0</v>
      </c>
      <c r="J17" s="69">
        <f t="shared" si="1"/>
        <v>0</v>
      </c>
      <c r="K17" s="69">
        <f t="shared" si="1"/>
        <v>0</v>
      </c>
      <c r="L17" s="69">
        <f t="shared" si="1"/>
        <v>0</v>
      </c>
      <c r="M17" s="69">
        <f t="shared" si="1"/>
        <v>0</v>
      </c>
      <c r="N17" s="69">
        <f t="shared" si="1"/>
        <v>0</v>
      </c>
      <c r="O17" s="69">
        <f t="shared" si="1"/>
        <v>0</v>
      </c>
      <c r="P17" s="69">
        <f t="shared" si="1"/>
        <v>0</v>
      </c>
      <c r="Q17" s="69">
        <f t="shared" si="1"/>
        <v>0</v>
      </c>
      <c r="R17" s="69">
        <f t="shared" si="1"/>
        <v>0</v>
      </c>
      <c r="S17" s="69">
        <f t="shared" si="1"/>
        <v>0</v>
      </c>
      <c r="T17" s="69">
        <f t="shared" si="1"/>
        <v>0</v>
      </c>
    </row>
    <row r="18" spans="1:22">
      <c r="F18" s="117"/>
      <c r="G18" s="117"/>
      <c r="H18" s="117"/>
      <c r="I18" s="117"/>
      <c r="J18" s="117"/>
      <c r="K18" s="117"/>
      <c r="L18" s="117"/>
      <c r="M18" s="117"/>
      <c r="N18" s="117"/>
      <c r="O18" s="117"/>
      <c r="P18" s="117"/>
      <c r="Q18" s="117"/>
      <c r="R18" s="117"/>
      <c r="S18" s="117"/>
      <c r="T18" s="117"/>
      <c r="U18" s="117"/>
    </row>
    <row r="19" spans="1:22" ht="15.75">
      <c r="F19" s="152" t="s">
        <v>238</v>
      </c>
      <c r="G19" s="123"/>
      <c r="H19" s="291"/>
      <c r="I19" s="291"/>
      <c r="J19" s="291"/>
      <c r="K19" s="291"/>
      <c r="L19" s="291"/>
      <c r="M19" s="291"/>
      <c r="N19" s="291"/>
      <c r="O19" s="291"/>
      <c r="P19" s="291"/>
      <c r="Q19" s="291"/>
      <c r="R19" s="291"/>
      <c r="S19" s="291"/>
      <c r="T19" s="291"/>
      <c r="U19" s="291"/>
      <c r="V19" s="292"/>
    </row>
    <row r="20" spans="1:22" ht="15.75">
      <c r="F20" s="293"/>
      <c r="G20" s="138" t="s">
        <v>239</v>
      </c>
      <c r="H20" s="291"/>
      <c r="I20" s="291"/>
      <c r="J20" s="291"/>
      <c r="K20" s="291"/>
      <c r="L20" s="291"/>
      <c r="M20" s="291"/>
      <c r="N20" s="291"/>
      <c r="O20" s="291"/>
      <c r="P20" s="291"/>
      <c r="Q20" s="291"/>
      <c r="R20" s="291"/>
      <c r="S20" s="291"/>
      <c r="T20" s="291"/>
      <c r="U20" s="291"/>
      <c r="V20" s="292"/>
    </row>
    <row r="21" spans="1:22" ht="15.75">
      <c r="F21" s="292"/>
      <c r="G21" s="292"/>
      <c r="H21" s="152" t="s">
        <v>240</v>
      </c>
      <c r="I21" s="123"/>
      <c r="J21" s="123"/>
      <c r="K21" s="123"/>
      <c r="L21" s="291"/>
      <c r="M21" s="291"/>
      <c r="N21" s="291"/>
      <c r="O21" s="291"/>
      <c r="P21" s="291"/>
      <c r="Q21" s="291"/>
      <c r="R21" s="291"/>
      <c r="S21" s="291"/>
      <c r="T21" s="291"/>
      <c r="U21" s="291"/>
      <c r="V21" s="292"/>
    </row>
    <row r="22" spans="1:22" ht="15.75">
      <c r="F22" s="292"/>
      <c r="G22" s="293"/>
      <c r="H22" s="292"/>
      <c r="I22" s="138" t="s">
        <v>260</v>
      </c>
      <c r="J22" s="138"/>
      <c r="K22" s="138"/>
      <c r="L22" s="294"/>
      <c r="M22" s="294"/>
      <c r="N22" s="294"/>
      <c r="O22" s="294"/>
      <c r="P22" s="294"/>
      <c r="Q22" s="294"/>
      <c r="R22" s="294"/>
      <c r="S22" s="294"/>
      <c r="T22" s="294"/>
      <c r="U22" s="291"/>
      <c r="V22" s="292"/>
    </row>
    <row r="23" spans="1:22" ht="15.75">
      <c r="F23" s="292"/>
      <c r="G23" s="293"/>
      <c r="H23" s="292"/>
      <c r="I23" s="138"/>
      <c r="J23" s="152" t="s">
        <v>469</v>
      </c>
      <c r="K23" s="138"/>
      <c r="L23" s="294"/>
      <c r="M23" s="294"/>
      <c r="N23" s="294"/>
      <c r="O23" s="294"/>
      <c r="P23" s="294"/>
      <c r="Q23" s="294"/>
      <c r="R23" s="294"/>
      <c r="S23" s="294"/>
      <c r="T23" s="294"/>
      <c r="U23" s="291"/>
      <c r="V23" s="292"/>
    </row>
    <row r="24" spans="1:22" ht="15.75">
      <c r="F24" s="292"/>
      <c r="G24" s="293"/>
      <c r="H24" s="292"/>
      <c r="I24" s="138"/>
      <c r="J24" s="138"/>
      <c r="K24" s="138" t="s">
        <v>470</v>
      </c>
      <c r="L24" s="294"/>
      <c r="M24" s="294"/>
      <c r="N24" s="294"/>
      <c r="O24" s="294"/>
      <c r="P24" s="294"/>
      <c r="Q24" s="294"/>
      <c r="R24" s="294"/>
      <c r="S24" s="294"/>
      <c r="T24" s="294"/>
      <c r="U24" s="291"/>
      <c r="V24" s="292"/>
    </row>
    <row r="25" spans="1:22" ht="15.75">
      <c r="F25" s="292"/>
      <c r="G25" s="292"/>
      <c r="H25" s="291"/>
      <c r="I25" s="294"/>
      <c r="J25" s="294"/>
      <c r="K25" s="294"/>
      <c r="L25" s="152" t="s">
        <v>471</v>
      </c>
      <c r="M25" s="294"/>
      <c r="N25" s="294"/>
      <c r="O25" s="294"/>
      <c r="P25" s="294"/>
      <c r="Q25" s="294"/>
      <c r="R25" s="294"/>
      <c r="S25" s="294"/>
      <c r="T25" s="294"/>
      <c r="U25" s="291"/>
      <c r="V25" s="292"/>
    </row>
    <row r="26" spans="1:22" ht="15.75">
      <c r="B26" s="129"/>
      <c r="C26" s="105">
        <f>SUM(C18:C19)</f>
        <v>0</v>
      </c>
      <c r="F26" s="291"/>
      <c r="G26" s="291"/>
      <c r="H26" s="291"/>
      <c r="I26" s="294"/>
      <c r="J26" s="294"/>
      <c r="K26" s="294"/>
      <c r="L26" s="294"/>
      <c r="M26" s="138" t="s">
        <v>261</v>
      </c>
      <c r="N26" s="294"/>
      <c r="O26" s="294"/>
      <c r="P26" s="294"/>
      <c r="Q26" s="294"/>
      <c r="R26" s="294"/>
      <c r="S26" s="294"/>
      <c r="T26" s="294"/>
      <c r="U26" s="291"/>
      <c r="V26" s="292"/>
    </row>
    <row r="27" spans="1:22" ht="15.75">
      <c r="B27" s="130"/>
      <c r="F27" s="292"/>
      <c r="G27" s="292"/>
      <c r="H27" s="291"/>
      <c r="I27" s="294"/>
      <c r="J27" s="294"/>
      <c r="K27" s="294"/>
      <c r="L27" s="294"/>
      <c r="M27" s="294"/>
      <c r="N27" s="152" t="s">
        <v>472</v>
      </c>
      <c r="O27" s="294"/>
      <c r="P27" s="294"/>
      <c r="Q27" s="294"/>
      <c r="R27" s="294"/>
      <c r="S27" s="294"/>
      <c r="T27" s="294"/>
      <c r="U27" s="291"/>
      <c r="V27" s="292"/>
    </row>
    <row r="28" spans="1:22" ht="15.75">
      <c r="F28" s="292"/>
      <c r="G28" s="292"/>
      <c r="H28" s="291"/>
      <c r="I28" s="294"/>
      <c r="J28" s="294"/>
      <c r="K28" s="294"/>
      <c r="L28" s="294"/>
      <c r="M28" s="294"/>
      <c r="N28" s="294"/>
      <c r="O28" s="138" t="s">
        <v>473</v>
      </c>
      <c r="P28" s="294"/>
      <c r="Q28" s="294"/>
      <c r="R28" s="294"/>
      <c r="S28" s="294"/>
      <c r="T28" s="294"/>
      <c r="U28" s="291"/>
      <c r="V28" s="292"/>
    </row>
    <row r="29" spans="1:22" ht="15.75">
      <c r="F29" s="292"/>
      <c r="G29" s="292"/>
      <c r="H29" s="291"/>
      <c r="I29" s="294"/>
      <c r="J29" s="294"/>
      <c r="K29" s="294"/>
      <c r="L29" s="294"/>
      <c r="M29" s="294"/>
      <c r="N29" s="294"/>
      <c r="O29" s="294"/>
      <c r="P29" s="152" t="s">
        <v>262</v>
      </c>
      <c r="Q29" s="294"/>
      <c r="R29" s="294"/>
      <c r="S29" s="294"/>
      <c r="T29" s="294"/>
      <c r="U29" s="291"/>
      <c r="V29" s="292"/>
    </row>
    <row r="30" spans="1:22" ht="15.75">
      <c r="F30" s="292"/>
      <c r="G30" s="292"/>
      <c r="H30" s="291"/>
      <c r="I30" s="294"/>
      <c r="J30" s="294"/>
      <c r="K30" s="294"/>
      <c r="L30" s="294"/>
      <c r="M30" s="294"/>
      <c r="N30" s="294"/>
      <c r="O30" s="294"/>
      <c r="P30" s="294"/>
      <c r="Q30" s="138" t="s">
        <v>263</v>
      </c>
      <c r="R30" s="138"/>
      <c r="S30" s="138"/>
      <c r="T30" s="294"/>
      <c r="U30" s="291"/>
      <c r="V30" s="292"/>
    </row>
    <row r="31" spans="1:22" ht="15.75">
      <c r="F31" s="292"/>
      <c r="G31" s="292"/>
      <c r="H31" s="291"/>
      <c r="I31" s="294"/>
      <c r="J31" s="294"/>
      <c r="K31" s="294"/>
      <c r="L31" s="294"/>
      <c r="M31" s="294"/>
      <c r="N31" s="294"/>
      <c r="O31" s="294"/>
      <c r="P31" s="294"/>
      <c r="Q31" s="294"/>
      <c r="R31" s="152" t="s">
        <v>264</v>
      </c>
      <c r="S31" s="294"/>
      <c r="T31" s="294"/>
      <c r="U31" s="291"/>
      <c r="V31" s="292"/>
    </row>
    <row r="32" spans="1:22" ht="15.75">
      <c r="F32" s="292"/>
      <c r="G32" s="292"/>
      <c r="H32" s="291"/>
      <c r="I32" s="294"/>
      <c r="J32" s="294"/>
      <c r="K32" s="294"/>
      <c r="L32" s="294"/>
      <c r="M32" s="294"/>
      <c r="N32" s="294"/>
      <c r="O32" s="294"/>
      <c r="P32" s="294"/>
      <c r="Q32" s="294"/>
      <c r="R32" s="294"/>
      <c r="S32" s="138" t="s">
        <v>265</v>
      </c>
      <c r="T32" s="294"/>
      <c r="U32" s="291"/>
      <c r="V32" s="292"/>
    </row>
    <row r="33" spans="6:22" ht="15.75">
      <c r="F33" s="292"/>
      <c r="G33" s="292"/>
      <c r="H33" s="291"/>
      <c r="I33" s="294"/>
      <c r="J33" s="294"/>
      <c r="K33" s="294"/>
      <c r="L33" s="294"/>
      <c r="M33" s="294"/>
      <c r="N33" s="294"/>
      <c r="O33" s="294"/>
      <c r="P33" s="294"/>
      <c r="Q33" s="294"/>
      <c r="R33" s="294"/>
      <c r="S33" s="294"/>
      <c r="T33" s="152" t="s">
        <v>474</v>
      </c>
      <c r="U33" s="291"/>
      <c r="V33" s="292"/>
    </row>
    <row r="34" spans="6:22">
      <c r="F34" s="292"/>
      <c r="G34" s="292"/>
      <c r="H34" s="291"/>
      <c r="I34" s="291"/>
      <c r="J34" s="291"/>
      <c r="K34" s="291"/>
      <c r="L34" s="291"/>
      <c r="M34" s="291"/>
      <c r="N34" s="291"/>
      <c r="O34" s="291"/>
      <c r="P34" s="291"/>
      <c r="Q34" s="291"/>
      <c r="R34" s="291"/>
      <c r="S34" s="291"/>
      <c r="T34" s="291"/>
      <c r="U34" s="291"/>
      <c r="V34" s="292"/>
    </row>
    <row r="35" spans="6:22"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  <c r="S35" s="117"/>
      <c r="T35" s="117"/>
      <c r="U35" s="117"/>
    </row>
    <row r="36" spans="6:22"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</row>
    <row r="37" spans="6:22">
      <c r="H37" s="117"/>
      <c r="I37" s="117"/>
      <c r="J37" s="117"/>
      <c r="K37" s="117"/>
      <c r="L37" s="117"/>
      <c r="M37" s="117"/>
      <c r="N37" s="117"/>
      <c r="O37" s="117"/>
      <c r="P37" s="117"/>
      <c r="Q37" s="117"/>
      <c r="R37" s="117"/>
      <c r="S37" s="117"/>
      <c r="T37" s="117"/>
      <c r="U37" s="117"/>
    </row>
    <row r="38" spans="6:22"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</row>
    <row r="39" spans="6:22">
      <c r="H39" s="117"/>
      <c r="I39" s="117"/>
      <c r="J39" s="117"/>
      <c r="K39" s="117"/>
      <c r="L39" s="117"/>
      <c r="M39" s="117"/>
      <c r="N39" s="117"/>
      <c r="O39" s="117"/>
      <c r="P39" s="117"/>
      <c r="Q39" s="117"/>
      <c r="R39" s="117"/>
      <c r="S39" s="117"/>
      <c r="T39" s="117"/>
      <c r="U39" s="117"/>
    </row>
    <row r="40" spans="6:22">
      <c r="H40" s="117"/>
      <c r="I40" s="117"/>
      <c r="J40" s="117"/>
      <c r="K40" s="117"/>
      <c r="L40" s="117"/>
      <c r="M40" s="117"/>
      <c r="N40" s="117"/>
      <c r="O40" s="117"/>
      <c r="P40" s="117"/>
      <c r="Q40" s="117"/>
      <c r="R40" s="117"/>
      <c r="S40" s="117"/>
      <c r="T40" s="117"/>
      <c r="U40" s="117"/>
    </row>
    <row r="41" spans="6:22"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</row>
    <row r="42" spans="6:22">
      <c r="H42" s="117"/>
      <c r="I42" s="117"/>
      <c r="J42" s="117"/>
      <c r="K42" s="117"/>
      <c r="L42" s="117"/>
      <c r="M42" s="117"/>
      <c r="N42" s="117"/>
      <c r="O42" s="117"/>
      <c r="P42" s="117"/>
      <c r="Q42" s="117"/>
      <c r="R42" s="117"/>
      <c r="S42" s="117"/>
      <c r="T42" s="117"/>
      <c r="U42" s="117"/>
    </row>
    <row r="43" spans="6:22"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</row>
    <row r="44" spans="6:22">
      <c r="H44" s="117"/>
      <c r="I44" s="117"/>
      <c r="J44" s="117"/>
      <c r="K44" s="117"/>
      <c r="L44" s="117"/>
      <c r="M44" s="117"/>
      <c r="N44" s="117"/>
      <c r="O44" s="117"/>
      <c r="P44" s="117"/>
      <c r="Q44" s="117"/>
      <c r="R44" s="117"/>
      <c r="S44" s="117"/>
      <c r="T44" s="117"/>
      <c r="U44" s="117"/>
    </row>
    <row r="45" spans="6:22"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</row>
    <row r="46" spans="6:22"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</row>
  </sheetData>
  <mergeCells count="5">
    <mergeCell ref="A1:A2"/>
    <mergeCell ref="B1:B2"/>
    <mergeCell ref="C1:E1"/>
    <mergeCell ref="A17:B17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C59"/>
  <sheetViews>
    <sheetView workbookViewId="0">
      <pane ySplit="2" topLeftCell="A3" activePane="bottomLeft" state="frozen"/>
      <selection pane="bottomLeft" activeCell="C20" sqref="C20:D47"/>
    </sheetView>
  </sheetViews>
  <sheetFormatPr defaultRowHeight="11.25"/>
  <cols>
    <col min="1" max="2" width="9" style="8" customWidth="1"/>
    <col min="3" max="3" width="67.7109375" style="140" bestFit="1" customWidth="1"/>
    <col min="4" max="4" width="11.140625" style="2" customWidth="1"/>
    <col min="5" max="5" width="10.28515625" style="2" customWidth="1"/>
    <col min="6" max="7" width="10.28515625" style="82" customWidth="1"/>
    <col min="8" max="8" width="10.7109375" style="82" customWidth="1"/>
    <col min="9" max="9" width="9" style="82" customWidth="1"/>
    <col min="10" max="10" width="7.85546875" style="82" customWidth="1"/>
    <col min="11" max="11" width="10.28515625" style="82" customWidth="1"/>
    <col min="12" max="12" width="8.28515625" style="82" customWidth="1"/>
    <col min="13" max="13" width="8.85546875" style="82" customWidth="1"/>
    <col min="14" max="15" width="7.140625" style="82" customWidth="1"/>
    <col min="16" max="19" width="8.7109375" style="82" customWidth="1"/>
    <col min="20" max="20" width="8.5703125" style="82" customWidth="1"/>
    <col min="21" max="21" width="8.140625" style="82" customWidth="1"/>
    <col min="22" max="22" width="7.140625" style="82" customWidth="1"/>
    <col min="23" max="24" width="8.28515625" style="82" customWidth="1"/>
    <col min="25" max="25" width="7.140625" style="82" customWidth="1"/>
    <col min="26" max="26" width="8.5703125" style="82" customWidth="1"/>
    <col min="27" max="27" width="9.7109375" style="82" customWidth="1"/>
    <col min="28" max="28" width="7.140625" style="82" customWidth="1"/>
    <col min="29" max="29" width="6.140625" style="82" customWidth="1"/>
    <col min="30" max="30" width="7.140625" style="82" customWidth="1"/>
    <col min="31" max="34" width="6.140625" style="82" customWidth="1"/>
    <col min="35" max="35" width="9" style="82" customWidth="1"/>
    <col min="36" max="36" width="16.28515625" style="82" customWidth="1"/>
    <col min="37" max="37" width="8.85546875" style="82" customWidth="1"/>
    <col min="38" max="38" width="8.42578125" style="82" customWidth="1"/>
    <col min="39" max="39" width="8.140625" style="82" customWidth="1"/>
    <col min="40" max="40" width="7.7109375" style="82" customWidth="1"/>
    <col min="41" max="41" width="7" style="82" customWidth="1"/>
    <col min="42" max="42" width="6.140625" style="82" customWidth="1"/>
    <col min="43" max="47" width="7.85546875" style="82" customWidth="1"/>
    <col min="48" max="49" width="6.140625" style="82" customWidth="1"/>
    <col min="50" max="50" width="9.7109375" style="82" customWidth="1"/>
    <col min="51" max="51" width="8.42578125" style="82" customWidth="1"/>
    <col min="52" max="52" width="6.140625" style="82" customWidth="1"/>
    <col min="53" max="53" width="10.140625" style="82" customWidth="1"/>
    <col min="54" max="55" width="6.140625" style="82" customWidth="1"/>
    <col min="56" max="56" width="8" style="82" customWidth="1"/>
    <col min="57" max="58" width="6.140625" style="82" customWidth="1"/>
    <col min="59" max="59" width="7.42578125" style="82" customWidth="1"/>
    <col min="60" max="60" width="8.5703125" style="82" customWidth="1"/>
    <col min="61" max="67" width="6.140625" style="82" customWidth="1"/>
    <col min="68" max="68" width="8.140625" style="82" customWidth="1"/>
    <col min="69" max="69" width="6.140625" style="82" customWidth="1"/>
    <col min="70" max="70" width="7.7109375" style="82" customWidth="1"/>
    <col min="71" max="71" width="5.5703125" style="82" customWidth="1"/>
    <col min="72" max="72" width="10.5703125" style="358" customWidth="1"/>
    <col min="73" max="78" width="10.5703125" style="82" customWidth="1"/>
    <col min="79" max="80" width="12.42578125" style="83" customWidth="1"/>
    <col min="81" max="278" width="9.140625" style="3"/>
    <col min="279" max="279" width="9" style="3" bestFit="1" customWidth="1"/>
    <col min="280" max="280" width="9.85546875" style="3" bestFit="1" customWidth="1"/>
    <col min="281" max="281" width="9.140625" style="3" bestFit="1" customWidth="1"/>
    <col min="282" max="282" width="16" style="3" bestFit="1" customWidth="1"/>
    <col min="283" max="283" width="9" style="3" bestFit="1" customWidth="1"/>
    <col min="284" max="284" width="7.85546875" style="3" bestFit="1" customWidth="1"/>
    <col min="285" max="285" width="11.7109375" style="3" bestFit="1" customWidth="1"/>
    <col min="286" max="286" width="14.28515625" style="3" customWidth="1"/>
    <col min="287" max="287" width="11.7109375" style="3" bestFit="1" customWidth="1"/>
    <col min="288" max="288" width="14.140625" style="3" bestFit="1" customWidth="1"/>
    <col min="289" max="289" width="16.7109375" style="3" customWidth="1"/>
    <col min="290" max="290" width="16.5703125" style="3" customWidth="1"/>
    <col min="291" max="292" width="7.85546875" style="3" bestFit="1" customWidth="1"/>
    <col min="293" max="293" width="8" style="3" bestFit="1" customWidth="1"/>
    <col min="294" max="295" width="7.85546875" style="3" bestFit="1" customWidth="1"/>
    <col min="296" max="296" width="9.7109375" style="3" customWidth="1"/>
    <col min="297" max="297" width="12.85546875" style="3" customWidth="1"/>
    <col min="298" max="534" width="9.140625" style="3"/>
    <col min="535" max="535" width="9" style="3" bestFit="1" customWidth="1"/>
    <col min="536" max="536" width="9.85546875" style="3" bestFit="1" customWidth="1"/>
    <col min="537" max="537" width="9.140625" style="3" bestFit="1" customWidth="1"/>
    <col min="538" max="538" width="16" style="3" bestFit="1" customWidth="1"/>
    <col min="539" max="539" width="9" style="3" bestFit="1" customWidth="1"/>
    <col min="540" max="540" width="7.85546875" style="3" bestFit="1" customWidth="1"/>
    <col min="541" max="541" width="11.7109375" style="3" bestFit="1" customWidth="1"/>
    <col min="542" max="542" width="14.28515625" style="3" customWidth="1"/>
    <col min="543" max="543" width="11.7109375" style="3" bestFit="1" customWidth="1"/>
    <col min="544" max="544" width="14.140625" style="3" bestFit="1" customWidth="1"/>
    <col min="545" max="545" width="16.7109375" style="3" customWidth="1"/>
    <col min="546" max="546" width="16.5703125" style="3" customWidth="1"/>
    <col min="547" max="548" width="7.85546875" style="3" bestFit="1" customWidth="1"/>
    <col min="549" max="549" width="8" style="3" bestFit="1" customWidth="1"/>
    <col min="550" max="551" width="7.85546875" style="3" bestFit="1" customWidth="1"/>
    <col min="552" max="552" width="9.7109375" style="3" customWidth="1"/>
    <col min="553" max="553" width="12.85546875" style="3" customWidth="1"/>
    <col min="554" max="790" width="9.140625" style="3"/>
    <col min="791" max="791" width="9" style="3" bestFit="1" customWidth="1"/>
    <col min="792" max="792" width="9.85546875" style="3" bestFit="1" customWidth="1"/>
    <col min="793" max="793" width="9.140625" style="3" bestFit="1" customWidth="1"/>
    <col min="794" max="794" width="16" style="3" bestFit="1" customWidth="1"/>
    <col min="795" max="795" width="9" style="3" bestFit="1" customWidth="1"/>
    <col min="796" max="796" width="7.85546875" style="3" bestFit="1" customWidth="1"/>
    <col min="797" max="797" width="11.7109375" style="3" bestFit="1" customWidth="1"/>
    <col min="798" max="798" width="14.28515625" style="3" customWidth="1"/>
    <col min="799" max="799" width="11.7109375" style="3" bestFit="1" customWidth="1"/>
    <col min="800" max="800" width="14.140625" style="3" bestFit="1" customWidth="1"/>
    <col min="801" max="801" width="16.7109375" style="3" customWidth="1"/>
    <col min="802" max="802" width="16.5703125" style="3" customWidth="1"/>
    <col min="803" max="804" width="7.85546875" style="3" bestFit="1" customWidth="1"/>
    <col min="805" max="805" width="8" style="3" bestFit="1" customWidth="1"/>
    <col min="806" max="807" width="7.85546875" style="3" bestFit="1" customWidth="1"/>
    <col min="808" max="808" width="9.7109375" style="3" customWidth="1"/>
    <col min="809" max="809" width="12.85546875" style="3" customWidth="1"/>
    <col min="810" max="1046" width="9.140625" style="3"/>
    <col min="1047" max="1047" width="9" style="3" bestFit="1" customWidth="1"/>
    <col min="1048" max="1048" width="9.85546875" style="3" bestFit="1" customWidth="1"/>
    <col min="1049" max="1049" width="9.140625" style="3" bestFit="1" customWidth="1"/>
    <col min="1050" max="1050" width="16" style="3" bestFit="1" customWidth="1"/>
    <col min="1051" max="1051" width="9" style="3" bestFit="1" customWidth="1"/>
    <col min="1052" max="1052" width="7.85546875" style="3" bestFit="1" customWidth="1"/>
    <col min="1053" max="1053" width="11.7109375" style="3" bestFit="1" customWidth="1"/>
    <col min="1054" max="1054" width="14.28515625" style="3" customWidth="1"/>
    <col min="1055" max="1055" width="11.7109375" style="3" bestFit="1" customWidth="1"/>
    <col min="1056" max="1056" width="14.140625" style="3" bestFit="1" customWidth="1"/>
    <col min="1057" max="1057" width="16.7109375" style="3" customWidth="1"/>
    <col min="1058" max="1058" width="16.5703125" style="3" customWidth="1"/>
    <col min="1059" max="1060" width="7.85546875" style="3" bestFit="1" customWidth="1"/>
    <col min="1061" max="1061" width="8" style="3" bestFit="1" customWidth="1"/>
    <col min="1062" max="1063" width="7.85546875" style="3" bestFit="1" customWidth="1"/>
    <col min="1064" max="1064" width="9.7109375" style="3" customWidth="1"/>
    <col min="1065" max="1065" width="12.85546875" style="3" customWidth="1"/>
    <col min="1066" max="1302" width="9.140625" style="3"/>
    <col min="1303" max="1303" width="9" style="3" bestFit="1" customWidth="1"/>
    <col min="1304" max="1304" width="9.85546875" style="3" bestFit="1" customWidth="1"/>
    <col min="1305" max="1305" width="9.140625" style="3" bestFit="1" customWidth="1"/>
    <col min="1306" max="1306" width="16" style="3" bestFit="1" customWidth="1"/>
    <col min="1307" max="1307" width="9" style="3" bestFit="1" customWidth="1"/>
    <col min="1308" max="1308" width="7.85546875" style="3" bestFit="1" customWidth="1"/>
    <col min="1309" max="1309" width="11.7109375" style="3" bestFit="1" customWidth="1"/>
    <col min="1310" max="1310" width="14.28515625" style="3" customWidth="1"/>
    <col min="1311" max="1311" width="11.7109375" style="3" bestFit="1" customWidth="1"/>
    <col min="1312" max="1312" width="14.140625" style="3" bestFit="1" customWidth="1"/>
    <col min="1313" max="1313" width="16.7109375" style="3" customWidth="1"/>
    <col min="1314" max="1314" width="16.5703125" style="3" customWidth="1"/>
    <col min="1315" max="1316" width="7.85546875" style="3" bestFit="1" customWidth="1"/>
    <col min="1317" max="1317" width="8" style="3" bestFit="1" customWidth="1"/>
    <col min="1318" max="1319" width="7.85546875" style="3" bestFit="1" customWidth="1"/>
    <col min="1320" max="1320" width="9.7109375" style="3" customWidth="1"/>
    <col min="1321" max="1321" width="12.85546875" style="3" customWidth="1"/>
    <col min="1322" max="1558" width="9.140625" style="3"/>
    <col min="1559" max="1559" width="9" style="3" bestFit="1" customWidth="1"/>
    <col min="1560" max="1560" width="9.85546875" style="3" bestFit="1" customWidth="1"/>
    <col min="1561" max="1561" width="9.140625" style="3" bestFit="1" customWidth="1"/>
    <col min="1562" max="1562" width="16" style="3" bestFit="1" customWidth="1"/>
    <col min="1563" max="1563" width="9" style="3" bestFit="1" customWidth="1"/>
    <col min="1564" max="1564" width="7.85546875" style="3" bestFit="1" customWidth="1"/>
    <col min="1565" max="1565" width="11.7109375" style="3" bestFit="1" customWidth="1"/>
    <col min="1566" max="1566" width="14.28515625" style="3" customWidth="1"/>
    <col min="1567" max="1567" width="11.7109375" style="3" bestFit="1" customWidth="1"/>
    <col min="1568" max="1568" width="14.140625" style="3" bestFit="1" customWidth="1"/>
    <col min="1569" max="1569" width="16.7109375" style="3" customWidth="1"/>
    <col min="1570" max="1570" width="16.5703125" style="3" customWidth="1"/>
    <col min="1571" max="1572" width="7.85546875" style="3" bestFit="1" customWidth="1"/>
    <col min="1573" max="1573" width="8" style="3" bestFit="1" customWidth="1"/>
    <col min="1574" max="1575" width="7.85546875" style="3" bestFit="1" customWidth="1"/>
    <col min="1576" max="1576" width="9.7109375" style="3" customWidth="1"/>
    <col min="1577" max="1577" width="12.85546875" style="3" customWidth="1"/>
    <col min="1578" max="1814" width="9.140625" style="3"/>
    <col min="1815" max="1815" width="9" style="3" bestFit="1" customWidth="1"/>
    <col min="1816" max="1816" width="9.85546875" style="3" bestFit="1" customWidth="1"/>
    <col min="1817" max="1817" width="9.140625" style="3" bestFit="1" customWidth="1"/>
    <col min="1818" max="1818" width="16" style="3" bestFit="1" customWidth="1"/>
    <col min="1819" max="1819" width="9" style="3" bestFit="1" customWidth="1"/>
    <col min="1820" max="1820" width="7.85546875" style="3" bestFit="1" customWidth="1"/>
    <col min="1821" max="1821" width="11.7109375" style="3" bestFit="1" customWidth="1"/>
    <col min="1822" max="1822" width="14.28515625" style="3" customWidth="1"/>
    <col min="1823" max="1823" width="11.7109375" style="3" bestFit="1" customWidth="1"/>
    <col min="1824" max="1824" width="14.140625" style="3" bestFit="1" customWidth="1"/>
    <col min="1825" max="1825" width="16.7109375" style="3" customWidth="1"/>
    <col min="1826" max="1826" width="16.5703125" style="3" customWidth="1"/>
    <col min="1827" max="1828" width="7.85546875" style="3" bestFit="1" customWidth="1"/>
    <col min="1829" max="1829" width="8" style="3" bestFit="1" customWidth="1"/>
    <col min="1830" max="1831" width="7.85546875" style="3" bestFit="1" customWidth="1"/>
    <col min="1832" max="1832" width="9.7109375" style="3" customWidth="1"/>
    <col min="1833" max="1833" width="12.85546875" style="3" customWidth="1"/>
    <col min="1834" max="2070" width="9.140625" style="3"/>
    <col min="2071" max="2071" width="9" style="3" bestFit="1" customWidth="1"/>
    <col min="2072" max="2072" width="9.85546875" style="3" bestFit="1" customWidth="1"/>
    <col min="2073" max="2073" width="9.140625" style="3" bestFit="1" customWidth="1"/>
    <col min="2074" max="2074" width="16" style="3" bestFit="1" customWidth="1"/>
    <col min="2075" max="2075" width="9" style="3" bestFit="1" customWidth="1"/>
    <col min="2076" max="2076" width="7.85546875" style="3" bestFit="1" customWidth="1"/>
    <col min="2077" max="2077" width="11.7109375" style="3" bestFit="1" customWidth="1"/>
    <col min="2078" max="2078" width="14.28515625" style="3" customWidth="1"/>
    <col min="2079" max="2079" width="11.7109375" style="3" bestFit="1" customWidth="1"/>
    <col min="2080" max="2080" width="14.140625" style="3" bestFit="1" customWidth="1"/>
    <col min="2081" max="2081" width="16.7109375" style="3" customWidth="1"/>
    <col min="2082" max="2082" width="16.5703125" style="3" customWidth="1"/>
    <col min="2083" max="2084" width="7.85546875" style="3" bestFit="1" customWidth="1"/>
    <col min="2085" max="2085" width="8" style="3" bestFit="1" customWidth="1"/>
    <col min="2086" max="2087" width="7.85546875" style="3" bestFit="1" customWidth="1"/>
    <col min="2088" max="2088" width="9.7109375" style="3" customWidth="1"/>
    <col min="2089" max="2089" width="12.85546875" style="3" customWidth="1"/>
    <col min="2090" max="2326" width="9.140625" style="3"/>
    <col min="2327" max="2327" width="9" style="3" bestFit="1" customWidth="1"/>
    <col min="2328" max="2328" width="9.85546875" style="3" bestFit="1" customWidth="1"/>
    <col min="2329" max="2329" width="9.140625" style="3" bestFit="1" customWidth="1"/>
    <col min="2330" max="2330" width="16" style="3" bestFit="1" customWidth="1"/>
    <col min="2331" max="2331" width="9" style="3" bestFit="1" customWidth="1"/>
    <col min="2332" max="2332" width="7.85546875" style="3" bestFit="1" customWidth="1"/>
    <col min="2333" max="2333" width="11.7109375" style="3" bestFit="1" customWidth="1"/>
    <col min="2334" max="2334" width="14.28515625" style="3" customWidth="1"/>
    <col min="2335" max="2335" width="11.7109375" style="3" bestFit="1" customWidth="1"/>
    <col min="2336" max="2336" width="14.140625" style="3" bestFit="1" customWidth="1"/>
    <col min="2337" max="2337" width="16.7109375" style="3" customWidth="1"/>
    <col min="2338" max="2338" width="16.5703125" style="3" customWidth="1"/>
    <col min="2339" max="2340" width="7.85546875" style="3" bestFit="1" customWidth="1"/>
    <col min="2341" max="2341" width="8" style="3" bestFit="1" customWidth="1"/>
    <col min="2342" max="2343" width="7.85546875" style="3" bestFit="1" customWidth="1"/>
    <col min="2344" max="2344" width="9.7109375" style="3" customWidth="1"/>
    <col min="2345" max="2345" width="12.85546875" style="3" customWidth="1"/>
    <col min="2346" max="2582" width="9.140625" style="3"/>
    <col min="2583" max="2583" width="9" style="3" bestFit="1" customWidth="1"/>
    <col min="2584" max="2584" width="9.85546875" style="3" bestFit="1" customWidth="1"/>
    <col min="2585" max="2585" width="9.140625" style="3" bestFit="1" customWidth="1"/>
    <col min="2586" max="2586" width="16" style="3" bestFit="1" customWidth="1"/>
    <col min="2587" max="2587" width="9" style="3" bestFit="1" customWidth="1"/>
    <col min="2588" max="2588" width="7.85546875" style="3" bestFit="1" customWidth="1"/>
    <col min="2589" max="2589" width="11.7109375" style="3" bestFit="1" customWidth="1"/>
    <col min="2590" max="2590" width="14.28515625" style="3" customWidth="1"/>
    <col min="2591" max="2591" width="11.7109375" style="3" bestFit="1" customWidth="1"/>
    <col min="2592" max="2592" width="14.140625" style="3" bestFit="1" customWidth="1"/>
    <col min="2593" max="2593" width="16.7109375" style="3" customWidth="1"/>
    <col min="2594" max="2594" width="16.5703125" style="3" customWidth="1"/>
    <col min="2595" max="2596" width="7.85546875" style="3" bestFit="1" customWidth="1"/>
    <col min="2597" max="2597" width="8" style="3" bestFit="1" customWidth="1"/>
    <col min="2598" max="2599" width="7.85546875" style="3" bestFit="1" customWidth="1"/>
    <col min="2600" max="2600" width="9.7109375" style="3" customWidth="1"/>
    <col min="2601" max="2601" width="12.85546875" style="3" customWidth="1"/>
    <col min="2602" max="2838" width="9.140625" style="3"/>
    <col min="2839" max="2839" width="9" style="3" bestFit="1" customWidth="1"/>
    <col min="2840" max="2840" width="9.85546875" style="3" bestFit="1" customWidth="1"/>
    <col min="2841" max="2841" width="9.140625" style="3" bestFit="1" customWidth="1"/>
    <col min="2842" max="2842" width="16" style="3" bestFit="1" customWidth="1"/>
    <col min="2843" max="2843" width="9" style="3" bestFit="1" customWidth="1"/>
    <col min="2844" max="2844" width="7.85546875" style="3" bestFit="1" customWidth="1"/>
    <col min="2845" max="2845" width="11.7109375" style="3" bestFit="1" customWidth="1"/>
    <col min="2846" max="2846" width="14.28515625" style="3" customWidth="1"/>
    <col min="2847" max="2847" width="11.7109375" style="3" bestFit="1" customWidth="1"/>
    <col min="2848" max="2848" width="14.140625" style="3" bestFit="1" customWidth="1"/>
    <col min="2849" max="2849" width="16.7109375" style="3" customWidth="1"/>
    <col min="2850" max="2850" width="16.5703125" style="3" customWidth="1"/>
    <col min="2851" max="2852" width="7.85546875" style="3" bestFit="1" customWidth="1"/>
    <col min="2853" max="2853" width="8" style="3" bestFit="1" customWidth="1"/>
    <col min="2854" max="2855" width="7.85546875" style="3" bestFit="1" customWidth="1"/>
    <col min="2856" max="2856" width="9.7109375" style="3" customWidth="1"/>
    <col min="2857" max="2857" width="12.85546875" style="3" customWidth="1"/>
    <col min="2858" max="3094" width="9.140625" style="3"/>
    <col min="3095" max="3095" width="9" style="3" bestFit="1" customWidth="1"/>
    <col min="3096" max="3096" width="9.85546875" style="3" bestFit="1" customWidth="1"/>
    <col min="3097" max="3097" width="9.140625" style="3" bestFit="1" customWidth="1"/>
    <col min="3098" max="3098" width="16" style="3" bestFit="1" customWidth="1"/>
    <col min="3099" max="3099" width="9" style="3" bestFit="1" customWidth="1"/>
    <col min="3100" max="3100" width="7.85546875" style="3" bestFit="1" customWidth="1"/>
    <col min="3101" max="3101" width="11.7109375" style="3" bestFit="1" customWidth="1"/>
    <col min="3102" max="3102" width="14.28515625" style="3" customWidth="1"/>
    <col min="3103" max="3103" width="11.7109375" style="3" bestFit="1" customWidth="1"/>
    <col min="3104" max="3104" width="14.140625" style="3" bestFit="1" customWidth="1"/>
    <col min="3105" max="3105" width="16.7109375" style="3" customWidth="1"/>
    <col min="3106" max="3106" width="16.5703125" style="3" customWidth="1"/>
    <col min="3107" max="3108" width="7.85546875" style="3" bestFit="1" customWidth="1"/>
    <col min="3109" max="3109" width="8" style="3" bestFit="1" customWidth="1"/>
    <col min="3110" max="3111" width="7.85546875" style="3" bestFit="1" customWidth="1"/>
    <col min="3112" max="3112" width="9.7109375" style="3" customWidth="1"/>
    <col min="3113" max="3113" width="12.85546875" style="3" customWidth="1"/>
    <col min="3114" max="3350" width="9.140625" style="3"/>
    <col min="3351" max="3351" width="9" style="3" bestFit="1" customWidth="1"/>
    <col min="3352" max="3352" width="9.85546875" style="3" bestFit="1" customWidth="1"/>
    <col min="3353" max="3353" width="9.140625" style="3" bestFit="1" customWidth="1"/>
    <col min="3354" max="3354" width="16" style="3" bestFit="1" customWidth="1"/>
    <col min="3355" max="3355" width="9" style="3" bestFit="1" customWidth="1"/>
    <col min="3356" max="3356" width="7.85546875" style="3" bestFit="1" customWidth="1"/>
    <col min="3357" max="3357" width="11.7109375" style="3" bestFit="1" customWidth="1"/>
    <col min="3358" max="3358" width="14.28515625" style="3" customWidth="1"/>
    <col min="3359" max="3359" width="11.7109375" style="3" bestFit="1" customWidth="1"/>
    <col min="3360" max="3360" width="14.140625" style="3" bestFit="1" customWidth="1"/>
    <col min="3361" max="3361" width="16.7109375" style="3" customWidth="1"/>
    <col min="3362" max="3362" width="16.5703125" style="3" customWidth="1"/>
    <col min="3363" max="3364" width="7.85546875" style="3" bestFit="1" customWidth="1"/>
    <col min="3365" max="3365" width="8" style="3" bestFit="1" customWidth="1"/>
    <col min="3366" max="3367" width="7.85546875" style="3" bestFit="1" customWidth="1"/>
    <col min="3368" max="3368" width="9.7109375" style="3" customWidth="1"/>
    <col min="3369" max="3369" width="12.85546875" style="3" customWidth="1"/>
    <col min="3370" max="3606" width="9.140625" style="3"/>
    <col min="3607" max="3607" width="9" style="3" bestFit="1" customWidth="1"/>
    <col min="3608" max="3608" width="9.85546875" style="3" bestFit="1" customWidth="1"/>
    <col min="3609" max="3609" width="9.140625" style="3" bestFit="1" customWidth="1"/>
    <col min="3610" max="3610" width="16" style="3" bestFit="1" customWidth="1"/>
    <col min="3611" max="3611" width="9" style="3" bestFit="1" customWidth="1"/>
    <col min="3612" max="3612" width="7.85546875" style="3" bestFit="1" customWidth="1"/>
    <col min="3613" max="3613" width="11.7109375" style="3" bestFit="1" customWidth="1"/>
    <col min="3614" max="3614" width="14.28515625" style="3" customWidth="1"/>
    <col min="3615" max="3615" width="11.7109375" style="3" bestFit="1" customWidth="1"/>
    <col min="3616" max="3616" width="14.140625" style="3" bestFit="1" customWidth="1"/>
    <col min="3617" max="3617" width="16.7109375" style="3" customWidth="1"/>
    <col min="3618" max="3618" width="16.5703125" style="3" customWidth="1"/>
    <col min="3619" max="3620" width="7.85546875" style="3" bestFit="1" customWidth="1"/>
    <col min="3621" max="3621" width="8" style="3" bestFit="1" customWidth="1"/>
    <col min="3622" max="3623" width="7.85546875" style="3" bestFit="1" customWidth="1"/>
    <col min="3624" max="3624" width="9.7109375" style="3" customWidth="1"/>
    <col min="3625" max="3625" width="12.85546875" style="3" customWidth="1"/>
    <col min="3626" max="3862" width="9.140625" style="3"/>
    <col min="3863" max="3863" width="9" style="3" bestFit="1" customWidth="1"/>
    <col min="3864" max="3864" width="9.85546875" style="3" bestFit="1" customWidth="1"/>
    <col min="3865" max="3865" width="9.140625" style="3" bestFit="1" customWidth="1"/>
    <col min="3866" max="3866" width="16" style="3" bestFit="1" customWidth="1"/>
    <col min="3867" max="3867" width="9" style="3" bestFit="1" customWidth="1"/>
    <col min="3868" max="3868" width="7.85546875" style="3" bestFit="1" customWidth="1"/>
    <col min="3869" max="3869" width="11.7109375" style="3" bestFit="1" customWidth="1"/>
    <col min="3870" max="3870" width="14.28515625" style="3" customWidth="1"/>
    <col min="3871" max="3871" width="11.7109375" style="3" bestFit="1" customWidth="1"/>
    <col min="3872" max="3872" width="14.140625" style="3" bestFit="1" customWidth="1"/>
    <col min="3873" max="3873" width="16.7109375" style="3" customWidth="1"/>
    <col min="3874" max="3874" width="16.5703125" style="3" customWidth="1"/>
    <col min="3875" max="3876" width="7.85546875" style="3" bestFit="1" customWidth="1"/>
    <col min="3877" max="3877" width="8" style="3" bestFit="1" customWidth="1"/>
    <col min="3878" max="3879" width="7.85546875" style="3" bestFit="1" customWidth="1"/>
    <col min="3880" max="3880" width="9.7109375" style="3" customWidth="1"/>
    <col min="3881" max="3881" width="12.85546875" style="3" customWidth="1"/>
    <col min="3882" max="4118" width="9.140625" style="3"/>
    <col min="4119" max="4119" width="9" style="3" bestFit="1" customWidth="1"/>
    <col min="4120" max="4120" width="9.85546875" style="3" bestFit="1" customWidth="1"/>
    <col min="4121" max="4121" width="9.140625" style="3" bestFit="1" customWidth="1"/>
    <col min="4122" max="4122" width="16" style="3" bestFit="1" customWidth="1"/>
    <col min="4123" max="4123" width="9" style="3" bestFit="1" customWidth="1"/>
    <col min="4124" max="4124" width="7.85546875" style="3" bestFit="1" customWidth="1"/>
    <col min="4125" max="4125" width="11.7109375" style="3" bestFit="1" customWidth="1"/>
    <col min="4126" max="4126" width="14.28515625" style="3" customWidth="1"/>
    <col min="4127" max="4127" width="11.7109375" style="3" bestFit="1" customWidth="1"/>
    <col min="4128" max="4128" width="14.140625" style="3" bestFit="1" customWidth="1"/>
    <col min="4129" max="4129" width="16.7109375" style="3" customWidth="1"/>
    <col min="4130" max="4130" width="16.5703125" style="3" customWidth="1"/>
    <col min="4131" max="4132" width="7.85546875" style="3" bestFit="1" customWidth="1"/>
    <col min="4133" max="4133" width="8" style="3" bestFit="1" customWidth="1"/>
    <col min="4134" max="4135" width="7.85546875" style="3" bestFit="1" customWidth="1"/>
    <col min="4136" max="4136" width="9.7109375" style="3" customWidth="1"/>
    <col min="4137" max="4137" width="12.85546875" style="3" customWidth="1"/>
    <col min="4138" max="4374" width="9.140625" style="3"/>
    <col min="4375" max="4375" width="9" style="3" bestFit="1" customWidth="1"/>
    <col min="4376" max="4376" width="9.85546875" style="3" bestFit="1" customWidth="1"/>
    <col min="4377" max="4377" width="9.140625" style="3" bestFit="1" customWidth="1"/>
    <col min="4378" max="4378" width="16" style="3" bestFit="1" customWidth="1"/>
    <col min="4379" max="4379" width="9" style="3" bestFit="1" customWidth="1"/>
    <col min="4380" max="4380" width="7.85546875" style="3" bestFit="1" customWidth="1"/>
    <col min="4381" max="4381" width="11.7109375" style="3" bestFit="1" customWidth="1"/>
    <col min="4382" max="4382" width="14.28515625" style="3" customWidth="1"/>
    <col min="4383" max="4383" width="11.7109375" style="3" bestFit="1" customWidth="1"/>
    <col min="4384" max="4384" width="14.140625" style="3" bestFit="1" customWidth="1"/>
    <col min="4385" max="4385" width="16.7109375" style="3" customWidth="1"/>
    <col min="4386" max="4386" width="16.5703125" style="3" customWidth="1"/>
    <col min="4387" max="4388" width="7.85546875" style="3" bestFit="1" customWidth="1"/>
    <col min="4389" max="4389" width="8" style="3" bestFit="1" customWidth="1"/>
    <col min="4390" max="4391" width="7.85546875" style="3" bestFit="1" customWidth="1"/>
    <col min="4392" max="4392" width="9.7109375" style="3" customWidth="1"/>
    <col min="4393" max="4393" width="12.85546875" style="3" customWidth="1"/>
    <col min="4394" max="4630" width="9.140625" style="3"/>
    <col min="4631" max="4631" width="9" style="3" bestFit="1" customWidth="1"/>
    <col min="4632" max="4632" width="9.85546875" style="3" bestFit="1" customWidth="1"/>
    <col min="4633" max="4633" width="9.140625" style="3" bestFit="1" customWidth="1"/>
    <col min="4634" max="4634" width="16" style="3" bestFit="1" customWidth="1"/>
    <col min="4635" max="4635" width="9" style="3" bestFit="1" customWidth="1"/>
    <col min="4636" max="4636" width="7.85546875" style="3" bestFit="1" customWidth="1"/>
    <col min="4637" max="4637" width="11.7109375" style="3" bestFit="1" customWidth="1"/>
    <col min="4638" max="4638" width="14.28515625" style="3" customWidth="1"/>
    <col min="4639" max="4639" width="11.7109375" style="3" bestFit="1" customWidth="1"/>
    <col min="4640" max="4640" width="14.140625" style="3" bestFit="1" customWidth="1"/>
    <col min="4641" max="4641" width="16.7109375" style="3" customWidth="1"/>
    <col min="4642" max="4642" width="16.5703125" style="3" customWidth="1"/>
    <col min="4643" max="4644" width="7.85546875" style="3" bestFit="1" customWidth="1"/>
    <col min="4645" max="4645" width="8" style="3" bestFit="1" customWidth="1"/>
    <col min="4646" max="4647" width="7.85546875" style="3" bestFit="1" customWidth="1"/>
    <col min="4648" max="4648" width="9.7109375" style="3" customWidth="1"/>
    <col min="4649" max="4649" width="12.85546875" style="3" customWidth="1"/>
    <col min="4650" max="4886" width="9.140625" style="3"/>
    <col min="4887" max="4887" width="9" style="3" bestFit="1" customWidth="1"/>
    <col min="4888" max="4888" width="9.85546875" style="3" bestFit="1" customWidth="1"/>
    <col min="4889" max="4889" width="9.140625" style="3" bestFit="1" customWidth="1"/>
    <col min="4890" max="4890" width="16" style="3" bestFit="1" customWidth="1"/>
    <col min="4891" max="4891" width="9" style="3" bestFit="1" customWidth="1"/>
    <col min="4892" max="4892" width="7.85546875" style="3" bestFit="1" customWidth="1"/>
    <col min="4893" max="4893" width="11.7109375" style="3" bestFit="1" customWidth="1"/>
    <col min="4894" max="4894" width="14.28515625" style="3" customWidth="1"/>
    <col min="4895" max="4895" width="11.7109375" style="3" bestFit="1" customWidth="1"/>
    <col min="4896" max="4896" width="14.140625" style="3" bestFit="1" customWidth="1"/>
    <col min="4897" max="4897" width="16.7109375" style="3" customWidth="1"/>
    <col min="4898" max="4898" width="16.5703125" style="3" customWidth="1"/>
    <col min="4899" max="4900" width="7.85546875" style="3" bestFit="1" customWidth="1"/>
    <col min="4901" max="4901" width="8" style="3" bestFit="1" customWidth="1"/>
    <col min="4902" max="4903" width="7.85546875" style="3" bestFit="1" customWidth="1"/>
    <col min="4904" max="4904" width="9.7109375" style="3" customWidth="1"/>
    <col min="4905" max="4905" width="12.85546875" style="3" customWidth="1"/>
    <col min="4906" max="5142" width="9.140625" style="3"/>
    <col min="5143" max="5143" width="9" style="3" bestFit="1" customWidth="1"/>
    <col min="5144" max="5144" width="9.85546875" style="3" bestFit="1" customWidth="1"/>
    <col min="5145" max="5145" width="9.140625" style="3" bestFit="1" customWidth="1"/>
    <col min="5146" max="5146" width="16" style="3" bestFit="1" customWidth="1"/>
    <col min="5147" max="5147" width="9" style="3" bestFit="1" customWidth="1"/>
    <col min="5148" max="5148" width="7.85546875" style="3" bestFit="1" customWidth="1"/>
    <col min="5149" max="5149" width="11.7109375" style="3" bestFit="1" customWidth="1"/>
    <col min="5150" max="5150" width="14.28515625" style="3" customWidth="1"/>
    <col min="5151" max="5151" width="11.7109375" style="3" bestFit="1" customWidth="1"/>
    <col min="5152" max="5152" width="14.140625" style="3" bestFit="1" customWidth="1"/>
    <col min="5153" max="5153" width="16.7109375" style="3" customWidth="1"/>
    <col min="5154" max="5154" width="16.5703125" style="3" customWidth="1"/>
    <col min="5155" max="5156" width="7.85546875" style="3" bestFit="1" customWidth="1"/>
    <col min="5157" max="5157" width="8" style="3" bestFit="1" customWidth="1"/>
    <col min="5158" max="5159" width="7.85546875" style="3" bestFit="1" customWidth="1"/>
    <col min="5160" max="5160" width="9.7109375" style="3" customWidth="1"/>
    <col min="5161" max="5161" width="12.85546875" style="3" customWidth="1"/>
    <col min="5162" max="5398" width="9.140625" style="3"/>
    <col min="5399" max="5399" width="9" style="3" bestFit="1" customWidth="1"/>
    <col min="5400" max="5400" width="9.85546875" style="3" bestFit="1" customWidth="1"/>
    <col min="5401" max="5401" width="9.140625" style="3" bestFit="1" customWidth="1"/>
    <col min="5402" max="5402" width="16" style="3" bestFit="1" customWidth="1"/>
    <col min="5403" max="5403" width="9" style="3" bestFit="1" customWidth="1"/>
    <col min="5404" max="5404" width="7.85546875" style="3" bestFit="1" customWidth="1"/>
    <col min="5405" max="5405" width="11.7109375" style="3" bestFit="1" customWidth="1"/>
    <col min="5406" max="5406" width="14.28515625" style="3" customWidth="1"/>
    <col min="5407" max="5407" width="11.7109375" style="3" bestFit="1" customWidth="1"/>
    <col min="5408" max="5408" width="14.140625" style="3" bestFit="1" customWidth="1"/>
    <col min="5409" max="5409" width="16.7109375" style="3" customWidth="1"/>
    <col min="5410" max="5410" width="16.5703125" style="3" customWidth="1"/>
    <col min="5411" max="5412" width="7.85546875" style="3" bestFit="1" customWidth="1"/>
    <col min="5413" max="5413" width="8" style="3" bestFit="1" customWidth="1"/>
    <col min="5414" max="5415" width="7.85546875" style="3" bestFit="1" customWidth="1"/>
    <col min="5416" max="5416" width="9.7109375" style="3" customWidth="1"/>
    <col min="5417" max="5417" width="12.85546875" style="3" customWidth="1"/>
    <col min="5418" max="5654" width="9.140625" style="3"/>
    <col min="5655" max="5655" width="9" style="3" bestFit="1" customWidth="1"/>
    <col min="5656" max="5656" width="9.85546875" style="3" bestFit="1" customWidth="1"/>
    <col min="5657" max="5657" width="9.140625" style="3" bestFit="1" customWidth="1"/>
    <col min="5658" max="5658" width="16" style="3" bestFit="1" customWidth="1"/>
    <col min="5659" max="5659" width="9" style="3" bestFit="1" customWidth="1"/>
    <col min="5660" max="5660" width="7.85546875" style="3" bestFit="1" customWidth="1"/>
    <col min="5661" max="5661" width="11.7109375" style="3" bestFit="1" customWidth="1"/>
    <col min="5662" max="5662" width="14.28515625" style="3" customWidth="1"/>
    <col min="5663" max="5663" width="11.7109375" style="3" bestFit="1" customWidth="1"/>
    <col min="5664" max="5664" width="14.140625" style="3" bestFit="1" customWidth="1"/>
    <col min="5665" max="5665" width="16.7109375" style="3" customWidth="1"/>
    <col min="5666" max="5666" width="16.5703125" style="3" customWidth="1"/>
    <col min="5667" max="5668" width="7.85546875" style="3" bestFit="1" customWidth="1"/>
    <col min="5669" max="5669" width="8" style="3" bestFit="1" customWidth="1"/>
    <col min="5670" max="5671" width="7.85546875" style="3" bestFit="1" customWidth="1"/>
    <col min="5672" max="5672" width="9.7109375" style="3" customWidth="1"/>
    <col min="5673" max="5673" width="12.85546875" style="3" customWidth="1"/>
    <col min="5674" max="5910" width="9.140625" style="3"/>
    <col min="5911" max="5911" width="9" style="3" bestFit="1" customWidth="1"/>
    <col min="5912" max="5912" width="9.85546875" style="3" bestFit="1" customWidth="1"/>
    <col min="5913" max="5913" width="9.140625" style="3" bestFit="1" customWidth="1"/>
    <col min="5914" max="5914" width="16" style="3" bestFit="1" customWidth="1"/>
    <col min="5915" max="5915" width="9" style="3" bestFit="1" customWidth="1"/>
    <col min="5916" max="5916" width="7.85546875" style="3" bestFit="1" customWidth="1"/>
    <col min="5917" max="5917" width="11.7109375" style="3" bestFit="1" customWidth="1"/>
    <col min="5918" max="5918" width="14.28515625" style="3" customWidth="1"/>
    <col min="5919" max="5919" width="11.7109375" style="3" bestFit="1" customWidth="1"/>
    <col min="5920" max="5920" width="14.140625" style="3" bestFit="1" customWidth="1"/>
    <col min="5921" max="5921" width="16.7109375" style="3" customWidth="1"/>
    <col min="5922" max="5922" width="16.5703125" style="3" customWidth="1"/>
    <col min="5923" max="5924" width="7.85546875" style="3" bestFit="1" customWidth="1"/>
    <col min="5925" max="5925" width="8" style="3" bestFit="1" customWidth="1"/>
    <col min="5926" max="5927" width="7.85546875" style="3" bestFit="1" customWidth="1"/>
    <col min="5928" max="5928" width="9.7109375" style="3" customWidth="1"/>
    <col min="5929" max="5929" width="12.85546875" style="3" customWidth="1"/>
    <col min="5930" max="6166" width="9.140625" style="3"/>
    <col min="6167" max="6167" width="9" style="3" bestFit="1" customWidth="1"/>
    <col min="6168" max="6168" width="9.85546875" style="3" bestFit="1" customWidth="1"/>
    <col min="6169" max="6169" width="9.140625" style="3" bestFit="1" customWidth="1"/>
    <col min="6170" max="6170" width="16" style="3" bestFit="1" customWidth="1"/>
    <col min="6171" max="6171" width="9" style="3" bestFit="1" customWidth="1"/>
    <col min="6172" max="6172" width="7.85546875" style="3" bestFit="1" customWidth="1"/>
    <col min="6173" max="6173" width="11.7109375" style="3" bestFit="1" customWidth="1"/>
    <col min="6174" max="6174" width="14.28515625" style="3" customWidth="1"/>
    <col min="6175" max="6175" width="11.7109375" style="3" bestFit="1" customWidth="1"/>
    <col min="6176" max="6176" width="14.140625" style="3" bestFit="1" customWidth="1"/>
    <col min="6177" max="6177" width="16.7109375" style="3" customWidth="1"/>
    <col min="6178" max="6178" width="16.5703125" style="3" customWidth="1"/>
    <col min="6179" max="6180" width="7.85546875" style="3" bestFit="1" customWidth="1"/>
    <col min="6181" max="6181" width="8" style="3" bestFit="1" customWidth="1"/>
    <col min="6182" max="6183" width="7.85546875" style="3" bestFit="1" customWidth="1"/>
    <col min="6184" max="6184" width="9.7109375" style="3" customWidth="1"/>
    <col min="6185" max="6185" width="12.85546875" style="3" customWidth="1"/>
    <col min="6186" max="6422" width="9.140625" style="3"/>
    <col min="6423" max="6423" width="9" style="3" bestFit="1" customWidth="1"/>
    <col min="6424" max="6424" width="9.85546875" style="3" bestFit="1" customWidth="1"/>
    <col min="6425" max="6425" width="9.140625" style="3" bestFit="1" customWidth="1"/>
    <col min="6426" max="6426" width="16" style="3" bestFit="1" customWidth="1"/>
    <col min="6427" max="6427" width="9" style="3" bestFit="1" customWidth="1"/>
    <col min="6428" max="6428" width="7.85546875" style="3" bestFit="1" customWidth="1"/>
    <col min="6429" max="6429" width="11.7109375" style="3" bestFit="1" customWidth="1"/>
    <col min="6430" max="6430" width="14.28515625" style="3" customWidth="1"/>
    <col min="6431" max="6431" width="11.7109375" style="3" bestFit="1" customWidth="1"/>
    <col min="6432" max="6432" width="14.140625" style="3" bestFit="1" customWidth="1"/>
    <col min="6433" max="6433" width="16.7109375" style="3" customWidth="1"/>
    <col min="6434" max="6434" width="16.5703125" style="3" customWidth="1"/>
    <col min="6435" max="6436" width="7.85546875" style="3" bestFit="1" customWidth="1"/>
    <col min="6437" max="6437" width="8" style="3" bestFit="1" customWidth="1"/>
    <col min="6438" max="6439" width="7.85546875" style="3" bestFit="1" customWidth="1"/>
    <col min="6440" max="6440" width="9.7109375" style="3" customWidth="1"/>
    <col min="6441" max="6441" width="12.85546875" style="3" customWidth="1"/>
    <col min="6442" max="6678" width="9.140625" style="3"/>
    <col min="6679" max="6679" width="9" style="3" bestFit="1" customWidth="1"/>
    <col min="6680" max="6680" width="9.85546875" style="3" bestFit="1" customWidth="1"/>
    <col min="6681" max="6681" width="9.140625" style="3" bestFit="1" customWidth="1"/>
    <col min="6682" max="6682" width="16" style="3" bestFit="1" customWidth="1"/>
    <col min="6683" max="6683" width="9" style="3" bestFit="1" customWidth="1"/>
    <col min="6684" max="6684" width="7.85546875" style="3" bestFit="1" customWidth="1"/>
    <col min="6685" max="6685" width="11.7109375" style="3" bestFit="1" customWidth="1"/>
    <col min="6686" max="6686" width="14.28515625" style="3" customWidth="1"/>
    <col min="6687" max="6687" width="11.7109375" style="3" bestFit="1" customWidth="1"/>
    <col min="6688" max="6688" width="14.140625" style="3" bestFit="1" customWidth="1"/>
    <col min="6689" max="6689" width="16.7109375" style="3" customWidth="1"/>
    <col min="6690" max="6690" width="16.5703125" style="3" customWidth="1"/>
    <col min="6691" max="6692" width="7.85546875" style="3" bestFit="1" customWidth="1"/>
    <col min="6693" max="6693" width="8" style="3" bestFit="1" customWidth="1"/>
    <col min="6694" max="6695" width="7.85546875" style="3" bestFit="1" customWidth="1"/>
    <col min="6696" max="6696" width="9.7109375" style="3" customWidth="1"/>
    <col min="6697" max="6697" width="12.85546875" style="3" customWidth="1"/>
    <col min="6698" max="6934" width="9.140625" style="3"/>
    <col min="6935" max="6935" width="9" style="3" bestFit="1" customWidth="1"/>
    <col min="6936" max="6936" width="9.85546875" style="3" bestFit="1" customWidth="1"/>
    <col min="6937" max="6937" width="9.140625" style="3" bestFit="1" customWidth="1"/>
    <col min="6938" max="6938" width="16" style="3" bestFit="1" customWidth="1"/>
    <col min="6939" max="6939" width="9" style="3" bestFit="1" customWidth="1"/>
    <col min="6940" max="6940" width="7.85546875" style="3" bestFit="1" customWidth="1"/>
    <col min="6941" max="6941" width="11.7109375" style="3" bestFit="1" customWidth="1"/>
    <col min="6942" max="6942" width="14.28515625" style="3" customWidth="1"/>
    <col min="6943" max="6943" width="11.7109375" style="3" bestFit="1" customWidth="1"/>
    <col min="6944" max="6944" width="14.140625" style="3" bestFit="1" customWidth="1"/>
    <col min="6945" max="6945" width="16.7109375" style="3" customWidth="1"/>
    <col min="6946" max="6946" width="16.5703125" style="3" customWidth="1"/>
    <col min="6947" max="6948" width="7.85546875" style="3" bestFit="1" customWidth="1"/>
    <col min="6949" max="6949" width="8" style="3" bestFit="1" customWidth="1"/>
    <col min="6950" max="6951" width="7.85546875" style="3" bestFit="1" customWidth="1"/>
    <col min="6952" max="6952" width="9.7109375" style="3" customWidth="1"/>
    <col min="6953" max="6953" width="12.85546875" style="3" customWidth="1"/>
    <col min="6954" max="7190" width="9.140625" style="3"/>
    <col min="7191" max="7191" width="9" style="3" bestFit="1" customWidth="1"/>
    <col min="7192" max="7192" width="9.85546875" style="3" bestFit="1" customWidth="1"/>
    <col min="7193" max="7193" width="9.140625" style="3" bestFit="1" customWidth="1"/>
    <col min="7194" max="7194" width="16" style="3" bestFit="1" customWidth="1"/>
    <col min="7195" max="7195" width="9" style="3" bestFit="1" customWidth="1"/>
    <col min="7196" max="7196" width="7.85546875" style="3" bestFit="1" customWidth="1"/>
    <col min="7197" max="7197" width="11.7109375" style="3" bestFit="1" customWidth="1"/>
    <col min="7198" max="7198" width="14.28515625" style="3" customWidth="1"/>
    <col min="7199" max="7199" width="11.7109375" style="3" bestFit="1" customWidth="1"/>
    <col min="7200" max="7200" width="14.140625" style="3" bestFit="1" customWidth="1"/>
    <col min="7201" max="7201" width="16.7109375" style="3" customWidth="1"/>
    <col min="7202" max="7202" width="16.5703125" style="3" customWidth="1"/>
    <col min="7203" max="7204" width="7.85546875" style="3" bestFit="1" customWidth="1"/>
    <col min="7205" max="7205" width="8" style="3" bestFit="1" customWidth="1"/>
    <col min="7206" max="7207" width="7.85546875" style="3" bestFit="1" customWidth="1"/>
    <col min="7208" max="7208" width="9.7109375" style="3" customWidth="1"/>
    <col min="7209" max="7209" width="12.85546875" style="3" customWidth="1"/>
    <col min="7210" max="7446" width="9.140625" style="3"/>
    <col min="7447" max="7447" width="9" style="3" bestFit="1" customWidth="1"/>
    <col min="7448" max="7448" width="9.85546875" style="3" bestFit="1" customWidth="1"/>
    <col min="7449" max="7449" width="9.140625" style="3" bestFit="1" customWidth="1"/>
    <col min="7450" max="7450" width="16" style="3" bestFit="1" customWidth="1"/>
    <col min="7451" max="7451" width="9" style="3" bestFit="1" customWidth="1"/>
    <col min="7452" max="7452" width="7.85546875" style="3" bestFit="1" customWidth="1"/>
    <col min="7453" max="7453" width="11.7109375" style="3" bestFit="1" customWidth="1"/>
    <col min="7454" max="7454" width="14.28515625" style="3" customWidth="1"/>
    <col min="7455" max="7455" width="11.7109375" style="3" bestFit="1" customWidth="1"/>
    <col min="7456" max="7456" width="14.140625" style="3" bestFit="1" customWidth="1"/>
    <col min="7457" max="7457" width="16.7109375" style="3" customWidth="1"/>
    <col min="7458" max="7458" width="16.5703125" style="3" customWidth="1"/>
    <col min="7459" max="7460" width="7.85546875" style="3" bestFit="1" customWidth="1"/>
    <col min="7461" max="7461" width="8" style="3" bestFit="1" customWidth="1"/>
    <col min="7462" max="7463" width="7.85546875" style="3" bestFit="1" customWidth="1"/>
    <col min="7464" max="7464" width="9.7109375" style="3" customWidth="1"/>
    <col min="7465" max="7465" width="12.85546875" style="3" customWidth="1"/>
    <col min="7466" max="7702" width="9.140625" style="3"/>
    <col min="7703" max="7703" width="9" style="3" bestFit="1" customWidth="1"/>
    <col min="7704" max="7704" width="9.85546875" style="3" bestFit="1" customWidth="1"/>
    <col min="7705" max="7705" width="9.140625" style="3" bestFit="1" customWidth="1"/>
    <col min="7706" max="7706" width="16" style="3" bestFit="1" customWidth="1"/>
    <col min="7707" max="7707" width="9" style="3" bestFit="1" customWidth="1"/>
    <col min="7708" max="7708" width="7.85546875" style="3" bestFit="1" customWidth="1"/>
    <col min="7709" max="7709" width="11.7109375" style="3" bestFit="1" customWidth="1"/>
    <col min="7710" max="7710" width="14.28515625" style="3" customWidth="1"/>
    <col min="7711" max="7711" width="11.7109375" style="3" bestFit="1" customWidth="1"/>
    <col min="7712" max="7712" width="14.140625" style="3" bestFit="1" customWidth="1"/>
    <col min="7713" max="7713" width="16.7109375" style="3" customWidth="1"/>
    <col min="7714" max="7714" width="16.5703125" style="3" customWidth="1"/>
    <col min="7715" max="7716" width="7.85546875" style="3" bestFit="1" customWidth="1"/>
    <col min="7717" max="7717" width="8" style="3" bestFit="1" customWidth="1"/>
    <col min="7718" max="7719" width="7.85546875" style="3" bestFit="1" customWidth="1"/>
    <col min="7720" max="7720" width="9.7109375" style="3" customWidth="1"/>
    <col min="7721" max="7721" width="12.85546875" style="3" customWidth="1"/>
    <col min="7722" max="7958" width="9.140625" style="3"/>
    <col min="7959" max="7959" width="9" style="3" bestFit="1" customWidth="1"/>
    <col min="7960" max="7960" width="9.85546875" style="3" bestFit="1" customWidth="1"/>
    <col min="7961" max="7961" width="9.140625" style="3" bestFit="1" customWidth="1"/>
    <col min="7962" max="7962" width="16" style="3" bestFit="1" customWidth="1"/>
    <col min="7963" max="7963" width="9" style="3" bestFit="1" customWidth="1"/>
    <col min="7964" max="7964" width="7.85546875" style="3" bestFit="1" customWidth="1"/>
    <col min="7965" max="7965" width="11.7109375" style="3" bestFit="1" customWidth="1"/>
    <col min="7966" max="7966" width="14.28515625" style="3" customWidth="1"/>
    <col min="7967" max="7967" width="11.7109375" style="3" bestFit="1" customWidth="1"/>
    <col min="7968" max="7968" width="14.140625" style="3" bestFit="1" customWidth="1"/>
    <col min="7969" max="7969" width="16.7109375" style="3" customWidth="1"/>
    <col min="7970" max="7970" width="16.5703125" style="3" customWidth="1"/>
    <col min="7971" max="7972" width="7.85546875" style="3" bestFit="1" customWidth="1"/>
    <col min="7973" max="7973" width="8" style="3" bestFit="1" customWidth="1"/>
    <col min="7974" max="7975" width="7.85546875" style="3" bestFit="1" customWidth="1"/>
    <col min="7976" max="7976" width="9.7109375" style="3" customWidth="1"/>
    <col min="7977" max="7977" width="12.85546875" style="3" customWidth="1"/>
    <col min="7978" max="8214" width="9.140625" style="3"/>
    <col min="8215" max="8215" width="9" style="3" bestFit="1" customWidth="1"/>
    <col min="8216" max="8216" width="9.85546875" style="3" bestFit="1" customWidth="1"/>
    <col min="8217" max="8217" width="9.140625" style="3" bestFit="1" customWidth="1"/>
    <col min="8218" max="8218" width="16" style="3" bestFit="1" customWidth="1"/>
    <col min="8219" max="8219" width="9" style="3" bestFit="1" customWidth="1"/>
    <col min="8220" max="8220" width="7.85546875" style="3" bestFit="1" customWidth="1"/>
    <col min="8221" max="8221" width="11.7109375" style="3" bestFit="1" customWidth="1"/>
    <col min="8222" max="8222" width="14.28515625" style="3" customWidth="1"/>
    <col min="8223" max="8223" width="11.7109375" style="3" bestFit="1" customWidth="1"/>
    <col min="8224" max="8224" width="14.140625" style="3" bestFit="1" customWidth="1"/>
    <col min="8225" max="8225" width="16.7109375" style="3" customWidth="1"/>
    <col min="8226" max="8226" width="16.5703125" style="3" customWidth="1"/>
    <col min="8227" max="8228" width="7.85546875" style="3" bestFit="1" customWidth="1"/>
    <col min="8229" max="8229" width="8" style="3" bestFit="1" customWidth="1"/>
    <col min="8230" max="8231" width="7.85546875" style="3" bestFit="1" customWidth="1"/>
    <col min="8232" max="8232" width="9.7109375" style="3" customWidth="1"/>
    <col min="8233" max="8233" width="12.85546875" style="3" customWidth="1"/>
    <col min="8234" max="8470" width="9.140625" style="3"/>
    <col min="8471" max="8471" width="9" style="3" bestFit="1" customWidth="1"/>
    <col min="8472" max="8472" width="9.85546875" style="3" bestFit="1" customWidth="1"/>
    <col min="8473" max="8473" width="9.140625" style="3" bestFit="1" customWidth="1"/>
    <col min="8474" max="8474" width="16" style="3" bestFit="1" customWidth="1"/>
    <col min="8475" max="8475" width="9" style="3" bestFit="1" customWidth="1"/>
    <col min="8476" max="8476" width="7.85546875" style="3" bestFit="1" customWidth="1"/>
    <col min="8477" max="8477" width="11.7109375" style="3" bestFit="1" customWidth="1"/>
    <col min="8478" max="8478" width="14.28515625" style="3" customWidth="1"/>
    <col min="8479" max="8479" width="11.7109375" style="3" bestFit="1" customWidth="1"/>
    <col min="8480" max="8480" width="14.140625" style="3" bestFit="1" customWidth="1"/>
    <col min="8481" max="8481" width="16.7109375" style="3" customWidth="1"/>
    <col min="8482" max="8482" width="16.5703125" style="3" customWidth="1"/>
    <col min="8483" max="8484" width="7.85546875" style="3" bestFit="1" customWidth="1"/>
    <col min="8485" max="8485" width="8" style="3" bestFit="1" customWidth="1"/>
    <col min="8486" max="8487" width="7.85546875" style="3" bestFit="1" customWidth="1"/>
    <col min="8488" max="8488" width="9.7109375" style="3" customWidth="1"/>
    <col min="8489" max="8489" width="12.85546875" style="3" customWidth="1"/>
    <col min="8490" max="8726" width="9.140625" style="3"/>
    <col min="8727" max="8727" width="9" style="3" bestFit="1" customWidth="1"/>
    <col min="8728" max="8728" width="9.85546875" style="3" bestFit="1" customWidth="1"/>
    <col min="8729" max="8729" width="9.140625" style="3" bestFit="1" customWidth="1"/>
    <col min="8730" max="8730" width="16" style="3" bestFit="1" customWidth="1"/>
    <col min="8731" max="8731" width="9" style="3" bestFit="1" customWidth="1"/>
    <col min="8732" max="8732" width="7.85546875" style="3" bestFit="1" customWidth="1"/>
    <col min="8733" max="8733" width="11.7109375" style="3" bestFit="1" customWidth="1"/>
    <col min="8734" max="8734" width="14.28515625" style="3" customWidth="1"/>
    <col min="8735" max="8735" width="11.7109375" style="3" bestFit="1" customWidth="1"/>
    <col min="8736" max="8736" width="14.140625" style="3" bestFit="1" customWidth="1"/>
    <col min="8737" max="8737" width="16.7109375" style="3" customWidth="1"/>
    <col min="8738" max="8738" width="16.5703125" style="3" customWidth="1"/>
    <col min="8739" max="8740" width="7.85546875" style="3" bestFit="1" customWidth="1"/>
    <col min="8741" max="8741" width="8" style="3" bestFit="1" customWidth="1"/>
    <col min="8742" max="8743" width="7.85546875" style="3" bestFit="1" customWidth="1"/>
    <col min="8744" max="8744" width="9.7109375" style="3" customWidth="1"/>
    <col min="8745" max="8745" width="12.85546875" style="3" customWidth="1"/>
    <col min="8746" max="8982" width="9.140625" style="3"/>
    <col min="8983" max="8983" width="9" style="3" bestFit="1" customWidth="1"/>
    <col min="8984" max="8984" width="9.85546875" style="3" bestFit="1" customWidth="1"/>
    <col min="8985" max="8985" width="9.140625" style="3" bestFit="1" customWidth="1"/>
    <col min="8986" max="8986" width="16" style="3" bestFit="1" customWidth="1"/>
    <col min="8987" max="8987" width="9" style="3" bestFit="1" customWidth="1"/>
    <col min="8988" max="8988" width="7.85546875" style="3" bestFit="1" customWidth="1"/>
    <col min="8989" max="8989" width="11.7109375" style="3" bestFit="1" customWidth="1"/>
    <col min="8990" max="8990" width="14.28515625" style="3" customWidth="1"/>
    <col min="8991" max="8991" width="11.7109375" style="3" bestFit="1" customWidth="1"/>
    <col min="8992" max="8992" width="14.140625" style="3" bestFit="1" customWidth="1"/>
    <col min="8993" max="8993" width="16.7109375" style="3" customWidth="1"/>
    <col min="8994" max="8994" width="16.5703125" style="3" customWidth="1"/>
    <col min="8995" max="8996" width="7.85546875" style="3" bestFit="1" customWidth="1"/>
    <col min="8997" max="8997" width="8" style="3" bestFit="1" customWidth="1"/>
    <col min="8998" max="8999" width="7.85546875" style="3" bestFit="1" customWidth="1"/>
    <col min="9000" max="9000" width="9.7109375" style="3" customWidth="1"/>
    <col min="9001" max="9001" width="12.85546875" style="3" customWidth="1"/>
    <col min="9002" max="9238" width="9.140625" style="3"/>
    <col min="9239" max="9239" width="9" style="3" bestFit="1" customWidth="1"/>
    <col min="9240" max="9240" width="9.85546875" style="3" bestFit="1" customWidth="1"/>
    <col min="9241" max="9241" width="9.140625" style="3" bestFit="1" customWidth="1"/>
    <col min="9242" max="9242" width="16" style="3" bestFit="1" customWidth="1"/>
    <col min="9243" max="9243" width="9" style="3" bestFit="1" customWidth="1"/>
    <col min="9244" max="9244" width="7.85546875" style="3" bestFit="1" customWidth="1"/>
    <col min="9245" max="9245" width="11.7109375" style="3" bestFit="1" customWidth="1"/>
    <col min="9246" max="9246" width="14.28515625" style="3" customWidth="1"/>
    <col min="9247" max="9247" width="11.7109375" style="3" bestFit="1" customWidth="1"/>
    <col min="9248" max="9248" width="14.140625" style="3" bestFit="1" customWidth="1"/>
    <col min="9249" max="9249" width="16.7109375" style="3" customWidth="1"/>
    <col min="9250" max="9250" width="16.5703125" style="3" customWidth="1"/>
    <col min="9251" max="9252" width="7.85546875" style="3" bestFit="1" customWidth="1"/>
    <col min="9253" max="9253" width="8" style="3" bestFit="1" customWidth="1"/>
    <col min="9254" max="9255" width="7.85546875" style="3" bestFit="1" customWidth="1"/>
    <col min="9256" max="9256" width="9.7109375" style="3" customWidth="1"/>
    <col min="9257" max="9257" width="12.85546875" style="3" customWidth="1"/>
    <col min="9258" max="9494" width="9.140625" style="3"/>
    <col min="9495" max="9495" width="9" style="3" bestFit="1" customWidth="1"/>
    <col min="9496" max="9496" width="9.85546875" style="3" bestFit="1" customWidth="1"/>
    <col min="9497" max="9497" width="9.140625" style="3" bestFit="1" customWidth="1"/>
    <col min="9498" max="9498" width="16" style="3" bestFit="1" customWidth="1"/>
    <col min="9499" max="9499" width="9" style="3" bestFit="1" customWidth="1"/>
    <col min="9500" max="9500" width="7.85546875" style="3" bestFit="1" customWidth="1"/>
    <col min="9501" max="9501" width="11.7109375" style="3" bestFit="1" customWidth="1"/>
    <col min="9502" max="9502" width="14.28515625" style="3" customWidth="1"/>
    <col min="9503" max="9503" width="11.7109375" style="3" bestFit="1" customWidth="1"/>
    <col min="9504" max="9504" width="14.140625" style="3" bestFit="1" customWidth="1"/>
    <col min="9505" max="9505" width="16.7109375" style="3" customWidth="1"/>
    <col min="9506" max="9506" width="16.5703125" style="3" customWidth="1"/>
    <col min="9507" max="9508" width="7.85546875" style="3" bestFit="1" customWidth="1"/>
    <col min="9509" max="9509" width="8" style="3" bestFit="1" customWidth="1"/>
    <col min="9510" max="9511" width="7.85546875" style="3" bestFit="1" customWidth="1"/>
    <col min="9512" max="9512" width="9.7109375" style="3" customWidth="1"/>
    <col min="9513" max="9513" width="12.85546875" style="3" customWidth="1"/>
    <col min="9514" max="9750" width="9.140625" style="3"/>
    <col min="9751" max="9751" width="9" style="3" bestFit="1" customWidth="1"/>
    <col min="9752" max="9752" width="9.85546875" style="3" bestFit="1" customWidth="1"/>
    <col min="9753" max="9753" width="9.140625" style="3" bestFit="1" customWidth="1"/>
    <col min="9754" max="9754" width="16" style="3" bestFit="1" customWidth="1"/>
    <col min="9755" max="9755" width="9" style="3" bestFit="1" customWidth="1"/>
    <col min="9756" max="9756" width="7.85546875" style="3" bestFit="1" customWidth="1"/>
    <col min="9757" max="9757" width="11.7109375" style="3" bestFit="1" customWidth="1"/>
    <col min="9758" max="9758" width="14.28515625" style="3" customWidth="1"/>
    <col min="9759" max="9759" width="11.7109375" style="3" bestFit="1" customWidth="1"/>
    <col min="9760" max="9760" width="14.140625" style="3" bestFit="1" customWidth="1"/>
    <col min="9761" max="9761" width="16.7109375" style="3" customWidth="1"/>
    <col min="9762" max="9762" width="16.5703125" style="3" customWidth="1"/>
    <col min="9763" max="9764" width="7.85546875" style="3" bestFit="1" customWidth="1"/>
    <col min="9765" max="9765" width="8" style="3" bestFit="1" customWidth="1"/>
    <col min="9766" max="9767" width="7.85546875" style="3" bestFit="1" customWidth="1"/>
    <col min="9768" max="9768" width="9.7109375" style="3" customWidth="1"/>
    <col min="9769" max="9769" width="12.85546875" style="3" customWidth="1"/>
    <col min="9770" max="10006" width="9.140625" style="3"/>
    <col min="10007" max="10007" width="9" style="3" bestFit="1" customWidth="1"/>
    <col min="10008" max="10008" width="9.85546875" style="3" bestFit="1" customWidth="1"/>
    <col min="10009" max="10009" width="9.140625" style="3" bestFit="1" customWidth="1"/>
    <col min="10010" max="10010" width="16" style="3" bestFit="1" customWidth="1"/>
    <col min="10011" max="10011" width="9" style="3" bestFit="1" customWidth="1"/>
    <col min="10012" max="10012" width="7.85546875" style="3" bestFit="1" customWidth="1"/>
    <col min="10013" max="10013" width="11.7109375" style="3" bestFit="1" customWidth="1"/>
    <col min="10014" max="10014" width="14.28515625" style="3" customWidth="1"/>
    <col min="10015" max="10015" width="11.7109375" style="3" bestFit="1" customWidth="1"/>
    <col min="10016" max="10016" width="14.140625" style="3" bestFit="1" customWidth="1"/>
    <col min="10017" max="10017" width="16.7109375" style="3" customWidth="1"/>
    <col min="10018" max="10018" width="16.5703125" style="3" customWidth="1"/>
    <col min="10019" max="10020" width="7.85546875" style="3" bestFit="1" customWidth="1"/>
    <col min="10021" max="10021" width="8" style="3" bestFit="1" customWidth="1"/>
    <col min="10022" max="10023" width="7.85546875" style="3" bestFit="1" customWidth="1"/>
    <col min="10024" max="10024" width="9.7109375" style="3" customWidth="1"/>
    <col min="10025" max="10025" width="12.85546875" style="3" customWidth="1"/>
    <col min="10026" max="10262" width="9.140625" style="3"/>
    <col min="10263" max="10263" width="9" style="3" bestFit="1" customWidth="1"/>
    <col min="10264" max="10264" width="9.85546875" style="3" bestFit="1" customWidth="1"/>
    <col min="10265" max="10265" width="9.140625" style="3" bestFit="1" customWidth="1"/>
    <col min="10266" max="10266" width="16" style="3" bestFit="1" customWidth="1"/>
    <col min="10267" max="10267" width="9" style="3" bestFit="1" customWidth="1"/>
    <col min="10268" max="10268" width="7.85546875" style="3" bestFit="1" customWidth="1"/>
    <col min="10269" max="10269" width="11.7109375" style="3" bestFit="1" customWidth="1"/>
    <col min="10270" max="10270" width="14.28515625" style="3" customWidth="1"/>
    <col min="10271" max="10271" width="11.7109375" style="3" bestFit="1" customWidth="1"/>
    <col min="10272" max="10272" width="14.140625" style="3" bestFit="1" customWidth="1"/>
    <col min="10273" max="10273" width="16.7109375" style="3" customWidth="1"/>
    <col min="10274" max="10274" width="16.5703125" style="3" customWidth="1"/>
    <col min="10275" max="10276" width="7.85546875" style="3" bestFit="1" customWidth="1"/>
    <col min="10277" max="10277" width="8" style="3" bestFit="1" customWidth="1"/>
    <col min="10278" max="10279" width="7.85546875" style="3" bestFit="1" customWidth="1"/>
    <col min="10280" max="10280" width="9.7109375" style="3" customWidth="1"/>
    <col min="10281" max="10281" width="12.85546875" style="3" customWidth="1"/>
    <col min="10282" max="10518" width="9.140625" style="3"/>
    <col min="10519" max="10519" width="9" style="3" bestFit="1" customWidth="1"/>
    <col min="10520" max="10520" width="9.85546875" style="3" bestFit="1" customWidth="1"/>
    <col min="10521" max="10521" width="9.140625" style="3" bestFit="1" customWidth="1"/>
    <col min="10522" max="10522" width="16" style="3" bestFit="1" customWidth="1"/>
    <col min="10523" max="10523" width="9" style="3" bestFit="1" customWidth="1"/>
    <col min="10524" max="10524" width="7.85546875" style="3" bestFit="1" customWidth="1"/>
    <col min="10525" max="10525" width="11.7109375" style="3" bestFit="1" customWidth="1"/>
    <col min="10526" max="10526" width="14.28515625" style="3" customWidth="1"/>
    <col min="10527" max="10527" width="11.7109375" style="3" bestFit="1" customWidth="1"/>
    <col min="10528" max="10528" width="14.140625" style="3" bestFit="1" customWidth="1"/>
    <col min="10529" max="10529" width="16.7109375" style="3" customWidth="1"/>
    <col min="10530" max="10530" width="16.5703125" style="3" customWidth="1"/>
    <col min="10531" max="10532" width="7.85546875" style="3" bestFit="1" customWidth="1"/>
    <col min="10533" max="10533" width="8" style="3" bestFit="1" customWidth="1"/>
    <col min="10534" max="10535" width="7.85546875" style="3" bestFit="1" customWidth="1"/>
    <col min="10536" max="10536" width="9.7109375" style="3" customWidth="1"/>
    <col min="10537" max="10537" width="12.85546875" style="3" customWidth="1"/>
    <col min="10538" max="10774" width="9.140625" style="3"/>
    <col min="10775" max="10775" width="9" style="3" bestFit="1" customWidth="1"/>
    <col min="10776" max="10776" width="9.85546875" style="3" bestFit="1" customWidth="1"/>
    <col min="10777" max="10777" width="9.140625" style="3" bestFit="1" customWidth="1"/>
    <col min="10778" max="10778" width="16" style="3" bestFit="1" customWidth="1"/>
    <col min="10779" max="10779" width="9" style="3" bestFit="1" customWidth="1"/>
    <col min="10780" max="10780" width="7.85546875" style="3" bestFit="1" customWidth="1"/>
    <col min="10781" max="10781" width="11.7109375" style="3" bestFit="1" customWidth="1"/>
    <col min="10782" max="10782" width="14.28515625" style="3" customWidth="1"/>
    <col min="10783" max="10783" width="11.7109375" style="3" bestFit="1" customWidth="1"/>
    <col min="10784" max="10784" width="14.140625" style="3" bestFit="1" customWidth="1"/>
    <col min="10785" max="10785" width="16.7109375" style="3" customWidth="1"/>
    <col min="10786" max="10786" width="16.5703125" style="3" customWidth="1"/>
    <col min="10787" max="10788" width="7.85546875" style="3" bestFit="1" customWidth="1"/>
    <col min="10789" max="10789" width="8" style="3" bestFit="1" customWidth="1"/>
    <col min="10790" max="10791" width="7.85546875" style="3" bestFit="1" customWidth="1"/>
    <col min="10792" max="10792" width="9.7109375" style="3" customWidth="1"/>
    <col min="10793" max="10793" width="12.85546875" style="3" customWidth="1"/>
    <col min="10794" max="11030" width="9.140625" style="3"/>
    <col min="11031" max="11031" width="9" style="3" bestFit="1" customWidth="1"/>
    <col min="11032" max="11032" width="9.85546875" style="3" bestFit="1" customWidth="1"/>
    <col min="11033" max="11033" width="9.140625" style="3" bestFit="1" customWidth="1"/>
    <col min="11034" max="11034" width="16" style="3" bestFit="1" customWidth="1"/>
    <col min="11035" max="11035" width="9" style="3" bestFit="1" customWidth="1"/>
    <col min="11036" max="11036" width="7.85546875" style="3" bestFit="1" customWidth="1"/>
    <col min="11037" max="11037" width="11.7109375" style="3" bestFit="1" customWidth="1"/>
    <col min="11038" max="11038" width="14.28515625" style="3" customWidth="1"/>
    <col min="11039" max="11039" width="11.7109375" style="3" bestFit="1" customWidth="1"/>
    <col min="11040" max="11040" width="14.140625" style="3" bestFit="1" customWidth="1"/>
    <col min="11041" max="11041" width="16.7109375" style="3" customWidth="1"/>
    <col min="11042" max="11042" width="16.5703125" style="3" customWidth="1"/>
    <col min="11043" max="11044" width="7.85546875" style="3" bestFit="1" customWidth="1"/>
    <col min="11045" max="11045" width="8" style="3" bestFit="1" customWidth="1"/>
    <col min="11046" max="11047" width="7.85546875" style="3" bestFit="1" customWidth="1"/>
    <col min="11048" max="11048" width="9.7109375" style="3" customWidth="1"/>
    <col min="11049" max="11049" width="12.85546875" style="3" customWidth="1"/>
    <col min="11050" max="11286" width="9.140625" style="3"/>
    <col min="11287" max="11287" width="9" style="3" bestFit="1" customWidth="1"/>
    <col min="11288" max="11288" width="9.85546875" style="3" bestFit="1" customWidth="1"/>
    <col min="11289" max="11289" width="9.140625" style="3" bestFit="1" customWidth="1"/>
    <col min="11290" max="11290" width="16" style="3" bestFit="1" customWidth="1"/>
    <col min="11291" max="11291" width="9" style="3" bestFit="1" customWidth="1"/>
    <col min="11292" max="11292" width="7.85546875" style="3" bestFit="1" customWidth="1"/>
    <col min="11293" max="11293" width="11.7109375" style="3" bestFit="1" customWidth="1"/>
    <col min="11294" max="11294" width="14.28515625" style="3" customWidth="1"/>
    <col min="11295" max="11295" width="11.7109375" style="3" bestFit="1" customWidth="1"/>
    <col min="11296" max="11296" width="14.140625" style="3" bestFit="1" customWidth="1"/>
    <col min="11297" max="11297" width="16.7109375" style="3" customWidth="1"/>
    <col min="11298" max="11298" width="16.5703125" style="3" customWidth="1"/>
    <col min="11299" max="11300" width="7.85546875" style="3" bestFit="1" customWidth="1"/>
    <col min="11301" max="11301" width="8" style="3" bestFit="1" customWidth="1"/>
    <col min="11302" max="11303" width="7.85546875" style="3" bestFit="1" customWidth="1"/>
    <col min="11304" max="11304" width="9.7109375" style="3" customWidth="1"/>
    <col min="11305" max="11305" width="12.85546875" style="3" customWidth="1"/>
    <col min="11306" max="11542" width="9.140625" style="3"/>
    <col min="11543" max="11543" width="9" style="3" bestFit="1" customWidth="1"/>
    <col min="11544" max="11544" width="9.85546875" style="3" bestFit="1" customWidth="1"/>
    <col min="11545" max="11545" width="9.140625" style="3" bestFit="1" customWidth="1"/>
    <col min="11546" max="11546" width="16" style="3" bestFit="1" customWidth="1"/>
    <col min="11547" max="11547" width="9" style="3" bestFit="1" customWidth="1"/>
    <col min="11548" max="11548" width="7.85546875" style="3" bestFit="1" customWidth="1"/>
    <col min="11549" max="11549" width="11.7109375" style="3" bestFit="1" customWidth="1"/>
    <col min="11550" max="11550" width="14.28515625" style="3" customWidth="1"/>
    <col min="11551" max="11551" width="11.7109375" style="3" bestFit="1" customWidth="1"/>
    <col min="11552" max="11552" width="14.140625" style="3" bestFit="1" customWidth="1"/>
    <col min="11553" max="11553" width="16.7109375" style="3" customWidth="1"/>
    <col min="11554" max="11554" width="16.5703125" style="3" customWidth="1"/>
    <col min="11555" max="11556" width="7.85546875" style="3" bestFit="1" customWidth="1"/>
    <col min="11557" max="11557" width="8" style="3" bestFit="1" customWidth="1"/>
    <col min="11558" max="11559" width="7.85546875" style="3" bestFit="1" customWidth="1"/>
    <col min="11560" max="11560" width="9.7109375" style="3" customWidth="1"/>
    <col min="11561" max="11561" width="12.85546875" style="3" customWidth="1"/>
    <col min="11562" max="11798" width="9.140625" style="3"/>
    <col min="11799" max="11799" width="9" style="3" bestFit="1" customWidth="1"/>
    <col min="11800" max="11800" width="9.85546875" style="3" bestFit="1" customWidth="1"/>
    <col min="11801" max="11801" width="9.140625" style="3" bestFit="1" customWidth="1"/>
    <col min="11802" max="11802" width="16" style="3" bestFit="1" customWidth="1"/>
    <col min="11803" max="11803" width="9" style="3" bestFit="1" customWidth="1"/>
    <col min="11804" max="11804" width="7.85546875" style="3" bestFit="1" customWidth="1"/>
    <col min="11805" max="11805" width="11.7109375" style="3" bestFit="1" customWidth="1"/>
    <col min="11806" max="11806" width="14.28515625" style="3" customWidth="1"/>
    <col min="11807" max="11807" width="11.7109375" style="3" bestFit="1" customWidth="1"/>
    <col min="11808" max="11808" width="14.140625" style="3" bestFit="1" customWidth="1"/>
    <col min="11809" max="11809" width="16.7109375" style="3" customWidth="1"/>
    <col min="11810" max="11810" width="16.5703125" style="3" customWidth="1"/>
    <col min="11811" max="11812" width="7.85546875" style="3" bestFit="1" customWidth="1"/>
    <col min="11813" max="11813" width="8" style="3" bestFit="1" customWidth="1"/>
    <col min="11814" max="11815" width="7.85546875" style="3" bestFit="1" customWidth="1"/>
    <col min="11816" max="11816" width="9.7109375" style="3" customWidth="1"/>
    <col min="11817" max="11817" width="12.85546875" style="3" customWidth="1"/>
    <col min="11818" max="12054" width="9.140625" style="3"/>
    <col min="12055" max="12055" width="9" style="3" bestFit="1" customWidth="1"/>
    <col min="12056" max="12056" width="9.85546875" style="3" bestFit="1" customWidth="1"/>
    <col min="12057" max="12057" width="9.140625" style="3" bestFit="1" customWidth="1"/>
    <col min="12058" max="12058" width="16" style="3" bestFit="1" customWidth="1"/>
    <col min="12059" max="12059" width="9" style="3" bestFit="1" customWidth="1"/>
    <col min="12060" max="12060" width="7.85546875" style="3" bestFit="1" customWidth="1"/>
    <col min="12061" max="12061" width="11.7109375" style="3" bestFit="1" customWidth="1"/>
    <col min="12062" max="12062" width="14.28515625" style="3" customWidth="1"/>
    <col min="12063" max="12063" width="11.7109375" style="3" bestFit="1" customWidth="1"/>
    <col min="12064" max="12064" width="14.140625" style="3" bestFit="1" customWidth="1"/>
    <col min="12065" max="12065" width="16.7109375" style="3" customWidth="1"/>
    <col min="12066" max="12066" width="16.5703125" style="3" customWidth="1"/>
    <col min="12067" max="12068" width="7.85546875" style="3" bestFit="1" customWidth="1"/>
    <col min="12069" max="12069" width="8" style="3" bestFit="1" customWidth="1"/>
    <col min="12070" max="12071" width="7.85546875" style="3" bestFit="1" customWidth="1"/>
    <col min="12072" max="12072" width="9.7109375" style="3" customWidth="1"/>
    <col min="12073" max="12073" width="12.85546875" style="3" customWidth="1"/>
    <col min="12074" max="12310" width="9.140625" style="3"/>
    <col min="12311" max="12311" width="9" style="3" bestFit="1" customWidth="1"/>
    <col min="12312" max="12312" width="9.85546875" style="3" bestFit="1" customWidth="1"/>
    <col min="12313" max="12313" width="9.140625" style="3" bestFit="1" customWidth="1"/>
    <col min="12314" max="12314" width="16" style="3" bestFit="1" customWidth="1"/>
    <col min="12315" max="12315" width="9" style="3" bestFit="1" customWidth="1"/>
    <col min="12316" max="12316" width="7.85546875" style="3" bestFit="1" customWidth="1"/>
    <col min="12317" max="12317" width="11.7109375" style="3" bestFit="1" customWidth="1"/>
    <col min="12318" max="12318" width="14.28515625" style="3" customWidth="1"/>
    <col min="12319" max="12319" width="11.7109375" style="3" bestFit="1" customWidth="1"/>
    <col min="12320" max="12320" width="14.140625" style="3" bestFit="1" customWidth="1"/>
    <col min="12321" max="12321" width="16.7109375" style="3" customWidth="1"/>
    <col min="12322" max="12322" width="16.5703125" style="3" customWidth="1"/>
    <col min="12323" max="12324" width="7.85546875" style="3" bestFit="1" customWidth="1"/>
    <col min="12325" max="12325" width="8" style="3" bestFit="1" customWidth="1"/>
    <col min="12326" max="12327" width="7.85546875" style="3" bestFit="1" customWidth="1"/>
    <col min="12328" max="12328" width="9.7109375" style="3" customWidth="1"/>
    <col min="12329" max="12329" width="12.85546875" style="3" customWidth="1"/>
    <col min="12330" max="12566" width="9.140625" style="3"/>
    <col min="12567" max="12567" width="9" style="3" bestFit="1" customWidth="1"/>
    <col min="12568" max="12568" width="9.85546875" style="3" bestFit="1" customWidth="1"/>
    <col min="12569" max="12569" width="9.140625" style="3" bestFit="1" customWidth="1"/>
    <col min="12570" max="12570" width="16" style="3" bestFit="1" customWidth="1"/>
    <col min="12571" max="12571" width="9" style="3" bestFit="1" customWidth="1"/>
    <col min="12572" max="12572" width="7.85546875" style="3" bestFit="1" customWidth="1"/>
    <col min="12573" max="12573" width="11.7109375" style="3" bestFit="1" customWidth="1"/>
    <col min="12574" max="12574" width="14.28515625" style="3" customWidth="1"/>
    <col min="12575" max="12575" width="11.7109375" style="3" bestFit="1" customWidth="1"/>
    <col min="12576" max="12576" width="14.140625" style="3" bestFit="1" customWidth="1"/>
    <col min="12577" max="12577" width="16.7109375" style="3" customWidth="1"/>
    <col min="12578" max="12578" width="16.5703125" style="3" customWidth="1"/>
    <col min="12579" max="12580" width="7.85546875" style="3" bestFit="1" customWidth="1"/>
    <col min="12581" max="12581" width="8" style="3" bestFit="1" customWidth="1"/>
    <col min="12582" max="12583" width="7.85546875" style="3" bestFit="1" customWidth="1"/>
    <col min="12584" max="12584" width="9.7109375" style="3" customWidth="1"/>
    <col min="12585" max="12585" width="12.85546875" style="3" customWidth="1"/>
    <col min="12586" max="12822" width="9.140625" style="3"/>
    <col min="12823" max="12823" width="9" style="3" bestFit="1" customWidth="1"/>
    <col min="12824" max="12824" width="9.85546875" style="3" bestFit="1" customWidth="1"/>
    <col min="12825" max="12825" width="9.140625" style="3" bestFit="1" customWidth="1"/>
    <col min="12826" max="12826" width="16" style="3" bestFit="1" customWidth="1"/>
    <col min="12827" max="12827" width="9" style="3" bestFit="1" customWidth="1"/>
    <col min="12828" max="12828" width="7.85546875" style="3" bestFit="1" customWidth="1"/>
    <col min="12829" max="12829" width="11.7109375" style="3" bestFit="1" customWidth="1"/>
    <col min="12830" max="12830" width="14.28515625" style="3" customWidth="1"/>
    <col min="12831" max="12831" width="11.7109375" style="3" bestFit="1" customWidth="1"/>
    <col min="12832" max="12832" width="14.140625" style="3" bestFit="1" customWidth="1"/>
    <col min="12833" max="12833" width="16.7109375" style="3" customWidth="1"/>
    <col min="12834" max="12834" width="16.5703125" style="3" customWidth="1"/>
    <col min="12835" max="12836" width="7.85546875" style="3" bestFit="1" customWidth="1"/>
    <col min="12837" max="12837" width="8" style="3" bestFit="1" customWidth="1"/>
    <col min="12838" max="12839" width="7.85546875" style="3" bestFit="1" customWidth="1"/>
    <col min="12840" max="12840" width="9.7109375" style="3" customWidth="1"/>
    <col min="12841" max="12841" width="12.85546875" style="3" customWidth="1"/>
    <col min="12842" max="13078" width="9.140625" style="3"/>
    <col min="13079" max="13079" width="9" style="3" bestFit="1" customWidth="1"/>
    <col min="13080" max="13080" width="9.85546875" style="3" bestFit="1" customWidth="1"/>
    <col min="13081" max="13081" width="9.140625" style="3" bestFit="1" customWidth="1"/>
    <col min="13082" max="13082" width="16" style="3" bestFit="1" customWidth="1"/>
    <col min="13083" max="13083" width="9" style="3" bestFit="1" customWidth="1"/>
    <col min="13084" max="13084" width="7.85546875" style="3" bestFit="1" customWidth="1"/>
    <col min="13085" max="13085" width="11.7109375" style="3" bestFit="1" customWidth="1"/>
    <col min="13086" max="13086" width="14.28515625" style="3" customWidth="1"/>
    <col min="13087" max="13087" width="11.7109375" style="3" bestFit="1" customWidth="1"/>
    <col min="13088" max="13088" width="14.140625" style="3" bestFit="1" customWidth="1"/>
    <col min="13089" max="13089" width="16.7109375" style="3" customWidth="1"/>
    <col min="13090" max="13090" width="16.5703125" style="3" customWidth="1"/>
    <col min="13091" max="13092" width="7.85546875" style="3" bestFit="1" customWidth="1"/>
    <col min="13093" max="13093" width="8" style="3" bestFit="1" customWidth="1"/>
    <col min="13094" max="13095" width="7.85546875" style="3" bestFit="1" customWidth="1"/>
    <col min="13096" max="13096" width="9.7109375" style="3" customWidth="1"/>
    <col min="13097" max="13097" width="12.85546875" style="3" customWidth="1"/>
    <col min="13098" max="13334" width="9.140625" style="3"/>
    <col min="13335" max="13335" width="9" style="3" bestFit="1" customWidth="1"/>
    <col min="13336" max="13336" width="9.85546875" style="3" bestFit="1" customWidth="1"/>
    <col min="13337" max="13337" width="9.140625" style="3" bestFit="1" customWidth="1"/>
    <col min="13338" max="13338" width="16" style="3" bestFit="1" customWidth="1"/>
    <col min="13339" max="13339" width="9" style="3" bestFit="1" customWidth="1"/>
    <col min="13340" max="13340" width="7.85546875" style="3" bestFit="1" customWidth="1"/>
    <col min="13341" max="13341" width="11.7109375" style="3" bestFit="1" customWidth="1"/>
    <col min="13342" max="13342" width="14.28515625" style="3" customWidth="1"/>
    <col min="13343" max="13343" width="11.7109375" style="3" bestFit="1" customWidth="1"/>
    <col min="13344" max="13344" width="14.140625" style="3" bestFit="1" customWidth="1"/>
    <col min="13345" max="13345" width="16.7109375" style="3" customWidth="1"/>
    <col min="13346" max="13346" width="16.5703125" style="3" customWidth="1"/>
    <col min="13347" max="13348" width="7.85546875" style="3" bestFit="1" customWidth="1"/>
    <col min="13349" max="13349" width="8" style="3" bestFit="1" customWidth="1"/>
    <col min="13350" max="13351" width="7.85546875" style="3" bestFit="1" customWidth="1"/>
    <col min="13352" max="13352" width="9.7109375" style="3" customWidth="1"/>
    <col min="13353" max="13353" width="12.85546875" style="3" customWidth="1"/>
    <col min="13354" max="13590" width="9.140625" style="3"/>
    <col min="13591" max="13591" width="9" style="3" bestFit="1" customWidth="1"/>
    <col min="13592" max="13592" width="9.85546875" style="3" bestFit="1" customWidth="1"/>
    <col min="13593" max="13593" width="9.140625" style="3" bestFit="1" customWidth="1"/>
    <col min="13594" max="13594" width="16" style="3" bestFit="1" customWidth="1"/>
    <col min="13595" max="13595" width="9" style="3" bestFit="1" customWidth="1"/>
    <col min="13596" max="13596" width="7.85546875" style="3" bestFit="1" customWidth="1"/>
    <col min="13597" max="13597" width="11.7109375" style="3" bestFit="1" customWidth="1"/>
    <col min="13598" max="13598" width="14.28515625" style="3" customWidth="1"/>
    <col min="13599" max="13599" width="11.7109375" style="3" bestFit="1" customWidth="1"/>
    <col min="13600" max="13600" width="14.140625" style="3" bestFit="1" customWidth="1"/>
    <col min="13601" max="13601" width="16.7109375" style="3" customWidth="1"/>
    <col min="13602" max="13602" width="16.5703125" style="3" customWidth="1"/>
    <col min="13603" max="13604" width="7.85546875" style="3" bestFit="1" customWidth="1"/>
    <col min="13605" max="13605" width="8" style="3" bestFit="1" customWidth="1"/>
    <col min="13606" max="13607" width="7.85546875" style="3" bestFit="1" customWidth="1"/>
    <col min="13608" max="13608" width="9.7109375" style="3" customWidth="1"/>
    <col min="13609" max="13609" width="12.85546875" style="3" customWidth="1"/>
    <col min="13610" max="13846" width="9.140625" style="3"/>
    <col min="13847" max="13847" width="9" style="3" bestFit="1" customWidth="1"/>
    <col min="13848" max="13848" width="9.85546875" style="3" bestFit="1" customWidth="1"/>
    <col min="13849" max="13849" width="9.140625" style="3" bestFit="1" customWidth="1"/>
    <col min="13850" max="13850" width="16" style="3" bestFit="1" customWidth="1"/>
    <col min="13851" max="13851" width="9" style="3" bestFit="1" customWidth="1"/>
    <col min="13852" max="13852" width="7.85546875" style="3" bestFit="1" customWidth="1"/>
    <col min="13853" max="13853" width="11.7109375" style="3" bestFit="1" customWidth="1"/>
    <col min="13854" max="13854" width="14.28515625" style="3" customWidth="1"/>
    <col min="13855" max="13855" width="11.7109375" style="3" bestFit="1" customWidth="1"/>
    <col min="13856" max="13856" width="14.140625" style="3" bestFit="1" customWidth="1"/>
    <col min="13857" max="13857" width="16.7109375" style="3" customWidth="1"/>
    <col min="13858" max="13858" width="16.5703125" style="3" customWidth="1"/>
    <col min="13859" max="13860" width="7.85546875" style="3" bestFit="1" customWidth="1"/>
    <col min="13861" max="13861" width="8" style="3" bestFit="1" customWidth="1"/>
    <col min="13862" max="13863" width="7.85546875" style="3" bestFit="1" customWidth="1"/>
    <col min="13864" max="13864" width="9.7109375" style="3" customWidth="1"/>
    <col min="13865" max="13865" width="12.85546875" style="3" customWidth="1"/>
    <col min="13866" max="14102" width="9.140625" style="3"/>
    <col min="14103" max="14103" width="9" style="3" bestFit="1" customWidth="1"/>
    <col min="14104" max="14104" width="9.85546875" style="3" bestFit="1" customWidth="1"/>
    <col min="14105" max="14105" width="9.140625" style="3" bestFit="1" customWidth="1"/>
    <col min="14106" max="14106" width="16" style="3" bestFit="1" customWidth="1"/>
    <col min="14107" max="14107" width="9" style="3" bestFit="1" customWidth="1"/>
    <col min="14108" max="14108" width="7.85546875" style="3" bestFit="1" customWidth="1"/>
    <col min="14109" max="14109" width="11.7109375" style="3" bestFit="1" customWidth="1"/>
    <col min="14110" max="14110" width="14.28515625" style="3" customWidth="1"/>
    <col min="14111" max="14111" width="11.7109375" style="3" bestFit="1" customWidth="1"/>
    <col min="14112" max="14112" width="14.140625" style="3" bestFit="1" customWidth="1"/>
    <col min="14113" max="14113" width="16.7109375" style="3" customWidth="1"/>
    <col min="14114" max="14114" width="16.5703125" style="3" customWidth="1"/>
    <col min="14115" max="14116" width="7.85546875" style="3" bestFit="1" customWidth="1"/>
    <col min="14117" max="14117" width="8" style="3" bestFit="1" customWidth="1"/>
    <col min="14118" max="14119" width="7.85546875" style="3" bestFit="1" customWidth="1"/>
    <col min="14120" max="14120" width="9.7109375" style="3" customWidth="1"/>
    <col min="14121" max="14121" width="12.85546875" style="3" customWidth="1"/>
    <col min="14122" max="14358" width="9.140625" style="3"/>
    <col min="14359" max="14359" width="9" style="3" bestFit="1" customWidth="1"/>
    <col min="14360" max="14360" width="9.85546875" style="3" bestFit="1" customWidth="1"/>
    <col min="14361" max="14361" width="9.140625" style="3" bestFit="1" customWidth="1"/>
    <col min="14362" max="14362" width="16" style="3" bestFit="1" customWidth="1"/>
    <col min="14363" max="14363" width="9" style="3" bestFit="1" customWidth="1"/>
    <col min="14364" max="14364" width="7.85546875" style="3" bestFit="1" customWidth="1"/>
    <col min="14365" max="14365" width="11.7109375" style="3" bestFit="1" customWidth="1"/>
    <col min="14366" max="14366" width="14.28515625" style="3" customWidth="1"/>
    <col min="14367" max="14367" width="11.7109375" style="3" bestFit="1" customWidth="1"/>
    <col min="14368" max="14368" width="14.140625" style="3" bestFit="1" customWidth="1"/>
    <col min="14369" max="14369" width="16.7109375" style="3" customWidth="1"/>
    <col min="14370" max="14370" width="16.5703125" style="3" customWidth="1"/>
    <col min="14371" max="14372" width="7.85546875" style="3" bestFit="1" customWidth="1"/>
    <col min="14373" max="14373" width="8" style="3" bestFit="1" customWidth="1"/>
    <col min="14374" max="14375" width="7.85546875" style="3" bestFit="1" customWidth="1"/>
    <col min="14376" max="14376" width="9.7109375" style="3" customWidth="1"/>
    <col min="14377" max="14377" width="12.85546875" style="3" customWidth="1"/>
    <col min="14378" max="14614" width="9.140625" style="3"/>
    <col min="14615" max="14615" width="9" style="3" bestFit="1" customWidth="1"/>
    <col min="14616" max="14616" width="9.85546875" style="3" bestFit="1" customWidth="1"/>
    <col min="14617" max="14617" width="9.140625" style="3" bestFit="1" customWidth="1"/>
    <col min="14618" max="14618" width="16" style="3" bestFit="1" customWidth="1"/>
    <col min="14619" max="14619" width="9" style="3" bestFit="1" customWidth="1"/>
    <col min="14620" max="14620" width="7.85546875" style="3" bestFit="1" customWidth="1"/>
    <col min="14621" max="14621" width="11.7109375" style="3" bestFit="1" customWidth="1"/>
    <col min="14622" max="14622" width="14.28515625" style="3" customWidth="1"/>
    <col min="14623" max="14623" width="11.7109375" style="3" bestFit="1" customWidth="1"/>
    <col min="14624" max="14624" width="14.140625" style="3" bestFit="1" customWidth="1"/>
    <col min="14625" max="14625" width="16.7109375" style="3" customWidth="1"/>
    <col min="14626" max="14626" width="16.5703125" style="3" customWidth="1"/>
    <col min="14627" max="14628" width="7.85546875" style="3" bestFit="1" customWidth="1"/>
    <col min="14629" max="14629" width="8" style="3" bestFit="1" customWidth="1"/>
    <col min="14630" max="14631" width="7.85546875" style="3" bestFit="1" customWidth="1"/>
    <col min="14632" max="14632" width="9.7109375" style="3" customWidth="1"/>
    <col min="14633" max="14633" width="12.85546875" style="3" customWidth="1"/>
    <col min="14634" max="14870" width="9.140625" style="3"/>
    <col min="14871" max="14871" width="9" style="3" bestFit="1" customWidth="1"/>
    <col min="14872" max="14872" width="9.85546875" style="3" bestFit="1" customWidth="1"/>
    <col min="14873" max="14873" width="9.140625" style="3" bestFit="1" customWidth="1"/>
    <col min="14874" max="14874" width="16" style="3" bestFit="1" customWidth="1"/>
    <col min="14875" max="14875" width="9" style="3" bestFit="1" customWidth="1"/>
    <col min="14876" max="14876" width="7.85546875" style="3" bestFit="1" customWidth="1"/>
    <col min="14877" max="14877" width="11.7109375" style="3" bestFit="1" customWidth="1"/>
    <col min="14878" max="14878" width="14.28515625" style="3" customWidth="1"/>
    <col min="14879" max="14879" width="11.7109375" style="3" bestFit="1" customWidth="1"/>
    <col min="14880" max="14880" width="14.140625" style="3" bestFit="1" customWidth="1"/>
    <col min="14881" max="14881" width="16.7109375" style="3" customWidth="1"/>
    <col min="14882" max="14882" width="16.5703125" style="3" customWidth="1"/>
    <col min="14883" max="14884" width="7.85546875" style="3" bestFit="1" customWidth="1"/>
    <col min="14885" max="14885" width="8" style="3" bestFit="1" customWidth="1"/>
    <col min="14886" max="14887" width="7.85546875" style="3" bestFit="1" customWidth="1"/>
    <col min="14888" max="14888" width="9.7109375" style="3" customWidth="1"/>
    <col min="14889" max="14889" width="12.85546875" style="3" customWidth="1"/>
    <col min="14890" max="15126" width="9.140625" style="3"/>
    <col min="15127" max="15127" width="9" style="3" bestFit="1" customWidth="1"/>
    <col min="15128" max="15128" width="9.85546875" style="3" bestFit="1" customWidth="1"/>
    <col min="15129" max="15129" width="9.140625" style="3" bestFit="1" customWidth="1"/>
    <col min="15130" max="15130" width="16" style="3" bestFit="1" customWidth="1"/>
    <col min="15131" max="15131" width="9" style="3" bestFit="1" customWidth="1"/>
    <col min="15132" max="15132" width="7.85546875" style="3" bestFit="1" customWidth="1"/>
    <col min="15133" max="15133" width="11.7109375" style="3" bestFit="1" customWidth="1"/>
    <col min="15134" max="15134" width="14.28515625" style="3" customWidth="1"/>
    <col min="15135" max="15135" width="11.7109375" style="3" bestFit="1" customWidth="1"/>
    <col min="15136" max="15136" width="14.140625" style="3" bestFit="1" customWidth="1"/>
    <col min="15137" max="15137" width="16.7109375" style="3" customWidth="1"/>
    <col min="15138" max="15138" width="16.5703125" style="3" customWidth="1"/>
    <col min="15139" max="15140" width="7.85546875" style="3" bestFit="1" customWidth="1"/>
    <col min="15141" max="15141" width="8" style="3" bestFit="1" customWidth="1"/>
    <col min="15142" max="15143" width="7.85546875" style="3" bestFit="1" customWidth="1"/>
    <col min="15144" max="15144" width="9.7109375" style="3" customWidth="1"/>
    <col min="15145" max="15145" width="12.85546875" style="3" customWidth="1"/>
    <col min="15146" max="15382" width="9.140625" style="3"/>
    <col min="15383" max="15383" width="9" style="3" bestFit="1" customWidth="1"/>
    <col min="15384" max="15384" width="9.85546875" style="3" bestFit="1" customWidth="1"/>
    <col min="15385" max="15385" width="9.140625" style="3" bestFit="1" customWidth="1"/>
    <col min="15386" max="15386" width="16" style="3" bestFit="1" customWidth="1"/>
    <col min="15387" max="15387" width="9" style="3" bestFit="1" customWidth="1"/>
    <col min="15388" max="15388" width="7.85546875" style="3" bestFit="1" customWidth="1"/>
    <col min="15389" max="15389" width="11.7109375" style="3" bestFit="1" customWidth="1"/>
    <col min="15390" max="15390" width="14.28515625" style="3" customWidth="1"/>
    <col min="15391" max="15391" width="11.7109375" style="3" bestFit="1" customWidth="1"/>
    <col min="15392" max="15392" width="14.140625" style="3" bestFit="1" customWidth="1"/>
    <col min="15393" max="15393" width="16.7109375" style="3" customWidth="1"/>
    <col min="15394" max="15394" width="16.5703125" style="3" customWidth="1"/>
    <col min="15395" max="15396" width="7.85546875" style="3" bestFit="1" customWidth="1"/>
    <col min="15397" max="15397" width="8" style="3" bestFit="1" customWidth="1"/>
    <col min="15398" max="15399" width="7.85546875" style="3" bestFit="1" customWidth="1"/>
    <col min="15400" max="15400" width="9.7109375" style="3" customWidth="1"/>
    <col min="15401" max="15401" width="12.85546875" style="3" customWidth="1"/>
    <col min="15402" max="15638" width="9.140625" style="3"/>
    <col min="15639" max="15639" width="9" style="3" bestFit="1" customWidth="1"/>
    <col min="15640" max="15640" width="9.85546875" style="3" bestFit="1" customWidth="1"/>
    <col min="15641" max="15641" width="9.140625" style="3" bestFit="1" customWidth="1"/>
    <col min="15642" max="15642" width="16" style="3" bestFit="1" customWidth="1"/>
    <col min="15643" max="15643" width="9" style="3" bestFit="1" customWidth="1"/>
    <col min="15644" max="15644" width="7.85546875" style="3" bestFit="1" customWidth="1"/>
    <col min="15645" max="15645" width="11.7109375" style="3" bestFit="1" customWidth="1"/>
    <col min="15646" max="15646" width="14.28515625" style="3" customWidth="1"/>
    <col min="15647" max="15647" width="11.7109375" style="3" bestFit="1" customWidth="1"/>
    <col min="15648" max="15648" width="14.140625" style="3" bestFit="1" customWidth="1"/>
    <col min="15649" max="15649" width="16.7109375" style="3" customWidth="1"/>
    <col min="15650" max="15650" width="16.5703125" style="3" customWidth="1"/>
    <col min="15651" max="15652" width="7.85546875" style="3" bestFit="1" customWidth="1"/>
    <col min="15653" max="15653" width="8" style="3" bestFit="1" customWidth="1"/>
    <col min="15654" max="15655" width="7.85546875" style="3" bestFit="1" customWidth="1"/>
    <col min="15656" max="15656" width="9.7109375" style="3" customWidth="1"/>
    <col min="15657" max="15657" width="12.85546875" style="3" customWidth="1"/>
    <col min="15658" max="15894" width="9.140625" style="3"/>
    <col min="15895" max="15895" width="9" style="3" bestFit="1" customWidth="1"/>
    <col min="15896" max="15896" width="9.85546875" style="3" bestFit="1" customWidth="1"/>
    <col min="15897" max="15897" width="9.140625" style="3" bestFit="1" customWidth="1"/>
    <col min="15898" max="15898" width="16" style="3" bestFit="1" customWidth="1"/>
    <col min="15899" max="15899" width="9" style="3" bestFit="1" customWidth="1"/>
    <col min="15900" max="15900" width="7.85546875" style="3" bestFit="1" customWidth="1"/>
    <col min="15901" max="15901" width="11.7109375" style="3" bestFit="1" customWidth="1"/>
    <col min="15902" max="15902" width="14.28515625" style="3" customWidth="1"/>
    <col min="15903" max="15903" width="11.7109375" style="3" bestFit="1" customWidth="1"/>
    <col min="15904" max="15904" width="14.140625" style="3" bestFit="1" customWidth="1"/>
    <col min="15905" max="15905" width="16.7109375" style="3" customWidth="1"/>
    <col min="15906" max="15906" width="16.5703125" style="3" customWidth="1"/>
    <col min="15907" max="15908" width="7.85546875" style="3" bestFit="1" customWidth="1"/>
    <col min="15909" max="15909" width="8" style="3" bestFit="1" customWidth="1"/>
    <col min="15910" max="15911" width="7.85546875" style="3" bestFit="1" customWidth="1"/>
    <col min="15912" max="15912" width="9.7109375" style="3" customWidth="1"/>
    <col min="15913" max="15913" width="12.85546875" style="3" customWidth="1"/>
    <col min="15914" max="16150" width="9.140625" style="3"/>
    <col min="16151" max="16151" width="9" style="3" bestFit="1" customWidth="1"/>
    <col min="16152" max="16152" width="9.85546875" style="3" bestFit="1" customWidth="1"/>
    <col min="16153" max="16153" width="9.140625" style="3" bestFit="1" customWidth="1"/>
    <col min="16154" max="16154" width="16" style="3" bestFit="1" customWidth="1"/>
    <col min="16155" max="16155" width="9" style="3" bestFit="1" customWidth="1"/>
    <col min="16156" max="16156" width="7.85546875" style="3" bestFit="1" customWidth="1"/>
    <col min="16157" max="16157" width="11.7109375" style="3" bestFit="1" customWidth="1"/>
    <col min="16158" max="16158" width="14.28515625" style="3" customWidth="1"/>
    <col min="16159" max="16159" width="11.7109375" style="3" bestFit="1" customWidth="1"/>
    <col min="16160" max="16160" width="14.140625" style="3" bestFit="1" customWidth="1"/>
    <col min="16161" max="16161" width="16.7109375" style="3" customWidth="1"/>
    <col min="16162" max="16162" width="16.5703125" style="3" customWidth="1"/>
    <col min="16163" max="16164" width="7.85546875" style="3" bestFit="1" customWidth="1"/>
    <col min="16165" max="16165" width="8" style="3" bestFit="1" customWidth="1"/>
    <col min="16166" max="16167" width="7.85546875" style="3" bestFit="1" customWidth="1"/>
    <col min="16168" max="16168" width="9.7109375" style="3" customWidth="1"/>
    <col min="16169" max="16169" width="12.85546875" style="3" customWidth="1"/>
    <col min="16170" max="16384" width="9.140625" style="3"/>
  </cols>
  <sheetData>
    <row r="1" spans="1:81" s="6" customFormat="1" ht="15.75" customHeight="1">
      <c r="A1" s="715" t="s">
        <v>1</v>
      </c>
      <c r="B1" s="439"/>
      <c r="C1" s="910" t="s">
        <v>0</v>
      </c>
      <c r="D1" s="913" t="s">
        <v>94</v>
      </c>
      <c r="E1" s="914"/>
      <c r="F1" s="901" t="s">
        <v>95</v>
      </c>
      <c r="G1" s="901"/>
      <c r="H1" s="901"/>
      <c r="I1" s="902" t="s">
        <v>171</v>
      </c>
      <c r="J1" s="902"/>
      <c r="K1" s="901" t="s">
        <v>175</v>
      </c>
      <c r="L1" s="901"/>
      <c r="M1" s="901"/>
      <c r="N1" s="901"/>
      <c r="O1" s="901"/>
      <c r="P1" s="901"/>
      <c r="Q1" s="901"/>
      <c r="R1" s="901"/>
      <c r="S1" s="901"/>
      <c r="T1" s="901"/>
      <c r="U1" s="901"/>
      <c r="V1" s="901"/>
      <c r="W1" s="901"/>
      <c r="X1" s="901"/>
      <c r="Y1" s="901"/>
      <c r="Z1" s="901"/>
      <c r="AA1" s="901"/>
      <c r="AB1" s="901"/>
      <c r="AC1" s="901"/>
      <c r="AD1" s="901"/>
      <c r="AE1" s="901"/>
      <c r="AF1" s="901"/>
      <c r="AG1" s="901"/>
      <c r="AH1" s="901"/>
      <c r="AI1" s="901"/>
      <c r="AJ1" s="901"/>
      <c r="AK1" s="912" t="s">
        <v>176</v>
      </c>
      <c r="AL1" s="912"/>
      <c r="AM1" s="912"/>
      <c r="AN1" s="912"/>
      <c r="AO1" s="912"/>
      <c r="AP1" s="912"/>
      <c r="AQ1" s="912"/>
      <c r="AR1" s="912"/>
      <c r="AS1" s="912"/>
      <c r="AT1" s="912"/>
      <c r="AU1" s="912"/>
      <c r="AV1" s="912"/>
      <c r="AW1" s="912"/>
      <c r="AX1" s="912"/>
      <c r="AY1" s="903" t="s">
        <v>192</v>
      </c>
      <c r="AZ1" s="904"/>
      <c r="BA1" s="904"/>
      <c r="BB1" s="904"/>
      <c r="BC1" s="904"/>
      <c r="BD1" s="905"/>
      <c r="BE1" s="906" t="s">
        <v>196</v>
      </c>
      <c r="BF1" s="907"/>
      <c r="BG1" s="907"/>
      <c r="BH1" s="908"/>
      <c r="BI1" s="909" t="s">
        <v>184</v>
      </c>
      <c r="BJ1" s="909"/>
      <c r="BK1" s="909"/>
      <c r="BL1" s="909"/>
      <c r="BM1" s="909"/>
      <c r="BN1" s="909"/>
      <c r="BO1" s="909"/>
      <c r="BP1" s="909"/>
      <c r="BQ1" s="909"/>
      <c r="BR1" s="909"/>
      <c r="BS1" s="909"/>
      <c r="BT1" s="909"/>
      <c r="BU1" s="915" t="s">
        <v>508</v>
      </c>
      <c r="BV1" s="916"/>
      <c r="BW1" s="916"/>
      <c r="BX1" s="916"/>
      <c r="BY1" s="916"/>
      <c r="BZ1" s="917"/>
      <c r="CA1" s="898" t="s">
        <v>287</v>
      </c>
      <c r="CB1" s="898"/>
      <c r="CC1" s="898"/>
    </row>
    <row r="2" spans="1:81" ht="23.25" thickBot="1">
      <c r="A2" s="716"/>
      <c r="B2" s="440"/>
      <c r="C2" s="911"/>
      <c r="D2" s="160"/>
      <c r="E2" s="180" t="s">
        <v>92</v>
      </c>
      <c r="F2" s="143"/>
      <c r="G2" s="181" t="s">
        <v>92</v>
      </c>
      <c r="H2" s="142" t="s">
        <v>170</v>
      </c>
      <c r="I2" s="143"/>
      <c r="J2" s="208" t="s">
        <v>92</v>
      </c>
      <c r="K2" s="143" t="s">
        <v>241</v>
      </c>
      <c r="L2" s="143" t="s">
        <v>242</v>
      </c>
      <c r="M2" s="143" t="s">
        <v>243</v>
      </c>
      <c r="N2" s="143" t="s">
        <v>244</v>
      </c>
      <c r="O2" s="143" t="s">
        <v>245</v>
      </c>
      <c r="P2" s="143" t="s">
        <v>491</v>
      </c>
      <c r="Q2" s="143" t="s">
        <v>539</v>
      </c>
      <c r="R2" s="143" t="s">
        <v>540</v>
      </c>
      <c r="S2" s="143" t="s">
        <v>541</v>
      </c>
      <c r="T2" s="143" t="s">
        <v>246</v>
      </c>
      <c r="U2" s="143" t="s">
        <v>457</v>
      </c>
      <c r="V2" s="143" t="s">
        <v>458</v>
      </c>
      <c r="W2" s="143" t="s">
        <v>485</v>
      </c>
      <c r="X2" s="143" t="s">
        <v>546</v>
      </c>
      <c r="Y2" s="143" t="s">
        <v>494</v>
      </c>
      <c r="Z2" s="143" t="s">
        <v>547</v>
      </c>
      <c r="AA2" s="143" t="s">
        <v>247</v>
      </c>
      <c r="AB2" s="143" t="s">
        <v>248</v>
      </c>
      <c r="AC2" s="143" t="s">
        <v>249</v>
      </c>
      <c r="AD2" s="143" t="s">
        <v>280</v>
      </c>
      <c r="AE2" s="143" t="s">
        <v>278</v>
      </c>
      <c r="AF2" s="143" t="s">
        <v>279</v>
      </c>
      <c r="AG2" s="143"/>
      <c r="AH2" s="143"/>
      <c r="AI2" s="143" t="s">
        <v>47</v>
      </c>
      <c r="AJ2" s="141" t="s">
        <v>29</v>
      </c>
      <c r="AK2" s="143" t="s">
        <v>177</v>
      </c>
      <c r="AL2" s="143" t="s">
        <v>178</v>
      </c>
      <c r="AM2" s="143" t="s">
        <v>179</v>
      </c>
      <c r="AN2" s="143" t="s">
        <v>181</v>
      </c>
      <c r="AO2" s="143" t="s">
        <v>182</v>
      </c>
      <c r="AP2" s="143" t="s">
        <v>183</v>
      </c>
      <c r="AQ2" s="143" t="s">
        <v>266</v>
      </c>
      <c r="AR2" s="143" t="s">
        <v>267</v>
      </c>
      <c r="AS2" s="143" t="s">
        <v>268</v>
      </c>
      <c r="AT2" s="143" t="s">
        <v>487</v>
      </c>
      <c r="AU2" s="143" t="s">
        <v>488</v>
      </c>
      <c r="AV2" s="143"/>
      <c r="AW2" s="143"/>
      <c r="AX2" s="146" t="s">
        <v>47</v>
      </c>
      <c r="AY2" s="143" t="s">
        <v>189</v>
      </c>
      <c r="AZ2" s="143" t="s">
        <v>190</v>
      </c>
      <c r="BA2" s="143" t="s">
        <v>193</v>
      </c>
      <c r="BB2" s="143" t="s">
        <v>191</v>
      </c>
      <c r="BC2" s="143" t="s">
        <v>195</v>
      </c>
      <c r="BD2" s="141" t="s">
        <v>47</v>
      </c>
      <c r="BE2" s="143" t="s">
        <v>200</v>
      </c>
      <c r="BF2" s="143" t="s">
        <v>201</v>
      </c>
      <c r="BG2" s="143" t="s">
        <v>202</v>
      </c>
      <c r="BH2" s="144" t="s">
        <v>47</v>
      </c>
      <c r="BI2" s="143" t="s">
        <v>210</v>
      </c>
      <c r="BJ2" s="143" t="s">
        <v>211</v>
      </c>
      <c r="BK2" s="143" t="s">
        <v>214</v>
      </c>
      <c r="BL2" s="143" t="s">
        <v>219</v>
      </c>
      <c r="BM2" s="143" t="s">
        <v>220</v>
      </c>
      <c r="BN2" s="143" t="s">
        <v>221</v>
      </c>
      <c r="BO2" s="143" t="s">
        <v>282</v>
      </c>
      <c r="BP2" s="143" t="s">
        <v>283</v>
      </c>
      <c r="BQ2" s="143" t="s">
        <v>475</v>
      </c>
      <c r="BR2" s="143" t="s">
        <v>476</v>
      </c>
      <c r="BS2" s="143"/>
      <c r="BT2" s="356" t="s">
        <v>47</v>
      </c>
      <c r="BU2" s="143"/>
      <c r="BV2" s="143"/>
      <c r="BW2" s="143"/>
      <c r="BX2" s="143"/>
      <c r="BY2" s="143"/>
      <c r="BZ2" s="146" t="s">
        <v>509</v>
      </c>
      <c r="CA2" s="407" t="s">
        <v>137</v>
      </c>
      <c r="CB2" s="408" t="s">
        <v>510</v>
      </c>
      <c r="CC2" s="178" t="s">
        <v>286</v>
      </c>
    </row>
    <row r="3" spans="1:81" s="5" customFormat="1" ht="12" thickBot="1">
      <c r="A3" s="513">
        <f>'1-συμβολαια'!A3</f>
        <v>111</v>
      </c>
      <c r="B3" s="577">
        <f>'1-συμβολαια'!B3</f>
        <v>36101</v>
      </c>
      <c r="C3" s="526" t="str">
        <f>'1-συμβολαια'!C3</f>
        <v>πληρεξύσιο</v>
      </c>
      <c r="D3" s="578">
        <f>'5-αντίγρ'!AN3</f>
        <v>0</v>
      </c>
      <c r="E3" s="578">
        <f>'5-αντίγρ'!AM3</f>
        <v>0</v>
      </c>
      <c r="F3" s="579">
        <f>'6-μεταγρ'!P3</f>
        <v>0</v>
      </c>
      <c r="G3" s="579">
        <f>'6-μεταγρ'!N3+'6-μεταγρ'!O3</f>
        <v>0</v>
      </c>
      <c r="H3" s="580">
        <f>'6-μεταγρ'!Q3</f>
        <v>0</v>
      </c>
      <c r="I3" s="579">
        <f>'7-προςΔΟΥ'!V3</f>
        <v>0</v>
      </c>
      <c r="J3" s="579">
        <f>'7-προςΔΟΥ'!L3</f>
        <v>0</v>
      </c>
      <c r="K3" s="576"/>
      <c r="L3" s="576"/>
      <c r="M3" s="576"/>
      <c r="N3" s="576"/>
      <c r="O3" s="576"/>
      <c r="P3" s="576"/>
      <c r="Q3" s="576"/>
      <c r="R3" s="576"/>
      <c r="S3" s="576"/>
      <c r="T3" s="576"/>
      <c r="U3" s="576"/>
      <c r="V3" s="576"/>
      <c r="W3" s="576"/>
      <c r="X3" s="576"/>
      <c r="Y3" s="576"/>
      <c r="Z3" s="576"/>
      <c r="AA3" s="576"/>
      <c r="AB3" s="576"/>
      <c r="AC3" s="576"/>
      <c r="AD3" s="576"/>
      <c r="AE3" s="576"/>
      <c r="AF3" s="576"/>
      <c r="AG3" s="576"/>
      <c r="AH3" s="576"/>
      <c r="AI3" s="576">
        <f t="shared" ref="AI3" si="0">SUM(K3:AH3)-AC3-AE3</f>
        <v>0</v>
      </c>
      <c r="AJ3" s="576"/>
      <c r="AK3" s="576"/>
      <c r="AL3" s="576"/>
      <c r="AM3" s="576">
        <f>3*1100</f>
        <v>3300</v>
      </c>
      <c r="AN3" s="576"/>
      <c r="AO3" s="576"/>
      <c r="AP3" s="576"/>
      <c r="AQ3" s="576"/>
      <c r="AR3" s="576"/>
      <c r="AS3" s="576"/>
      <c r="AT3" s="576"/>
      <c r="AU3" s="576"/>
      <c r="AV3" s="576"/>
      <c r="AW3" s="576"/>
      <c r="AX3" s="576">
        <f t="shared" ref="AX3" si="1">SUM(AK3:AW3)</f>
        <v>3300</v>
      </c>
      <c r="AY3" s="576">
        <f>5000+3*1100</f>
        <v>8300</v>
      </c>
      <c r="AZ3" s="576"/>
      <c r="BA3" s="576">
        <f>5000+3*1100</f>
        <v>8300</v>
      </c>
      <c r="BB3" s="576"/>
      <c r="BC3" s="576"/>
      <c r="BD3" s="576">
        <f t="shared" ref="BD3" si="2">SUM(AY3:BC3)</f>
        <v>16600</v>
      </c>
      <c r="BE3" s="576"/>
      <c r="BF3" s="576"/>
      <c r="BG3" s="576"/>
      <c r="BH3" s="576">
        <f t="shared" ref="BH3" si="3">SUM(BE3:BG3)</f>
        <v>0</v>
      </c>
      <c r="BI3" s="576"/>
      <c r="BJ3" s="576"/>
      <c r="BK3" s="576"/>
      <c r="BL3" s="576"/>
      <c r="BM3" s="576"/>
      <c r="BN3" s="576"/>
      <c r="BO3" s="576"/>
      <c r="BP3" s="576"/>
      <c r="BQ3" s="576"/>
      <c r="BR3" s="576">
        <v>150</v>
      </c>
      <c r="BS3" s="503"/>
      <c r="BT3" s="576">
        <f t="shared" ref="BT3" si="4">SUM(BI3:BS3)-BP3</f>
        <v>150</v>
      </c>
      <c r="BU3" s="700"/>
      <c r="BV3" s="700"/>
      <c r="BW3" s="700"/>
      <c r="BX3" s="700"/>
      <c r="BY3" s="700"/>
      <c r="BZ3" s="700">
        <f t="shared" ref="BZ3" si="5">SUM(BU3:BY3)</f>
        <v>0</v>
      </c>
      <c r="CA3" s="700">
        <f t="shared" ref="CA3" si="6">D3+F3+I3+AI3-AC3-AE3+AX3+BD3+BH3+BT3-BP3+BZ3-BY3</f>
        <v>20050</v>
      </c>
      <c r="CB3" s="700">
        <f t="shared" ref="CB3" si="7">E3+G3+J3+AC3+AE3+BP3+BY3</f>
        <v>0</v>
      </c>
      <c r="CC3" s="428"/>
    </row>
    <row r="4" spans="1:81" s="5" customFormat="1">
      <c r="A4" s="462">
        <f>'1-συμβολαια'!A4</f>
        <v>113</v>
      </c>
      <c r="B4" s="572">
        <f>'1-συμβολαια'!B4</f>
        <v>36102</v>
      </c>
      <c r="C4" s="506" t="str">
        <f>'1-συμβολαια'!C4</f>
        <v>δωρεάς ΠΡΟΤΑΣΗ [1/2 αγροτεμάχιο ;;;??? [το ανατολικό] Θεολόγος -Ποτός -'';;;???'' 2.798μ2</v>
      </c>
      <c r="D4" s="406">
        <f>'5-αντίγρ'!AN4</f>
        <v>12000</v>
      </c>
      <c r="E4" s="406">
        <f>'5-αντίγρ'!AM4</f>
        <v>800</v>
      </c>
      <c r="F4" s="280">
        <f>'6-μεταγρ'!P4</f>
        <v>4000</v>
      </c>
      <c r="G4" s="280">
        <f>'6-μεταγρ'!N4+'6-μεταγρ'!O4</f>
        <v>3200</v>
      </c>
      <c r="H4" s="281">
        <f>'6-μεταγρ'!Q4</f>
        <v>0</v>
      </c>
      <c r="I4" s="280">
        <f>'7-προςΔΟΥ'!V4</f>
        <v>26400</v>
      </c>
      <c r="J4" s="280">
        <f>'7-προςΔΟΥ'!L4</f>
        <v>605</v>
      </c>
      <c r="K4" s="281">
        <f>1100+2*2000</f>
        <v>5100</v>
      </c>
      <c r="L4" s="281"/>
      <c r="M4" s="281"/>
      <c r="N4" s="281"/>
      <c r="O4" s="281"/>
      <c r="P4" s="281"/>
      <c r="Q4" s="281"/>
      <c r="R4" s="281"/>
      <c r="S4" s="281"/>
      <c r="T4" s="281">
        <f>2000+1100</f>
        <v>3100</v>
      </c>
      <c r="U4" s="281">
        <v>1100</v>
      </c>
      <c r="V4" s="281">
        <v>1100</v>
      </c>
      <c r="W4" s="281"/>
      <c r="X4" s="281"/>
      <c r="Y4" s="281"/>
      <c r="Z4" s="281">
        <f>(2000+3000)*2+1100</f>
        <v>11100</v>
      </c>
      <c r="AA4" s="281"/>
      <c r="AB4" s="281"/>
      <c r="AC4" s="281"/>
      <c r="AD4" s="281"/>
      <c r="AE4" s="281"/>
      <c r="AF4" s="281"/>
      <c r="AG4" s="281"/>
      <c r="AH4" s="281"/>
      <c r="AI4" s="281">
        <f t="shared" ref="AI4:AI14" si="8">SUM(K4:AH4)-AC4-AE4</f>
        <v>21500</v>
      </c>
      <c r="AJ4" s="281"/>
      <c r="AK4" s="281">
        <f>2*1100</f>
        <v>2200</v>
      </c>
      <c r="AL4" s="281">
        <f>2*1100</f>
        <v>2200</v>
      </c>
      <c r="AM4" s="281">
        <f>2*1100</f>
        <v>2200</v>
      </c>
      <c r="AN4" s="281"/>
      <c r="AO4" s="281"/>
      <c r="AP4" s="281"/>
      <c r="AQ4" s="281"/>
      <c r="AR4" s="281">
        <v>1100</v>
      </c>
      <c r="AS4" s="281">
        <v>2200</v>
      </c>
      <c r="AT4" s="281"/>
      <c r="AU4" s="281"/>
      <c r="AV4" s="281"/>
      <c r="AW4" s="281"/>
      <c r="AX4" s="281">
        <f t="shared" ref="AX4:AX14" si="9">SUM(AK4:AW4)</f>
        <v>9900</v>
      </c>
      <c r="AY4" s="281">
        <v>2200</v>
      </c>
      <c r="AZ4" s="281"/>
      <c r="BA4" s="281">
        <v>2200</v>
      </c>
      <c r="BB4" s="281"/>
      <c r="BC4" s="281"/>
      <c r="BD4" s="281">
        <f t="shared" ref="BD4:BD14" si="10">SUM(AY4:BC4)</f>
        <v>4400</v>
      </c>
      <c r="BE4" s="281"/>
      <c r="BF4" s="281"/>
      <c r="BG4" s="281"/>
      <c r="BH4" s="281">
        <f t="shared" ref="BH4:BH14" si="11">SUM(BE4:BG4)</f>
        <v>0</v>
      </c>
      <c r="BI4" s="281"/>
      <c r="BJ4" s="281"/>
      <c r="BK4" s="281"/>
      <c r="BL4" s="281"/>
      <c r="BM4" s="281"/>
      <c r="BN4" s="281"/>
      <c r="BO4" s="281"/>
      <c r="BP4" s="281"/>
      <c r="BQ4" s="281">
        <v>100</v>
      </c>
      <c r="BR4" s="281">
        <v>100</v>
      </c>
      <c r="BS4" s="502"/>
      <c r="BT4" s="281">
        <f t="shared" ref="BT4:BT14" si="12">SUM(BI4:BS4)-BP4</f>
        <v>200</v>
      </c>
      <c r="BU4" s="281"/>
      <c r="BV4" s="281"/>
      <c r="BW4" s="281"/>
      <c r="BX4" s="281"/>
      <c r="BY4" s="281"/>
      <c r="BZ4" s="281">
        <f t="shared" ref="BZ4:BZ14" si="13">SUM(BU4:BY4)</f>
        <v>0</v>
      </c>
      <c r="CA4" s="281">
        <f t="shared" ref="CA4:CA14" si="14">D4+F4+I4+AI4-AC4-AE4+AX4+BD4+BH4+BT4-BP4+BZ4-BY4</f>
        <v>78400</v>
      </c>
      <c r="CB4" s="281">
        <f t="shared" ref="CB4:CB14" si="15">E4+G4+J4+AC4+AE4+BP4+BY4</f>
        <v>4605</v>
      </c>
      <c r="CC4" s="336"/>
    </row>
    <row r="5" spans="1:81" s="5" customFormat="1">
      <c r="A5" s="409">
        <f>'1-συμβολαια'!A5</f>
        <v>0</v>
      </c>
      <c r="B5" s="441"/>
      <c r="C5" s="332" t="str">
        <f>'1-συμβολαια'!C5</f>
        <v>χρησικτησία αγροτεμαχίου = 1984 ΑΝΑΔΑΣΜΟΣ</v>
      </c>
      <c r="D5" s="406">
        <f>'5-αντίγρ'!AN5</f>
        <v>0</v>
      </c>
      <c r="E5" s="406">
        <f>'5-αντίγρ'!AM5</f>
        <v>0</v>
      </c>
      <c r="F5" s="280">
        <f>'6-μεταγρ'!P5</f>
        <v>0</v>
      </c>
      <c r="G5" s="280">
        <f>'6-μεταγρ'!N5+'6-μεταγρ'!O5</f>
        <v>0</v>
      </c>
      <c r="H5" s="281">
        <f>'6-μεταγρ'!Q5</f>
        <v>0</v>
      </c>
      <c r="I5" s="280">
        <f>'7-προςΔΟΥ'!V5</f>
        <v>22400</v>
      </c>
      <c r="J5" s="280">
        <f>'7-προςΔΟΥ'!L5</f>
        <v>605</v>
      </c>
      <c r="K5" s="279"/>
      <c r="L5" s="279"/>
      <c r="M5" s="279"/>
      <c r="N5" s="279"/>
      <c r="O5" s="279"/>
      <c r="P5" s="279"/>
      <c r="Q5" s="279"/>
      <c r="R5" s="279"/>
      <c r="S5" s="279"/>
      <c r="T5" s="279"/>
      <c r="U5" s="279"/>
      <c r="V5" s="279"/>
      <c r="W5" s="279"/>
      <c r="X5" s="279"/>
      <c r="Y5" s="279"/>
      <c r="Z5" s="279"/>
      <c r="AA5" s="279"/>
      <c r="AB5" s="279"/>
      <c r="AC5" s="279"/>
      <c r="AD5" s="279"/>
      <c r="AE5" s="279"/>
      <c r="AF5" s="279"/>
      <c r="AG5" s="279"/>
      <c r="AH5" s="279"/>
      <c r="AI5" s="279">
        <f t="shared" si="8"/>
        <v>0</v>
      </c>
      <c r="AJ5" s="279"/>
      <c r="AK5" s="279"/>
      <c r="AL5" s="279"/>
      <c r="AM5" s="279"/>
      <c r="AN5" s="279"/>
      <c r="AO5" s="279"/>
      <c r="AP5" s="279"/>
      <c r="AQ5" s="279"/>
      <c r="AR5" s="279"/>
      <c r="AS5" s="279"/>
      <c r="AT5" s="279"/>
      <c r="AU5" s="279"/>
      <c r="AV5" s="279"/>
      <c r="AW5" s="279"/>
      <c r="AX5" s="279">
        <f t="shared" si="9"/>
        <v>0</v>
      </c>
      <c r="AY5" s="279">
        <v>2200</v>
      </c>
      <c r="AZ5" s="279"/>
      <c r="BA5" s="279">
        <v>2200</v>
      </c>
      <c r="BB5" s="279"/>
      <c r="BC5" s="279"/>
      <c r="BD5" s="279">
        <f t="shared" si="10"/>
        <v>4400</v>
      </c>
      <c r="BE5" s="279"/>
      <c r="BF5" s="279"/>
      <c r="BG5" s="279"/>
      <c r="BH5" s="279">
        <f t="shared" si="11"/>
        <v>0</v>
      </c>
      <c r="BI5" s="279"/>
      <c r="BJ5" s="279"/>
      <c r="BK5" s="279"/>
      <c r="BL5" s="279"/>
      <c r="BM5" s="279"/>
      <c r="BN5" s="279"/>
      <c r="BO5" s="279"/>
      <c r="BP5" s="279"/>
      <c r="BQ5" s="279"/>
      <c r="BR5" s="279"/>
      <c r="BS5" s="276"/>
      <c r="BT5" s="279">
        <f t="shared" si="12"/>
        <v>0</v>
      </c>
      <c r="BU5" s="281"/>
      <c r="BV5" s="281"/>
      <c r="BW5" s="281"/>
      <c r="BX5" s="281"/>
      <c r="BY5" s="281"/>
      <c r="BZ5" s="281">
        <f t="shared" si="13"/>
        <v>0</v>
      </c>
      <c r="CA5" s="281">
        <f t="shared" si="14"/>
        <v>26800</v>
      </c>
      <c r="CB5" s="281">
        <f t="shared" si="15"/>
        <v>605</v>
      </c>
      <c r="CC5" s="322"/>
    </row>
    <row r="6" spans="1:81" s="5" customFormat="1">
      <c r="A6" s="409">
        <f>'1-συμβολαια'!A6</f>
        <v>0</v>
      </c>
      <c r="B6" s="441"/>
      <c r="C6" s="332" t="str">
        <f>'1-συμβολαια'!C6</f>
        <v>διανομή [= ισομερής ΑΛΛΑ βάσει ΦΜΑ της Δ.Ο.Υ (3ου &amp; ;;;???}</v>
      </c>
      <c r="D6" s="406">
        <f>'5-αντίγρ'!AN6</f>
        <v>0</v>
      </c>
      <c r="E6" s="406">
        <f>'5-αντίγρ'!AM6</f>
        <v>0</v>
      </c>
      <c r="F6" s="280">
        <f>'6-μεταγρ'!P6</f>
        <v>0</v>
      </c>
      <c r="G6" s="280">
        <f>'6-μεταγρ'!N6+'6-μεταγρ'!O6</f>
        <v>3200</v>
      </c>
      <c r="H6" s="281">
        <f>'6-μεταγρ'!Q6</f>
        <v>0</v>
      </c>
      <c r="I6" s="280">
        <f>'7-προςΔΟΥ'!V6</f>
        <v>22400</v>
      </c>
      <c r="J6" s="280">
        <f>'7-προςΔΟΥ'!L6</f>
        <v>605</v>
      </c>
      <c r="K6" s="279"/>
      <c r="L6" s="279"/>
      <c r="M6" s="279"/>
      <c r="N6" s="279"/>
      <c r="O6" s="279"/>
      <c r="P6" s="279"/>
      <c r="Q6" s="279"/>
      <c r="R6" s="279"/>
      <c r="S6" s="279"/>
      <c r="T6" s="279"/>
      <c r="U6" s="279"/>
      <c r="V6" s="279"/>
      <c r="W6" s="279"/>
      <c r="X6" s="279"/>
      <c r="Y6" s="279"/>
      <c r="Z6" s="279"/>
      <c r="AA6" s="279"/>
      <c r="AB6" s="279"/>
      <c r="AC6" s="279"/>
      <c r="AD6" s="279"/>
      <c r="AE6" s="279"/>
      <c r="AF6" s="279"/>
      <c r="AG6" s="279"/>
      <c r="AH6" s="279"/>
      <c r="AI6" s="279">
        <f t="shared" si="8"/>
        <v>0</v>
      </c>
      <c r="AJ6" s="279"/>
      <c r="AK6" s="279"/>
      <c r="AL6" s="279"/>
      <c r="AM6" s="279"/>
      <c r="AN6" s="279"/>
      <c r="AO6" s="279"/>
      <c r="AP6" s="279"/>
      <c r="AQ6" s="279"/>
      <c r="AR6" s="279"/>
      <c r="AS6" s="279"/>
      <c r="AT6" s="279"/>
      <c r="AU6" s="279"/>
      <c r="AV6" s="279"/>
      <c r="AW6" s="279"/>
      <c r="AX6" s="279">
        <f t="shared" si="9"/>
        <v>0</v>
      </c>
      <c r="AY6" s="279"/>
      <c r="AZ6" s="279"/>
      <c r="BA6" s="279"/>
      <c r="BB6" s="279"/>
      <c r="BC6" s="279"/>
      <c r="BD6" s="279">
        <f t="shared" si="10"/>
        <v>0</v>
      </c>
      <c r="BE6" s="279"/>
      <c r="BF6" s="279"/>
      <c r="BG6" s="279"/>
      <c r="BH6" s="279">
        <f t="shared" si="11"/>
        <v>0</v>
      </c>
      <c r="BI6" s="279"/>
      <c r="BJ6" s="279"/>
      <c r="BK6" s="279"/>
      <c r="BL6" s="279"/>
      <c r="BM6" s="279"/>
      <c r="BN6" s="279"/>
      <c r="BO6" s="279"/>
      <c r="BP6" s="279"/>
      <c r="BQ6" s="279"/>
      <c r="BR6" s="279"/>
      <c r="BS6" s="276"/>
      <c r="BT6" s="279">
        <f t="shared" si="12"/>
        <v>0</v>
      </c>
      <c r="BU6" s="281"/>
      <c r="BV6" s="281"/>
      <c r="BW6" s="281"/>
      <c r="BX6" s="281"/>
      <c r="BY6" s="281"/>
      <c r="BZ6" s="281">
        <f t="shared" si="13"/>
        <v>0</v>
      </c>
      <c r="CA6" s="281">
        <f t="shared" si="14"/>
        <v>22400</v>
      </c>
      <c r="CB6" s="281">
        <f t="shared" si="15"/>
        <v>3805</v>
      </c>
      <c r="CC6" s="322"/>
    </row>
    <row r="7" spans="1:81" s="5" customFormat="1" ht="12" thickBot="1">
      <c r="A7" s="423">
        <f>'1-συμβολαια'!A7</f>
        <v>0</v>
      </c>
      <c r="B7" s="573"/>
      <c r="C7" s="508" t="str">
        <f>'1-συμβολαια'!C7</f>
        <v>εξισορρόπηση διαφοράς διανεμομένων μεριδίων</v>
      </c>
      <c r="D7" s="574">
        <f>'5-αντίγρ'!AN7</f>
        <v>0</v>
      </c>
      <c r="E7" s="574">
        <f>'5-αντίγρ'!AM7</f>
        <v>0</v>
      </c>
      <c r="F7" s="575">
        <f>'6-μεταγρ'!P7</f>
        <v>0</v>
      </c>
      <c r="G7" s="575">
        <f>'6-μεταγρ'!N7+'6-μεταγρ'!O7</f>
        <v>0</v>
      </c>
      <c r="H7" s="576">
        <f>'6-μεταγρ'!Q7</f>
        <v>0</v>
      </c>
      <c r="I7" s="575">
        <f>'7-προςΔΟΥ'!V7</f>
        <v>0</v>
      </c>
      <c r="J7" s="575">
        <f>'7-προςΔΟΥ'!L7</f>
        <v>0</v>
      </c>
      <c r="K7" s="576"/>
      <c r="L7" s="576"/>
      <c r="M7" s="576"/>
      <c r="N7" s="576"/>
      <c r="O7" s="576"/>
      <c r="P7" s="576"/>
      <c r="Q7" s="576"/>
      <c r="R7" s="576"/>
      <c r="S7" s="576"/>
      <c r="T7" s="576"/>
      <c r="U7" s="576"/>
      <c r="V7" s="576"/>
      <c r="W7" s="576"/>
      <c r="X7" s="576"/>
      <c r="Y7" s="576"/>
      <c r="Z7" s="576"/>
      <c r="AA7" s="576"/>
      <c r="AB7" s="576"/>
      <c r="AC7" s="576"/>
      <c r="AD7" s="576"/>
      <c r="AE7" s="576"/>
      <c r="AF7" s="576"/>
      <c r="AG7" s="576"/>
      <c r="AH7" s="576"/>
      <c r="AI7" s="576">
        <f t="shared" si="8"/>
        <v>0</v>
      </c>
      <c r="AJ7" s="576"/>
      <c r="AK7" s="576"/>
      <c r="AL7" s="576"/>
      <c r="AM7" s="576"/>
      <c r="AN7" s="576"/>
      <c r="AO7" s="576"/>
      <c r="AP7" s="576"/>
      <c r="AQ7" s="576"/>
      <c r="AR7" s="576"/>
      <c r="AS7" s="576"/>
      <c r="AT7" s="576"/>
      <c r="AU7" s="576"/>
      <c r="AV7" s="576"/>
      <c r="AW7" s="576"/>
      <c r="AX7" s="576">
        <f t="shared" si="9"/>
        <v>0</v>
      </c>
      <c r="AY7" s="576"/>
      <c r="AZ7" s="576"/>
      <c r="BA7" s="576"/>
      <c r="BB7" s="576"/>
      <c r="BC7" s="576"/>
      <c r="BD7" s="576">
        <f t="shared" si="10"/>
        <v>0</v>
      </c>
      <c r="BE7" s="576"/>
      <c r="BF7" s="576"/>
      <c r="BG7" s="576"/>
      <c r="BH7" s="576">
        <f t="shared" si="11"/>
        <v>0</v>
      </c>
      <c r="BI7" s="576"/>
      <c r="BJ7" s="576"/>
      <c r="BK7" s="576"/>
      <c r="BL7" s="576"/>
      <c r="BM7" s="576"/>
      <c r="BN7" s="576"/>
      <c r="BO7" s="576"/>
      <c r="BP7" s="576"/>
      <c r="BQ7" s="576"/>
      <c r="BR7" s="576"/>
      <c r="BS7" s="503"/>
      <c r="BT7" s="576">
        <f t="shared" si="12"/>
        <v>0</v>
      </c>
      <c r="BU7" s="576"/>
      <c r="BV7" s="576"/>
      <c r="BW7" s="576"/>
      <c r="BX7" s="576"/>
      <c r="BY7" s="576"/>
      <c r="BZ7" s="576">
        <f t="shared" si="13"/>
        <v>0</v>
      </c>
      <c r="CA7" s="576">
        <f t="shared" si="14"/>
        <v>0</v>
      </c>
      <c r="CB7" s="576">
        <f t="shared" si="15"/>
        <v>0</v>
      </c>
      <c r="CC7" s="428"/>
    </row>
    <row r="8" spans="1:81" s="5" customFormat="1">
      <c r="A8" s="591">
        <f>'1-συμβολαια'!A8</f>
        <v>114</v>
      </c>
      <c r="B8" s="572">
        <f>'1-συμβολαια'!B8</f>
        <v>36102</v>
      </c>
      <c r="C8" s="506" t="str">
        <f>'1-συμβολαια'!C8</f>
        <v>δωρεάς ΠΡΟΤΑΣΗ [αγροτεμάχιο Θεολόγος -'';;;???'' 2.000μ2</v>
      </c>
      <c r="D8" s="406">
        <f>'5-αντίγρ'!AN8</f>
        <v>12000</v>
      </c>
      <c r="E8" s="406">
        <f>'5-αντίγρ'!AM8</f>
        <v>800</v>
      </c>
      <c r="F8" s="280">
        <f>'6-μεταγρ'!P8</f>
        <v>0</v>
      </c>
      <c r="G8" s="280">
        <f>'6-μεταγρ'!N8+'6-μεταγρ'!O8</f>
        <v>3200</v>
      </c>
      <c r="H8" s="281">
        <f>'6-μεταγρ'!Q8</f>
        <v>0</v>
      </c>
      <c r="I8" s="280">
        <f>'7-προςΔΟΥ'!V8</f>
        <v>22400</v>
      </c>
      <c r="J8" s="280">
        <f>'7-προςΔΟΥ'!L8</f>
        <v>605</v>
      </c>
      <c r="K8" s="281">
        <v>1100</v>
      </c>
      <c r="L8" s="281"/>
      <c r="M8" s="281"/>
      <c r="N8" s="281"/>
      <c r="O8" s="281"/>
      <c r="P8" s="281"/>
      <c r="Q8" s="281"/>
      <c r="R8" s="281"/>
      <c r="S8" s="281"/>
      <c r="T8" s="281">
        <v>1100</v>
      </c>
      <c r="U8" s="281">
        <v>1100</v>
      </c>
      <c r="V8" s="281">
        <v>1100</v>
      </c>
      <c r="W8" s="281"/>
      <c r="X8" s="281"/>
      <c r="Y8" s="281"/>
      <c r="Z8" s="281">
        <v>1100</v>
      </c>
      <c r="AA8" s="281"/>
      <c r="AB8" s="281"/>
      <c r="AC8" s="281"/>
      <c r="AD8" s="281"/>
      <c r="AE8" s="281"/>
      <c r="AF8" s="281"/>
      <c r="AG8" s="281"/>
      <c r="AH8" s="281"/>
      <c r="AI8" s="281">
        <f t="shared" si="8"/>
        <v>5500</v>
      </c>
      <c r="AJ8" s="281"/>
      <c r="AK8" s="281">
        <f>2*1100</f>
        <v>2200</v>
      </c>
      <c r="AL8" s="281">
        <f>2*1100</f>
        <v>2200</v>
      </c>
      <c r="AM8" s="281">
        <f>2*1100</f>
        <v>2200</v>
      </c>
      <c r="AN8" s="281"/>
      <c r="AO8" s="281"/>
      <c r="AP8" s="281"/>
      <c r="AQ8" s="281"/>
      <c r="AR8" s="281">
        <v>1100</v>
      </c>
      <c r="AS8" s="281">
        <v>2200</v>
      </c>
      <c r="AT8" s="281"/>
      <c r="AU8" s="281"/>
      <c r="AV8" s="281"/>
      <c r="AW8" s="281"/>
      <c r="AX8" s="281">
        <f t="shared" si="9"/>
        <v>9900</v>
      </c>
      <c r="AY8" s="281">
        <f>2000+2*1100</f>
        <v>4200</v>
      </c>
      <c r="AZ8" s="281"/>
      <c r="BA8" s="281">
        <f>2000+2*1100</f>
        <v>4200</v>
      </c>
      <c r="BB8" s="281"/>
      <c r="BC8" s="281"/>
      <c r="BD8" s="281">
        <f t="shared" si="10"/>
        <v>8400</v>
      </c>
      <c r="BE8" s="281"/>
      <c r="BF8" s="281"/>
      <c r="BG8" s="281"/>
      <c r="BH8" s="281">
        <f t="shared" si="11"/>
        <v>0</v>
      </c>
      <c r="BI8" s="281"/>
      <c r="BJ8" s="281"/>
      <c r="BK8" s="281"/>
      <c r="BL8" s="281"/>
      <c r="BM8" s="281"/>
      <c r="BN8" s="281"/>
      <c r="BO8" s="281"/>
      <c r="BP8" s="281"/>
      <c r="BQ8" s="281">
        <v>100</v>
      </c>
      <c r="BR8" s="281">
        <v>100</v>
      </c>
      <c r="BS8" s="502"/>
      <c r="BT8" s="281">
        <f t="shared" si="12"/>
        <v>200</v>
      </c>
      <c r="BU8" s="281"/>
      <c r="BV8" s="281"/>
      <c r="BW8" s="281"/>
      <c r="BX8" s="281"/>
      <c r="BY8" s="281"/>
      <c r="BZ8" s="281">
        <f t="shared" si="13"/>
        <v>0</v>
      </c>
      <c r="CA8" s="281">
        <f t="shared" si="14"/>
        <v>58400</v>
      </c>
      <c r="CB8" s="281">
        <f t="shared" si="15"/>
        <v>4605</v>
      </c>
      <c r="CC8" s="336"/>
    </row>
    <row r="9" spans="1:81" s="5" customFormat="1" ht="12" thickBot="1">
      <c r="A9" s="592">
        <f>'1-συμβολαια'!A9</f>
        <v>0</v>
      </c>
      <c r="B9" s="573"/>
      <c r="C9" s="508" t="str">
        <f>'1-συμβολαια'!C9</f>
        <v>χρησικτησία αγροτεμαχίου = 1910 πατρός ΔΩΡΕΑ άτυπος</v>
      </c>
      <c r="D9" s="574">
        <f>'5-αντίγρ'!AN9</f>
        <v>0</v>
      </c>
      <c r="E9" s="574">
        <f>'5-αντίγρ'!AM9</f>
        <v>0</v>
      </c>
      <c r="F9" s="575">
        <f>'6-μεταγρ'!P9</f>
        <v>0</v>
      </c>
      <c r="G9" s="575">
        <f>'6-μεταγρ'!N9+'6-μεταγρ'!O9</f>
        <v>0</v>
      </c>
      <c r="H9" s="576">
        <f>'6-μεταγρ'!Q9</f>
        <v>0</v>
      </c>
      <c r="I9" s="575">
        <f>'7-προςΔΟΥ'!V9</f>
        <v>22400</v>
      </c>
      <c r="J9" s="575">
        <f>'7-προςΔΟΥ'!L9</f>
        <v>605</v>
      </c>
      <c r="K9" s="576"/>
      <c r="L9" s="576"/>
      <c r="M9" s="576"/>
      <c r="N9" s="576"/>
      <c r="O9" s="576"/>
      <c r="P9" s="576"/>
      <c r="Q9" s="576"/>
      <c r="R9" s="576"/>
      <c r="S9" s="576"/>
      <c r="T9" s="576"/>
      <c r="U9" s="576"/>
      <c r="V9" s="576"/>
      <c r="W9" s="576"/>
      <c r="X9" s="576"/>
      <c r="Y9" s="576"/>
      <c r="Z9" s="576"/>
      <c r="AA9" s="576"/>
      <c r="AB9" s="576"/>
      <c r="AC9" s="576"/>
      <c r="AD9" s="576"/>
      <c r="AE9" s="576"/>
      <c r="AF9" s="576"/>
      <c r="AG9" s="576"/>
      <c r="AH9" s="576"/>
      <c r="AI9" s="576">
        <f t="shared" si="8"/>
        <v>0</v>
      </c>
      <c r="AJ9" s="576"/>
      <c r="AK9" s="576"/>
      <c r="AL9" s="576"/>
      <c r="AM9" s="576"/>
      <c r="AN9" s="576"/>
      <c r="AO9" s="576"/>
      <c r="AP9" s="576"/>
      <c r="AQ9" s="576"/>
      <c r="AR9" s="576"/>
      <c r="AS9" s="576"/>
      <c r="AT9" s="576"/>
      <c r="AU9" s="576"/>
      <c r="AV9" s="576"/>
      <c r="AW9" s="576"/>
      <c r="AX9" s="576">
        <f t="shared" si="9"/>
        <v>0</v>
      </c>
      <c r="AY9" s="576">
        <f>2000+6*1100</f>
        <v>8600</v>
      </c>
      <c r="AZ9" s="576"/>
      <c r="BA9" s="576">
        <f>2000+6*1100</f>
        <v>8600</v>
      </c>
      <c r="BB9" s="576"/>
      <c r="BC9" s="576"/>
      <c r="BD9" s="576">
        <f t="shared" si="10"/>
        <v>17200</v>
      </c>
      <c r="BE9" s="576"/>
      <c r="BF9" s="576"/>
      <c r="BG9" s="576"/>
      <c r="BH9" s="576">
        <f t="shared" si="11"/>
        <v>0</v>
      </c>
      <c r="BI9" s="576"/>
      <c r="BJ9" s="576"/>
      <c r="BK9" s="576"/>
      <c r="BL9" s="576"/>
      <c r="BM9" s="576"/>
      <c r="BN9" s="576"/>
      <c r="BO9" s="576"/>
      <c r="BP9" s="576"/>
      <c r="BQ9" s="576"/>
      <c r="BR9" s="576"/>
      <c r="BS9" s="503"/>
      <c r="BT9" s="576">
        <f t="shared" si="12"/>
        <v>0</v>
      </c>
      <c r="BU9" s="576"/>
      <c r="BV9" s="576"/>
      <c r="BW9" s="576"/>
      <c r="BX9" s="576"/>
      <c r="BY9" s="576"/>
      <c r="BZ9" s="576">
        <f t="shared" si="13"/>
        <v>0</v>
      </c>
      <c r="CA9" s="576">
        <f t="shared" si="14"/>
        <v>39600</v>
      </c>
      <c r="CB9" s="576">
        <f t="shared" si="15"/>
        <v>605</v>
      </c>
      <c r="CC9" s="428"/>
    </row>
    <row r="10" spans="1:81" s="5" customFormat="1">
      <c r="A10" s="333" t="str">
        <f>'1-συμβολαια'!A10</f>
        <v>;;;???</v>
      </c>
      <c r="B10" s="572" t="str">
        <f>'1-συμβολαια'!B10</f>
        <v>;;;???</v>
      </c>
      <c r="C10" s="506" t="str">
        <f>'1-συμβολαια'!C10</f>
        <v>δωρεάς πρότασης 2ου  ΑΠΟΔΟΧΗ</v>
      </c>
      <c r="D10" s="406">
        <f>'5-αντίγρ'!AN10</f>
        <v>10900</v>
      </c>
      <c r="E10" s="406">
        <f>'5-αντίγρ'!AM10</f>
        <v>800</v>
      </c>
      <c r="F10" s="280">
        <f>'6-μεταγρ'!P10</f>
        <v>4000</v>
      </c>
      <c r="G10" s="280">
        <f>'6-μεταγρ'!N10+'6-μεταγρ'!O10</f>
        <v>3200</v>
      </c>
      <c r="H10" s="281">
        <f>'6-μεταγρ'!Q10</f>
        <v>0</v>
      </c>
      <c r="I10" s="280">
        <f>'7-προςΔΟΥ'!V10</f>
        <v>0</v>
      </c>
      <c r="J10" s="280">
        <f>'7-προςΔΟΥ'!L10</f>
        <v>0</v>
      </c>
      <c r="K10" s="281"/>
      <c r="L10" s="281"/>
      <c r="M10" s="281"/>
      <c r="N10" s="281"/>
      <c r="O10" s="281"/>
      <c r="P10" s="281"/>
      <c r="Q10" s="281"/>
      <c r="R10" s="281"/>
      <c r="S10" s="281"/>
      <c r="T10" s="281"/>
      <c r="U10" s="281"/>
      <c r="V10" s="281"/>
      <c r="W10" s="281"/>
      <c r="X10" s="281"/>
      <c r="Y10" s="281"/>
      <c r="Z10" s="281"/>
      <c r="AA10" s="281"/>
      <c r="AB10" s="281"/>
      <c r="AC10" s="281"/>
      <c r="AD10" s="281"/>
      <c r="AE10" s="281"/>
      <c r="AF10" s="281"/>
      <c r="AG10" s="281"/>
      <c r="AH10" s="281"/>
      <c r="AI10" s="281">
        <f t="shared" si="8"/>
        <v>0</v>
      </c>
      <c r="AJ10" s="281"/>
      <c r="AK10" s="281"/>
      <c r="AL10" s="281">
        <v>2200</v>
      </c>
      <c r="AM10" s="281">
        <f t="shared" ref="AM10:AM13" si="16">2*1100</f>
        <v>2200</v>
      </c>
      <c r="AN10" s="281"/>
      <c r="AO10" s="281"/>
      <c r="AP10" s="281"/>
      <c r="AQ10" s="281"/>
      <c r="AR10" s="281"/>
      <c r="AS10" s="281">
        <v>2200</v>
      </c>
      <c r="AT10" s="281"/>
      <c r="AU10" s="281"/>
      <c r="AV10" s="281"/>
      <c r="AW10" s="281"/>
      <c r="AX10" s="281">
        <f t="shared" si="9"/>
        <v>6600</v>
      </c>
      <c r="AY10" s="281"/>
      <c r="AZ10" s="281"/>
      <c r="BA10" s="281"/>
      <c r="BB10" s="281"/>
      <c r="BC10" s="281"/>
      <c r="BD10" s="281">
        <f t="shared" si="10"/>
        <v>0</v>
      </c>
      <c r="BE10" s="281"/>
      <c r="BF10" s="281"/>
      <c r="BG10" s="281"/>
      <c r="BH10" s="281">
        <f t="shared" si="11"/>
        <v>0</v>
      </c>
      <c r="BI10" s="281"/>
      <c r="BJ10" s="281"/>
      <c r="BK10" s="281"/>
      <c r="BL10" s="281"/>
      <c r="BM10" s="281"/>
      <c r="BN10" s="281"/>
      <c r="BO10" s="281"/>
      <c r="BP10" s="281">
        <v>489</v>
      </c>
      <c r="BQ10" s="281">
        <v>100</v>
      </c>
      <c r="BR10" s="281">
        <v>100</v>
      </c>
      <c r="BS10" s="502"/>
      <c r="BT10" s="281">
        <f t="shared" si="12"/>
        <v>200</v>
      </c>
      <c r="BU10" s="281"/>
      <c r="BV10" s="281"/>
      <c r="BW10" s="281"/>
      <c r="BX10" s="281"/>
      <c r="BY10" s="281"/>
      <c r="BZ10" s="281">
        <f t="shared" si="13"/>
        <v>0</v>
      </c>
      <c r="CA10" s="281">
        <f t="shared" si="14"/>
        <v>21211</v>
      </c>
      <c r="CB10" s="281">
        <f t="shared" si="15"/>
        <v>4489</v>
      </c>
      <c r="CC10" s="336"/>
    </row>
    <row r="11" spans="1:81" s="5" customFormat="1">
      <c r="A11" s="312" t="str">
        <f>'1-συμβολαια'!A11</f>
        <v>;;;???</v>
      </c>
      <c r="B11" s="572" t="str">
        <f>'1-συμβολαια'!B11</f>
        <v>;;;???</v>
      </c>
      <c r="C11" s="332" t="str">
        <f>'1-συμβολαια'!C11</f>
        <v>δωρεάς πρότασης  3ου  ΑΠΟΔΟΧΗ</v>
      </c>
      <c r="D11" s="406">
        <f>'5-αντίγρ'!AN11</f>
        <v>10900</v>
      </c>
      <c r="E11" s="406">
        <f>'5-αντίγρ'!AM11</f>
        <v>800</v>
      </c>
      <c r="F11" s="280">
        <f>'6-μεταγρ'!P11</f>
        <v>0</v>
      </c>
      <c r="G11" s="280">
        <f>'6-μεταγρ'!N11+'6-μεταγρ'!O11</f>
        <v>3200</v>
      </c>
      <c r="H11" s="281">
        <f>'6-μεταγρ'!Q11</f>
        <v>0</v>
      </c>
      <c r="I11" s="280">
        <f>'7-προςΔΟΥ'!V11</f>
        <v>0</v>
      </c>
      <c r="J11" s="280">
        <f>'7-προςΔΟΥ'!L11</f>
        <v>0</v>
      </c>
      <c r="K11" s="279"/>
      <c r="L11" s="279"/>
      <c r="M11" s="279"/>
      <c r="N11" s="279"/>
      <c r="O11" s="279"/>
      <c r="P11" s="279"/>
      <c r="Q11" s="279"/>
      <c r="R11" s="279"/>
      <c r="S11" s="279"/>
      <c r="T11" s="279"/>
      <c r="U11" s="279"/>
      <c r="V11" s="279"/>
      <c r="W11" s="279"/>
      <c r="X11" s="279"/>
      <c r="Y11" s="279"/>
      <c r="Z11" s="279"/>
      <c r="AA11" s="279"/>
      <c r="AB11" s="279"/>
      <c r="AC11" s="279"/>
      <c r="AD11" s="279"/>
      <c r="AE11" s="279"/>
      <c r="AF11" s="279"/>
      <c r="AG11" s="279"/>
      <c r="AH11" s="279"/>
      <c r="AI11" s="279">
        <f t="shared" si="8"/>
        <v>0</v>
      </c>
      <c r="AJ11" s="279"/>
      <c r="AK11" s="279"/>
      <c r="AL11" s="279">
        <v>2200</v>
      </c>
      <c r="AM11" s="279">
        <f t="shared" si="16"/>
        <v>2200</v>
      </c>
      <c r="AN11" s="279"/>
      <c r="AO11" s="279"/>
      <c r="AP11" s="279"/>
      <c r="AQ11" s="279"/>
      <c r="AR11" s="279"/>
      <c r="AS11" s="279">
        <v>2200</v>
      </c>
      <c r="AT11" s="279"/>
      <c r="AU11" s="279"/>
      <c r="AV11" s="279"/>
      <c r="AW11" s="279"/>
      <c r="AX11" s="279">
        <f t="shared" si="9"/>
        <v>6600</v>
      </c>
      <c r="AY11" s="279"/>
      <c r="AZ11" s="279"/>
      <c r="BA11" s="279"/>
      <c r="BB11" s="279"/>
      <c r="BC11" s="279"/>
      <c r="BD11" s="279">
        <f t="shared" si="10"/>
        <v>0</v>
      </c>
      <c r="BE11" s="279"/>
      <c r="BF11" s="279"/>
      <c r="BG11" s="279"/>
      <c r="BH11" s="279">
        <f t="shared" si="11"/>
        <v>0</v>
      </c>
      <c r="BI11" s="279"/>
      <c r="BJ11" s="279"/>
      <c r="BK11" s="279"/>
      <c r="BL11" s="279"/>
      <c r="BM11" s="279"/>
      <c r="BN11" s="279"/>
      <c r="BO11" s="279"/>
      <c r="BP11" s="279">
        <v>489</v>
      </c>
      <c r="BQ11" s="279">
        <v>100</v>
      </c>
      <c r="BR11" s="279">
        <v>100</v>
      </c>
      <c r="BS11" s="276"/>
      <c r="BT11" s="279">
        <f t="shared" si="12"/>
        <v>200</v>
      </c>
      <c r="BU11" s="281"/>
      <c r="BV11" s="281"/>
      <c r="BW11" s="281"/>
      <c r="BX11" s="281"/>
      <c r="BY11" s="281"/>
      <c r="BZ11" s="281">
        <f t="shared" si="13"/>
        <v>0</v>
      </c>
      <c r="CA11" s="281">
        <f t="shared" si="14"/>
        <v>17211</v>
      </c>
      <c r="CB11" s="281">
        <f t="shared" si="15"/>
        <v>4489</v>
      </c>
      <c r="CC11" s="322"/>
    </row>
    <row r="12" spans="1:81" s="5" customFormat="1" ht="12" thickBot="1">
      <c r="A12" s="421">
        <f>'1-συμβολαια'!A12</f>
        <v>552</v>
      </c>
      <c r="B12" s="572">
        <f>'1-συμβολαια'!B12</f>
        <v>36384</v>
      </c>
      <c r="C12" s="508" t="str">
        <f>'1-συμβολαια'!C12</f>
        <v>πληρεξούσιο</v>
      </c>
      <c r="D12" s="574">
        <f>'5-αντίγρ'!AN12</f>
        <v>0</v>
      </c>
      <c r="E12" s="574">
        <f>'5-αντίγρ'!AM12</f>
        <v>0</v>
      </c>
      <c r="F12" s="575">
        <f>'6-μεταγρ'!P12</f>
        <v>0</v>
      </c>
      <c r="G12" s="575">
        <f>'6-μεταγρ'!N12+'6-μεταγρ'!O12</f>
        <v>0</v>
      </c>
      <c r="H12" s="576">
        <f>'6-μεταγρ'!Q12</f>
        <v>0</v>
      </c>
      <c r="I12" s="575">
        <f>'7-προςΔΟΥ'!V12</f>
        <v>0</v>
      </c>
      <c r="J12" s="575">
        <f>'7-προςΔΟΥ'!L12</f>
        <v>0</v>
      </c>
      <c r="K12" s="576"/>
      <c r="L12" s="576"/>
      <c r="M12" s="576"/>
      <c r="N12" s="576"/>
      <c r="O12" s="576"/>
      <c r="P12" s="576"/>
      <c r="Q12" s="576"/>
      <c r="R12" s="576"/>
      <c r="S12" s="576"/>
      <c r="T12" s="576"/>
      <c r="U12" s="576"/>
      <c r="V12" s="576"/>
      <c r="W12" s="576"/>
      <c r="X12" s="576"/>
      <c r="Y12" s="576"/>
      <c r="Z12" s="576"/>
      <c r="AA12" s="576"/>
      <c r="AB12" s="576"/>
      <c r="AC12" s="576"/>
      <c r="AD12" s="576"/>
      <c r="AE12" s="576"/>
      <c r="AF12" s="576"/>
      <c r="AG12" s="576"/>
      <c r="AH12" s="576"/>
      <c r="AI12" s="576">
        <f t="shared" si="8"/>
        <v>0</v>
      </c>
      <c r="AJ12" s="576"/>
      <c r="AK12" s="576"/>
      <c r="AL12" s="576"/>
      <c r="AM12" s="576">
        <f t="shared" si="16"/>
        <v>2200</v>
      </c>
      <c r="AN12" s="576"/>
      <c r="AO12" s="576"/>
      <c r="AP12" s="576"/>
      <c r="AQ12" s="576"/>
      <c r="AR12" s="576"/>
      <c r="AS12" s="576"/>
      <c r="AT12" s="576"/>
      <c r="AU12" s="576"/>
      <c r="AV12" s="576"/>
      <c r="AW12" s="576"/>
      <c r="AX12" s="576">
        <f t="shared" si="9"/>
        <v>2200</v>
      </c>
      <c r="AY12" s="576"/>
      <c r="AZ12" s="576"/>
      <c r="BA12" s="576"/>
      <c r="BB12" s="576"/>
      <c r="BC12" s="576"/>
      <c r="BD12" s="576">
        <f t="shared" si="10"/>
        <v>0</v>
      </c>
      <c r="BE12" s="576"/>
      <c r="BF12" s="576"/>
      <c r="BG12" s="576"/>
      <c r="BH12" s="576">
        <f t="shared" si="11"/>
        <v>0</v>
      </c>
      <c r="BI12" s="576"/>
      <c r="BJ12" s="576"/>
      <c r="BK12" s="576"/>
      <c r="BL12" s="576"/>
      <c r="BM12" s="576"/>
      <c r="BN12" s="576"/>
      <c r="BO12" s="576"/>
      <c r="BP12" s="576"/>
      <c r="BQ12" s="576"/>
      <c r="BR12" s="576">
        <v>100</v>
      </c>
      <c r="BS12" s="503"/>
      <c r="BT12" s="576">
        <f t="shared" si="12"/>
        <v>100</v>
      </c>
      <c r="BU12" s="576"/>
      <c r="BV12" s="576"/>
      <c r="BW12" s="576"/>
      <c r="BX12" s="576"/>
      <c r="BY12" s="576"/>
      <c r="BZ12" s="576">
        <f t="shared" si="13"/>
        <v>0</v>
      </c>
      <c r="CA12" s="576">
        <f t="shared" si="14"/>
        <v>2300</v>
      </c>
      <c r="CB12" s="576">
        <f t="shared" si="15"/>
        <v>0</v>
      </c>
      <c r="CC12" s="428"/>
    </row>
    <row r="13" spans="1:81" s="5" customFormat="1">
      <c r="A13" s="699">
        <f>'1-συμβολαια'!A13</f>
        <v>564</v>
      </c>
      <c r="B13" s="692">
        <f>'1-συμβολαια'!B13</f>
        <v>36388</v>
      </c>
      <c r="C13" s="693" t="str">
        <f>'1-συμβολαια'!C13</f>
        <v>γονική</v>
      </c>
      <c r="D13" s="694">
        <f>'5-αντίγρ'!AN13</f>
        <v>12000</v>
      </c>
      <c r="E13" s="694">
        <f>'5-αντίγρ'!AM13</f>
        <v>800</v>
      </c>
      <c r="F13" s="695">
        <f>'6-μεταγρ'!P13</f>
        <v>4000</v>
      </c>
      <c r="G13" s="695">
        <f>'6-μεταγρ'!N13+'6-μεταγρ'!O13</f>
        <v>3200</v>
      </c>
      <c r="H13" s="696">
        <f>'6-μεταγρ'!Q13</f>
        <v>0</v>
      </c>
      <c r="I13" s="695">
        <f>'7-προςΔΟΥ'!V13</f>
        <v>44400</v>
      </c>
      <c r="J13" s="695">
        <f>'7-προςΔΟΥ'!L13</f>
        <v>605</v>
      </c>
      <c r="K13" s="279">
        <f>2*1100+2*2000</f>
        <v>6200</v>
      </c>
      <c r="L13" s="696"/>
      <c r="M13" s="696"/>
      <c r="N13" s="696"/>
      <c r="O13" s="696"/>
      <c r="P13" s="696">
        <v>1100</v>
      </c>
      <c r="Q13" s="696"/>
      <c r="R13" s="696"/>
      <c r="S13" s="696"/>
      <c r="T13" s="696">
        <f>2000+1100</f>
        <v>3100</v>
      </c>
      <c r="U13" s="696">
        <v>2200</v>
      </c>
      <c r="V13" s="696">
        <v>1100</v>
      </c>
      <c r="W13" s="696"/>
      <c r="X13" s="696"/>
      <c r="Y13" s="696"/>
      <c r="Z13" s="279">
        <f>(2000+3000)*2+2*1100</f>
        <v>12200</v>
      </c>
      <c r="AA13" s="696"/>
      <c r="AB13" s="696"/>
      <c r="AC13" s="696"/>
      <c r="AD13" s="696"/>
      <c r="AE13" s="696"/>
      <c r="AF13" s="696"/>
      <c r="AG13" s="696"/>
      <c r="AH13" s="696"/>
      <c r="AI13" s="696">
        <f t="shared" si="8"/>
        <v>25900</v>
      </c>
      <c r="AJ13" s="696"/>
      <c r="AK13" s="279">
        <f>2*2*1100</f>
        <v>4400</v>
      </c>
      <c r="AL13" s="279">
        <f>2*2*1100</f>
        <v>4400</v>
      </c>
      <c r="AM13" s="281">
        <f t="shared" si="16"/>
        <v>2200</v>
      </c>
      <c r="AN13" s="696"/>
      <c r="AO13" s="696"/>
      <c r="AP13" s="696"/>
      <c r="AQ13" s="696"/>
      <c r="AR13" s="696">
        <v>2200</v>
      </c>
      <c r="AS13" s="696">
        <v>4400</v>
      </c>
      <c r="AT13" s="696"/>
      <c r="AU13" s="696"/>
      <c r="AV13" s="696"/>
      <c r="AW13" s="696"/>
      <c r="AX13" s="696">
        <f t="shared" si="9"/>
        <v>17600</v>
      </c>
      <c r="AY13" s="696"/>
      <c r="AZ13" s="696"/>
      <c r="BA13" s="696"/>
      <c r="BB13" s="696"/>
      <c r="BC13" s="696"/>
      <c r="BD13" s="696">
        <f t="shared" si="10"/>
        <v>0</v>
      </c>
      <c r="BE13" s="696"/>
      <c r="BF13" s="696"/>
      <c r="BG13" s="696"/>
      <c r="BH13" s="696">
        <f t="shared" si="11"/>
        <v>0</v>
      </c>
      <c r="BI13" s="696"/>
      <c r="BJ13" s="696"/>
      <c r="BK13" s="696"/>
      <c r="BL13" s="696"/>
      <c r="BM13" s="696"/>
      <c r="BN13" s="696"/>
      <c r="BO13" s="696"/>
      <c r="BP13" s="696">
        <v>489</v>
      </c>
      <c r="BQ13" s="696">
        <v>100</v>
      </c>
      <c r="BR13" s="696">
        <v>100</v>
      </c>
      <c r="BS13" s="697"/>
      <c r="BT13" s="696">
        <f t="shared" si="12"/>
        <v>200</v>
      </c>
      <c r="BU13" s="696"/>
      <c r="BV13" s="696"/>
      <c r="BW13" s="696"/>
      <c r="BX13" s="696"/>
      <c r="BY13" s="696"/>
      <c r="BZ13" s="696">
        <f t="shared" si="13"/>
        <v>0</v>
      </c>
      <c r="CA13" s="696">
        <f t="shared" si="14"/>
        <v>103611</v>
      </c>
      <c r="CB13" s="696">
        <f t="shared" si="15"/>
        <v>5094</v>
      </c>
      <c r="CC13" s="698"/>
    </row>
    <row r="14" spans="1:81" s="5" customFormat="1">
      <c r="A14" s="462">
        <f>'1-συμβολαια'!A14</f>
        <v>0</v>
      </c>
      <c r="B14" s="572"/>
      <c r="C14" s="506" t="str">
        <f>'1-συμβολαια'!C14</f>
        <v>χρησικτησία αγροτεμαχίων = 1912 πατρός ΔΩΡΕΑ άτυπος</v>
      </c>
      <c r="D14" s="406">
        <f>'5-αντίγρ'!AN14</f>
        <v>0</v>
      </c>
      <c r="E14" s="406">
        <f>'5-αντίγρ'!AM14</f>
        <v>0</v>
      </c>
      <c r="F14" s="280">
        <f>'6-μεταγρ'!P14</f>
        <v>0</v>
      </c>
      <c r="G14" s="280">
        <f>'6-μεταγρ'!N14+'6-μεταγρ'!O14</f>
        <v>0</v>
      </c>
      <c r="H14" s="281">
        <f>'6-μεταγρ'!Q14</f>
        <v>0</v>
      </c>
      <c r="I14" s="280">
        <f>'7-προςΔΟΥ'!V14</f>
        <v>40400</v>
      </c>
      <c r="J14" s="280">
        <f>'7-προςΔΟΥ'!L14</f>
        <v>605</v>
      </c>
      <c r="K14" s="281"/>
      <c r="L14" s="281"/>
      <c r="M14" s="281"/>
      <c r="N14" s="281"/>
      <c r="O14" s="281"/>
      <c r="P14" s="281"/>
      <c r="Q14" s="281"/>
      <c r="R14" s="281"/>
      <c r="S14" s="281"/>
      <c r="T14" s="281"/>
      <c r="U14" s="281"/>
      <c r="V14" s="281"/>
      <c r="W14" s="281"/>
      <c r="X14" s="281"/>
      <c r="Y14" s="281"/>
      <c r="Z14" s="281"/>
      <c r="AA14" s="281"/>
      <c r="AB14" s="281"/>
      <c r="AC14" s="281"/>
      <c r="AD14" s="281"/>
      <c r="AE14" s="281"/>
      <c r="AF14" s="281"/>
      <c r="AG14" s="281"/>
      <c r="AH14" s="281"/>
      <c r="AI14" s="281">
        <f t="shared" si="8"/>
        <v>0</v>
      </c>
      <c r="AJ14" s="281"/>
      <c r="AK14" s="281"/>
      <c r="AL14" s="281"/>
      <c r="AM14" s="281"/>
      <c r="AN14" s="281"/>
      <c r="AO14" s="281"/>
      <c r="AP14" s="281"/>
      <c r="AQ14" s="281"/>
      <c r="AR14" s="281"/>
      <c r="AS14" s="281"/>
      <c r="AT14" s="281"/>
      <c r="AU14" s="281"/>
      <c r="AV14" s="281"/>
      <c r="AW14" s="281"/>
      <c r="AX14" s="281">
        <f t="shared" si="9"/>
        <v>0</v>
      </c>
      <c r="AY14" s="281">
        <f>2000+3*1100</f>
        <v>5300</v>
      </c>
      <c r="AZ14" s="281"/>
      <c r="BA14" s="281">
        <f>2000+3*1100</f>
        <v>5300</v>
      </c>
      <c r="BB14" s="281"/>
      <c r="BC14" s="281"/>
      <c r="BD14" s="281">
        <f t="shared" si="10"/>
        <v>10600</v>
      </c>
      <c r="BE14" s="281"/>
      <c r="BF14" s="281"/>
      <c r="BG14" s="281"/>
      <c r="BH14" s="281">
        <f t="shared" si="11"/>
        <v>0</v>
      </c>
      <c r="BI14" s="281"/>
      <c r="BJ14" s="281"/>
      <c r="BK14" s="281"/>
      <c r="BL14" s="281"/>
      <c r="BM14" s="281"/>
      <c r="BN14" s="281"/>
      <c r="BO14" s="281"/>
      <c r="BP14" s="281"/>
      <c r="BQ14" s="281"/>
      <c r="BR14" s="281"/>
      <c r="BS14" s="502"/>
      <c r="BT14" s="281">
        <f t="shared" si="12"/>
        <v>0</v>
      </c>
      <c r="BU14" s="281"/>
      <c r="BV14" s="281"/>
      <c r="BW14" s="281"/>
      <c r="BX14" s="281"/>
      <c r="BY14" s="281"/>
      <c r="BZ14" s="281">
        <f t="shared" si="13"/>
        <v>0</v>
      </c>
      <c r="CA14" s="281">
        <f t="shared" si="14"/>
        <v>51000</v>
      </c>
      <c r="CB14" s="281">
        <f t="shared" si="15"/>
        <v>605</v>
      </c>
      <c r="CC14" s="336"/>
    </row>
    <row r="15" spans="1:81" s="5" customFormat="1">
      <c r="A15" s="409">
        <f>'1-συμβολαια'!A15</f>
        <v>0</v>
      </c>
      <c r="B15" s="441"/>
      <c r="C15" s="332" t="str">
        <f>'1-συμβολαια'!C15</f>
        <v>χρησικτησία αγροτεμαχίων = 1920 ΔΙΑΝΟΜΗ άτυπος</v>
      </c>
      <c r="D15" s="406">
        <f>'5-αντίγρ'!AN15</f>
        <v>0</v>
      </c>
      <c r="E15" s="406">
        <f>'5-αντίγρ'!AM15</f>
        <v>0</v>
      </c>
      <c r="F15" s="280">
        <f>'6-μεταγρ'!P15</f>
        <v>0</v>
      </c>
      <c r="G15" s="280">
        <f>'6-μεταγρ'!N15+'6-μεταγρ'!O15</f>
        <v>3200</v>
      </c>
      <c r="H15" s="281">
        <f>'6-μεταγρ'!Q15</f>
        <v>0</v>
      </c>
      <c r="I15" s="280">
        <f>'7-προςΔΟΥ'!V15</f>
        <v>40400</v>
      </c>
      <c r="J15" s="280">
        <f>'7-προςΔΟΥ'!L15</f>
        <v>605</v>
      </c>
      <c r="K15" s="279"/>
      <c r="L15" s="279"/>
      <c r="M15" s="279"/>
      <c r="N15" s="279"/>
      <c r="O15" s="279"/>
      <c r="P15" s="279"/>
      <c r="Q15" s="279"/>
      <c r="R15" s="279"/>
      <c r="S15" s="279"/>
      <c r="T15" s="279"/>
      <c r="U15" s="279"/>
      <c r="V15" s="279"/>
      <c r="W15" s="279"/>
      <c r="X15" s="279"/>
      <c r="Y15" s="279"/>
      <c r="Z15" s="279"/>
      <c r="AA15" s="279"/>
      <c r="AB15" s="279"/>
      <c r="AC15" s="279"/>
      <c r="AD15" s="279"/>
      <c r="AE15" s="279"/>
      <c r="AF15" s="279"/>
      <c r="AG15" s="279"/>
      <c r="AH15" s="279"/>
      <c r="AI15" s="279">
        <f t="shared" ref="AI15:AI16" si="17">SUM(K15:AH15)-AC15-AE15</f>
        <v>0</v>
      </c>
      <c r="AJ15" s="279"/>
      <c r="AK15" s="279"/>
      <c r="AL15" s="279"/>
      <c r="AM15" s="279"/>
      <c r="AN15" s="279"/>
      <c r="AO15" s="279"/>
      <c r="AP15" s="279"/>
      <c r="AQ15" s="279"/>
      <c r="AR15" s="279"/>
      <c r="AS15" s="279"/>
      <c r="AT15" s="279"/>
      <c r="AU15" s="279"/>
      <c r="AV15" s="279"/>
      <c r="AW15" s="279"/>
      <c r="AX15" s="279">
        <f t="shared" ref="AX15:AX16" si="18">SUM(AK15:AW15)</f>
        <v>0</v>
      </c>
      <c r="AY15" s="279"/>
      <c r="AZ15" s="279"/>
      <c r="BA15" s="279"/>
      <c r="BB15" s="279"/>
      <c r="BC15" s="279"/>
      <c r="BD15" s="279">
        <f t="shared" ref="BD15:BD16" si="19">SUM(AY15:BC15)</f>
        <v>0</v>
      </c>
      <c r="BE15" s="279"/>
      <c r="BF15" s="279"/>
      <c r="BG15" s="279"/>
      <c r="BH15" s="279">
        <f t="shared" ref="BH15:BH16" si="20">SUM(BE15:BG15)</f>
        <v>0</v>
      </c>
      <c r="BI15" s="279"/>
      <c r="BJ15" s="279"/>
      <c r="BK15" s="279"/>
      <c r="BL15" s="279"/>
      <c r="BM15" s="279"/>
      <c r="BN15" s="279"/>
      <c r="BO15" s="279"/>
      <c r="BP15" s="279"/>
      <c r="BQ15" s="279"/>
      <c r="BR15" s="279"/>
      <c r="BS15" s="276"/>
      <c r="BT15" s="279">
        <f t="shared" ref="BT15:BT16" si="21">SUM(BI15:BS15)-BP15</f>
        <v>0</v>
      </c>
      <c r="BU15" s="281"/>
      <c r="BV15" s="281"/>
      <c r="BW15" s="281"/>
      <c r="BX15" s="281"/>
      <c r="BY15" s="281"/>
      <c r="BZ15" s="281">
        <f t="shared" ref="BZ15:BZ16" si="22">SUM(BU15:BY15)</f>
        <v>0</v>
      </c>
      <c r="CA15" s="281">
        <f t="shared" ref="CA15:CA16" si="23">D15+F15+I15+AI15-AC15-AE15+AX15+BD15+BH15+BT15-BP15+BZ15-BY15</f>
        <v>40400</v>
      </c>
      <c r="CB15" s="281">
        <f t="shared" ref="CB15:CB16" si="24">E15+G15+J15+AC15+AE15+BP15+BY15</f>
        <v>3805</v>
      </c>
      <c r="CC15" s="322"/>
    </row>
    <row r="16" spans="1:81" s="5" customFormat="1" ht="12" thickBot="1">
      <c r="A16" s="423">
        <f>'1-συμβολαια'!A16</f>
        <v>0</v>
      </c>
      <c r="B16" s="573"/>
      <c r="C16" s="508" t="str">
        <f>'1-συμβολαια'!C16</f>
        <v>εξισορρόπηση διαφοράς διανεμομένων μεριδίων</v>
      </c>
      <c r="D16" s="574">
        <f>'5-αντίγρ'!AN16</f>
        <v>0</v>
      </c>
      <c r="E16" s="574">
        <f>'5-αντίγρ'!AM16</f>
        <v>0</v>
      </c>
      <c r="F16" s="575">
        <f>'6-μεταγρ'!P16</f>
        <v>0</v>
      </c>
      <c r="G16" s="575">
        <f>'6-μεταγρ'!N16+'6-μεταγρ'!O16</f>
        <v>0</v>
      </c>
      <c r="H16" s="576">
        <f>'6-μεταγρ'!Q16</f>
        <v>0</v>
      </c>
      <c r="I16" s="575">
        <f>'7-προςΔΟΥ'!V16</f>
        <v>0</v>
      </c>
      <c r="J16" s="575">
        <f>'7-προςΔΟΥ'!L16</f>
        <v>0</v>
      </c>
      <c r="K16" s="576"/>
      <c r="L16" s="576"/>
      <c r="M16" s="576"/>
      <c r="N16" s="576"/>
      <c r="O16" s="576"/>
      <c r="P16" s="576"/>
      <c r="Q16" s="576"/>
      <c r="R16" s="576"/>
      <c r="S16" s="576"/>
      <c r="T16" s="576"/>
      <c r="U16" s="576"/>
      <c r="V16" s="576"/>
      <c r="W16" s="576"/>
      <c r="X16" s="576"/>
      <c r="Y16" s="576"/>
      <c r="Z16" s="576"/>
      <c r="AA16" s="576"/>
      <c r="AB16" s="576"/>
      <c r="AC16" s="576"/>
      <c r="AD16" s="576"/>
      <c r="AE16" s="576"/>
      <c r="AF16" s="576"/>
      <c r="AG16" s="576"/>
      <c r="AH16" s="576"/>
      <c r="AI16" s="576">
        <f t="shared" si="17"/>
        <v>0</v>
      </c>
      <c r="AJ16" s="576"/>
      <c r="AK16" s="576"/>
      <c r="AL16" s="576"/>
      <c r="AM16" s="576"/>
      <c r="AN16" s="576"/>
      <c r="AO16" s="576"/>
      <c r="AP16" s="576"/>
      <c r="AQ16" s="576"/>
      <c r="AR16" s="576"/>
      <c r="AS16" s="576"/>
      <c r="AT16" s="576"/>
      <c r="AU16" s="576"/>
      <c r="AV16" s="576"/>
      <c r="AW16" s="576"/>
      <c r="AX16" s="576">
        <f t="shared" si="18"/>
        <v>0</v>
      </c>
      <c r="AY16" s="576"/>
      <c r="AZ16" s="576"/>
      <c r="BA16" s="576"/>
      <c r="BB16" s="576"/>
      <c r="BC16" s="576"/>
      <c r="BD16" s="576">
        <f t="shared" si="19"/>
        <v>0</v>
      </c>
      <c r="BE16" s="576"/>
      <c r="BF16" s="576"/>
      <c r="BG16" s="576"/>
      <c r="BH16" s="576">
        <f t="shared" si="20"/>
        <v>0</v>
      </c>
      <c r="BI16" s="576"/>
      <c r="BJ16" s="576"/>
      <c r="BK16" s="576"/>
      <c r="BL16" s="576"/>
      <c r="BM16" s="576"/>
      <c r="BN16" s="576"/>
      <c r="BO16" s="576"/>
      <c r="BP16" s="576"/>
      <c r="BQ16" s="576"/>
      <c r="BR16" s="576"/>
      <c r="BS16" s="503"/>
      <c r="BT16" s="576">
        <f t="shared" si="21"/>
        <v>0</v>
      </c>
      <c r="BU16" s="576"/>
      <c r="BV16" s="576"/>
      <c r="BW16" s="576"/>
      <c r="BX16" s="576"/>
      <c r="BY16" s="576"/>
      <c r="BZ16" s="576">
        <f t="shared" si="22"/>
        <v>0</v>
      </c>
      <c r="CA16" s="576">
        <f t="shared" si="23"/>
        <v>0</v>
      </c>
      <c r="CB16" s="576">
        <f t="shared" si="24"/>
        <v>0</v>
      </c>
      <c r="CC16" s="428"/>
    </row>
    <row r="17" spans="1:81" s="8" customFormat="1">
      <c r="A17" s="899" t="s">
        <v>47</v>
      </c>
      <c r="B17" s="900"/>
      <c r="C17" s="900"/>
      <c r="D17" s="149">
        <f t="shared" ref="D17:AI17" si="25">SUM(D3:D16)</f>
        <v>57800</v>
      </c>
      <c r="E17" s="149">
        <f t="shared" si="25"/>
        <v>4000</v>
      </c>
      <c r="F17" s="149">
        <f t="shared" si="25"/>
        <v>12000</v>
      </c>
      <c r="G17" s="149">
        <f t="shared" si="25"/>
        <v>22400</v>
      </c>
      <c r="H17" s="149">
        <f t="shared" si="25"/>
        <v>0</v>
      </c>
      <c r="I17" s="149">
        <f t="shared" si="25"/>
        <v>241200</v>
      </c>
      <c r="J17" s="149">
        <f t="shared" si="25"/>
        <v>4840</v>
      </c>
      <c r="K17" s="149">
        <f t="shared" si="25"/>
        <v>12400</v>
      </c>
      <c r="L17" s="149">
        <f t="shared" si="25"/>
        <v>0</v>
      </c>
      <c r="M17" s="149">
        <f t="shared" si="25"/>
        <v>0</v>
      </c>
      <c r="N17" s="149">
        <f t="shared" si="25"/>
        <v>0</v>
      </c>
      <c r="O17" s="149">
        <f t="shared" si="25"/>
        <v>0</v>
      </c>
      <c r="P17" s="149">
        <f t="shared" si="25"/>
        <v>1100</v>
      </c>
      <c r="Q17" s="149">
        <f t="shared" si="25"/>
        <v>0</v>
      </c>
      <c r="R17" s="149">
        <f t="shared" si="25"/>
        <v>0</v>
      </c>
      <c r="S17" s="149">
        <f t="shared" si="25"/>
        <v>0</v>
      </c>
      <c r="T17" s="149">
        <f t="shared" si="25"/>
        <v>7300</v>
      </c>
      <c r="U17" s="149">
        <f t="shared" si="25"/>
        <v>4400</v>
      </c>
      <c r="V17" s="149">
        <f t="shared" si="25"/>
        <v>3300</v>
      </c>
      <c r="W17" s="149">
        <f t="shared" si="25"/>
        <v>0</v>
      </c>
      <c r="X17" s="149">
        <f t="shared" si="25"/>
        <v>0</v>
      </c>
      <c r="Y17" s="149">
        <f t="shared" si="25"/>
        <v>0</v>
      </c>
      <c r="Z17" s="149">
        <f t="shared" si="25"/>
        <v>24400</v>
      </c>
      <c r="AA17" s="149">
        <f t="shared" si="25"/>
        <v>0</v>
      </c>
      <c r="AB17" s="149">
        <f t="shared" si="25"/>
        <v>0</v>
      </c>
      <c r="AC17" s="149">
        <f t="shared" si="25"/>
        <v>0</v>
      </c>
      <c r="AD17" s="149">
        <f t="shared" si="25"/>
        <v>0</v>
      </c>
      <c r="AE17" s="149">
        <f t="shared" si="25"/>
        <v>0</v>
      </c>
      <c r="AF17" s="149">
        <f t="shared" si="25"/>
        <v>0</v>
      </c>
      <c r="AG17" s="149">
        <f t="shared" si="25"/>
        <v>0</v>
      </c>
      <c r="AH17" s="149">
        <f t="shared" si="25"/>
        <v>0</v>
      </c>
      <c r="AI17" s="149">
        <f t="shared" si="25"/>
        <v>52900</v>
      </c>
      <c r="AJ17" s="149"/>
      <c r="AK17" s="149">
        <f t="shared" ref="AK17:CB17" si="26">SUM(AK3:AK16)</f>
        <v>8800</v>
      </c>
      <c r="AL17" s="149">
        <f t="shared" si="26"/>
        <v>13200</v>
      </c>
      <c r="AM17" s="149">
        <f t="shared" si="26"/>
        <v>16500</v>
      </c>
      <c r="AN17" s="149">
        <f t="shared" si="26"/>
        <v>0</v>
      </c>
      <c r="AO17" s="149">
        <f t="shared" si="26"/>
        <v>0</v>
      </c>
      <c r="AP17" s="413">
        <f t="shared" si="26"/>
        <v>0</v>
      </c>
      <c r="AQ17" s="149">
        <f t="shared" si="26"/>
        <v>0</v>
      </c>
      <c r="AR17" s="149">
        <f t="shared" si="26"/>
        <v>4400</v>
      </c>
      <c r="AS17" s="149">
        <f t="shared" si="26"/>
        <v>13200</v>
      </c>
      <c r="AT17" s="149">
        <f t="shared" si="26"/>
        <v>0</v>
      </c>
      <c r="AU17" s="149">
        <f t="shared" si="26"/>
        <v>0</v>
      </c>
      <c r="AV17" s="149">
        <f t="shared" si="26"/>
        <v>0</v>
      </c>
      <c r="AW17" s="149">
        <f t="shared" si="26"/>
        <v>0</v>
      </c>
      <c r="AX17" s="149">
        <f t="shared" si="26"/>
        <v>56100</v>
      </c>
      <c r="AY17" s="149">
        <f t="shared" si="26"/>
        <v>30800</v>
      </c>
      <c r="AZ17" s="414">
        <f t="shared" si="26"/>
        <v>0</v>
      </c>
      <c r="BA17" s="149">
        <f t="shared" si="26"/>
        <v>30800</v>
      </c>
      <c r="BB17" s="414">
        <f t="shared" si="26"/>
        <v>0</v>
      </c>
      <c r="BC17" s="414">
        <f t="shared" si="26"/>
        <v>0</v>
      </c>
      <c r="BD17" s="149">
        <f t="shared" si="26"/>
        <v>61600</v>
      </c>
      <c r="BE17" s="149">
        <f t="shared" si="26"/>
        <v>0</v>
      </c>
      <c r="BF17" s="414">
        <f t="shared" si="26"/>
        <v>0</v>
      </c>
      <c r="BG17" s="149">
        <f t="shared" si="26"/>
        <v>0</v>
      </c>
      <c r="BH17" s="149">
        <f t="shared" si="26"/>
        <v>0</v>
      </c>
      <c r="BI17" s="149">
        <f t="shared" si="26"/>
        <v>0</v>
      </c>
      <c r="BJ17" s="149">
        <f t="shared" si="26"/>
        <v>0</v>
      </c>
      <c r="BK17" s="149">
        <f t="shared" si="26"/>
        <v>0</v>
      </c>
      <c r="BL17" s="149">
        <f t="shared" si="26"/>
        <v>0</v>
      </c>
      <c r="BM17" s="149">
        <f t="shared" si="26"/>
        <v>0</v>
      </c>
      <c r="BN17" s="149">
        <f t="shared" si="26"/>
        <v>0</v>
      </c>
      <c r="BO17" s="149">
        <f t="shared" si="26"/>
        <v>0</v>
      </c>
      <c r="BP17" s="149">
        <f t="shared" si="26"/>
        <v>1467</v>
      </c>
      <c r="BQ17" s="149">
        <f t="shared" si="26"/>
        <v>500</v>
      </c>
      <c r="BR17" s="149">
        <f t="shared" si="26"/>
        <v>750</v>
      </c>
      <c r="BS17" s="149">
        <f t="shared" si="26"/>
        <v>0</v>
      </c>
      <c r="BT17" s="149">
        <f t="shared" si="26"/>
        <v>1250</v>
      </c>
      <c r="BU17" s="149">
        <f t="shared" si="26"/>
        <v>0</v>
      </c>
      <c r="BV17" s="149">
        <f t="shared" si="26"/>
        <v>0</v>
      </c>
      <c r="BW17" s="149">
        <f t="shared" si="26"/>
        <v>0</v>
      </c>
      <c r="BX17" s="149">
        <f t="shared" si="26"/>
        <v>0</v>
      </c>
      <c r="BY17" s="149">
        <f t="shared" si="26"/>
        <v>0</v>
      </c>
      <c r="BZ17" s="149">
        <f t="shared" si="26"/>
        <v>0</v>
      </c>
      <c r="CA17" s="149">
        <f t="shared" si="26"/>
        <v>481383</v>
      </c>
      <c r="CB17" s="149">
        <f t="shared" si="26"/>
        <v>32707</v>
      </c>
      <c r="CC17" s="414"/>
    </row>
    <row r="18" spans="1:81" ht="11.25" customHeight="1"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8"/>
      <c r="BU18" s="2"/>
      <c r="BV18" s="2"/>
      <c r="BW18" s="2"/>
      <c r="BX18" s="2"/>
      <c r="BY18" s="2"/>
      <c r="BZ18" s="2"/>
      <c r="CA18" s="8"/>
      <c r="CB18" s="8"/>
      <c r="CC18" s="2"/>
    </row>
    <row r="19" spans="1:81" ht="11.25" customHeight="1">
      <c r="D19" s="126"/>
      <c r="E19" s="126"/>
      <c r="F19" s="2"/>
      <c r="G19" s="2"/>
      <c r="H19" s="2"/>
      <c r="I19" s="2"/>
      <c r="J19" s="2"/>
      <c r="K19" s="156" t="s">
        <v>433</v>
      </c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2"/>
      <c r="AJ19" s="2"/>
      <c r="AK19" s="18" t="s">
        <v>444</v>
      </c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147" t="s">
        <v>185</v>
      </c>
      <c r="AZ19" s="2"/>
      <c r="BA19" s="2"/>
      <c r="BB19" s="2"/>
      <c r="BC19" s="2"/>
      <c r="BD19" s="2"/>
      <c r="BE19" s="147" t="s">
        <v>197</v>
      </c>
      <c r="BF19" s="2"/>
      <c r="BG19" s="2"/>
      <c r="BH19" s="2"/>
      <c r="BI19" s="147" t="s">
        <v>209</v>
      </c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8"/>
      <c r="BU19" s="2" t="s">
        <v>511</v>
      </c>
      <c r="BV19" s="2"/>
      <c r="BW19" s="2"/>
      <c r="BX19" s="2"/>
      <c r="BY19" s="2"/>
      <c r="BZ19" s="2"/>
      <c r="CA19" s="8"/>
      <c r="CB19" s="8"/>
      <c r="CC19" s="2"/>
    </row>
    <row r="20" spans="1:81" ht="11.25" customHeight="1">
      <c r="C20" s="91"/>
      <c r="D20" s="78" t="s">
        <v>580</v>
      </c>
      <c r="E20" s="126"/>
      <c r="F20" s="2"/>
      <c r="G20" s="2"/>
      <c r="H20" s="2"/>
      <c r="I20" s="2"/>
      <c r="J20" s="2"/>
      <c r="K20" s="4"/>
      <c r="L20" s="156" t="s">
        <v>434</v>
      </c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2"/>
      <c r="AJ20" s="2"/>
      <c r="AK20" s="2"/>
      <c r="AL20" s="156" t="s">
        <v>180</v>
      </c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47" t="s">
        <v>188</v>
      </c>
      <c r="BA20" s="2"/>
      <c r="BB20" s="2"/>
      <c r="BC20" s="2"/>
      <c r="BD20" s="2"/>
      <c r="BE20" s="2"/>
      <c r="BF20" s="246" t="s">
        <v>198</v>
      </c>
      <c r="BG20" s="2"/>
      <c r="BH20" s="2"/>
      <c r="BI20" s="2"/>
      <c r="BJ20" s="168" t="s">
        <v>212</v>
      </c>
      <c r="BK20" s="2"/>
      <c r="BL20" s="2"/>
      <c r="BM20" s="2"/>
      <c r="BN20" s="2"/>
      <c r="BO20" s="2"/>
      <c r="BP20" s="2"/>
      <c r="BQ20" s="2"/>
      <c r="BR20" s="2"/>
      <c r="BS20" s="2"/>
      <c r="BT20" s="8"/>
      <c r="BU20" s="2"/>
      <c r="BV20" s="2" t="s">
        <v>512</v>
      </c>
      <c r="BW20" s="2"/>
      <c r="BX20" s="2"/>
      <c r="BY20" s="2"/>
      <c r="BZ20" s="2"/>
      <c r="CA20" s="8"/>
      <c r="CB20" s="8"/>
      <c r="CC20" s="2"/>
    </row>
    <row r="21" spans="1:81" ht="11.25" customHeight="1">
      <c r="C21" s="91"/>
      <c r="D21" s="78" t="s">
        <v>538</v>
      </c>
      <c r="E21" s="8"/>
      <c r="F21" s="8"/>
      <c r="G21" s="2"/>
      <c r="H21" s="2"/>
      <c r="I21" s="2"/>
      <c r="J21" s="2"/>
      <c r="K21" s="4"/>
      <c r="L21" s="4"/>
      <c r="M21" s="156" t="s">
        <v>435</v>
      </c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2"/>
      <c r="AJ21" s="2"/>
      <c r="AK21" s="2"/>
      <c r="AL21" s="2"/>
      <c r="AM21" s="18" t="s">
        <v>445</v>
      </c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147" t="s">
        <v>186</v>
      </c>
      <c r="BB21" s="2"/>
      <c r="BC21" s="2"/>
      <c r="BD21" s="2"/>
      <c r="BE21" s="2"/>
      <c r="BF21" s="2"/>
      <c r="BG21" s="147" t="s">
        <v>199</v>
      </c>
      <c r="BH21" s="2"/>
      <c r="BI21" s="2"/>
      <c r="BJ21" s="2"/>
      <c r="BK21" s="147" t="s">
        <v>213</v>
      </c>
      <c r="BL21" s="2"/>
      <c r="BM21" s="2"/>
      <c r="BN21" s="2"/>
      <c r="BO21" s="2"/>
      <c r="BP21" s="2"/>
      <c r="BQ21" s="2"/>
      <c r="BR21" s="2"/>
      <c r="BS21" s="2"/>
      <c r="BT21" s="8"/>
      <c r="BU21" s="2"/>
      <c r="BV21" s="2"/>
      <c r="BW21" s="2" t="s">
        <v>31</v>
      </c>
      <c r="BX21" s="2"/>
      <c r="BY21" s="2"/>
      <c r="BZ21" s="2"/>
      <c r="CA21" s="8"/>
      <c r="CB21" s="8"/>
      <c r="CC21" s="2"/>
    </row>
    <row r="22" spans="1:81" ht="11.25" customHeight="1">
      <c r="C22" s="91"/>
      <c r="D22" s="78" t="s">
        <v>557</v>
      </c>
      <c r="E22" s="8"/>
      <c r="F22" s="8"/>
      <c r="G22" s="2"/>
      <c r="H22" s="2"/>
      <c r="I22" s="8"/>
      <c r="J22" s="8"/>
      <c r="K22" s="4"/>
      <c r="L22" s="4"/>
      <c r="M22" s="4"/>
      <c r="N22" s="170" t="s">
        <v>436</v>
      </c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2"/>
      <c r="AJ22" s="2"/>
      <c r="AK22" s="2"/>
      <c r="AL22" s="2"/>
      <c r="AM22" s="2"/>
      <c r="AN22" s="114" t="s">
        <v>446</v>
      </c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8">
        <v>2000</v>
      </c>
      <c r="AZ22" s="2"/>
      <c r="BA22" s="2"/>
      <c r="BB22" s="247" t="s">
        <v>187</v>
      </c>
      <c r="BC22" s="2"/>
      <c r="BD22" s="2"/>
      <c r="BE22" s="2"/>
      <c r="BF22" s="2"/>
      <c r="BG22" s="2"/>
      <c r="BH22" s="2"/>
      <c r="BI22" s="2"/>
      <c r="BJ22" s="2"/>
      <c r="BK22" s="2"/>
      <c r="BL22" s="168" t="s">
        <v>215</v>
      </c>
      <c r="BM22" s="2"/>
      <c r="BN22" s="2"/>
      <c r="BO22" s="2"/>
      <c r="BP22" s="2"/>
      <c r="BQ22" s="2"/>
      <c r="BR22" s="2"/>
      <c r="BS22" s="2"/>
      <c r="BT22" s="8"/>
      <c r="BU22" s="2"/>
      <c r="BV22" s="2"/>
      <c r="BW22" s="2"/>
      <c r="BX22" s="2" t="s">
        <v>513</v>
      </c>
      <c r="BY22" s="2"/>
      <c r="BZ22" s="2"/>
      <c r="CA22" s="8"/>
      <c r="CB22" s="8"/>
      <c r="CC22" s="2"/>
    </row>
    <row r="23" spans="1:81" ht="11.25" customHeight="1">
      <c r="C23" s="91"/>
      <c r="D23" s="78"/>
      <c r="E23" s="8"/>
      <c r="F23" s="8"/>
      <c r="G23" s="2"/>
      <c r="H23" s="2"/>
      <c r="I23" s="8"/>
      <c r="J23" s="8"/>
      <c r="K23" s="4"/>
      <c r="L23" s="4"/>
      <c r="M23" s="4"/>
      <c r="N23" s="4"/>
      <c r="O23" s="4" t="s">
        <v>437</v>
      </c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2"/>
      <c r="AJ23" s="2"/>
      <c r="AK23" s="2"/>
      <c r="AL23" s="2"/>
      <c r="AM23" s="2"/>
      <c r="AN23" s="2"/>
      <c r="AO23" s="18" t="s">
        <v>447</v>
      </c>
      <c r="AP23" s="2"/>
      <c r="AQ23" s="2"/>
      <c r="AR23" s="2"/>
      <c r="AS23" s="2"/>
      <c r="AT23" s="2"/>
      <c r="AU23" s="2"/>
      <c r="AV23" s="2"/>
      <c r="AW23" s="2"/>
      <c r="AX23" s="2"/>
      <c r="AY23" s="8">
        <v>1100</v>
      </c>
      <c r="AZ23" s="2"/>
      <c r="BA23" s="2"/>
      <c r="BB23" s="2"/>
      <c r="BC23" s="246" t="s">
        <v>194</v>
      </c>
      <c r="BD23" s="2"/>
      <c r="BE23" s="2"/>
      <c r="BF23" s="2"/>
      <c r="BG23" s="2"/>
      <c r="BH23" s="2"/>
      <c r="BI23" s="2"/>
      <c r="BJ23" s="2"/>
      <c r="BK23" s="2"/>
      <c r="BL23" s="2"/>
      <c r="BM23" s="147" t="s">
        <v>216</v>
      </c>
      <c r="BN23" s="2"/>
      <c r="BO23" s="2"/>
      <c r="BP23" s="2"/>
      <c r="BQ23" s="2"/>
      <c r="BR23" s="2"/>
      <c r="BS23" s="2"/>
      <c r="BT23" s="8"/>
      <c r="BU23" s="2"/>
      <c r="BV23" s="2"/>
      <c r="BW23" s="2"/>
      <c r="BX23" s="2"/>
      <c r="BY23" s="2" t="s">
        <v>59</v>
      </c>
      <c r="BZ23" s="2"/>
      <c r="CA23" s="8"/>
      <c r="CB23" s="8"/>
    </row>
    <row r="24" spans="1:81" ht="11.25" customHeight="1">
      <c r="C24" s="91"/>
      <c r="D24" s="78" t="s">
        <v>581</v>
      </c>
      <c r="E24" s="8"/>
      <c r="F24" s="8"/>
      <c r="G24" s="2"/>
      <c r="H24" s="2"/>
      <c r="I24" s="8"/>
      <c r="J24" s="8"/>
      <c r="K24" s="4"/>
      <c r="L24" s="4"/>
      <c r="M24" s="4"/>
      <c r="N24" s="4"/>
      <c r="O24" s="4"/>
      <c r="P24" s="4" t="s">
        <v>492</v>
      </c>
      <c r="Q24" s="4"/>
      <c r="R24" s="4"/>
      <c r="S24" s="4"/>
      <c r="T24" s="4"/>
      <c r="U24" s="170"/>
      <c r="V24" s="170"/>
      <c r="W24" s="170"/>
      <c r="X24" s="170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2"/>
      <c r="AJ24" s="2"/>
      <c r="AK24" s="2"/>
      <c r="AL24" s="2"/>
      <c r="AM24" s="2"/>
      <c r="AN24" s="2"/>
      <c r="AO24" s="2"/>
      <c r="AP24" s="245" t="s">
        <v>448</v>
      </c>
      <c r="AQ24" s="114"/>
      <c r="AR24" s="114"/>
      <c r="AS24" s="114"/>
      <c r="AT24" s="114"/>
      <c r="AU24" s="114"/>
      <c r="AV24" s="114"/>
      <c r="AW24" s="114"/>
      <c r="AX24" s="2"/>
      <c r="AY24" s="2"/>
      <c r="AZ24" s="2"/>
      <c r="BA24" s="2"/>
      <c r="BB24" s="2"/>
      <c r="BC24" s="2"/>
      <c r="BD24" s="2"/>
      <c r="BE24" s="2"/>
      <c r="BF24" s="2"/>
      <c r="BG24" s="147" t="s">
        <v>205</v>
      </c>
      <c r="BH24" s="2"/>
      <c r="BI24" s="2"/>
      <c r="BJ24" s="2"/>
      <c r="BK24" s="2"/>
      <c r="BL24" s="2"/>
      <c r="BM24" s="2"/>
      <c r="BN24" s="168" t="s">
        <v>217</v>
      </c>
      <c r="BO24" s="2"/>
      <c r="BP24" s="2"/>
      <c r="BQ24" s="2"/>
      <c r="BR24" s="2"/>
      <c r="BS24" s="2"/>
      <c r="BT24" s="8"/>
      <c r="BU24" s="2"/>
      <c r="BV24" s="2"/>
      <c r="BW24" s="2"/>
      <c r="BX24" s="2"/>
      <c r="BY24" s="2"/>
      <c r="BZ24" s="2"/>
      <c r="CA24" s="8"/>
      <c r="CB24" s="8"/>
    </row>
    <row r="25" spans="1:81">
      <c r="C25" s="91"/>
      <c r="D25" s="78" t="s">
        <v>537</v>
      </c>
      <c r="E25" s="8"/>
      <c r="F25" s="8"/>
      <c r="G25" s="2"/>
      <c r="H25" s="2"/>
      <c r="I25" s="8"/>
      <c r="J25" s="8"/>
      <c r="K25" s="4"/>
      <c r="L25" s="4"/>
      <c r="M25" s="4"/>
      <c r="N25" s="4"/>
      <c r="O25" s="4"/>
      <c r="P25" s="4"/>
      <c r="Q25" s="4" t="s">
        <v>542</v>
      </c>
      <c r="R25" s="4"/>
      <c r="S25" s="4"/>
      <c r="T25" s="170"/>
      <c r="U25" s="170"/>
      <c r="V25" s="170"/>
      <c r="W25" s="170"/>
      <c r="X25" s="170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2"/>
      <c r="AJ25" s="2"/>
      <c r="AK25" s="2"/>
      <c r="AL25" s="2"/>
      <c r="AM25" s="2"/>
      <c r="AN25" s="2"/>
      <c r="AO25" s="2"/>
      <c r="AP25" s="2"/>
      <c r="AQ25" s="155" t="s">
        <v>449</v>
      </c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47" t="s">
        <v>203</v>
      </c>
      <c r="BH25" s="2"/>
      <c r="BI25" s="2"/>
      <c r="BJ25" s="2"/>
      <c r="BK25" s="2"/>
      <c r="BL25" s="2"/>
      <c r="BM25" s="2"/>
      <c r="BN25" s="2"/>
      <c r="BO25" s="147" t="s">
        <v>218</v>
      </c>
      <c r="BP25" s="2"/>
      <c r="BQ25" s="2"/>
      <c r="BR25" s="2"/>
      <c r="BS25" s="2"/>
      <c r="BT25" s="8"/>
      <c r="BU25" s="2"/>
      <c r="BV25" s="2"/>
      <c r="BW25" s="2"/>
      <c r="BX25" s="2"/>
      <c r="BY25" s="2"/>
      <c r="BZ25" s="2"/>
      <c r="CA25" s="8"/>
      <c r="CB25" s="8"/>
    </row>
    <row r="26" spans="1:81">
      <c r="C26" s="91"/>
      <c r="D26" s="78" t="s">
        <v>535</v>
      </c>
      <c r="E26" s="8"/>
      <c r="F26" s="8"/>
      <c r="G26" s="2"/>
      <c r="H26" s="2"/>
      <c r="I26" s="8"/>
      <c r="J26" s="8"/>
      <c r="K26" s="4"/>
      <c r="L26" s="4"/>
      <c r="M26" s="4"/>
      <c r="N26" s="4"/>
      <c r="O26" s="4"/>
      <c r="P26" s="4"/>
      <c r="Q26" s="4"/>
      <c r="R26" s="4" t="s">
        <v>543</v>
      </c>
      <c r="S26" s="4"/>
      <c r="T26" s="4"/>
      <c r="U26" s="147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2"/>
      <c r="AJ26" s="2"/>
      <c r="AK26" s="2"/>
      <c r="AL26" s="2"/>
      <c r="AM26" s="2"/>
      <c r="AN26" s="2"/>
      <c r="AO26" s="2"/>
      <c r="AP26" s="2"/>
      <c r="AQ26" s="2"/>
      <c r="AR26" s="114" t="s">
        <v>489</v>
      </c>
      <c r="AS26" s="114"/>
      <c r="AT26" s="114"/>
      <c r="AU26" s="114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147" t="s">
        <v>204</v>
      </c>
      <c r="BH26" s="2"/>
      <c r="BI26" s="2"/>
      <c r="BJ26" s="2"/>
      <c r="BK26" s="2"/>
      <c r="BL26" s="2"/>
      <c r="BM26" s="2"/>
      <c r="BN26" s="2"/>
      <c r="BO26" s="2"/>
      <c r="BP26" s="168" t="s">
        <v>284</v>
      </c>
      <c r="BQ26" s="168"/>
      <c r="BR26" s="168"/>
      <c r="BS26" s="2"/>
      <c r="BT26" s="8"/>
      <c r="BU26" s="2"/>
      <c r="BV26" s="2"/>
      <c r="BW26" s="2"/>
      <c r="BX26" s="2"/>
      <c r="BY26" s="2"/>
      <c r="BZ26" s="2"/>
      <c r="CA26" s="8"/>
      <c r="CB26" s="8"/>
    </row>
    <row r="27" spans="1:81">
      <c r="C27" s="91"/>
      <c r="D27" s="78"/>
      <c r="E27" s="8"/>
      <c r="F27" s="8"/>
      <c r="G27" s="2"/>
      <c r="H27" s="2"/>
      <c r="I27" s="8"/>
      <c r="J27" s="8"/>
      <c r="K27" s="4"/>
      <c r="L27" s="4"/>
      <c r="M27" s="4"/>
      <c r="N27" s="4"/>
      <c r="O27" s="4"/>
      <c r="P27" s="4"/>
      <c r="Q27" s="4"/>
      <c r="R27" s="4"/>
      <c r="S27" s="147" t="s">
        <v>544</v>
      </c>
      <c r="T27" s="4"/>
      <c r="U27" s="4"/>
      <c r="V27" s="169"/>
      <c r="W27" s="170"/>
      <c r="X27" s="170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155" t="s">
        <v>490</v>
      </c>
      <c r="AT27" s="2"/>
      <c r="AU27" s="155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168" t="s">
        <v>206</v>
      </c>
      <c r="BH27" s="2"/>
      <c r="BI27" s="2"/>
      <c r="BJ27" s="2"/>
      <c r="BK27" s="2"/>
      <c r="BL27" s="2"/>
      <c r="BM27" s="2"/>
      <c r="BN27" s="2"/>
      <c r="BO27" s="2"/>
      <c r="BP27" s="2"/>
      <c r="BQ27" s="147" t="s">
        <v>478</v>
      </c>
      <c r="BR27" s="147"/>
      <c r="BS27" s="2"/>
      <c r="BT27" s="8"/>
      <c r="BU27" s="2"/>
      <c r="BV27" s="2"/>
      <c r="BW27" s="2"/>
      <c r="BX27" s="2"/>
      <c r="BY27" s="2"/>
      <c r="BZ27" s="2"/>
      <c r="CA27" s="8"/>
      <c r="CB27" s="8"/>
    </row>
    <row r="28" spans="1:81">
      <c r="C28" s="91"/>
      <c r="D28" s="78" t="s">
        <v>582</v>
      </c>
      <c r="E28" s="8"/>
      <c r="F28" s="8"/>
      <c r="G28" s="86"/>
      <c r="H28" s="86"/>
      <c r="I28" s="8"/>
      <c r="J28" s="8"/>
      <c r="K28" s="86"/>
      <c r="L28" s="86"/>
      <c r="M28" s="86"/>
      <c r="N28" s="86"/>
      <c r="O28" s="4"/>
      <c r="P28" s="4"/>
      <c r="Q28" s="4"/>
      <c r="R28" s="4"/>
      <c r="S28" s="4"/>
      <c r="T28" s="170" t="s">
        <v>438</v>
      </c>
      <c r="U28" s="170"/>
      <c r="V28" s="170"/>
      <c r="W28" s="170"/>
      <c r="X28" s="170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2"/>
      <c r="AJ28" s="2"/>
      <c r="AK28" s="2"/>
      <c r="AL28" s="2"/>
      <c r="AM28" s="86"/>
      <c r="AN28" s="86"/>
      <c r="AO28" s="86"/>
      <c r="AP28" s="86"/>
      <c r="AQ28" s="86"/>
      <c r="AR28" s="86"/>
      <c r="AS28" s="86"/>
      <c r="AT28" s="114" t="s">
        <v>514</v>
      </c>
      <c r="AU28" s="114"/>
      <c r="AV28" s="86"/>
      <c r="AW28" s="86"/>
      <c r="AX28" s="86"/>
      <c r="AY28" s="86"/>
      <c r="AZ28" s="86"/>
      <c r="BA28" s="86"/>
      <c r="BB28" s="86"/>
      <c r="BC28" s="86"/>
      <c r="BD28" s="86"/>
      <c r="BE28" s="86"/>
      <c r="BF28" s="86"/>
      <c r="BG28" s="173" t="s">
        <v>250</v>
      </c>
      <c r="BH28" s="86"/>
      <c r="BI28" s="86"/>
      <c r="BJ28" s="86"/>
      <c r="BK28" s="86"/>
      <c r="BL28" s="86"/>
      <c r="BM28" s="86"/>
      <c r="BN28" s="86"/>
      <c r="BO28" s="86"/>
      <c r="BP28" s="86"/>
      <c r="BQ28" s="86"/>
      <c r="BR28" s="170" t="s">
        <v>477</v>
      </c>
      <c r="BS28" s="86"/>
      <c r="BT28" s="357"/>
      <c r="BU28" s="86"/>
      <c r="BV28" s="86"/>
      <c r="BW28" s="86"/>
      <c r="BX28" s="86"/>
      <c r="BY28" s="86"/>
      <c r="BZ28" s="86"/>
      <c r="CA28" s="8"/>
      <c r="CB28" s="8"/>
    </row>
    <row r="29" spans="1:81">
      <c r="C29" s="91"/>
      <c r="D29" s="78" t="s">
        <v>537</v>
      </c>
      <c r="E29" s="8"/>
      <c r="F29" s="8"/>
      <c r="I29" s="8"/>
      <c r="J29" s="8"/>
      <c r="K29" s="86"/>
      <c r="L29" s="86"/>
      <c r="M29" s="86"/>
      <c r="N29" s="86"/>
      <c r="O29" s="86"/>
      <c r="P29" s="86"/>
      <c r="Q29" s="86"/>
      <c r="R29" s="86"/>
      <c r="S29" s="86"/>
      <c r="T29" s="4"/>
      <c r="U29" s="4" t="s">
        <v>459</v>
      </c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2"/>
      <c r="AJ29" s="86"/>
      <c r="AK29" s="86"/>
      <c r="AL29" s="86"/>
      <c r="AM29" s="86"/>
      <c r="AN29" s="86"/>
      <c r="AO29" s="86"/>
      <c r="AP29" s="86"/>
      <c r="AQ29" s="86"/>
      <c r="AR29" s="86"/>
      <c r="AS29" s="86"/>
      <c r="AT29" s="2"/>
      <c r="AU29" s="155" t="s">
        <v>515</v>
      </c>
      <c r="AV29" s="86"/>
      <c r="AW29" s="86"/>
      <c r="AX29" s="86"/>
      <c r="AY29" s="86"/>
      <c r="AZ29" s="86"/>
      <c r="BA29" s="86"/>
      <c r="BB29" s="86"/>
      <c r="BC29" s="86"/>
      <c r="BD29" s="86"/>
      <c r="BE29" s="86"/>
      <c r="BF29" s="86"/>
      <c r="BG29" s="174" t="s">
        <v>251</v>
      </c>
      <c r="BH29" s="86"/>
      <c r="BI29" s="86"/>
      <c r="BJ29" s="86"/>
      <c r="BK29" s="86"/>
      <c r="BL29" s="86"/>
      <c r="BM29" s="86"/>
      <c r="BN29" s="86"/>
      <c r="BO29" s="86"/>
      <c r="BP29" s="86"/>
      <c r="BQ29" s="86"/>
      <c r="BR29" s="86"/>
      <c r="BS29" s="86"/>
      <c r="BT29" s="357"/>
      <c r="BU29" s="86"/>
      <c r="BV29" s="86"/>
      <c r="BW29" s="86"/>
      <c r="BX29" s="86"/>
      <c r="BY29" s="86"/>
      <c r="BZ29" s="86"/>
      <c r="CA29" s="8"/>
      <c r="CB29" s="8"/>
    </row>
    <row r="30" spans="1:81">
      <c r="C30" s="91"/>
      <c r="D30" s="78" t="s">
        <v>535</v>
      </c>
      <c r="E30" s="8"/>
      <c r="F30" s="8"/>
      <c r="I30" s="8"/>
      <c r="J30" s="8"/>
      <c r="M30" s="86"/>
      <c r="N30" s="86"/>
      <c r="O30" s="86"/>
      <c r="P30" s="86"/>
      <c r="Q30" s="86"/>
      <c r="R30" s="86"/>
      <c r="S30" s="86"/>
      <c r="T30" s="4"/>
      <c r="U30" s="4"/>
      <c r="V30" s="442" t="s">
        <v>460</v>
      </c>
      <c r="W30" s="170"/>
      <c r="X30" s="170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2"/>
      <c r="AJ30" s="86"/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6"/>
      <c r="AZ30" s="86"/>
      <c r="BA30" s="86"/>
      <c r="BB30" s="86"/>
      <c r="BC30" s="86"/>
      <c r="BD30" s="86"/>
      <c r="BE30" s="86"/>
      <c r="BF30" s="86"/>
      <c r="BG30" s="173" t="s">
        <v>252</v>
      </c>
      <c r="BH30" s="86"/>
      <c r="BI30" s="86"/>
      <c r="BJ30" s="86"/>
      <c r="BK30" s="86"/>
      <c r="BL30" s="86"/>
      <c r="BM30" s="86"/>
      <c r="BN30" s="86"/>
      <c r="BO30" s="86"/>
      <c r="BP30" s="86"/>
      <c r="BQ30" s="86"/>
      <c r="BR30" s="86"/>
      <c r="BS30" s="86"/>
      <c r="BT30" s="357"/>
      <c r="BU30" s="86"/>
      <c r="BV30" s="86"/>
      <c r="BW30" s="86"/>
      <c r="BX30" s="86"/>
      <c r="BY30" s="86"/>
      <c r="BZ30" s="86"/>
      <c r="CA30" s="8"/>
      <c r="CB30" s="8"/>
    </row>
    <row r="31" spans="1:81">
      <c r="C31" s="91"/>
      <c r="D31" s="78"/>
      <c r="E31" s="8"/>
      <c r="F31" s="8"/>
      <c r="I31" s="8"/>
      <c r="J31" s="8"/>
      <c r="M31" s="86"/>
      <c r="N31" s="86"/>
      <c r="O31" s="86"/>
      <c r="P31" s="86"/>
      <c r="Q31" s="86"/>
      <c r="R31" s="86"/>
      <c r="S31" s="86"/>
      <c r="T31" s="4"/>
      <c r="U31" s="4"/>
      <c r="V31" s="4"/>
      <c r="W31" s="4" t="s">
        <v>486</v>
      </c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86"/>
      <c r="AJ31" s="86"/>
      <c r="AK31" s="86"/>
      <c r="AL31" s="86"/>
      <c r="AM31" s="86"/>
      <c r="AN31" s="86"/>
      <c r="AO31" s="86"/>
      <c r="AP31" s="86"/>
      <c r="AQ31" s="86"/>
      <c r="AR31" s="86"/>
      <c r="AS31" s="86"/>
      <c r="AT31" s="86"/>
      <c r="AU31" s="86"/>
      <c r="AV31" s="86"/>
      <c r="AW31" s="86"/>
      <c r="AX31" s="86"/>
      <c r="AY31" s="86"/>
      <c r="AZ31" s="86"/>
      <c r="BA31" s="86"/>
      <c r="BB31" s="86"/>
      <c r="BC31" s="86"/>
      <c r="BD31" s="86"/>
      <c r="BE31" s="86"/>
      <c r="BF31" s="86"/>
      <c r="BG31" s="86"/>
      <c r="BH31" s="86"/>
      <c r="BI31" s="86"/>
      <c r="BJ31" s="86"/>
      <c r="BK31" s="86"/>
      <c r="BL31" s="86"/>
      <c r="BM31" s="86"/>
      <c r="BN31" s="86"/>
      <c r="BO31" s="86"/>
      <c r="BP31" s="86"/>
      <c r="BQ31" s="86"/>
      <c r="BR31" s="86"/>
      <c r="BS31" s="86"/>
      <c r="BT31" s="357"/>
      <c r="BU31" s="86"/>
      <c r="BV31" s="86"/>
      <c r="BW31" s="86"/>
      <c r="BX31" s="86"/>
      <c r="BY31" s="86"/>
      <c r="BZ31" s="86"/>
      <c r="CA31" s="86"/>
      <c r="CB31" s="86"/>
    </row>
    <row r="32" spans="1:81">
      <c r="C32" s="91"/>
      <c r="D32" s="78" t="s">
        <v>583</v>
      </c>
      <c r="E32" s="8"/>
      <c r="F32" s="8"/>
      <c r="I32" s="8"/>
      <c r="J32" s="8"/>
      <c r="M32" s="86"/>
      <c r="N32" s="86"/>
      <c r="O32" s="86"/>
      <c r="P32" s="86"/>
      <c r="Q32" s="86"/>
      <c r="R32" s="86"/>
      <c r="S32" s="86"/>
      <c r="T32" s="4"/>
      <c r="U32" s="4"/>
      <c r="V32" s="4"/>
      <c r="W32" s="4"/>
      <c r="X32" s="147" t="s">
        <v>545</v>
      </c>
      <c r="Y32" s="170"/>
      <c r="Z32" s="170"/>
      <c r="AA32" s="4"/>
      <c r="AB32" s="4"/>
      <c r="AC32" s="4"/>
      <c r="AD32" s="4"/>
      <c r="AE32" s="4"/>
      <c r="AF32" s="4"/>
      <c r="AG32" s="4"/>
      <c r="AH32" s="4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86"/>
      <c r="BG32" s="86"/>
      <c r="BH32" s="86"/>
      <c r="BI32" s="86"/>
      <c r="BJ32" s="86"/>
      <c r="BK32" s="86"/>
      <c r="BL32" s="86"/>
      <c r="BM32" s="86"/>
      <c r="BN32" s="86"/>
      <c r="BO32" s="86"/>
      <c r="BP32" s="86"/>
      <c r="BQ32" s="86"/>
      <c r="BR32" s="86"/>
      <c r="BS32" s="86"/>
      <c r="BT32" s="357"/>
      <c r="BU32" s="86"/>
      <c r="BV32" s="86"/>
      <c r="BW32" s="86"/>
      <c r="BX32" s="86"/>
      <c r="BY32" s="86"/>
      <c r="BZ32" s="86"/>
      <c r="CA32" s="8"/>
      <c r="CB32" s="8"/>
    </row>
    <row r="33" spans="2:78">
      <c r="C33" s="91"/>
      <c r="D33" s="78" t="s">
        <v>538</v>
      </c>
      <c r="E33" s="8"/>
      <c r="F33" s="8"/>
      <c r="I33" s="8"/>
      <c r="J33" s="8"/>
      <c r="M33" s="86"/>
      <c r="N33" s="86"/>
      <c r="O33" s="86"/>
      <c r="P33" s="86"/>
      <c r="Q33" s="86"/>
      <c r="R33" s="86"/>
      <c r="S33" s="86"/>
      <c r="T33" s="4"/>
      <c r="U33" s="4"/>
      <c r="V33" s="4"/>
      <c r="W33" s="4"/>
      <c r="X33" s="4"/>
      <c r="Y33" s="170" t="s">
        <v>493</v>
      </c>
      <c r="Z33" s="170"/>
      <c r="AA33" s="4"/>
      <c r="AB33" s="4"/>
      <c r="AC33" s="4"/>
      <c r="AD33" s="4"/>
      <c r="AE33" s="4"/>
      <c r="AF33" s="4"/>
      <c r="AG33" s="4"/>
      <c r="AH33" s="4"/>
      <c r="AI33" s="86"/>
      <c r="AJ33" s="86"/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6"/>
      <c r="AY33" s="86"/>
      <c r="AZ33" s="86"/>
      <c r="BA33" s="86"/>
      <c r="BB33" s="86"/>
      <c r="BC33" s="86"/>
      <c r="BD33" s="86"/>
      <c r="BE33" s="86"/>
      <c r="BF33" s="86"/>
      <c r="BG33" s="86"/>
      <c r="BH33" s="86"/>
      <c r="BI33" s="86"/>
      <c r="BJ33" s="86"/>
      <c r="BK33" s="86"/>
      <c r="BL33" s="86"/>
      <c r="BM33" s="86"/>
      <c r="BN33" s="86"/>
      <c r="BO33" s="86"/>
      <c r="BP33" s="86"/>
      <c r="BQ33" s="86"/>
      <c r="BR33" s="86"/>
      <c r="BS33" s="86"/>
      <c r="BT33" s="357"/>
      <c r="BU33" s="86"/>
      <c r="BV33" s="86"/>
      <c r="BW33" s="86"/>
      <c r="BX33" s="86"/>
      <c r="BY33" s="86"/>
      <c r="BZ33" s="86"/>
    </row>
    <row r="34" spans="2:78">
      <c r="C34" s="91"/>
      <c r="D34" s="78" t="s">
        <v>535</v>
      </c>
      <c r="E34" s="8"/>
      <c r="F34" s="8"/>
      <c r="I34" s="8"/>
      <c r="J34" s="8"/>
      <c r="L34" s="3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4"/>
      <c r="Z34" s="147" t="s">
        <v>548</v>
      </c>
      <c r="AA34" s="170"/>
      <c r="AB34" s="4"/>
      <c r="AC34" s="4"/>
      <c r="AD34" s="4"/>
      <c r="AE34" s="4"/>
      <c r="AF34" s="4"/>
      <c r="AG34" s="4"/>
      <c r="AH34" s="4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6"/>
      <c r="BM34" s="86"/>
      <c r="BN34" s="86"/>
      <c r="BO34" s="86"/>
      <c r="BP34" s="86"/>
      <c r="BQ34" s="86"/>
      <c r="BR34" s="86"/>
      <c r="BS34" s="86"/>
      <c r="BT34" s="357"/>
      <c r="BU34" s="86"/>
      <c r="BV34" s="86"/>
      <c r="BW34" s="86"/>
      <c r="BX34" s="86"/>
      <c r="BY34" s="86"/>
      <c r="BZ34" s="86"/>
    </row>
    <row r="35" spans="2:78">
      <c r="C35" s="91"/>
      <c r="D35" s="78"/>
      <c r="E35" s="8"/>
      <c r="F35" s="8"/>
      <c r="I35" s="8"/>
      <c r="J35" s="8"/>
      <c r="L35" s="3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4"/>
      <c r="Z35" s="4"/>
      <c r="AA35" s="170" t="s">
        <v>439</v>
      </c>
      <c r="AB35" s="4"/>
      <c r="AC35" s="4"/>
      <c r="AD35" s="4"/>
      <c r="AE35" s="4"/>
      <c r="AF35" s="4"/>
      <c r="AG35" s="4"/>
      <c r="AH35" s="86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  <c r="BC35" s="86"/>
      <c r="BD35" s="86"/>
      <c r="BE35" s="86"/>
      <c r="BF35" s="86"/>
      <c r="BG35" s="86"/>
      <c r="BH35" s="86"/>
      <c r="BI35" s="86"/>
      <c r="BJ35" s="86"/>
      <c r="BK35" s="86"/>
      <c r="BL35" s="86"/>
      <c r="BM35" s="86"/>
      <c r="BN35" s="86"/>
      <c r="BO35" s="86"/>
      <c r="BP35" s="86"/>
      <c r="BQ35" s="86"/>
      <c r="BR35" s="86"/>
      <c r="BS35" s="86"/>
      <c r="BT35" s="357"/>
      <c r="BU35" s="86"/>
      <c r="BV35" s="86"/>
      <c r="BW35" s="86"/>
      <c r="BX35" s="86"/>
      <c r="BY35" s="86"/>
      <c r="BZ35" s="86"/>
    </row>
    <row r="36" spans="2:78">
      <c r="C36" s="91"/>
      <c r="D36" s="78" t="s">
        <v>584</v>
      </c>
      <c r="E36" s="8"/>
      <c r="F36" s="8"/>
      <c r="I36" s="8"/>
      <c r="J36" s="8"/>
      <c r="L36" s="3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4"/>
      <c r="Z36" s="4"/>
      <c r="AA36" s="4"/>
      <c r="AB36" s="147" t="s">
        <v>440</v>
      </c>
      <c r="AC36" s="4"/>
      <c r="AD36" s="4"/>
      <c r="AE36" s="4"/>
      <c r="AF36" s="4"/>
      <c r="AG36" s="86"/>
      <c r="AH36" s="86"/>
      <c r="AI36" s="86"/>
      <c r="AJ36" s="86"/>
      <c r="AK36" s="86"/>
      <c r="AL36" s="86"/>
      <c r="AM36" s="86"/>
      <c r="AN36" s="86"/>
      <c r="AO36" s="86"/>
      <c r="AP36" s="86"/>
      <c r="AQ36" s="86"/>
      <c r="AR36" s="86"/>
      <c r="AS36" s="86"/>
      <c r="AT36" s="86"/>
      <c r="AU36" s="86"/>
      <c r="AV36" s="86"/>
      <c r="AW36" s="86"/>
      <c r="AX36" s="86"/>
      <c r="AY36" s="86"/>
      <c r="AZ36" s="86"/>
      <c r="BA36" s="86"/>
      <c r="BB36" s="86"/>
      <c r="BC36" s="86"/>
      <c r="BD36" s="86"/>
      <c r="BE36" s="86"/>
      <c r="BF36" s="86"/>
      <c r="BG36" s="86"/>
      <c r="BH36" s="86"/>
      <c r="BI36" s="86"/>
      <c r="BJ36" s="86"/>
      <c r="BK36" s="86"/>
      <c r="BL36" s="86"/>
      <c r="BM36" s="86"/>
      <c r="BN36" s="86"/>
      <c r="BO36" s="86"/>
      <c r="BP36" s="86"/>
      <c r="BQ36" s="86"/>
      <c r="BR36" s="86"/>
      <c r="BS36" s="86"/>
      <c r="BT36" s="357"/>
      <c r="BU36" s="86"/>
      <c r="BV36" s="86"/>
      <c r="BW36" s="86"/>
      <c r="BX36" s="86"/>
      <c r="BY36" s="86"/>
      <c r="BZ36" s="86"/>
    </row>
    <row r="37" spans="2:78">
      <c r="C37" s="91"/>
      <c r="D37" s="78" t="s">
        <v>538</v>
      </c>
      <c r="E37" s="8"/>
      <c r="F37" s="8"/>
      <c r="I37" s="8"/>
      <c r="J37" s="8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4"/>
      <c r="Z37" s="4"/>
      <c r="AA37" s="4"/>
      <c r="AB37" s="4"/>
      <c r="AC37" s="169" t="s">
        <v>441</v>
      </c>
      <c r="AD37" s="4"/>
      <c r="AE37" s="4"/>
      <c r="AF37" s="4"/>
      <c r="AG37" s="86"/>
      <c r="AH37" s="86"/>
      <c r="AI37" s="86"/>
      <c r="AJ37" s="86"/>
      <c r="AK37" s="86"/>
      <c r="AL37" s="86"/>
      <c r="AM37" s="86"/>
      <c r="AN37" s="86"/>
      <c r="AO37" s="86"/>
      <c r="AP37" s="86"/>
      <c r="AQ37" s="86"/>
      <c r="AR37" s="86"/>
      <c r="AS37" s="86"/>
      <c r="AT37" s="86"/>
      <c r="AU37" s="86"/>
      <c r="AV37" s="86"/>
      <c r="AW37" s="86"/>
      <c r="AX37" s="86"/>
      <c r="AY37" s="86"/>
      <c r="AZ37" s="86"/>
      <c r="BA37" s="86"/>
      <c r="BB37" s="86"/>
      <c r="BC37" s="86"/>
      <c r="BD37" s="86"/>
      <c r="BE37" s="86"/>
      <c r="BF37" s="86"/>
      <c r="BG37" s="86"/>
      <c r="BH37" s="86"/>
      <c r="BI37" s="86"/>
      <c r="BJ37" s="86"/>
      <c r="BK37" s="86"/>
      <c r="BL37" s="86"/>
      <c r="BM37" s="86"/>
      <c r="BN37" s="86"/>
      <c r="BO37" s="86"/>
      <c r="BP37" s="86"/>
      <c r="BQ37" s="86"/>
      <c r="BR37" s="86"/>
      <c r="BS37" s="86"/>
      <c r="BT37" s="357"/>
      <c r="BU37" s="86"/>
      <c r="BV37" s="86"/>
      <c r="BW37" s="86"/>
      <c r="BX37" s="86"/>
      <c r="BY37" s="86"/>
      <c r="BZ37" s="86"/>
    </row>
    <row r="38" spans="2:78">
      <c r="C38" s="91"/>
      <c r="D38" s="78" t="s">
        <v>535</v>
      </c>
      <c r="E38" s="8"/>
      <c r="F38" s="8"/>
      <c r="I38" s="8"/>
      <c r="J38" s="8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4"/>
      <c r="AB38" s="4"/>
      <c r="AC38" s="4"/>
      <c r="AD38" s="170" t="s">
        <v>442</v>
      </c>
      <c r="AE38" s="86"/>
      <c r="AF38" s="86"/>
      <c r="AG38" s="86"/>
      <c r="AH38" s="86"/>
      <c r="AI38" s="86"/>
      <c r="AJ38" s="86"/>
      <c r="AK38" s="86"/>
      <c r="AL38" s="86"/>
      <c r="AM38" s="86"/>
      <c r="AN38" s="86"/>
      <c r="AO38" s="86"/>
      <c r="AP38" s="86"/>
      <c r="AQ38" s="86"/>
      <c r="AR38" s="86"/>
      <c r="AS38" s="86"/>
      <c r="AT38" s="86"/>
      <c r="AU38" s="86"/>
      <c r="AV38" s="86"/>
      <c r="AW38" s="86"/>
      <c r="AX38" s="86"/>
      <c r="AY38" s="86"/>
      <c r="AZ38" s="86"/>
      <c r="BA38" s="86"/>
      <c r="BB38" s="86"/>
      <c r="BC38" s="86"/>
      <c r="BD38" s="86"/>
      <c r="BE38" s="86"/>
      <c r="BF38" s="86"/>
      <c r="BG38" s="86"/>
      <c r="BH38" s="86"/>
      <c r="BI38" s="86"/>
      <c r="BJ38" s="86"/>
      <c r="BK38" s="86"/>
      <c r="BL38" s="86"/>
      <c r="BM38" s="86"/>
      <c r="BN38" s="86"/>
      <c r="BO38" s="86"/>
      <c r="BP38" s="86"/>
      <c r="BQ38" s="86"/>
      <c r="BR38" s="86"/>
      <c r="BS38" s="86"/>
      <c r="BT38" s="357"/>
      <c r="BU38" s="86"/>
      <c r="BV38" s="86"/>
      <c r="BW38" s="86"/>
      <c r="BX38" s="86"/>
      <c r="BY38" s="86"/>
      <c r="BZ38" s="86"/>
    </row>
    <row r="39" spans="2:78">
      <c r="C39" s="91"/>
      <c r="D39" s="8"/>
      <c r="E39" s="8"/>
      <c r="F39" s="8"/>
      <c r="I39" s="8"/>
      <c r="J39" s="8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86"/>
      <c r="Z39" s="86"/>
      <c r="AA39" s="86"/>
      <c r="AB39" s="86"/>
      <c r="AC39" s="86"/>
      <c r="AD39" s="86"/>
      <c r="AE39" s="147" t="s">
        <v>281</v>
      </c>
      <c r="AF39" s="86"/>
      <c r="AG39" s="86"/>
      <c r="AH39" s="86"/>
      <c r="AI39" s="86"/>
      <c r="AJ39" s="86"/>
      <c r="AK39" s="86"/>
      <c r="AL39" s="86"/>
      <c r="AM39" s="86"/>
      <c r="AN39" s="86"/>
      <c r="AO39" s="86"/>
      <c r="AP39" s="86"/>
      <c r="AQ39" s="86"/>
      <c r="AR39" s="86"/>
      <c r="AS39" s="86"/>
      <c r="AT39" s="86"/>
      <c r="AU39" s="86"/>
      <c r="AV39" s="86"/>
      <c r="AW39" s="86"/>
      <c r="AX39" s="86"/>
      <c r="AY39" s="86"/>
      <c r="AZ39" s="86"/>
      <c r="BA39" s="86"/>
      <c r="BB39" s="86"/>
      <c r="BC39" s="86"/>
      <c r="BD39" s="86"/>
      <c r="BE39" s="86"/>
      <c r="BF39" s="86"/>
      <c r="BG39" s="86"/>
      <c r="BH39" s="86"/>
      <c r="BI39" s="86"/>
      <c r="BJ39" s="86"/>
      <c r="BK39" s="86"/>
      <c r="BL39" s="86"/>
      <c r="BM39" s="86"/>
      <c r="BN39" s="86"/>
      <c r="BO39" s="86"/>
      <c r="BP39" s="86"/>
      <c r="BQ39" s="86"/>
      <c r="BR39" s="86"/>
      <c r="BS39" s="86"/>
      <c r="BT39" s="357"/>
      <c r="BU39" s="86"/>
      <c r="BV39" s="86"/>
      <c r="BW39" s="86"/>
      <c r="BX39" s="86"/>
      <c r="BY39" s="86"/>
      <c r="BZ39" s="86"/>
    </row>
    <row r="40" spans="2:78">
      <c r="C40" s="91"/>
      <c r="D40" s="78" t="s">
        <v>585</v>
      </c>
      <c r="E40" s="8"/>
      <c r="F40" s="8"/>
      <c r="I40" s="8"/>
      <c r="J40" s="8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6"/>
      <c r="X40" s="86"/>
      <c r="Y40" s="86"/>
      <c r="Z40" s="86"/>
      <c r="AA40" s="86"/>
      <c r="AB40" s="86"/>
      <c r="AC40" s="86"/>
      <c r="AD40" s="86"/>
      <c r="AE40" s="86"/>
      <c r="AF40" s="170" t="s">
        <v>443</v>
      </c>
      <c r="AG40" s="86"/>
      <c r="AH40" s="86"/>
      <c r="AI40" s="86"/>
      <c r="AJ40" s="86"/>
      <c r="AK40" s="86"/>
      <c r="AL40" s="86"/>
      <c r="AM40" s="86"/>
      <c r="AN40" s="86"/>
      <c r="AO40" s="86"/>
      <c r="AP40" s="86"/>
      <c r="AQ40" s="86"/>
      <c r="AR40" s="86"/>
      <c r="AS40" s="86"/>
      <c r="AT40" s="86"/>
      <c r="AU40" s="86"/>
      <c r="AV40" s="86"/>
      <c r="AW40" s="86"/>
      <c r="AX40" s="86"/>
      <c r="AY40" s="86"/>
      <c r="AZ40" s="86"/>
      <c r="BA40" s="86"/>
      <c r="BB40" s="86"/>
      <c r="BC40" s="86"/>
      <c r="BD40" s="86"/>
      <c r="BE40" s="86"/>
      <c r="BF40" s="86"/>
      <c r="BG40" s="86"/>
      <c r="BH40" s="86"/>
      <c r="BI40" s="86"/>
      <c r="BJ40" s="86"/>
      <c r="BK40" s="86"/>
      <c r="BL40" s="86"/>
      <c r="BM40" s="86"/>
      <c r="BN40" s="86"/>
      <c r="BO40" s="86"/>
      <c r="BP40" s="86"/>
      <c r="BQ40" s="86"/>
      <c r="BR40" s="86"/>
      <c r="BS40" s="86"/>
      <c r="BT40" s="357"/>
      <c r="BU40" s="86"/>
      <c r="BV40" s="86"/>
      <c r="BW40" s="86"/>
      <c r="BX40" s="86"/>
      <c r="BY40" s="86"/>
      <c r="BZ40" s="86"/>
    </row>
    <row r="41" spans="2:78">
      <c r="C41" s="3"/>
      <c r="D41" s="78" t="s">
        <v>538</v>
      </c>
      <c r="E41" s="8"/>
      <c r="F41" s="8"/>
      <c r="I41" s="8"/>
      <c r="J41" s="8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6"/>
      <c r="AB41" s="86"/>
      <c r="AC41" s="86"/>
      <c r="AD41" s="86"/>
      <c r="AE41" s="86"/>
      <c r="AF41" s="86"/>
      <c r="AG41" s="86"/>
      <c r="AH41" s="86"/>
      <c r="AI41" s="86"/>
      <c r="AJ41" s="86"/>
      <c r="AK41" s="86"/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6"/>
      <c r="AW41" s="86"/>
      <c r="AX41" s="86"/>
      <c r="AY41" s="86"/>
      <c r="AZ41" s="86"/>
      <c r="BA41" s="86"/>
      <c r="BB41" s="86"/>
      <c r="BC41" s="86"/>
      <c r="BD41" s="86"/>
      <c r="BE41" s="86"/>
      <c r="BF41" s="86"/>
      <c r="BG41" s="86"/>
      <c r="BH41" s="86"/>
      <c r="BI41" s="86"/>
      <c r="BJ41" s="86"/>
      <c r="BK41" s="86"/>
      <c r="BL41" s="86"/>
      <c r="BM41" s="86"/>
      <c r="BN41" s="86"/>
      <c r="BO41" s="86"/>
      <c r="BP41" s="86"/>
      <c r="BQ41" s="86"/>
      <c r="BR41" s="86"/>
      <c r="BS41" s="86"/>
      <c r="BT41" s="357"/>
      <c r="BU41" s="86"/>
      <c r="BV41" s="86"/>
      <c r="BW41" s="86"/>
      <c r="BX41" s="86"/>
      <c r="BY41" s="86"/>
      <c r="BZ41" s="86"/>
    </row>
    <row r="42" spans="2:78">
      <c r="C42" s="3"/>
      <c r="D42" s="78" t="s">
        <v>535</v>
      </c>
      <c r="E42" s="8"/>
      <c r="F42" s="8"/>
      <c r="I42" s="8"/>
      <c r="J42" s="8"/>
      <c r="M42" s="86"/>
      <c r="N42" s="86"/>
      <c r="O42" s="86"/>
      <c r="P42" s="86"/>
      <c r="Q42" s="86"/>
      <c r="R42" s="86"/>
      <c r="S42" s="86"/>
      <c r="T42" s="86"/>
      <c r="U42" s="86"/>
      <c r="V42" s="86"/>
      <c r="W42" s="86"/>
      <c r="X42" s="86"/>
      <c r="Y42" s="86"/>
      <c r="Z42" s="86"/>
      <c r="AA42" s="86"/>
      <c r="AB42" s="86"/>
      <c r="AC42" s="86"/>
      <c r="AD42" s="86"/>
      <c r="AE42" s="86"/>
      <c r="AF42" s="86"/>
      <c r="AG42" s="86"/>
      <c r="AH42" s="86"/>
      <c r="AI42" s="86"/>
      <c r="AJ42" s="86"/>
      <c r="AK42" s="86"/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6"/>
      <c r="AW42" s="86"/>
      <c r="AX42" s="86"/>
      <c r="AY42" s="86"/>
      <c r="AZ42" s="86"/>
      <c r="BA42" s="86"/>
      <c r="BB42" s="86"/>
      <c r="BC42" s="86"/>
      <c r="BD42" s="86"/>
      <c r="BE42" s="86"/>
      <c r="BF42" s="86"/>
      <c r="BG42" s="86"/>
      <c r="BH42" s="86"/>
      <c r="BI42" s="86"/>
      <c r="BJ42" s="86"/>
      <c r="BK42" s="86"/>
      <c r="BL42" s="86"/>
      <c r="BM42" s="86"/>
      <c r="BN42" s="86"/>
      <c r="BO42" s="86"/>
      <c r="BP42" s="86"/>
      <c r="BQ42" s="86"/>
      <c r="BR42" s="86"/>
      <c r="BS42" s="86"/>
      <c r="BT42" s="357"/>
      <c r="BU42" s="86"/>
      <c r="BV42" s="86"/>
      <c r="BW42" s="86"/>
      <c r="BX42" s="86"/>
      <c r="BY42" s="86"/>
      <c r="BZ42" s="86"/>
    </row>
    <row r="43" spans="2:78">
      <c r="C43" s="300"/>
      <c r="D43" s="8"/>
      <c r="E43" s="8"/>
      <c r="F43" s="8"/>
      <c r="I43" s="8"/>
      <c r="J43" s="8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6"/>
      <c r="AC43" s="86"/>
      <c r="AD43" s="86"/>
      <c r="AE43" s="86"/>
      <c r="AF43" s="86"/>
      <c r="AG43" s="86"/>
      <c r="AH43" s="86"/>
      <c r="AI43" s="86"/>
      <c r="AJ43" s="86"/>
      <c r="AK43" s="86"/>
      <c r="AL43" s="86"/>
      <c r="AM43" s="86"/>
      <c r="AN43" s="86"/>
      <c r="AO43" s="86"/>
      <c r="AP43" s="86"/>
      <c r="AQ43" s="86"/>
      <c r="AR43" s="86"/>
      <c r="AS43" s="86"/>
      <c r="AT43" s="86"/>
      <c r="AU43" s="86"/>
      <c r="AV43" s="86"/>
      <c r="AW43" s="86"/>
      <c r="AX43" s="86"/>
      <c r="AY43" s="86"/>
      <c r="AZ43" s="86"/>
      <c r="BA43" s="86"/>
      <c r="BB43" s="86"/>
      <c r="BC43" s="86"/>
      <c r="BD43" s="86"/>
      <c r="BE43" s="86"/>
      <c r="BF43" s="86"/>
      <c r="BG43" s="86"/>
      <c r="BH43" s="86"/>
      <c r="BI43" s="86"/>
      <c r="BJ43" s="86"/>
      <c r="BK43" s="86"/>
      <c r="BL43" s="86"/>
      <c r="BM43" s="86"/>
      <c r="BN43" s="86"/>
      <c r="BO43" s="86"/>
      <c r="BP43" s="86"/>
      <c r="BQ43" s="86"/>
      <c r="BR43" s="86"/>
      <c r="BS43" s="86"/>
      <c r="BT43" s="357"/>
      <c r="BU43" s="86"/>
      <c r="BV43" s="86"/>
      <c r="BW43" s="86"/>
      <c r="BX43" s="86"/>
      <c r="BY43" s="86"/>
      <c r="BZ43" s="86"/>
    </row>
    <row r="44" spans="2:78">
      <c r="C44" s="3"/>
      <c r="D44" s="8"/>
      <c r="E44" s="8"/>
      <c r="F44" s="8"/>
      <c r="G44" s="2"/>
      <c r="I44" s="8"/>
      <c r="J44" s="8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6"/>
      <c r="AC44" s="86"/>
      <c r="AD44" s="86"/>
      <c r="AE44" s="86"/>
      <c r="AF44" s="86"/>
      <c r="AG44" s="86"/>
      <c r="AH44" s="86"/>
      <c r="AI44" s="86"/>
      <c r="AJ44" s="86"/>
      <c r="AK44" s="86"/>
      <c r="AL44" s="86"/>
      <c r="AM44" s="86"/>
      <c r="AN44" s="86"/>
      <c r="AO44" s="86"/>
      <c r="AP44" s="86"/>
      <c r="AQ44" s="86"/>
      <c r="AR44" s="86"/>
      <c r="AS44" s="86"/>
      <c r="AT44" s="86"/>
      <c r="AU44" s="86"/>
      <c r="AV44" s="86"/>
      <c r="AW44" s="86"/>
      <c r="AX44" s="86"/>
      <c r="AY44" s="86"/>
      <c r="AZ44" s="86"/>
      <c r="BA44" s="86"/>
      <c r="BB44" s="86"/>
      <c r="BC44" s="86"/>
      <c r="BD44" s="86"/>
      <c r="BE44" s="86"/>
      <c r="BF44" s="86"/>
      <c r="BG44" s="86"/>
      <c r="BH44" s="86"/>
      <c r="BI44" s="86"/>
      <c r="BJ44" s="86"/>
      <c r="BK44" s="86"/>
      <c r="BL44" s="86"/>
      <c r="BM44" s="86"/>
      <c r="BN44" s="86"/>
      <c r="BO44" s="86"/>
      <c r="BP44" s="86"/>
      <c r="BQ44" s="86"/>
      <c r="BR44" s="86"/>
      <c r="BS44" s="86"/>
      <c r="BT44" s="357"/>
      <c r="BU44" s="86"/>
      <c r="BV44" s="86"/>
      <c r="BW44" s="86"/>
      <c r="BX44" s="86"/>
      <c r="BY44" s="86"/>
      <c r="BZ44" s="86"/>
    </row>
    <row r="45" spans="2:78">
      <c r="C45" s="3" t="s">
        <v>587</v>
      </c>
      <c r="D45" s="78" t="s">
        <v>586</v>
      </c>
      <c r="E45" s="8"/>
      <c r="F45" s="8"/>
      <c r="G45" s="2"/>
      <c r="I45" s="8"/>
      <c r="J45" s="8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6"/>
      <c r="AC45" s="86"/>
      <c r="AD45" s="86"/>
      <c r="AE45" s="86"/>
      <c r="AF45" s="86"/>
      <c r="AG45" s="86"/>
      <c r="AH45" s="86"/>
      <c r="AI45" s="86"/>
      <c r="AJ45" s="86"/>
      <c r="AK45" s="86"/>
      <c r="AL45" s="86"/>
      <c r="AM45" s="86"/>
      <c r="AN45" s="86"/>
      <c r="AO45" s="86"/>
      <c r="AP45" s="86"/>
      <c r="AQ45" s="86"/>
      <c r="AR45" s="86"/>
      <c r="AS45" s="86"/>
      <c r="AT45" s="86"/>
      <c r="AU45" s="86"/>
      <c r="AV45" s="86"/>
      <c r="AW45" s="86"/>
      <c r="AX45" s="86"/>
      <c r="AY45" s="86"/>
      <c r="AZ45" s="86"/>
      <c r="BA45" s="86"/>
      <c r="BB45" s="86"/>
      <c r="BC45" s="86"/>
      <c r="BD45" s="86"/>
      <c r="BE45" s="86"/>
      <c r="BF45" s="86"/>
      <c r="BG45" s="86"/>
      <c r="BH45" s="86"/>
      <c r="BI45" s="86"/>
      <c r="BJ45" s="86"/>
      <c r="BK45" s="86"/>
      <c r="BL45" s="86"/>
      <c r="BM45" s="86"/>
      <c r="BN45" s="86"/>
      <c r="BO45" s="86"/>
      <c r="BP45" s="86"/>
      <c r="BQ45" s="86"/>
      <c r="BR45" s="86"/>
      <c r="BS45" s="86"/>
      <c r="BT45" s="357"/>
      <c r="BU45" s="86"/>
      <c r="BV45" s="86"/>
      <c r="BW45" s="86"/>
      <c r="BX45" s="86"/>
      <c r="BY45" s="86"/>
      <c r="BZ45" s="86"/>
    </row>
    <row r="46" spans="2:78" ht="12.75">
      <c r="B46" s="383"/>
      <c r="C46" s="3" t="s">
        <v>588</v>
      </c>
      <c r="D46" s="78" t="s">
        <v>537</v>
      </c>
      <c r="E46" s="3"/>
      <c r="F46" s="385"/>
      <c r="G46" s="385"/>
      <c r="I46" s="8"/>
      <c r="J46" s="8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6"/>
      <c r="AC46" s="86"/>
      <c r="AD46" s="86"/>
      <c r="AE46" s="86"/>
      <c r="AF46" s="86"/>
      <c r="AG46" s="86"/>
      <c r="AH46" s="86"/>
      <c r="AI46" s="86"/>
      <c r="AJ46" s="86"/>
      <c r="AK46" s="86"/>
      <c r="AL46" s="86"/>
      <c r="AM46" s="86"/>
      <c r="AN46" s="86"/>
      <c r="AO46" s="86"/>
      <c r="AP46" s="86"/>
      <c r="AQ46" s="86"/>
      <c r="AR46" s="86"/>
      <c r="AS46" s="86"/>
      <c r="AT46" s="86"/>
      <c r="AU46" s="86"/>
      <c r="AV46" s="86"/>
      <c r="AW46" s="86"/>
      <c r="AX46" s="86"/>
      <c r="AY46" s="86"/>
      <c r="AZ46" s="86"/>
      <c r="BA46" s="86"/>
      <c r="BB46" s="86"/>
      <c r="BC46" s="86"/>
      <c r="BD46" s="86"/>
      <c r="BE46" s="86"/>
      <c r="BF46" s="86"/>
      <c r="BG46" s="86"/>
      <c r="BH46" s="86"/>
      <c r="BI46" s="86"/>
      <c r="BJ46" s="86"/>
      <c r="BK46" s="86"/>
      <c r="BL46" s="86"/>
      <c r="BM46" s="86"/>
      <c r="BN46" s="86"/>
      <c r="BO46" s="86"/>
      <c r="BP46" s="86"/>
      <c r="BQ46" s="86"/>
      <c r="BR46" s="86"/>
      <c r="BS46" s="86"/>
      <c r="BT46" s="357"/>
      <c r="BU46" s="86"/>
      <c r="BV46" s="86"/>
      <c r="BW46" s="86"/>
      <c r="BX46" s="86"/>
      <c r="BY46" s="86"/>
      <c r="BZ46" s="86"/>
    </row>
    <row r="47" spans="2:78" ht="12.75">
      <c r="B47" s="383"/>
      <c r="C47" s="3"/>
      <c r="D47" s="78" t="s">
        <v>535</v>
      </c>
      <c r="E47" s="380"/>
      <c r="F47" s="385"/>
      <c r="G47" s="385"/>
      <c r="I47" s="8"/>
      <c r="J47" s="8"/>
      <c r="M47" s="86"/>
      <c r="N47" s="86"/>
      <c r="O47" s="86"/>
      <c r="P47" s="86"/>
      <c r="Q47" s="86"/>
      <c r="R47" s="86"/>
      <c r="S47" s="86"/>
      <c r="T47" s="86"/>
      <c r="U47" s="86"/>
      <c r="V47" s="86"/>
      <c r="W47" s="86"/>
      <c r="X47" s="86"/>
      <c r="Y47" s="86"/>
      <c r="Z47" s="86"/>
      <c r="AA47" s="86"/>
      <c r="AB47" s="86"/>
      <c r="AC47" s="86"/>
      <c r="AD47" s="86"/>
      <c r="AE47" s="86"/>
      <c r="AF47" s="86"/>
      <c r="AG47" s="86"/>
      <c r="AH47" s="86"/>
      <c r="AI47" s="86"/>
      <c r="AJ47" s="86"/>
      <c r="AK47" s="86"/>
      <c r="AL47" s="86"/>
      <c r="AM47" s="86"/>
      <c r="AN47" s="86"/>
      <c r="AO47" s="86"/>
      <c r="AP47" s="86"/>
      <c r="AQ47" s="86"/>
      <c r="AR47" s="86"/>
      <c r="AS47" s="86"/>
      <c r="AT47" s="86"/>
      <c r="AU47" s="86"/>
      <c r="AV47" s="86"/>
      <c r="AW47" s="86"/>
      <c r="AX47" s="86"/>
      <c r="AY47" s="86"/>
      <c r="AZ47" s="86"/>
      <c r="BA47" s="86"/>
      <c r="BB47" s="86"/>
      <c r="BC47" s="86"/>
      <c r="BD47" s="86"/>
      <c r="BE47" s="86"/>
      <c r="BF47" s="86"/>
      <c r="BG47" s="86"/>
      <c r="BH47" s="86"/>
      <c r="BI47" s="86"/>
      <c r="BJ47" s="86"/>
      <c r="BK47" s="86"/>
      <c r="BL47" s="86"/>
      <c r="BM47" s="86"/>
      <c r="BN47" s="86"/>
      <c r="BO47" s="86"/>
      <c r="BP47" s="86"/>
      <c r="BQ47" s="86"/>
      <c r="BR47" s="86"/>
      <c r="BS47" s="86"/>
      <c r="BT47" s="357"/>
      <c r="BU47" s="86"/>
      <c r="BV47" s="86"/>
      <c r="BW47" s="86"/>
      <c r="BX47" s="86"/>
      <c r="BY47" s="86"/>
      <c r="BZ47" s="86"/>
    </row>
    <row r="48" spans="2:78" ht="12.75">
      <c r="B48" s="383"/>
      <c r="C48" s="3"/>
      <c r="D48" s="8"/>
      <c r="E48" s="380"/>
      <c r="F48" s="385"/>
      <c r="G48" s="385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6"/>
      <c r="AC48" s="86"/>
      <c r="AD48" s="86"/>
      <c r="AE48" s="86"/>
      <c r="AF48" s="86"/>
      <c r="AG48" s="86"/>
      <c r="AH48" s="86"/>
      <c r="AI48" s="86"/>
      <c r="AJ48" s="86"/>
      <c r="AK48" s="86"/>
      <c r="AL48" s="86"/>
      <c r="AM48" s="86"/>
      <c r="AN48" s="86"/>
      <c r="AO48" s="86"/>
      <c r="AP48" s="86"/>
      <c r="AQ48" s="86"/>
      <c r="AR48" s="86"/>
      <c r="AS48" s="86"/>
      <c r="AT48" s="86"/>
      <c r="AU48" s="86"/>
      <c r="AV48" s="86"/>
      <c r="AW48" s="86"/>
      <c r="AX48" s="86"/>
      <c r="AY48" s="86"/>
      <c r="AZ48" s="86"/>
      <c r="BA48" s="86"/>
      <c r="BB48" s="86"/>
      <c r="BC48" s="86"/>
      <c r="BD48" s="86"/>
      <c r="BE48" s="86"/>
      <c r="BF48" s="86"/>
      <c r="BG48" s="86"/>
      <c r="BH48" s="86"/>
      <c r="BI48" s="86"/>
      <c r="BJ48" s="86"/>
      <c r="BK48" s="86"/>
      <c r="BL48" s="86"/>
      <c r="BM48" s="86"/>
      <c r="BN48" s="86"/>
      <c r="BO48" s="86"/>
      <c r="BP48" s="86"/>
      <c r="BQ48" s="86"/>
      <c r="BR48" s="86"/>
      <c r="BS48" s="86"/>
      <c r="BT48" s="357"/>
      <c r="BU48" s="86"/>
      <c r="BV48" s="86"/>
      <c r="BW48" s="86"/>
      <c r="BX48" s="86"/>
      <c r="BY48" s="86"/>
      <c r="BZ48" s="86"/>
    </row>
    <row r="49" spans="2:7" ht="12.75">
      <c r="B49" s="383"/>
      <c r="C49" s="91"/>
      <c r="D49" s="8"/>
      <c r="E49" s="380"/>
      <c r="F49" s="385"/>
      <c r="G49" s="385"/>
    </row>
    <row r="50" spans="2:7" ht="12.75">
      <c r="B50" s="383"/>
      <c r="C50" s="91"/>
      <c r="D50" s="8"/>
      <c r="E50" s="380"/>
      <c r="F50" s="385"/>
      <c r="G50" s="385"/>
    </row>
    <row r="51" spans="2:7" ht="12.75">
      <c r="B51" s="383"/>
      <c r="C51" s="91"/>
      <c r="D51" s="8"/>
      <c r="E51" s="380"/>
      <c r="F51" s="385"/>
      <c r="G51" s="385"/>
    </row>
    <row r="52" spans="2:7" ht="12.75">
      <c r="B52" s="383"/>
      <c r="C52" s="91"/>
      <c r="D52" s="8"/>
      <c r="E52" s="380"/>
      <c r="F52" s="385"/>
      <c r="G52" s="385"/>
    </row>
    <row r="53" spans="2:7" ht="12.75">
      <c r="B53" s="383"/>
      <c r="C53" s="3"/>
      <c r="D53" s="380"/>
      <c r="E53" s="380"/>
      <c r="F53" s="385"/>
      <c r="G53" s="385"/>
    </row>
    <row r="54" spans="2:7" ht="12.75">
      <c r="B54" s="383"/>
      <c r="C54" s="3"/>
      <c r="D54" s="380"/>
      <c r="E54" s="380"/>
      <c r="F54" s="385"/>
      <c r="G54" s="385"/>
    </row>
    <row r="55" spans="2:7" ht="12.75">
      <c r="B55" s="383"/>
      <c r="C55" s="3"/>
      <c r="D55" s="380"/>
      <c r="E55" s="380"/>
      <c r="F55" s="385"/>
      <c r="G55" s="385"/>
    </row>
    <row r="56" spans="2:7" ht="12.75">
      <c r="B56" s="383"/>
      <c r="C56" s="3"/>
      <c r="D56" s="380"/>
      <c r="E56" s="380"/>
      <c r="F56" s="385"/>
      <c r="G56" s="385"/>
    </row>
    <row r="57" spans="2:7" ht="12.75">
      <c r="B57" s="383"/>
      <c r="C57" s="3"/>
      <c r="D57" s="380"/>
      <c r="E57" s="380"/>
      <c r="F57" s="385"/>
      <c r="G57" s="385"/>
    </row>
    <row r="58" spans="2:7" ht="12.75">
      <c r="B58" s="383"/>
      <c r="C58" s="91"/>
      <c r="D58" s="380"/>
      <c r="E58" s="380"/>
      <c r="F58" s="385"/>
      <c r="G58" s="385"/>
    </row>
    <row r="59" spans="2:7" ht="12.75">
      <c r="B59" s="383"/>
      <c r="C59" s="91"/>
      <c r="D59" s="380"/>
      <c r="E59" s="380"/>
      <c r="F59" s="385"/>
      <c r="G59" s="385"/>
    </row>
  </sheetData>
  <mergeCells count="13">
    <mergeCell ref="CA1:CC1"/>
    <mergeCell ref="A17:C17"/>
    <mergeCell ref="F1:H1"/>
    <mergeCell ref="I1:J1"/>
    <mergeCell ref="AY1:BD1"/>
    <mergeCell ref="BE1:BH1"/>
    <mergeCell ref="BI1:BT1"/>
    <mergeCell ref="A1:A2"/>
    <mergeCell ref="C1:C2"/>
    <mergeCell ref="K1:AJ1"/>
    <mergeCell ref="AK1:AX1"/>
    <mergeCell ref="D1:E1"/>
    <mergeCell ref="BU1:BZ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21"/>
  <sheetViews>
    <sheetView workbookViewId="0">
      <pane ySplit="2" topLeftCell="A3" activePane="bottomLeft" state="frozen"/>
      <selection pane="bottomLeft" activeCell="M40" sqref="M40"/>
    </sheetView>
  </sheetViews>
  <sheetFormatPr defaultRowHeight="11.25"/>
  <cols>
    <col min="1" max="1" width="7.28515625" style="8" bestFit="1" customWidth="1"/>
    <col min="2" max="2" width="8.140625" style="8" bestFit="1" customWidth="1"/>
    <col min="3" max="3" width="67" style="89" bestFit="1" customWidth="1"/>
    <col min="4" max="4" width="11.140625" style="3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6" width="9" style="2" bestFit="1" customWidth="1"/>
    <col min="17" max="17" width="8.85546875" style="2" bestFit="1" customWidth="1"/>
    <col min="18" max="18" width="10.28515625" style="2" bestFit="1" customWidth="1"/>
    <col min="19" max="19" width="7.7109375" style="83" customWidth="1"/>
    <col min="20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4" ht="15.75" customHeight="1">
      <c r="A1" s="923" t="s">
        <v>1</v>
      </c>
      <c r="B1" s="925" t="s">
        <v>2</v>
      </c>
      <c r="C1" s="927" t="s">
        <v>0</v>
      </c>
      <c r="D1" s="929" t="s">
        <v>7</v>
      </c>
      <c r="E1" s="918" t="s">
        <v>6</v>
      </c>
      <c r="F1" s="919"/>
      <c r="G1" s="920" t="s">
        <v>5</v>
      </c>
      <c r="H1" s="921"/>
      <c r="I1" s="918" t="s">
        <v>64</v>
      </c>
      <c r="J1" s="919"/>
      <c r="K1" s="934" t="s">
        <v>9</v>
      </c>
      <c r="L1" s="725" t="s">
        <v>450</v>
      </c>
      <c r="M1" s="936"/>
      <c r="N1" s="725" t="s">
        <v>83</v>
      </c>
      <c r="O1" s="726"/>
      <c r="P1" s="726"/>
      <c r="Q1" s="726"/>
      <c r="R1" s="726"/>
      <c r="S1" s="930" t="s">
        <v>85</v>
      </c>
      <c r="T1" s="930"/>
      <c r="U1" s="930"/>
      <c r="V1" s="930"/>
      <c r="W1" s="930"/>
      <c r="X1" s="930"/>
    </row>
    <row r="2" spans="1:24" ht="15.75" customHeight="1" thickBot="1">
      <c r="A2" s="924"/>
      <c r="B2" s="926"/>
      <c r="C2" s="928"/>
      <c r="D2" s="801"/>
      <c r="E2" s="62"/>
      <c r="F2" s="35" t="s">
        <v>9</v>
      </c>
      <c r="G2" s="62"/>
      <c r="H2" s="63" t="s">
        <v>9</v>
      </c>
      <c r="I2" s="62"/>
      <c r="J2" s="35" t="s">
        <v>9</v>
      </c>
      <c r="K2" s="935"/>
      <c r="L2" s="243"/>
      <c r="M2" s="172" t="s">
        <v>9</v>
      </c>
      <c r="N2" s="175" t="s">
        <v>138</v>
      </c>
      <c r="O2" s="175" t="s">
        <v>450</v>
      </c>
      <c r="P2" s="175" t="s">
        <v>365</v>
      </c>
      <c r="Q2" s="175" t="s">
        <v>59</v>
      </c>
      <c r="R2" s="175" t="s">
        <v>137</v>
      </c>
      <c r="S2" s="931" t="s">
        <v>456</v>
      </c>
      <c r="T2" s="932"/>
      <c r="U2" s="932"/>
      <c r="V2" s="932"/>
      <c r="W2" s="933"/>
      <c r="X2" s="176" t="s">
        <v>47</v>
      </c>
    </row>
    <row r="3" spans="1:24" s="5" customFormat="1" ht="12" thickBot="1">
      <c r="A3" s="513">
        <f>'1-συμβολαια'!A3</f>
        <v>111</v>
      </c>
      <c r="B3" s="577">
        <f>'1-συμβολαια'!B3</f>
        <v>36101</v>
      </c>
      <c r="C3" s="526" t="str">
        <f>'1-συμβολαια'!C3</f>
        <v>πληρεξύσιο</v>
      </c>
      <c r="D3" s="527">
        <f>'1-συμβολαια'!D3</f>
        <v>0</v>
      </c>
      <c r="E3" s="516"/>
      <c r="F3" s="516"/>
      <c r="G3" s="516"/>
      <c r="H3" s="516"/>
      <c r="I3" s="516"/>
      <c r="J3" s="516"/>
      <c r="K3" s="517">
        <f>'1-συμβολαια'!O3</f>
        <v>5162</v>
      </c>
      <c r="L3" s="517">
        <f>'2-δικαιώμ'!O3+'5-αντίγρ'!O3</f>
        <v>572</v>
      </c>
      <c r="M3" s="517">
        <v>572</v>
      </c>
      <c r="N3" s="517">
        <f>'1-συμβολαια'!P3</f>
        <v>4066</v>
      </c>
      <c r="O3" s="517">
        <f t="shared" ref="O3" si="0">L3-M3</f>
        <v>0</v>
      </c>
      <c r="P3" s="517">
        <f>'8-κ-15-17'!AG3</f>
        <v>0</v>
      </c>
      <c r="Q3" s="517">
        <f>'11-χαρτόσ'!L3+'13-ντιΜιΧο'!CB3</f>
        <v>0</v>
      </c>
      <c r="R3" s="517">
        <f>'13-ντιΜιΧο'!CA3</f>
        <v>20050</v>
      </c>
      <c r="S3" s="528"/>
      <c r="T3" s="512"/>
      <c r="U3" s="512"/>
      <c r="V3" s="512"/>
      <c r="W3" s="275"/>
      <c r="X3" s="278"/>
    </row>
    <row r="4" spans="1:24" s="5" customFormat="1">
      <c r="A4" s="462">
        <f>'1-συμβολαια'!A4</f>
        <v>113</v>
      </c>
      <c r="B4" s="572">
        <f>'1-συμβολαια'!B4</f>
        <v>36102</v>
      </c>
      <c r="C4" s="506" t="str">
        <f>'1-συμβολαια'!C4</f>
        <v>δωρεάς ΠΡΟΤΑΣΗ [1/2 αγροτεμάχιο ;;;??? [το ανατολικό] Θεολόγος -Ποτός -'';;;???'' 2.798μ2</v>
      </c>
      <c r="D4" s="507">
        <f>'1-συμβολαια'!D4</f>
        <v>2400000</v>
      </c>
      <c r="E4" s="302"/>
      <c r="F4" s="302"/>
      <c r="G4" s="302"/>
      <c r="H4" s="302"/>
      <c r="I4" s="302"/>
      <c r="J4" s="302"/>
      <c r="K4" s="273">
        <f>'1-συμβολαια'!O4</f>
        <v>34290</v>
      </c>
      <c r="L4" s="273">
        <f>'2-δικαιώμ'!O4+'5-αντίγρ'!O4</f>
        <v>5722</v>
      </c>
      <c r="M4" s="273">
        <v>5526</v>
      </c>
      <c r="N4" s="273">
        <f>'1-συμβολαια'!P4</f>
        <v>10648</v>
      </c>
      <c r="O4" s="273">
        <f t="shared" ref="O4:O14" si="1">L4-M4</f>
        <v>196</v>
      </c>
      <c r="P4" s="273">
        <f>'8-κ-15-17'!AG4</f>
        <v>124</v>
      </c>
      <c r="Q4" s="273">
        <f>'11-χαρτόσ'!L4+'13-ντιΜιΧο'!CB4</f>
        <v>4605</v>
      </c>
      <c r="R4" s="273">
        <f>'13-ντιΜιΧο'!CA4</f>
        <v>78400</v>
      </c>
      <c r="S4" s="282"/>
      <c r="T4" s="417"/>
      <c r="U4" s="417"/>
      <c r="V4" s="417"/>
      <c r="W4" s="275"/>
      <c r="X4" s="278"/>
    </row>
    <row r="5" spans="1:24" s="5" customFormat="1">
      <c r="A5" s="409">
        <f>'1-συμβολαια'!A5</f>
        <v>0</v>
      </c>
      <c r="B5" s="572"/>
      <c r="C5" s="332" t="str">
        <f>'1-συμβολαια'!C5</f>
        <v>χρησικτησία αγροτεμαχίου = 1984 ΑΝΑΔΑΣΜΟΣ</v>
      </c>
      <c r="D5" s="334">
        <f>'1-συμβολαια'!D5</f>
        <v>222222</v>
      </c>
      <c r="E5" s="272"/>
      <c r="F5" s="272"/>
      <c r="G5" s="272"/>
      <c r="H5" s="272"/>
      <c r="I5" s="272"/>
      <c r="J5" s="272"/>
      <c r="K5" s="273">
        <f>'1-συμβολαια'!O5</f>
        <v>0</v>
      </c>
      <c r="L5" s="273">
        <f>'2-δικαιώμ'!O5+'5-αντίγρ'!O5</f>
        <v>833.99959999999987</v>
      </c>
      <c r="M5" s="273"/>
      <c r="N5" s="273">
        <f>'1-συμβολαια'!P5</f>
        <v>10492.6644</v>
      </c>
      <c r="O5" s="273">
        <f t="shared" si="1"/>
        <v>833.99959999999987</v>
      </c>
      <c r="P5" s="273">
        <f>'8-κ-15-17'!AG5</f>
        <v>1722.2205000000004</v>
      </c>
      <c r="Q5" s="273">
        <f>'11-χαρτόσ'!L5+'13-ντιΜιΧο'!CB5</f>
        <v>1605</v>
      </c>
      <c r="R5" s="273">
        <f>'13-ντιΜιΧο'!CA5</f>
        <v>26800</v>
      </c>
      <c r="S5" s="282"/>
      <c r="T5" s="275"/>
      <c r="U5" s="275"/>
      <c r="V5" s="275"/>
      <c r="W5" s="275"/>
      <c r="X5" s="278"/>
    </row>
    <row r="6" spans="1:24" s="5" customFormat="1">
      <c r="A6" s="409">
        <f>'1-συμβολαια'!A6</f>
        <v>0</v>
      </c>
      <c r="B6" s="441"/>
      <c r="C6" s="332" t="str">
        <f>'1-συμβολαια'!C6</f>
        <v>διανομή [= ισομερής ΑΛΛΑ βάσει ΦΜΑ της Δ.Ο.Υ (3ου &amp; ;;;???}</v>
      </c>
      <c r="D6" s="334">
        <f>'1-συμβολαια'!D6</f>
        <v>2987306</v>
      </c>
      <c r="E6" s="272"/>
      <c r="F6" s="272"/>
      <c r="G6" s="272"/>
      <c r="H6" s="272"/>
      <c r="I6" s="272"/>
      <c r="J6" s="272"/>
      <c r="K6" s="297">
        <f>'1-συμβολαια'!O6</f>
        <v>0</v>
      </c>
      <c r="L6" s="297">
        <f>'2-δικαιώμ'!O6+'5-αντίγρ'!O6</f>
        <v>5811.1508000000003</v>
      </c>
      <c r="M6" s="297"/>
      <c r="N6" s="297">
        <f>'1-συμβολαια'!P6</f>
        <v>43096.521199999996</v>
      </c>
      <c r="O6" s="297">
        <f t="shared" si="1"/>
        <v>5811.1508000000003</v>
      </c>
      <c r="P6" s="297">
        <f>'8-κ-15-17'!AG6</f>
        <v>0</v>
      </c>
      <c r="Q6" s="297">
        <f>'11-χαρτόσ'!L6+'13-ντιΜιΧο'!CB6</f>
        <v>4805</v>
      </c>
      <c r="R6" s="297">
        <f>'13-ντιΜιΧο'!CA6</f>
        <v>22400</v>
      </c>
      <c r="S6" s="597"/>
      <c r="T6" s="275"/>
      <c r="U6" s="275"/>
      <c r="V6" s="275"/>
      <c r="W6" s="275"/>
      <c r="X6" s="278"/>
    </row>
    <row r="7" spans="1:24" s="5" customFormat="1" ht="12" thickBot="1">
      <c r="A7" s="423">
        <f>'1-συμβολαια'!A7</f>
        <v>0</v>
      </c>
      <c r="B7" s="573"/>
      <c r="C7" s="508" t="str">
        <f>'1-συμβολαια'!C7</f>
        <v>εξισορρόπηση διαφοράς διανεμομένων μεριδίων</v>
      </c>
      <c r="D7" s="509">
        <f>'1-συμβολαια'!D7</f>
        <v>906347</v>
      </c>
      <c r="E7" s="416"/>
      <c r="F7" s="416"/>
      <c r="G7" s="416"/>
      <c r="H7" s="416"/>
      <c r="I7" s="416"/>
      <c r="J7" s="416"/>
      <c r="K7" s="467">
        <f>'1-συμβολαια'!O7</f>
        <v>0</v>
      </c>
      <c r="L7" s="467">
        <f>'2-δικαιώμ'!O7+'5-αντίγρ'!O7</f>
        <v>2065.4246000000003</v>
      </c>
      <c r="M7" s="467"/>
      <c r="N7" s="467">
        <f>'1-συμβολαια'!P7</f>
        <v>15270.7394</v>
      </c>
      <c r="O7" s="467">
        <f t="shared" si="1"/>
        <v>2065.4246000000003</v>
      </c>
      <c r="P7" s="467">
        <f>'8-κ-15-17'!AG7</f>
        <v>11782.511</v>
      </c>
      <c r="Q7" s="467">
        <f>'11-χαρτόσ'!L7+'13-ντιΜιΧο'!CB7</f>
        <v>1000</v>
      </c>
      <c r="R7" s="467">
        <f>'13-ντιΜιΧο'!CA7</f>
        <v>0</v>
      </c>
      <c r="S7" s="510"/>
      <c r="T7" s="474"/>
      <c r="U7" s="474"/>
      <c r="V7" s="474"/>
      <c r="W7" s="474"/>
      <c r="X7" s="418"/>
    </row>
    <row r="8" spans="1:24" s="5" customFormat="1">
      <c r="A8" s="591">
        <f>'1-συμβολαια'!A8</f>
        <v>114</v>
      </c>
      <c r="B8" s="441">
        <f>'1-συμβολαια'!B8</f>
        <v>36102</v>
      </c>
      <c r="C8" s="506" t="str">
        <f>'1-συμβολαια'!C8</f>
        <v>δωρεάς ΠΡΟΤΑΣΗ [αγροτεμάχιο Θεολόγος -'';;;???'' 2.000μ2</v>
      </c>
      <c r="D8" s="507">
        <f>'1-συμβολαια'!D8</f>
        <v>400000</v>
      </c>
      <c r="E8" s="302"/>
      <c r="F8" s="302"/>
      <c r="G8" s="302"/>
      <c r="H8" s="302"/>
      <c r="I8" s="302"/>
      <c r="J8" s="302"/>
      <c r="K8" s="273">
        <f>'1-συμβολαια'!O8</f>
        <v>13299</v>
      </c>
      <c r="L8" s="273">
        <f>'2-δικαιώμ'!O8+'5-αντίγρ'!O8</f>
        <v>2122</v>
      </c>
      <c r="M8" s="273">
        <v>1885</v>
      </c>
      <c r="N8" s="273">
        <f>'1-συμβολαια'!P8</f>
        <v>11239</v>
      </c>
      <c r="O8" s="273">
        <f t="shared" si="1"/>
        <v>237</v>
      </c>
      <c r="P8" s="273">
        <f>'8-κ-15-17'!AG8</f>
        <v>0</v>
      </c>
      <c r="Q8" s="273">
        <f>'11-χαρτόσ'!L8+'13-ντιΜιΧο'!CB8</f>
        <v>4605</v>
      </c>
      <c r="R8" s="273">
        <f>'13-ντιΜιΧο'!CA8</f>
        <v>58400</v>
      </c>
      <c r="S8" s="282"/>
      <c r="T8" s="417"/>
      <c r="U8" s="417"/>
      <c r="V8" s="417"/>
      <c r="W8" s="417"/>
      <c r="X8" s="274"/>
    </row>
    <row r="9" spans="1:24" s="5" customFormat="1" ht="12" thickBot="1">
      <c r="A9" s="592">
        <f>'1-συμβολαια'!A9</f>
        <v>0</v>
      </c>
      <c r="B9" s="573"/>
      <c r="C9" s="508" t="str">
        <f>'1-συμβολαια'!C9</f>
        <v>χρησικτησία αγροτεμαχίου = 1910 πατρός ΔΩΡΕΑ άτυπος</v>
      </c>
      <c r="D9" s="509">
        <f>'1-συμβολαια'!D9</f>
        <v>333333</v>
      </c>
      <c r="E9" s="416"/>
      <c r="F9" s="416"/>
      <c r="G9" s="416"/>
      <c r="H9" s="416"/>
      <c r="I9" s="416"/>
      <c r="J9" s="416"/>
      <c r="K9" s="467">
        <f>'1-συμβολαια'!O9</f>
        <v>0</v>
      </c>
      <c r="L9" s="467">
        <f>'2-δικαιώμ'!O9+'5-αντίγρ'!O9</f>
        <v>1033.9993999999999</v>
      </c>
      <c r="M9" s="467"/>
      <c r="N9" s="467">
        <f>'1-συμβολαια'!P9</f>
        <v>0</v>
      </c>
      <c r="O9" s="467">
        <f t="shared" si="1"/>
        <v>1033.9993999999999</v>
      </c>
      <c r="P9" s="467">
        <f>'8-κ-15-17'!AG9</f>
        <v>2583.3307500000001</v>
      </c>
      <c r="Q9" s="467">
        <f>'11-χαρτόσ'!L9+'13-ντιΜιΧο'!CB9</f>
        <v>1605</v>
      </c>
      <c r="R9" s="467">
        <f>'13-ντιΜιΧο'!CA9</f>
        <v>39600</v>
      </c>
      <c r="S9" s="510"/>
      <c r="T9" s="474"/>
      <c r="U9" s="474"/>
      <c r="V9" s="474"/>
      <c r="W9" s="474"/>
      <c r="X9" s="418"/>
    </row>
    <row r="10" spans="1:24" s="5" customFormat="1">
      <c r="A10" s="333" t="str">
        <f>'1-συμβολαια'!A10</f>
        <v>;;;???</v>
      </c>
      <c r="B10" s="572" t="str">
        <f>'1-συμβολαια'!B10</f>
        <v>;;;???</v>
      </c>
      <c r="C10" s="506" t="str">
        <f>'1-συμβολαια'!C10</f>
        <v>δωρεάς πρότασης 2ου  ΑΠΟΔΟΧΗ</v>
      </c>
      <c r="D10" s="507">
        <f>'1-συμβολαια'!D10</f>
        <v>0</v>
      </c>
      <c r="E10" s="302"/>
      <c r="F10" s="302"/>
      <c r="G10" s="302"/>
      <c r="H10" s="302"/>
      <c r="I10" s="302"/>
      <c r="J10" s="302"/>
      <c r="K10" s="273">
        <f>'1-συμβολαια'!O10</f>
        <v>5289</v>
      </c>
      <c r="L10" s="273">
        <f>'2-δικαιώμ'!O10+'5-αντίγρ'!O10</f>
        <v>572</v>
      </c>
      <c r="M10" s="273">
        <v>572</v>
      </c>
      <c r="N10" s="273">
        <f>'1-συμβολαια'!P10</f>
        <v>3439</v>
      </c>
      <c r="O10" s="273">
        <f t="shared" si="1"/>
        <v>0</v>
      </c>
      <c r="P10" s="273">
        <f>'8-κ-15-17'!AG10</f>
        <v>0</v>
      </c>
      <c r="Q10" s="273">
        <f>'11-χαρτόσ'!L10+'13-ντιΜιΧο'!CB10</f>
        <v>4489</v>
      </c>
      <c r="R10" s="273">
        <f>'13-ντιΜιΧο'!CA10</f>
        <v>21211</v>
      </c>
      <c r="S10" s="282"/>
      <c r="T10" s="417"/>
      <c r="U10" s="417"/>
      <c r="V10" s="417"/>
      <c r="W10" s="417"/>
      <c r="X10" s="274"/>
    </row>
    <row r="11" spans="1:24" s="5" customFormat="1">
      <c r="A11" s="312" t="str">
        <f>'1-συμβολαια'!A11</f>
        <v>;;;???</v>
      </c>
      <c r="B11" s="441" t="str">
        <f>'1-συμβολαια'!B11</f>
        <v>;;;???</v>
      </c>
      <c r="C11" s="332" t="str">
        <f>'1-συμβολαια'!C11</f>
        <v>δωρεάς πρότασης  3ου  ΑΠΟΔΟΧΗ</v>
      </c>
      <c r="D11" s="334">
        <f>'1-συμβολαια'!D11</f>
        <v>0</v>
      </c>
      <c r="E11" s="272"/>
      <c r="F11" s="272"/>
      <c r="G11" s="272"/>
      <c r="H11" s="272"/>
      <c r="I11" s="272"/>
      <c r="J11" s="272"/>
      <c r="K11" s="297">
        <f>'1-συμβολαια'!O11</f>
        <v>5289</v>
      </c>
      <c r="L11" s="297">
        <f>'2-δικαιώμ'!O11+'5-αντίγρ'!O11</f>
        <v>572</v>
      </c>
      <c r="M11" s="297">
        <v>572</v>
      </c>
      <c r="N11" s="297">
        <f>'1-συμβολαια'!P11</f>
        <v>3439</v>
      </c>
      <c r="O11" s="297">
        <f t="shared" si="1"/>
        <v>0</v>
      </c>
      <c r="P11" s="297">
        <f>'8-κ-15-17'!AG11</f>
        <v>0</v>
      </c>
      <c r="Q11" s="297">
        <f>'11-χαρτόσ'!L11+'13-ντιΜιΧο'!CB11</f>
        <v>4489</v>
      </c>
      <c r="R11" s="297">
        <f>'13-ντιΜιΧο'!CA11</f>
        <v>17211</v>
      </c>
      <c r="S11" s="597"/>
      <c r="T11" s="275"/>
      <c r="U11" s="275"/>
      <c r="V11" s="275"/>
      <c r="W11" s="275"/>
      <c r="X11" s="278"/>
    </row>
    <row r="12" spans="1:24" s="5" customFormat="1" ht="12" thickBot="1">
      <c r="A12" s="421">
        <f>'1-συμβολαια'!A12</f>
        <v>552</v>
      </c>
      <c r="B12" s="573">
        <f>'1-συμβολαια'!B12</f>
        <v>36384</v>
      </c>
      <c r="C12" s="508" t="str">
        <f>'1-συμβολαια'!C12</f>
        <v>πληρεξούσιο</v>
      </c>
      <c r="D12" s="509">
        <f>'1-συμβολαια'!D12</f>
        <v>0</v>
      </c>
      <c r="E12" s="416"/>
      <c r="F12" s="416"/>
      <c r="G12" s="416"/>
      <c r="H12" s="416"/>
      <c r="I12" s="416"/>
      <c r="J12" s="416"/>
      <c r="K12" s="467">
        <f>'1-συμβολαια'!O12</f>
        <v>5574</v>
      </c>
      <c r="L12" s="467">
        <f>'2-δικαιώμ'!O12+'5-αντίγρ'!O12</f>
        <v>572</v>
      </c>
      <c r="M12" s="467">
        <v>572</v>
      </c>
      <c r="N12" s="467">
        <f>'1-συμβολαια'!P12</f>
        <v>-146</v>
      </c>
      <c r="O12" s="467">
        <f t="shared" si="1"/>
        <v>0</v>
      </c>
      <c r="P12" s="467">
        <f>'8-κ-15-17'!AG12</f>
        <v>0</v>
      </c>
      <c r="Q12" s="467">
        <f>'11-χαρτόσ'!L12+'13-ντιΜιΧο'!CB12</f>
        <v>0</v>
      </c>
      <c r="R12" s="467">
        <f>'13-ντιΜιΧο'!CA12</f>
        <v>2300</v>
      </c>
      <c r="S12" s="510"/>
      <c r="T12" s="474"/>
      <c r="U12" s="474"/>
      <c r="V12" s="474"/>
      <c r="W12" s="474"/>
      <c r="X12" s="278"/>
    </row>
    <row r="13" spans="1:24" s="5" customFormat="1">
      <c r="A13" s="462">
        <f>'1-συμβολαια'!A13</f>
        <v>564</v>
      </c>
      <c r="B13" s="572"/>
      <c r="C13" s="506" t="str">
        <f>'1-συμβολαια'!C13</f>
        <v>γονική</v>
      </c>
      <c r="D13" s="507">
        <f>'1-συμβολαια'!D13</f>
        <v>3450000</v>
      </c>
      <c r="E13" s="302"/>
      <c r="F13" s="302"/>
      <c r="G13" s="302"/>
      <c r="H13" s="302"/>
      <c r="I13" s="302"/>
      <c r="J13" s="302"/>
      <c r="K13" s="273">
        <f>'1-συμβολαια'!O13</f>
        <v>45327</v>
      </c>
      <c r="L13" s="273">
        <f>'2-δικαιώμ'!O13+'5-αντίγρ'!O13</f>
        <v>7612</v>
      </c>
      <c r="M13" s="273">
        <v>7612</v>
      </c>
      <c r="N13" s="273">
        <f>'1-συμβολαια'!P13</f>
        <v>10321</v>
      </c>
      <c r="O13" s="273">
        <f t="shared" si="1"/>
        <v>0</v>
      </c>
      <c r="P13" s="273">
        <f>'8-κ-15-17'!AG13</f>
        <v>2027.5000000000036</v>
      </c>
      <c r="Q13" s="273">
        <f>'11-χαρτόσ'!L13+'13-ντιΜιΧο'!CB13</f>
        <v>5094</v>
      </c>
      <c r="R13" s="273">
        <f>'13-ντιΜιΧο'!CA13</f>
        <v>103611</v>
      </c>
      <c r="S13" s="282"/>
      <c r="T13" s="417"/>
      <c r="U13" s="417"/>
      <c r="V13" s="417"/>
      <c r="W13" s="417"/>
      <c r="X13" s="278"/>
    </row>
    <row r="14" spans="1:24" s="5" customFormat="1">
      <c r="A14" s="409">
        <f>'1-συμβολαια'!A14</f>
        <v>0</v>
      </c>
      <c r="B14" s="441"/>
      <c r="C14" s="332" t="str">
        <f>'1-συμβολαια'!C14</f>
        <v>χρησικτησία αγροτεμαχίων = 1912 πατρός ΔΩΡΕΑ άτυπος</v>
      </c>
      <c r="D14" s="334">
        <f>'1-συμβολαια'!D14</f>
        <v>3333333</v>
      </c>
      <c r="E14" s="272"/>
      <c r="F14" s="272"/>
      <c r="G14" s="272"/>
      <c r="H14" s="272"/>
      <c r="I14" s="272"/>
      <c r="J14" s="272"/>
      <c r="K14" s="297">
        <f>'1-συμβολαια'!O14</f>
        <v>0</v>
      </c>
      <c r="L14" s="297">
        <f>'2-δικαιώμ'!O14+'5-αντίγρ'!O14</f>
        <v>6433.9993999999988</v>
      </c>
      <c r="M14" s="297"/>
      <c r="N14" s="297">
        <f>'1-συμβολαια'!P14</f>
        <v>42225.996599999999</v>
      </c>
      <c r="O14" s="297">
        <f t="shared" si="1"/>
        <v>6433.9993999999988</v>
      </c>
      <c r="P14" s="297">
        <f>'8-κ-15-17'!AG14</f>
        <v>25833.330750000001</v>
      </c>
      <c r="Q14" s="297">
        <f>'11-χαρτόσ'!L14+'13-ντιΜιΧο'!CB14</f>
        <v>1605</v>
      </c>
      <c r="R14" s="297">
        <f>'13-ντιΜιΧο'!CA14</f>
        <v>51000</v>
      </c>
      <c r="S14" s="597"/>
      <c r="T14" s="275"/>
      <c r="U14" s="275"/>
      <c r="V14" s="275"/>
      <c r="W14" s="275"/>
      <c r="X14" s="278"/>
    </row>
    <row r="15" spans="1:24" s="5" customFormat="1">
      <c r="A15" s="409">
        <f>'1-συμβολαια'!A15</f>
        <v>0</v>
      </c>
      <c r="B15" s="441"/>
      <c r="C15" s="332" t="str">
        <f>'1-συμβολαια'!C15</f>
        <v>χρησικτησία αγροτεμαχίων = 1920 ΔΙΑΝΟΜΗ άτυπος</v>
      </c>
      <c r="D15" s="334">
        <f>'1-συμβολαια'!D15</f>
        <v>3450000</v>
      </c>
      <c r="E15" s="272"/>
      <c r="F15" s="272"/>
      <c r="G15" s="272"/>
      <c r="H15" s="272"/>
      <c r="I15" s="272"/>
      <c r="J15" s="272"/>
      <c r="K15" s="297">
        <f>'1-συμβολαια'!O15</f>
        <v>0</v>
      </c>
      <c r="L15" s="297">
        <f>'2-δικαιώμ'!O15+'5-αντίγρ'!O15</f>
        <v>6644</v>
      </c>
      <c r="M15" s="297"/>
      <c r="N15" s="297">
        <f>'1-συμβολαια'!P15</f>
        <v>47816</v>
      </c>
      <c r="O15" s="297">
        <f t="shared" ref="O15:O16" si="2">L15-M15</f>
        <v>6644</v>
      </c>
      <c r="P15" s="297">
        <f>'8-κ-15-17'!AG15</f>
        <v>26737.500000000004</v>
      </c>
      <c r="Q15" s="297">
        <f>'11-χαρτόσ'!L15+'13-ντιΜιΧο'!CB15</f>
        <v>4805</v>
      </c>
      <c r="R15" s="297">
        <f>'13-ντιΜιΧο'!CA15</f>
        <v>40400</v>
      </c>
      <c r="S15" s="597"/>
      <c r="T15" s="275"/>
      <c r="U15" s="275"/>
      <c r="V15" s="275"/>
      <c r="W15" s="275"/>
      <c r="X15" s="278"/>
    </row>
    <row r="16" spans="1:24" s="5" customFormat="1">
      <c r="A16" s="409">
        <f>'1-συμβολαια'!A16</f>
        <v>0</v>
      </c>
      <c r="B16" s="441"/>
      <c r="C16" s="332" t="str">
        <f>'1-συμβολαια'!C16</f>
        <v>εξισορρόπηση διαφοράς διανεμομένων μεριδίων</v>
      </c>
      <c r="D16" s="334">
        <f>'1-συμβολαια'!D16</f>
        <v>111111</v>
      </c>
      <c r="E16" s="272"/>
      <c r="F16" s="272"/>
      <c r="G16" s="272"/>
      <c r="H16" s="272"/>
      <c r="I16" s="272"/>
      <c r="J16" s="272"/>
      <c r="K16" s="297">
        <f>'1-συμβολαια'!O16</f>
        <v>0</v>
      </c>
      <c r="L16" s="297">
        <f>'2-δικαιώμ'!O16+'5-αντίγρ'!O16</f>
        <v>650</v>
      </c>
      <c r="M16" s="297"/>
      <c r="N16" s="297">
        <f>'1-συμβολαια'!P16</f>
        <v>7250</v>
      </c>
      <c r="O16" s="297">
        <f t="shared" si="2"/>
        <v>650</v>
      </c>
      <c r="P16" s="297">
        <f>'8-κ-15-17'!AG16</f>
        <v>1444.4430000000002</v>
      </c>
      <c r="Q16" s="297">
        <f>'11-χαρτόσ'!L16+'13-ντιΜιΧο'!CB16</f>
        <v>1000</v>
      </c>
      <c r="R16" s="297">
        <f>'13-ντιΜιΧο'!CA16</f>
        <v>0</v>
      </c>
      <c r="S16" s="597"/>
      <c r="T16" s="275"/>
      <c r="U16" s="275"/>
      <c r="V16" s="275"/>
      <c r="W16" s="275"/>
      <c r="X16" s="278"/>
    </row>
    <row r="17" spans="1:28">
      <c r="A17" s="922" t="s">
        <v>56</v>
      </c>
      <c r="B17" s="922"/>
      <c r="C17" s="922"/>
      <c r="D17" s="922"/>
      <c r="E17" s="249">
        <f t="shared" ref="E17:X17" si="3">SUM(E3:E16)</f>
        <v>0</v>
      </c>
      <c r="F17" s="249">
        <f t="shared" si="3"/>
        <v>0</v>
      </c>
      <c r="G17" s="249">
        <f t="shared" si="3"/>
        <v>0</v>
      </c>
      <c r="H17" s="249">
        <f t="shared" si="3"/>
        <v>0</v>
      </c>
      <c r="I17" s="249">
        <f t="shared" si="3"/>
        <v>0</v>
      </c>
      <c r="J17" s="249">
        <f t="shared" si="3"/>
        <v>0</v>
      </c>
      <c r="K17" s="249">
        <f t="shared" si="3"/>
        <v>114230</v>
      </c>
      <c r="L17" s="249">
        <f t="shared" si="3"/>
        <v>41216.573799999998</v>
      </c>
      <c r="M17" s="249">
        <f t="shared" si="3"/>
        <v>17311</v>
      </c>
      <c r="N17" s="249">
        <f t="shared" si="3"/>
        <v>209157.9216</v>
      </c>
      <c r="O17" s="249">
        <f t="shared" si="3"/>
        <v>23905.573799999998</v>
      </c>
      <c r="P17" s="249">
        <f t="shared" si="3"/>
        <v>72254.83600000001</v>
      </c>
      <c r="Q17" s="249">
        <f t="shared" si="3"/>
        <v>39707</v>
      </c>
      <c r="R17" s="249">
        <f t="shared" si="3"/>
        <v>481383</v>
      </c>
      <c r="S17" s="283">
        <f t="shared" si="3"/>
        <v>0</v>
      </c>
      <c r="T17" s="283">
        <f t="shared" si="3"/>
        <v>0</v>
      </c>
      <c r="U17" s="283">
        <f t="shared" si="3"/>
        <v>0</v>
      </c>
      <c r="V17" s="283">
        <f t="shared" si="3"/>
        <v>0</v>
      </c>
      <c r="W17" s="283">
        <f t="shared" si="3"/>
        <v>0</v>
      </c>
      <c r="X17" s="284">
        <f t="shared" si="3"/>
        <v>0</v>
      </c>
    </row>
    <row r="19" spans="1:28" s="5" customFormat="1">
      <c r="A19" s="58"/>
      <c r="B19" s="109"/>
      <c r="C19" s="110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111"/>
      <c r="T19" s="83"/>
      <c r="U19" s="83"/>
      <c r="V19" s="83"/>
      <c r="W19" s="83"/>
      <c r="X19" s="83"/>
      <c r="Y19" s="83"/>
      <c r="Z19" s="83"/>
      <c r="AA19" s="83"/>
      <c r="AB19" s="83"/>
    </row>
    <row r="20" spans="1:28" s="5" customFormat="1">
      <c r="A20" s="58"/>
      <c r="B20" s="109"/>
      <c r="C20" s="11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111"/>
      <c r="T20" s="83"/>
      <c r="U20" s="83"/>
      <c r="V20" s="83"/>
      <c r="W20" s="83"/>
      <c r="X20" s="83"/>
      <c r="Y20" s="83"/>
      <c r="Z20" s="83"/>
      <c r="AA20" s="83"/>
      <c r="AB20" s="83"/>
    </row>
    <row r="21" spans="1:28">
      <c r="T21" s="83"/>
      <c r="U21" s="83"/>
      <c r="V21" s="83"/>
      <c r="W21" s="83"/>
      <c r="X21" s="83"/>
      <c r="Y21" s="83"/>
      <c r="Z21" s="83"/>
      <c r="AA21" s="83"/>
      <c r="AB21" s="83"/>
    </row>
  </sheetData>
  <mergeCells count="13">
    <mergeCell ref="S1:X1"/>
    <mergeCell ref="S2:W2"/>
    <mergeCell ref="N1:R1"/>
    <mergeCell ref="K1:K2"/>
    <mergeCell ref="L1:M1"/>
    <mergeCell ref="E1:F1"/>
    <mergeCell ref="G1:H1"/>
    <mergeCell ref="I1:J1"/>
    <mergeCell ref="A17:D17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31"/>
  <sheetViews>
    <sheetView workbookViewId="0">
      <pane ySplit="2" topLeftCell="A3" activePane="bottomLeft" state="frozen"/>
      <selection pane="bottomLeft" activeCell="A17" sqref="A17:XFD18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940" t="s">
        <v>76</v>
      </c>
      <c r="B1" s="940"/>
      <c r="C1" s="940"/>
      <c r="D1" s="940"/>
      <c r="E1" s="940"/>
      <c r="F1" s="940"/>
      <c r="G1" s="940"/>
      <c r="H1" s="940"/>
      <c r="I1" s="940"/>
      <c r="J1" s="940"/>
      <c r="K1" s="940"/>
      <c r="L1" s="940"/>
      <c r="M1" s="940"/>
      <c r="N1" s="940"/>
      <c r="O1" s="940"/>
      <c r="P1" s="940"/>
      <c r="Q1" s="940"/>
    </row>
    <row r="2" spans="1:17" s="9" customFormat="1" ht="23.25" customHeight="1" thickBot="1">
      <c r="A2" s="252" t="s">
        <v>19</v>
      </c>
      <c r="B2" s="941" t="s">
        <v>29</v>
      </c>
      <c r="C2" s="942"/>
      <c r="D2" s="943"/>
      <c r="E2" s="944" t="s">
        <v>85</v>
      </c>
      <c r="F2" s="945"/>
      <c r="G2" s="945"/>
      <c r="H2" s="946"/>
      <c r="I2" s="947" t="s">
        <v>85</v>
      </c>
      <c r="J2" s="948"/>
      <c r="K2" s="948"/>
      <c r="L2" s="949"/>
      <c r="M2" s="253" t="s">
        <v>38</v>
      </c>
      <c r="N2" s="253" t="s">
        <v>39</v>
      </c>
      <c r="O2" s="253" t="s">
        <v>40</v>
      </c>
      <c r="P2" s="253" t="s">
        <v>41</v>
      </c>
      <c r="Q2" s="253" t="s">
        <v>42</v>
      </c>
    </row>
    <row r="3" spans="1:17" s="18" customFormat="1">
      <c r="A3" s="29">
        <f>'1-συμβολαια'!A3</f>
        <v>111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17" s="18" customFormat="1">
      <c r="A4" s="29">
        <f>'1-συμβολαια'!A4</f>
        <v>113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17" s="18" customFormat="1">
      <c r="A5" s="29">
        <f>'1-συμβολαια'!A5</f>
        <v>0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17" s="18" customFormat="1">
      <c r="A6" s="29">
        <f>'1-συμβολαια'!A6</f>
        <v>0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7" spans="1:17" s="18" customFormat="1">
      <c r="A7" s="29">
        <f>'1-συμβολαια'!A7</f>
        <v>0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</row>
    <row r="8" spans="1:17" s="18" customFormat="1">
      <c r="A8" s="29">
        <f>'1-συμβολαια'!A8</f>
        <v>114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</row>
    <row r="9" spans="1:17" s="18" customFormat="1">
      <c r="A9" s="29">
        <f>'1-συμβολαια'!A9</f>
        <v>0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</row>
    <row r="10" spans="1:17" s="18" customFormat="1">
      <c r="A10" s="29" t="str">
        <f>'1-συμβολαια'!A10</f>
        <v>;;;???</v>
      </c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</row>
    <row r="11" spans="1:17" s="18" customFormat="1">
      <c r="A11" s="29" t="str">
        <f>'1-συμβολαια'!A11</f>
        <v>;;;???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</row>
    <row r="12" spans="1:17" s="18" customFormat="1">
      <c r="A12" s="29">
        <f>'1-συμβολαια'!A12</f>
        <v>552</v>
      </c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</row>
    <row r="13" spans="1:17" s="18" customFormat="1">
      <c r="A13" s="29">
        <f>'1-συμβολαια'!A13</f>
        <v>564</v>
      </c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</row>
    <row r="14" spans="1:17" s="18" customFormat="1">
      <c r="A14" s="29">
        <f>'1-συμβολαια'!A14</f>
        <v>0</v>
      </c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</row>
    <row r="15" spans="1:17" s="18" customFormat="1">
      <c r="A15" s="29">
        <f>'1-συμβολαια'!A15</f>
        <v>0</v>
      </c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</row>
    <row r="16" spans="1:17" s="18" customFormat="1">
      <c r="A16" s="29">
        <f>'1-συμβολαια'!A16</f>
        <v>0</v>
      </c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</row>
    <row r="18" spans="1:23" ht="15.75" customHeight="1">
      <c r="B18" s="937" t="s">
        <v>104</v>
      </c>
      <c r="C18" s="937"/>
      <c r="D18" s="937"/>
      <c r="E18" s="937"/>
      <c r="F18" s="937"/>
      <c r="G18" s="937"/>
      <c r="H18" s="937"/>
      <c r="I18" s="937"/>
      <c r="J18" s="937"/>
      <c r="K18" s="937"/>
      <c r="L18" s="3"/>
      <c r="M18" s="3"/>
      <c r="N18" s="3"/>
      <c r="O18" s="3"/>
      <c r="P18" s="3"/>
      <c r="Q18" s="3"/>
    </row>
    <row r="19" spans="1:23" ht="15.75" customHeight="1">
      <c r="C19" s="939" t="s">
        <v>105</v>
      </c>
      <c r="D19" s="939"/>
      <c r="E19" s="939"/>
      <c r="F19" s="939"/>
      <c r="G19" s="939"/>
      <c r="H19" s="939"/>
      <c r="I19" s="939"/>
      <c r="J19" s="939"/>
      <c r="K19" s="939"/>
      <c r="L19" s="3"/>
      <c r="M19" s="3"/>
      <c r="N19" s="3"/>
      <c r="O19" s="3"/>
      <c r="P19" s="3"/>
      <c r="Q19" s="3"/>
    </row>
    <row r="20" spans="1:23" ht="15.75" customHeight="1">
      <c r="D20" s="937" t="s">
        <v>285</v>
      </c>
      <c r="E20" s="937"/>
      <c r="F20" s="937"/>
      <c r="G20" s="937"/>
      <c r="H20" s="937"/>
      <c r="I20" s="937"/>
      <c r="J20" s="937"/>
      <c r="K20" s="937"/>
      <c r="L20" s="937"/>
      <c r="M20" s="937"/>
      <c r="N20" s="937"/>
      <c r="O20" s="937"/>
      <c r="P20" s="3"/>
      <c r="Q20" s="3"/>
    </row>
    <row r="21" spans="1:23" s="5" customFormat="1" ht="15.75" customHeight="1">
      <c r="A21" s="58"/>
      <c r="B21" s="250"/>
      <c r="C21" s="250"/>
      <c r="D21" s="251"/>
      <c r="E21" s="939" t="s">
        <v>451</v>
      </c>
      <c r="F21" s="939"/>
      <c r="G21" s="939"/>
      <c r="H21" s="939"/>
      <c r="I21" s="939"/>
      <c r="J21" s="939"/>
      <c r="K21" s="939"/>
      <c r="L21" s="939"/>
      <c r="M21" s="939"/>
      <c r="N21" s="3"/>
      <c r="O21" s="3"/>
      <c r="P21" s="3"/>
      <c r="Q21" s="3"/>
    </row>
    <row r="22" spans="1:23" s="5" customFormat="1" ht="15.75" customHeight="1">
      <c r="A22" s="58"/>
      <c r="B22" s="250"/>
      <c r="C22" s="250"/>
      <c r="D22" s="251"/>
      <c r="E22" s="6"/>
      <c r="F22" s="937" t="s">
        <v>127</v>
      </c>
      <c r="G22" s="937"/>
      <c r="H22" s="937"/>
      <c r="I22" s="937"/>
      <c r="J22" s="937"/>
      <c r="K22" s="937"/>
      <c r="L22" s="937"/>
      <c r="M22" s="937"/>
      <c r="N22" s="937"/>
      <c r="O22" s="937"/>
      <c r="P22" s="937"/>
      <c r="Q22" s="3"/>
    </row>
    <row r="23" spans="1:23" s="5" customFormat="1" ht="15.75" customHeight="1">
      <c r="A23" s="58"/>
      <c r="B23" s="250"/>
      <c r="C23" s="250"/>
      <c r="D23" s="251"/>
      <c r="E23" s="6"/>
      <c r="F23" s="6"/>
      <c r="G23" s="939" t="s">
        <v>452</v>
      </c>
      <c r="H23" s="939"/>
      <c r="I23" s="939"/>
      <c r="J23" s="939"/>
      <c r="K23" s="939"/>
      <c r="L23" s="939"/>
      <c r="M23" s="939"/>
      <c r="N23" s="939"/>
      <c r="O23" s="939"/>
      <c r="P23" s="939"/>
      <c r="Q23" s="939"/>
    </row>
    <row r="24" spans="1:23" s="5" customFormat="1" ht="15.75" customHeight="1">
      <c r="A24" s="58"/>
      <c r="B24" s="250"/>
      <c r="C24" s="250"/>
      <c r="D24" s="251"/>
      <c r="E24" s="6"/>
      <c r="F24" s="6"/>
      <c r="G24" s="244"/>
      <c r="H24" s="937" t="s">
        <v>106</v>
      </c>
      <c r="I24" s="937"/>
      <c r="J24" s="937"/>
      <c r="K24" s="937"/>
      <c r="L24" s="937"/>
      <c r="M24" s="937"/>
      <c r="N24" s="937"/>
      <c r="O24" s="3"/>
      <c r="P24" s="3"/>
      <c r="Q24" s="3"/>
      <c r="R24" s="3"/>
      <c r="S24" s="3"/>
      <c r="T24" s="3"/>
      <c r="U24" s="3"/>
      <c r="V24" s="3"/>
      <c r="W24" s="3"/>
    </row>
    <row r="25" spans="1:23" s="5" customFormat="1" ht="15.75" customHeight="1">
      <c r="A25" s="58"/>
      <c r="B25" s="250"/>
      <c r="C25" s="250"/>
      <c r="D25" s="251"/>
      <c r="E25" s="6"/>
      <c r="F25" s="6"/>
      <c r="G25" s="244"/>
      <c r="H25" s="6"/>
      <c r="I25" s="939" t="s">
        <v>107</v>
      </c>
      <c r="J25" s="939"/>
      <c r="K25" s="939"/>
      <c r="L25" s="939"/>
      <c r="M25" s="939"/>
      <c r="N25" s="939"/>
      <c r="O25" s="939"/>
      <c r="P25" s="939"/>
      <c r="Q25" s="939"/>
      <c r="R25" s="939"/>
      <c r="S25" s="3"/>
      <c r="T25" s="3"/>
      <c r="U25" s="3"/>
      <c r="V25" s="3"/>
      <c r="W25" s="3"/>
    </row>
    <row r="26" spans="1:23" s="5" customFormat="1" ht="15.75" customHeight="1">
      <c r="A26" s="58"/>
      <c r="B26" s="250"/>
      <c r="C26" s="250"/>
      <c r="D26" s="251"/>
      <c r="E26" s="6"/>
      <c r="F26" s="6"/>
      <c r="G26" s="244"/>
      <c r="H26" s="6"/>
      <c r="I26" s="6"/>
      <c r="J26" s="937" t="s">
        <v>108</v>
      </c>
      <c r="K26" s="937"/>
      <c r="L26" s="937"/>
      <c r="M26" s="937"/>
      <c r="N26" s="937"/>
      <c r="O26" s="937"/>
      <c r="P26" s="937"/>
      <c r="Q26" s="937"/>
      <c r="R26" s="3"/>
      <c r="S26" s="3"/>
      <c r="T26" s="3"/>
      <c r="U26" s="3"/>
      <c r="V26" s="3"/>
      <c r="W26" s="3"/>
    </row>
    <row r="27" spans="1:23" s="5" customFormat="1" ht="15.75" customHeight="1">
      <c r="A27" s="58"/>
      <c r="B27" s="250"/>
      <c r="C27" s="250"/>
      <c r="D27" s="251"/>
      <c r="E27" s="6"/>
      <c r="F27" s="6"/>
      <c r="G27" s="244"/>
      <c r="H27" s="6"/>
      <c r="I27" s="6"/>
      <c r="J27" s="6"/>
      <c r="K27" s="938" t="s">
        <v>128</v>
      </c>
      <c r="L27" s="938"/>
      <c r="M27" s="938"/>
      <c r="N27" s="938"/>
      <c r="O27" s="938"/>
      <c r="P27" s="938"/>
      <c r="Q27" s="938"/>
      <c r="R27" s="938"/>
      <c r="S27" s="938"/>
      <c r="T27" s="938"/>
      <c r="U27" s="938"/>
      <c r="V27" s="3"/>
      <c r="W27" s="3"/>
    </row>
    <row r="28" spans="1:23" s="5" customFormat="1" ht="15.75" customHeight="1">
      <c r="A28" s="58"/>
      <c r="B28" s="250"/>
      <c r="C28" s="250"/>
      <c r="D28" s="251"/>
      <c r="E28" s="6"/>
      <c r="F28" s="6"/>
      <c r="G28" s="244"/>
      <c r="H28" s="6"/>
      <c r="I28" s="6"/>
      <c r="J28" s="6"/>
      <c r="K28" s="6"/>
      <c r="L28" s="937" t="s">
        <v>109</v>
      </c>
      <c r="M28" s="937"/>
      <c r="N28" s="937"/>
      <c r="O28" s="937"/>
      <c r="P28" s="937"/>
      <c r="Q28" s="937"/>
      <c r="R28" s="937"/>
      <c r="S28" s="937"/>
      <c r="T28" s="3"/>
      <c r="U28" s="3"/>
      <c r="V28" s="3"/>
      <c r="W28" s="3"/>
    </row>
    <row r="29" spans="1:23" s="5" customFormat="1" ht="15.75" customHeight="1">
      <c r="A29" s="58"/>
      <c r="B29" s="250"/>
      <c r="C29" s="250"/>
      <c r="D29" s="251"/>
      <c r="E29" s="6"/>
      <c r="F29" s="6"/>
      <c r="G29" s="244"/>
      <c r="H29" s="6"/>
      <c r="I29" s="6"/>
      <c r="J29" s="6"/>
      <c r="K29" s="6"/>
      <c r="L29" s="3"/>
      <c r="M29" s="939" t="s">
        <v>110</v>
      </c>
      <c r="N29" s="939"/>
      <c r="O29" s="939"/>
      <c r="P29" s="939"/>
      <c r="Q29" s="939"/>
      <c r="R29" s="939"/>
      <c r="S29" s="939"/>
      <c r="T29" s="939"/>
      <c r="U29" s="3"/>
      <c r="V29" s="3"/>
      <c r="W29" s="3"/>
    </row>
    <row r="30" spans="1:23" s="5" customFormat="1" ht="15.75" customHeight="1">
      <c r="A30" s="58"/>
      <c r="B30" s="250"/>
      <c r="C30" s="250"/>
      <c r="D30" s="251"/>
      <c r="E30" s="6"/>
      <c r="F30" s="6"/>
      <c r="G30" s="244"/>
      <c r="H30" s="6"/>
      <c r="I30" s="6"/>
      <c r="J30" s="6"/>
      <c r="K30" s="6"/>
      <c r="L30" s="3"/>
      <c r="M30" s="3"/>
      <c r="N30" s="937" t="s">
        <v>111</v>
      </c>
      <c r="O30" s="937"/>
      <c r="P30" s="937"/>
      <c r="Q30" s="937"/>
      <c r="R30" s="937"/>
      <c r="S30" s="937"/>
      <c r="T30" s="937"/>
      <c r="U30" s="937"/>
      <c r="V30" s="937"/>
      <c r="W30" s="937"/>
    </row>
    <row r="31" spans="1:23" s="5" customFormat="1" ht="15.75" customHeight="1">
      <c r="A31" s="58"/>
      <c r="B31" s="250"/>
      <c r="C31" s="250"/>
      <c r="D31" s="251"/>
      <c r="E31" s="6"/>
      <c r="F31" s="6"/>
      <c r="G31" s="244"/>
      <c r="H31" s="244"/>
      <c r="I31" s="244"/>
      <c r="J31" s="244"/>
      <c r="K31" s="244"/>
      <c r="L31" s="244"/>
      <c r="M31" s="244"/>
      <c r="N31" s="244"/>
      <c r="O31" s="244"/>
      <c r="P31" s="244"/>
      <c r="Q31" s="244"/>
    </row>
  </sheetData>
  <mergeCells count="17">
    <mergeCell ref="H24:N24"/>
    <mergeCell ref="I25:R25"/>
    <mergeCell ref="C19:K19"/>
    <mergeCell ref="D20:O20"/>
    <mergeCell ref="E21:M21"/>
    <mergeCell ref="F22:P22"/>
    <mergeCell ref="G23:Q23"/>
    <mergeCell ref="A1:Q1"/>
    <mergeCell ref="B2:D2"/>
    <mergeCell ref="E2:H2"/>
    <mergeCell ref="I2:L2"/>
    <mergeCell ref="B18:K18"/>
    <mergeCell ref="J26:Q26"/>
    <mergeCell ref="K27:U27"/>
    <mergeCell ref="L28:S28"/>
    <mergeCell ref="M29:T29"/>
    <mergeCell ref="N30:W30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25"/>
  <sheetViews>
    <sheetView workbookViewId="0">
      <pane ySplit="2" topLeftCell="A3" activePane="bottomLeft" state="frozen"/>
      <selection pane="bottomLeft" activeCell="A17" sqref="A17:XFD18"/>
    </sheetView>
  </sheetViews>
  <sheetFormatPr defaultRowHeight="11.25"/>
  <cols>
    <col min="1" max="1" width="7.42578125" style="8" bestFit="1" customWidth="1"/>
    <col min="2" max="7" width="5.7109375" style="82" bestFit="1" customWidth="1"/>
    <col min="8" max="8" width="46.140625" style="82" customWidth="1"/>
    <col min="9" max="9" width="6.5703125" style="82" customWidth="1"/>
    <col min="10" max="10" width="52.85546875" style="82" customWidth="1"/>
    <col min="11" max="15" width="5.7109375" style="82" bestFit="1" customWidth="1"/>
    <col min="16" max="20" width="5.28515625" style="82" bestFit="1" customWidth="1"/>
    <col min="21" max="16384" width="9.140625" style="3"/>
  </cols>
  <sheetData>
    <row r="1" spans="1:20" ht="15.75">
      <c r="A1" s="940" t="s">
        <v>76</v>
      </c>
      <c r="B1" s="940"/>
      <c r="C1" s="940"/>
      <c r="D1" s="940"/>
      <c r="E1" s="940"/>
      <c r="F1" s="940"/>
      <c r="G1" s="940"/>
      <c r="H1" s="940"/>
      <c r="I1" s="940"/>
      <c r="J1" s="940"/>
      <c r="K1" s="940"/>
      <c r="L1" s="940"/>
      <c r="M1" s="940"/>
      <c r="N1" s="940"/>
      <c r="O1" s="940"/>
      <c r="P1" s="940"/>
      <c r="Q1" s="940"/>
      <c r="R1" s="940"/>
      <c r="S1" s="940"/>
      <c r="T1" s="940"/>
    </row>
    <row r="2" spans="1:20" s="9" customFormat="1" ht="23.25" customHeight="1" thickBot="1">
      <c r="A2" s="252" t="s">
        <v>19</v>
      </c>
      <c r="B2" s="941" t="s">
        <v>29</v>
      </c>
      <c r="C2" s="942"/>
      <c r="D2" s="943"/>
      <c r="E2" s="944" t="s">
        <v>85</v>
      </c>
      <c r="F2" s="945"/>
      <c r="G2" s="946"/>
      <c r="H2" s="951" t="s">
        <v>85</v>
      </c>
      <c r="I2" s="952"/>
      <c r="J2" s="953"/>
      <c r="K2" s="947" t="s">
        <v>85</v>
      </c>
      <c r="L2" s="948"/>
      <c r="M2" s="949"/>
      <c r="N2" s="253" t="s">
        <v>36</v>
      </c>
      <c r="O2" s="253" t="s">
        <v>37</v>
      </c>
      <c r="P2" s="253" t="s">
        <v>38</v>
      </c>
      <c r="Q2" s="253" t="s">
        <v>39</v>
      </c>
      <c r="R2" s="253" t="s">
        <v>40</v>
      </c>
      <c r="S2" s="253" t="s">
        <v>41</v>
      </c>
      <c r="T2" s="253" t="s">
        <v>42</v>
      </c>
    </row>
    <row r="3" spans="1:20" s="18" customFormat="1">
      <c r="A3" s="29">
        <f>'1-συμβολαια'!A3</f>
        <v>111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</row>
    <row r="4" spans="1:20" s="18" customFormat="1">
      <c r="A4" s="29">
        <f>'1-συμβολαια'!A4</f>
        <v>113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</row>
    <row r="5" spans="1:20" s="18" customFormat="1">
      <c r="A5" s="29">
        <f>'1-συμβολαια'!A5</f>
        <v>0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</row>
    <row r="6" spans="1:20" s="18" customFormat="1">
      <c r="A6" s="29">
        <f>'1-συμβολαια'!A6</f>
        <v>0</v>
      </c>
      <c r="B6" s="8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</row>
    <row r="7" spans="1:20" s="18" customFormat="1">
      <c r="A7" s="29">
        <f>'1-συμβολαια'!A7</f>
        <v>0</v>
      </c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</row>
    <row r="8" spans="1:20" s="18" customFormat="1">
      <c r="A8" s="29">
        <f>'1-συμβολαια'!A8</f>
        <v>114</v>
      </c>
      <c r="B8" s="81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</row>
    <row r="9" spans="1:20" s="18" customFormat="1">
      <c r="A9" s="29">
        <f>'1-συμβολαια'!A9</f>
        <v>0</v>
      </c>
      <c r="B9" s="81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</row>
    <row r="10" spans="1:20" s="18" customFormat="1">
      <c r="A10" s="29" t="str">
        <f>'1-συμβολαια'!A10</f>
        <v>;;;???</v>
      </c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</row>
    <row r="11" spans="1:20" s="18" customFormat="1">
      <c r="A11" s="29" t="str">
        <f>'1-συμβολαια'!A11</f>
        <v>;;;???</v>
      </c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</row>
    <row r="12" spans="1:20" s="18" customFormat="1">
      <c r="A12" s="29">
        <f>'1-συμβολαια'!A12</f>
        <v>552</v>
      </c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</row>
    <row r="13" spans="1:20" s="18" customFormat="1">
      <c r="A13" s="29">
        <f>'1-συμβολαια'!A13</f>
        <v>564</v>
      </c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</row>
    <row r="14" spans="1:20" s="18" customFormat="1">
      <c r="A14" s="29">
        <f>'1-συμβολαια'!A14</f>
        <v>0</v>
      </c>
      <c r="B14" s="81"/>
      <c r="C14" s="81"/>
      <c r="D14" s="81"/>
      <c r="E14" s="81"/>
      <c r="F14" s="81"/>
      <c r="G14" s="81"/>
      <c r="H14" s="81"/>
      <c r="I14" s="81"/>
      <c r="J14" s="81"/>
      <c r="K14" s="81"/>
      <c r="L14" s="81"/>
      <c r="M14" s="81"/>
      <c r="N14" s="81"/>
      <c r="O14" s="81"/>
      <c r="P14" s="81"/>
      <c r="Q14" s="81"/>
      <c r="R14" s="81"/>
      <c r="S14" s="81"/>
      <c r="T14" s="81"/>
    </row>
    <row r="15" spans="1:20" s="18" customFormat="1">
      <c r="A15" s="29">
        <f>'1-συμβολαια'!A15</f>
        <v>0</v>
      </c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</row>
    <row r="16" spans="1:20" s="18" customFormat="1">
      <c r="A16" s="29">
        <f>'1-συμβολαια'!A16</f>
        <v>0</v>
      </c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</row>
    <row r="18" spans="2:15" ht="15.75">
      <c r="B18" s="937" t="s">
        <v>112</v>
      </c>
      <c r="C18" s="937"/>
      <c r="D18" s="937"/>
      <c r="E18" s="937"/>
      <c r="F18" s="937"/>
      <c r="G18" s="937"/>
      <c r="H18" s="937"/>
      <c r="I18" s="118"/>
      <c r="J18" s="6"/>
      <c r="K18" s="6"/>
      <c r="L18" s="3"/>
      <c r="M18" s="3"/>
      <c r="N18" s="3"/>
      <c r="O18" s="3"/>
    </row>
    <row r="19" spans="2:15" ht="15.75">
      <c r="B19" s="6"/>
      <c r="C19" s="939" t="s">
        <v>113</v>
      </c>
      <c r="D19" s="939"/>
      <c r="E19" s="939"/>
      <c r="F19" s="939"/>
      <c r="G19" s="939"/>
      <c r="H19" s="939"/>
      <c r="I19" s="939"/>
      <c r="J19" s="6"/>
      <c r="K19" s="6"/>
      <c r="L19" s="3"/>
      <c r="M19" s="3"/>
      <c r="N19" s="3"/>
      <c r="O19" s="3"/>
    </row>
    <row r="20" spans="2:15" ht="15.75" customHeight="1">
      <c r="B20" s="6"/>
      <c r="C20" s="6"/>
      <c r="D20" s="937" t="s">
        <v>114</v>
      </c>
      <c r="E20" s="937"/>
      <c r="F20" s="937"/>
      <c r="G20" s="937"/>
      <c r="H20" s="937"/>
      <c r="I20" s="937"/>
      <c r="J20" s="937"/>
      <c r="K20" s="937"/>
      <c r="L20" s="3"/>
      <c r="M20" s="3"/>
      <c r="N20" s="3"/>
      <c r="O20" s="3"/>
    </row>
    <row r="21" spans="2:15" ht="15.75" customHeight="1">
      <c r="B21" s="6"/>
      <c r="C21" s="6"/>
      <c r="D21" s="6"/>
      <c r="E21" s="950" t="s">
        <v>119</v>
      </c>
      <c r="F21" s="950"/>
      <c r="G21" s="950"/>
      <c r="H21" s="950"/>
      <c r="I21" s="950"/>
      <c r="J21" s="950"/>
      <c r="K21" s="950"/>
      <c r="L21" s="950"/>
      <c r="M21" s="3"/>
      <c r="N21" s="3"/>
      <c r="O21" s="3"/>
    </row>
    <row r="22" spans="2:15" ht="15.75" customHeight="1">
      <c r="B22" s="6"/>
      <c r="C22" s="6"/>
      <c r="D22" s="6"/>
      <c r="E22" s="6"/>
      <c r="F22" s="937" t="s">
        <v>115</v>
      </c>
      <c r="G22" s="937"/>
      <c r="H22" s="937"/>
      <c r="I22" s="937"/>
      <c r="J22" s="937"/>
      <c r="K22" s="937"/>
      <c r="L22" s="937"/>
      <c r="M22" s="3"/>
      <c r="N22" s="3"/>
      <c r="O22" s="3"/>
    </row>
    <row r="23" spans="2:15" ht="15.75" customHeight="1">
      <c r="B23" s="6"/>
      <c r="C23" s="6"/>
      <c r="D23" s="6"/>
      <c r="E23" s="6"/>
      <c r="F23" s="6"/>
      <c r="G23" s="939" t="s">
        <v>116</v>
      </c>
      <c r="H23" s="939"/>
      <c r="I23" s="939"/>
      <c r="J23" s="939"/>
      <c r="K23" s="939"/>
      <c r="L23" s="939"/>
      <c r="M23" s="939"/>
      <c r="N23" s="3"/>
      <c r="O23" s="3"/>
    </row>
    <row r="24" spans="2:15" ht="15.75">
      <c r="B24" s="6"/>
      <c r="C24" s="6"/>
      <c r="D24" s="6"/>
      <c r="E24" s="6"/>
      <c r="F24" s="6"/>
      <c r="G24" s="6"/>
      <c r="H24" s="937" t="s">
        <v>117</v>
      </c>
      <c r="I24" s="937"/>
      <c r="J24" s="937"/>
      <c r="K24" s="937"/>
      <c r="L24" s="937"/>
      <c r="M24" s="937"/>
      <c r="N24" s="937"/>
      <c r="O24" s="3"/>
    </row>
    <row r="25" spans="2:15" ht="15.75">
      <c r="B25" s="6"/>
      <c r="C25" s="6"/>
      <c r="D25" s="6"/>
      <c r="E25" s="6"/>
      <c r="F25" s="6"/>
      <c r="G25" s="6"/>
      <c r="H25" s="6"/>
      <c r="I25" s="939" t="s">
        <v>118</v>
      </c>
      <c r="J25" s="939"/>
      <c r="K25" s="939"/>
      <c r="L25" s="939"/>
      <c r="M25" s="939"/>
      <c r="N25" s="939"/>
      <c r="O25" s="939"/>
    </row>
  </sheetData>
  <mergeCells count="13">
    <mergeCell ref="A1:T1"/>
    <mergeCell ref="B2:D2"/>
    <mergeCell ref="E2:G2"/>
    <mergeCell ref="H2:J2"/>
    <mergeCell ref="K2:M2"/>
    <mergeCell ref="G23:M23"/>
    <mergeCell ref="H24:N24"/>
    <mergeCell ref="I25:O25"/>
    <mergeCell ref="B18:H18"/>
    <mergeCell ref="C19:I19"/>
    <mergeCell ref="D20:K20"/>
    <mergeCell ref="E21:L21"/>
    <mergeCell ref="F22:L2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25"/>
  <sheetViews>
    <sheetView zoomScaleNormal="100" workbookViewId="0">
      <pane ySplit="2" topLeftCell="A3" activePane="bottomLeft" state="frozen"/>
      <selection pane="bottomLeft" activeCell="A17" sqref="A17:XFD18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8" customWidth="1"/>
    <col min="5" max="5" width="47.5703125" style="91" bestFit="1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6" customWidth="1"/>
    <col min="23" max="23" width="5.5703125" style="82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29" s="44" customFormat="1" ht="15.75" customHeight="1">
      <c r="A1" s="785" t="s">
        <v>66</v>
      </c>
      <c r="B1" s="785"/>
      <c r="C1" s="961" t="s">
        <v>67</v>
      </c>
      <c r="D1" s="961"/>
      <c r="E1" s="785" t="s">
        <v>0</v>
      </c>
      <c r="F1" s="785"/>
      <c r="G1" s="786" t="s">
        <v>10</v>
      </c>
      <c r="H1" s="786"/>
      <c r="I1" s="786"/>
      <c r="J1" s="785" t="s">
        <v>8</v>
      </c>
      <c r="K1" s="785"/>
      <c r="L1" s="962" t="s">
        <v>453</v>
      </c>
      <c r="M1" s="963"/>
      <c r="N1" s="963"/>
      <c r="O1" s="964"/>
      <c r="P1" s="960" t="s">
        <v>65</v>
      </c>
      <c r="Q1" s="960"/>
      <c r="R1" s="786" t="s">
        <v>55</v>
      </c>
      <c r="S1" s="786"/>
      <c r="T1" s="956" t="s">
        <v>46</v>
      </c>
      <c r="U1" s="954" t="s">
        <v>85</v>
      </c>
      <c r="V1" s="954"/>
      <c r="W1" s="954"/>
      <c r="X1" s="954"/>
      <c r="Y1" s="954"/>
      <c r="Z1" s="954"/>
      <c r="AA1" s="954"/>
      <c r="AB1" s="954"/>
      <c r="AC1" s="954"/>
    </row>
    <row r="2" spans="1:29" s="11" customFormat="1" ht="15.75" customHeight="1" thickBot="1">
      <c r="A2" s="94"/>
      <c r="B2" s="51"/>
      <c r="C2" s="84"/>
      <c r="D2" s="54" t="s">
        <v>68</v>
      </c>
      <c r="E2" s="95"/>
      <c r="F2" s="52" t="s">
        <v>68</v>
      </c>
      <c r="G2" s="48" t="s">
        <v>11</v>
      </c>
      <c r="H2" s="46" t="s">
        <v>12</v>
      </c>
      <c r="I2" s="47" t="s">
        <v>29</v>
      </c>
      <c r="J2" s="73" t="s">
        <v>23</v>
      </c>
      <c r="K2" s="53" t="s">
        <v>68</v>
      </c>
      <c r="L2" s="73" t="s">
        <v>315</v>
      </c>
      <c r="M2" s="73" t="s">
        <v>319</v>
      </c>
      <c r="N2" s="73" t="s">
        <v>320</v>
      </c>
      <c r="O2" s="248" t="s">
        <v>29</v>
      </c>
      <c r="P2" s="60" t="s">
        <v>23</v>
      </c>
      <c r="Q2" s="53" t="s">
        <v>68</v>
      </c>
      <c r="R2" s="73" t="s">
        <v>23</v>
      </c>
      <c r="S2" s="34" t="s">
        <v>68</v>
      </c>
      <c r="T2" s="957"/>
      <c r="U2" s="955"/>
      <c r="V2" s="955"/>
      <c r="W2" s="955"/>
      <c r="X2" s="955"/>
      <c r="Y2" s="955"/>
      <c r="Z2" s="955"/>
      <c r="AA2" s="955"/>
      <c r="AB2" s="955"/>
      <c r="AC2" s="955"/>
    </row>
    <row r="3" spans="1:29" s="18" customFormat="1">
      <c r="A3" s="13">
        <f>'1-συμβολαια'!A3</f>
        <v>111</v>
      </c>
      <c r="B3" s="50"/>
      <c r="C3" s="80">
        <f>'1-συμβολαια'!B3</f>
        <v>36101</v>
      </c>
      <c r="D3" s="19"/>
      <c r="E3" s="90" t="str">
        <f>'1-συμβολαια'!C3</f>
        <v>πληρεξύσιο</v>
      </c>
      <c r="F3" s="14"/>
      <c r="G3" s="15" t="str">
        <f>'4-πολλυπρ'!D3</f>
        <v>;;;???</v>
      </c>
      <c r="H3" s="15" t="str">
        <f>'4-πολλυπρ'!I3</f>
        <v>;;;???</v>
      </c>
      <c r="I3" s="20"/>
      <c r="J3" s="20">
        <f>'1-συμβολαια'!D3</f>
        <v>0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242</v>
      </c>
      <c r="S3" s="23"/>
      <c r="T3" s="24"/>
      <c r="U3" s="85"/>
      <c r="V3" s="85"/>
      <c r="W3" s="81"/>
      <c r="X3" s="25"/>
      <c r="Y3" s="25"/>
      <c r="Z3" s="25"/>
      <c r="AA3" s="25"/>
      <c r="AB3" s="25"/>
      <c r="AC3" s="25"/>
    </row>
    <row r="4" spans="1:29" s="18" customFormat="1">
      <c r="A4" s="13">
        <f>'1-συμβολαια'!A4</f>
        <v>113</v>
      </c>
      <c r="B4" s="50"/>
      <c r="C4" s="80">
        <f>'1-συμβολαια'!B4</f>
        <v>36102</v>
      </c>
      <c r="D4" s="19"/>
      <c r="E4" s="90" t="str">
        <f>'1-συμβολαια'!C4</f>
        <v>δωρεάς ΠΡΟΤΑΣΗ [1/2 αγροτεμάχιο ;;;??? [το ανατολικό] Θεολόγος -Ποτός -'';;;???'' 2.798μ2</v>
      </c>
      <c r="F4" s="14"/>
      <c r="G4" s="15" t="str">
        <f>'4-πολλυπρ'!D4</f>
        <v>;;;???</v>
      </c>
      <c r="H4" s="15" t="str">
        <f>'4-πολλυπρ'!I4</f>
        <v>;;;???</v>
      </c>
      <c r="I4" s="20"/>
      <c r="J4" s="20">
        <f>'1-συμβολαια'!D4</f>
        <v>2400000</v>
      </c>
      <c r="K4" s="20"/>
      <c r="L4" s="27">
        <f>'11-χαρτόσ'!D4</f>
        <v>1000</v>
      </c>
      <c r="M4" s="27"/>
      <c r="N4" s="27"/>
      <c r="O4" s="21"/>
      <c r="P4" s="17" t="e">
        <f>#REF!-R4</f>
        <v>#REF!</v>
      </c>
      <c r="Q4" s="16"/>
      <c r="R4" s="22">
        <f>'5-αντίγρ'!Q4</f>
        <v>968</v>
      </c>
      <c r="S4" s="23"/>
      <c r="T4" s="24"/>
      <c r="U4" s="85"/>
      <c r="V4" s="85"/>
      <c r="W4" s="81"/>
      <c r="X4" s="25"/>
      <c r="Y4" s="25"/>
      <c r="Z4" s="25"/>
      <c r="AA4" s="25"/>
      <c r="AB4" s="25"/>
      <c r="AC4" s="25"/>
    </row>
    <row r="5" spans="1:29" s="18" customFormat="1">
      <c r="A5" s="13">
        <f>'1-συμβολαια'!A5</f>
        <v>0</v>
      </c>
      <c r="B5" s="50"/>
      <c r="C5" s="80">
        <f>'1-συμβολαια'!B5</f>
        <v>0</v>
      </c>
      <c r="D5" s="19"/>
      <c r="E5" s="90" t="str">
        <f>'1-συμβολαια'!C5</f>
        <v>χρησικτησία αγροτεμαχίου = 1984 ΑΝΑΔΑΣΜΟΣ</v>
      </c>
      <c r="F5" s="14"/>
      <c r="G5" s="15" t="str">
        <f>'4-πολλυπρ'!D5</f>
        <v>;;;???</v>
      </c>
      <c r="H5" s="15">
        <f>'4-πολλυπρ'!I5</f>
        <v>0</v>
      </c>
      <c r="I5" s="20"/>
      <c r="J5" s="20">
        <f>'1-συμβολαια'!D5</f>
        <v>222222</v>
      </c>
      <c r="K5" s="20"/>
      <c r="L5" s="27">
        <f>'11-χαρτόσ'!D5</f>
        <v>0</v>
      </c>
      <c r="M5" s="27"/>
      <c r="N5" s="27"/>
      <c r="O5" s="21"/>
      <c r="P5" s="17" t="e">
        <f>#REF!-R5</f>
        <v>#REF!</v>
      </c>
      <c r="Q5" s="16"/>
      <c r="R5" s="22">
        <f>'5-αντίγρ'!Q5</f>
        <v>0</v>
      </c>
      <c r="S5" s="23"/>
      <c r="T5" s="24"/>
      <c r="U5" s="85"/>
      <c r="V5" s="85"/>
      <c r="W5" s="81"/>
      <c r="X5" s="25"/>
      <c r="Y5" s="25"/>
      <c r="Z5" s="25"/>
      <c r="AA5" s="25"/>
      <c r="AB5" s="25"/>
      <c r="AC5" s="25"/>
    </row>
    <row r="6" spans="1:29" s="18" customFormat="1">
      <c r="A6" s="13">
        <f>'1-συμβολαια'!A6</f>
        <v>0</v>
      </c>
      <c r="B6" s="50"/>
      <c r="C6" s="80">
        <f>'1-συμβολαια'!B6</f>
        <v>0</v>
      </c>
      <c r="D6" s="19"/>
      <c r="E6" s="90" t="str">
        <f>'1-συμβολαια'!C6</f>
        <v>διανομή [= ισομερής ΑΛΛΑ βάσει ΦΜΑ της Δ.Ο.Υ (3ου &amp; ;;;???}</v>
      </c>
      <c r="F6" s="14"/>
      <c r="G6" s="15" t="str">
        <f>'4-πολλυπρ'!D6</f>
        <v>;;;???</v>
      </c>
      <c r="H6" s="15">
        <f>'4-πολλυπρ'!I6</f>
        <v>0</v>
      </c>
      <c r="I6" s="20"/>
      <c r="J6" s="20">
        <f>'1-συμβολαια'!D6</f>
        <v>2987306</v>
      </c>
      <c r="K6" s="20"/>
      <c r="L6" s="27">
        <f>'11-χαρτόσ'!D6</f>
        <v>0</v>
      </c>
      <c r="M6" s="27"/>
      <c r="N6" s="27"/>
      <c r="O6" s="21"/>
      <c r="P6" s="17" t="e">
        <f>#REF!-R6</f>
        <v>#REF!</v>
      </c>
      <c r="Q6" s="16"/>
      <c r="R6" s="22">
        <f>'5-αντίγρ'!Q6</f>
        <v>0</v>
      </c>
      <c r="S6" s="23"/>
      <c r="T6" s="24"/>
      <c r="U6" s="85"/>
      <c r="V6" s="85"/>
      <c r="W6" s="81"/>
      <c r="X6" s="25"/>
      <c r="Y6" s="25"/>
      <c r="Z6" s="25"/>
      <c r="AA6" s="25"/>
      <c r="AB6" s="25"/>
      <c r="AC6" s="25"/>
    </row>
    <row r="7" spans="1:29" s="18" customFormat="1">
      <c r="A7" s="13">
        <f>'1-συμβολαια'!A7</f>
        <v>0</v>
      </c>
      <c r="B7" s="50"/>
      <c r="C7" s="80">
        <f>'1-συμβολαια'!B7</f>
        <v>0</v>
      </c>
      <c r="D7" s="19"/>
      <c r="E7" s="90" t="str">
        <f>'1-συμβολαια'!C7</f>
        <v>εξισορρόπηση διαφοράς διανεμομένων μεριδίων</v>
      </c>
      <c r="F7" s="14"/>
      <c r="G7" s="15" t="str">
        <f>'4-πολλυπρ'!D7</f>
        <v>;;;???</v>
      </c>
      <c r="H7" s="15">
        <f>'4-πολλυπρ'!I7</f>
        <v>0</v>
      </c>
      <c r="I7" s="20"/>
      <c r="J7" s="20">
        <f>'1-συμβολαια'!D7</f>
        <v>906347</v>
      </c>
      <c r="K7" s="20"/>
      <c r="L7" s="27">
        <f>'11-χαρτόσ'!D7</f>
        <v>0</v>
      </c>
      <c r="M7" s="27"/>
      <c r="N7" s="27"/>
      <c r="O7" s="21"/>
      <c r="P7" s="17" t="e">
        <f>#REF!-R7</f>
        <v>#REF!</v>
      </c>
      <c r="Q7" s="16"/>
      <c r="R7" s="22">
        <f>'5-αντίγρ'!Q7</f>
        <v>0</v>
      </c>
      <c r="S7" s="23"/>
      <c r="T7" s="24"/>
      <c r="U7" s="85"/>
      <c r="V7" s="85"/>
      <c r="W7" s="81"/>
      <c r="X7" s="25"/>
      <c r="Y7" s="25"/>
      <c r="Z7" s="25"/>
      <c r="AA7" s="25"/>
      <c r="AB7" s="25"/>
      <c r="AC7" s="25"/>
    </row>
    <row r="8" spans="1:29" s="18" customFormat="1">
      <c r="A8" s="13">
        <f>'1-συμβολαια'!A8</f>
        <v>114</v>
      </c>
      <c r="B8" s="50"/>
      <c r="C8" s="80">
        <f>'1-συμβολαια'!B8</f>
        <v>36102</v>
      </c>
      <c r="D8" s="19"/>
      <c r="E8" s="90" t="str">
        <f>'1-συμβολαια'!C8</f>
        <v>δωρεάς ΠΡΟΤΑΣΗ [αγροτεμάχιο Θεολόγος -'';;;???'' 2.000μ2</v>
      </c>
      <c r="F8" s="14"/>
      <c r="G8" s="15" t="str">
        <f>'4-πολλυπρ'!D8</f>
        <v>;;;???</v>
      </c>
      <c r="H8" s="15" t="str">
        <f>'4-πολλυπρ'!I8</f>
        <v>;;;???</v>
      </c>
      <c r="I8" s="20"/>
      <c r="J8" s="20">
        <f>'1-συμβολαια'!D8</f>
        <v>400000</v>
      </c>
      <c r="K8" s="20"/>
      <c r="L8" s="27">
        <f>'11-χαρτόσ'!D8</f>
        <v>1000</v>
      </c>
      <c r="M8" s="27"/>
      <c r="N8" s="27"/>
      <c r="O8" s="21"/>
      <c r="P8" s="17" t="e">
        <f>#REF!-R8</f>
        <v>#REF!</v>
      </c>
      <c r="Q8" s="16"/>
      <c r="R8" s="22">
        <f>'5-αντίγρ'!Q8</f>
        <v>968</v>
      </c>
      <c r="S8" s="23"/>
      <c r="T8" s="24"/>
      <c r="U8" s="85"/>
      <c r="V8" s="85"/>
      <c r="W8" s="81"/>
      <c r="X8" s="25"/>
      <c r="Y8" s="25"/>
      <c r="Z8" s="25"/>
      <c r="AA8" s="25"/>
      <c r="AB8" s="25"/>
      <c r="AC8" s="25"/>
    </row>
    <row r="9" spans="1:29" s="18" customFormat="1">
      <c r="A9" s="13">
        <f>'1-συμβολαια'!A9</f>
        <v>0</v>
      </c>
      <c r="B9" s="50"/>
      <c r="C9" s="80">
        <f>'1-συμβολαια'!B9</f>
        <v>0</v>
      </c>
      <c r="D9" s="19"/>
      <c r="E9" s="90" t="str">
        <f>'1-συμβολαια'!C9</f>
        <v>χρησικτησία αγροτεμαχίου = 1910 πατρός ΔΩΡΕΑ άτυπος</v>
      </c>
      <c r="F9" s="14"/>
      <c r="G9" s="15" t="str">
        <f>'4-πολλυπρ'!D9</f>
        <v>;;;???</v>
      </c>
      <c r="H9" s="15">
        <f>'4-πολλυπρ'!I9</f>
        <v>0</v>
      </c>
      <c r="I9" s="20"/>
      <c r="J9" s="20">
        <f>'1-συμβολαια'!D9</f>
        <v>333333</v>
      </c>
      <c r="K9" s="20"/>
      <c r="L9" s="27">
        <f>'11-χαρτόσ'!D9</f>
        <v>0</v>
      </c>
      <c r="M9" s="27"/>
      <c r="N9" s="27"/>
      <c r="O9" s="21"/>
      <c r="P9" s="17" t="e">
        <f>#REF!-R9</f>
        <v>#REF!</v>
      </c>
      <c r="Q9" s="16"/>
      <c r="R9" s="22">
        <f>'5-αντίγρ'!Q9</f>
        <v>0</v>
      </c>
      <c r="S9" s="23"/>
      <c r="T9" s="24"/>
      <c r="U9" s="85"/>
      <c r="V9" s="85"/>
      <c r="W9" s="81"/>
      <c r="X9" s="25"/>
      <c r="Y9" s="25"/>
      <c r="Z9" s="25"/>
      <c r="AA9" s="25"/>
      <c r="AB9" s="25"/>
      <c r="AC9" s="25"/>
    </row>
    <row r="10" spans="1:29" s="18" customFormat="1">
      <c r="A10" s="13" t="str">
        <f>'1-συμβολαια'!A10</f>
        <v>;;;???</v>
      </c>
      <c r="B10" s="50"/>
      <c r="C10" s="80" t="str">
        <f>'1-συμβολαια'!B10</f>
        <v>;;;???</v>
      </c>
      <c r="D10" s="19"/>
      <c r="E10" s="90" t="str">
        <f>'1-συμβολαια'!C10</f>
        <v>δωρεάς πρότασης 2ου  ΑΠΟΔΟΧΗ</v>
      </c>
      <c r="F10" s="14"/>
      <c r="G10" s="15" t="str">
        <f>'4-πολλυπρ'!D10</f>
        <v>;;;???</v>
      </c>
      <c r="H10" s="15" t="str">
        <f>'4-πολλυπρ'!I10</f>
        <v>;;;???</v>
      </c>
      <c r="I10" s="20"/>
      <c r="J10" s="20">
        <f>'1-συμβολαια'!D10</f>
        <v>0</v>
      </c>
      <c r="K10" s="20"/>
      <c r="L10" s="27">
        <f>'11-χαρτόσ'!D10</f>
        <v>0</v>
      </c>
      <c r="M10" s="27"/>
      <c r="N10" s="27"/>
      <c r="O10" s="21"/>
      <c r="P10" s="17" t="e">
        <f>#REF!-R10</f>
        <v>#REF!</v>
      </c>
      <c r="Q10" s="16"/>
      <c r="R10" s="22">
        <f>'5-αντίγρ'!Q10</f>
        <v>242</v>
      </c>
      <c r="S10" s="23"/>
      <c r="T10" s="24"/>
      <c r="U10" s="85"/>
      <c r="V10" s="85"/>
      <c r="W10" s="81"/>
      <c r="X10" s="25"/>
      <c r="Y10" s="25"/>
      <c r="Z10" s="25"/>
      <c r="AA10" s="25"/>
      <c r="AB10" s="25"/>
      <c r="AC10" s="25"/>
    </row>
    <row r="11" spans="1:29" s="18" customFormat="1">
      <c r="A11" s="13" t="str">
        <f>'1-συμβολαια'!A11</f>
        <v>;;;???</v>
      </c>
      <c r="B11" s="50"/>
      <c r="C11" s="80" t="str">
        <f>'1-συμβολαια'!B11</f>
        <v>;;;???</v>
      </c>
      <c r="D11" s="19"/>
      <c r="E11" s="90" t="str">
        <f>'1-συμβολαια'!C11</f>
        <v>δωρεάς πρότασης  3ου  ΑΠΟΔΟΧΗ</v>
      </c>
      <c r="F11" s="14"/>
      <c r="G11" s="15" t="str">
        <f>'4-πολλυπρ'!D11</f>
        <v>;;;???</v>
      </c>
      <c r="H11" s="15" t="str">
        <f>'4-πολλυπρ'!I11</f>
        <v>;;;???</v>
      </c>
      <c r="I11" s="20"/>
      <c r="J11" s="20">
        <f>'1-συμβολαια'!D11</f>
        <v>0</v>
      </c>
      <c r="K11" s="20"/>
      <c r="L11" s="27">
        <f>'11-χαρτόσ'!D11</f>
        <v>0</v>
      </c>
      <c r="M11" s="27"/>
      <c r="N11" s="27"/>
      <c r="O11" s="21"/>
      <c r="P11" s="17" t="e">
        <f>#REF!-R11</f>
        <v>#REF!</v>
      </c>
      <c r="Q11" s="16"/>
      <c r="R11" s="22">
        <f>'5-αντίγρ'!Q11</f>
        <v>242</v>
      </c>
      <c r="S11" s="23"/>
      <c r="T11" s="24"/>
      <c r="U11" s="85"/>
      <c r="V11" s="85"/>
      <c r="W11" s="81"/>
      <c r="X11" s="25"/>
      <c r="Y11" s="25"/>
      <c r="Z11" s="25"/>
      <c r="AA11" s="25"/>
      <c r="AB11" s="25"/>
      <c r="AC11" s="25"/>
    </row>
    <row r="12" spans="1:29" s="18" customFormat="1">
      <c r="A12" s="13">
        <f>'1-συμβολαια'!A12</f>
        <v>552</v>
      </c>
      <c r="B12" s="50"/>
      <c r="C12" s="80">
        <f>'1-συμβολαια'!B12</f>
        <v>36384</v>
      </c>
      <c r="D12" s="19"/>
      <c r="E12" s="90" t="str">
        <f>'1-συμβολαια'!C12</f>
        <v>πληρεξούσιο</v>
      </c>
      <c r="F12" s="14"/>
      <c r="G12" s="15" t="str">
        <f>'4-πολλυπρ'!D12</f>
        <v>;;;???</v>
      </c>
      <c r="H12" s="15" t="str">
        <f>'4-πολλυπρ'!I12</f>
        <v>;;;???</v>
      </c>
      <c r="I12" s="20"/>
      <c r="J12" s="20">
        <f>'1-συμβολαια'!D12</f>
        <v>0</v>
      </c>
      <c r="K12" s="20"/>
      <c r="L12" s="27">
        <f>'11-χαρτόσ'!D12</f>
        <v>0</v>
      </c>
      <c r="M12" s="27"/>
      <c r="N12" s="27"/>
      <c r="O12" s="21"/>
      <c r="P12" s="17" t="e">
        <f>#REF!-R12</f>
        <v>#REF!</v>
      </c>
      <c r="Q12" s="16"/>
      <c r="R12" s="22">
        <f>'5-αντίγρ'!Q12</f>
        <v>242</v>
      </c>
      <c r="S12" s="23"/>
      <c r="T12" s="24"/>
      <c r="U12" s="85"/>
      <c r="V12" s="85"/>
      <c r="W12" s="81"/>
      <c r="X12" s="25"/>
      <c r="Y12" s="25"/>
      <c r="Z12" s="25"/>
      <c r="AA12" s="25"/>
      <c r="AB12" s="25"/>
      <c r="AC12" s="25"/>
    </row>
    <row r="13" spans="1:29" s="18" customFormat="1">
      <c r="A13" s="13">
        <f>'1-συμβολαια'!A13</f>
        <v>564</v>
      </c>
      <c r="B13" s="50"/>
      <c r="C13" s="80">
        <f>'1-συμβολαια'!B13</f>
        <v>36388</v>
      </c>
      <c r="D13" s="19"/>
      <c r="E13" s="90" t="str">
        <f>'1-συμβολαια'!C13</f>
        <v>γονική</v>
      </c>
      <c r="F13" s="14"/>
      <c r="G13" s="15" t="str">
        <f>'4-πολλυπρ'!D13</f>
        <v>;;;???</v>
      </c>
      <c r="H13" s="15" t="str">
        <f>'4-πολλυπρ'!I13</f>
        <v>;;;???</v>
      </c>
      <c r="I13" s="20"/>
      <c r="J13" s="20">
        <f>'1-συμβολαια'!D13</f>
        <v>3450000</v>
      </c>
      <c r="K13" s="20"/>
      <c r="L13" s="27">
        <f>'11-χαρτόσ'!D13</f>
        <v>1000</v>
      </c>
      <c r="M13" s="27"/>
      <c r="N13" s="27"/>
      <c r="O13" s="21"/>
      <c r="P13" s="17" t="e">
        <f>#REF!-R13</f>
        <v>#REF!</v>
      </c>
      <c r="Q13" s="16"/>
      <c r="R13" s="22">
        <f>'5-αντίγρ'!Q13</f>
        <v>968</v>
      </c>
      <c r="S13" s="23"/>
      <c r="T13" s="24"/>
      <c r="U13" s="85"/>
      <c r="V13" s="85"/>
      <c r="W13" s="81"/>
      <c r="X13" s="25"/>
      <c r="Y13" s="25"/>
      <c r="Z13" s="25"/>
      <c r="AA13" s="25"/>
      <c r="AB13" s="25"/>
      <c r="AC13" s="25"/>
    </row>
    <row r="14" spans="1:29" s="18" customFormat="1">
      <c r="A14" s="13">
        <f>'1-συμβολαια'!A14</f>
        <v>0</v>
      </c>
      <c r="B14" s="50"/>
      <c r="C14" s="80">
        <f>'1-συμβολαια'!B14</f>
        <v>0</v>
      </c>
      <c r="D14" s="19"/>
      <c r="E14" s="90" t="str">
        <f>'1-συμβολαια'!C14</f>
        <v>χρησικτησία αγροτεμαχίων = 1912 πατρός ΔΩΡΕΑ άτυπος</v>
      </c>
      <c r="F14" s="14"/>
      <c r="G14" s="15" t="str">
        <f>'4-πολλυπρ'!D14</f>
        <v>πατήρ</v>
      </c>
      <c r="H14" s="15" t="str">
        <f>'4-πολλυπρ'!I14</f>
        <v>;;;???</v>
      </c>
      <c r="I14" s="20"/>
      <c r="J14" s="20">
        <f>'1-συμβολαια'!D14</f>
        <v>3333333</v>
      </c>
      <c r="K14" s="20"/>
      <c r="L14" s="27">
        <f>'11-χαρτόσ'!D14</f>
        <v>0</v>
      </c>
      <c r="M14" s="27"/>
      <c r="N14" s="27"/>
      <c r="O14" s="21"/>
      <c r="P14" s="17" t="e">
        <f>#REF!-R14</f>
        <v>#REF!</v>
      </c>
      <c r="Q14" s="16"/>
      <c r="R14" s="22">
        <f>'5-αντίγρ'!Q14</f>
        <v>0</v>
      </c>
      <c r="S14" s="23"/>
      <c r="T14" s="24"/>
      <c r="U14" s="85"/>
      <c r="V14" s="85"/>
      <c r="W14" s="81"/>
      <c r="X14" s="25"/>
      <c r="Y14" s="25"/>
      <c r="Z14" s="25"/>
      <c r="AA14" s="25"/>
      <c r="AB14" s="25"/>
      <c r="AC14" s="25"/>
    </row>
    <row r="15" spans="1:29" s="18" customFormat="1">
      <c r="A15" s="13">
        <f>'1-συμβολαια'!A15</f>
        <v>0</v>
      </c>
      <c r="B15" s="50"/>
      <c r="C15" s="80">
        <f>'1-συμβολαια'!B15</f>
        <v>0</v>
      </c>
      <c r="D15" s="19"/>
      <c r="E15" s="90" t="str">
        <f>'1-συμβολαια'!C15</f>
        <v>χρησικτησία αγροτεμαχίων = 1920 ΔΙΑΝΟΜΗ άτυπος</v>
      </c>
      <c r="F15" s="14"/>
      <c r="G15" s="15" t="str">
        <f>'4-πολλυπρ'!D15</f>
        <v>πατήρ</v>
      </c>
      <c r="H15" s="15">
        <f>'4-πολλυπρ'!I15</f>
        <v>0</v>
      </c>
      <c r="I15" s="20"/>
      <c r="J15" s="20">
        <f>'1-συμβολαια'!D15</f>
        <v>3450000</v>
      </c>
      <c r="K15" s="20"/>
      <c r="L15" s="27">
        <f>'11-χαρτόσ'!D15</f>
        <v>0</v>
      </c>
      <c r="M15" s="27"/>
      <c r="N15" s="27"/>
      <c r="O15" s="21"/>
      <c r="P15" s="17" t="e">
        <f>#REF!-R15</f>
        <v>#REF!</v>
      </c>
      <c r="Q15" s="16"/>
      <c r="R15" s="22">
        <f>'5-αντίγρ'!Q15</f>
        <v>0</v>
      </c>
      <c r="S15" s="23"/>
      <c r="T15" s="24"/>
      <c r="U15" s="85"/>
      <c r="V15" s="85"/>
      <c r="W15" s="81"/>
      <c r="X15" s="25"/>
      <c r="Y15" s="25"/>
      <c r="Z15" s="25"/>
      <c r="AA15" s="25"/>
      <c r="AB15" s="25"/>
      <c r="AC15" s="25"/>
    </row>
    <row r="16" spans="1:29" s="18" customFormat="1">
      <c r="A16" s="13">
        <f>'1-συμβολαια'!A16</f>
        <v>0</v>
      </c>
      <c r="B16" s="50"/>
      <c r="C16" s="80">
        <f>'1-συμβολαια'!B16</f>
        <v>0</v>
      </c>
      <c r="D16" s="19"/>
      <c r="E16" s="90" t="str">
        <f>'1-συμβολαια'!C16</f>
        <v>εξισορρόπηση διαφοράς διανεμομένων μεριδίων</v>
      </c>
      <c r="F16" s="14"/>
      <c r="G16" s="15" t="str">
        <f>'4-πολλυπρ'!D16</f>
        <v>πατήρ</v>
      </c>
      <c r="H16" s="15">
        <f>'4-πολλυπρ'!I16</f>
        <v>0</v>
      </c>
      <c r="I16" s="20"/>
      <c r="J16" s="20">
        <f>'1-συμβολαια'!D16</f>
        <v>111111</v>
      </c>
      <c r="K16" s="20"/>
      <c r="L16" s="27">
        <f>'11-χαρτόσ'!D16</f>
        <v>0</v>
      </c>
      <c r="M16" s="27"/>
      <c r="N16" s="27"/>
      <c r="O16" s="21"/>
      <c r="P16" s="17" t="e">
        <f>#REF!-R16</f>
        <v>#REF!</v>
      </c>
      <c r="Q16" s="16"/>
      <c r="R16" s="22">
        <f>'5-αντίγρ'!Q16</f>
        <v>0</v>
      </c>
      <c r="S16" s="23"/>
      <c r="T16" s="24"/>
      <c r="U16" s="85"/>
      <c r="V16" s="85"/>
      <c r="W16" s="81"/>
      <c r="X16" s="25"/>
      <c r="Y16" s="25"/>
      <c r="Z16" s="25"/>
      <c r="AA16" s="25"/>
      <c r="AB16" s="25"/>
      <c r="AC16" s="25"/>
    </row>
    <row r="17" spans="1:35">
      <c r="A17" s="958" t="s">
        <v>56</v>
      </c>
      <c r="B17" s="959"/>
      <c r="C17" s="959"/>
      <c r="D17" s="959"/>
      <c r="E17" s="959"/>
      <c r="F17" s="959"/>
      <c r="G17" s="959"/>
      <c r="H17" s="959"/>
      <c r="I17" s="959"/>
      <c r="J17" s="959"/>
      <c r="K17" s="45"/>
      <c r="L17" s="1">
        <f>SUM(L3:L16)</f>
        <v>3000</v>
      </c>
      <c r="M17" s="1"/>
      <c r="N17" s="1"/>
      <c r="O17" s="1">
        <f>SUM(O3:O16)</f>
        <v>0</v>
      </c>
      <c r="P17" s="38" t="e">
        <f>SUM(P3:P16)</f>
        <v>#REF!</v>
      </c>
      <c r="Q17" s="1">
        <f>SUM(Q3:Q16)</f>
        <v>0</v>
      </c>
      <c r="R17" s="1">
        <f>SUM(R3:R16)</f>
        <v>3872</v>
      </c>
      <c r="S17" s="1">
        <f>SUM(S3:S16)</f>
        <v>0</v>
      </c>
      <c r="T17" s="3"/>
      <c r="U17" s="82"/>
      <c r="V17" s="82"/>
    </row>
    <row r="18" spans="1:35">
      <c r="T18" s="120"/>
    </row>
    <row r="19" spans="1:35" ht="15.75" customHeight="1">
      <c r="T19" s="120"/>
      <c r="U19" s="937" t="s">
        <v>120</v>
      </c>
      <c r="V19" s="937"/>
      <c r="W19" s="937"/>
      <c r="X19" s="937"/>
      <c r="Y19" s="937"/>
      <c r="Z19" s="937"/>
      <c r="AA19" s="937"/>
      <c r="AB19" s="937"/>
      <c r="AC19" s="937"/>
      <c r="AD19" s="118"/>
      <c r="AE19" s="118"/>
      <c r="AF19" s="118"/>
      <c r="AG19" s="118"/>
      <c r="AH19" s="113"/>
      <c r="AI19" s="113"/>
    </row>
    <row r="20" spans="1:35" ht="15.75" customHeight="1">
      <c r="T20" s="120"/>
      <c r="U20" s="119"/>
      <c r="V20" s="939" t="s">
        <v>121</v>
      </c>
      <c r="W20" s="939"/>
      <c r="X20" s="939"/>
      <c r="Y20" s="939"/>
      <c r="Z20" s="939"/>
      <c r="AA20" s="939"/>
      <c r="AB20" s="939"/>
      <c r="AC20" s="939"/>
      <c r="AD20" s="939"/>
      <c r="AE20" s="113"/>
      <c r="AF20" s="113"/>
      <c r="AG20" s="113"/>
      <c r="AH20" s="113"/>
      <c r="AI20" s="113"/>
    </row>
    <row r="21" spans="1:35" ht="15.75" customHeight="1">
      <c r="T21" s="120"/>
      <c r="U21" s="119"/>
      <c r="V21" s="119"/>
      <c r="W21" s="937" t="s">
        <v>122</v>
      </c>
      <c r="X21" s="937"/>
      <c r="Y21" s="937"/>
      <c r="Z21" s="937"/>
      <c r="AA21" s="937"/>
      <c r="AB21" s="937"/>
      <c r="AC21" s="937"/>
      <c r="AD21" s="937"/>
      <c r="AE21" s="937"/>
      <c r="AF21" s="113"/>
      <c r="AG21" s="113"/>
      <c r="AH21" s="113"/>
      <c r="AI21" s="113"/>
    </row>
    <row r="22" spans="1:35" ht="15.75">
      <c r="U22" s="119"/>
      <c r="V22" s="119"/>
      <c r="W22" s="119"/>
      <c r="X22" s="939" t="s">
        <v>123</v>
      </c>
      <c r="Y22" s="939"/>
      <c r="Z22" s="939"/>
      <c r="AA22" s="939"/>
      <c r="AB22" s="939"/>
      <c r="AC22" s="939"/>
      <c r="AD22" s="939"/>
      <c r="AE22" s="939"/>
      <c r="AF22" s="939"/>
      <c r="AG22" s="113"/>
      <c r="AH22" s="113"/>
      <c r="AI22" s="113"/>
    </row>
    <row r="23" spans="1:35" ht="15.75">
      <c r="U23" s="119"/>
      <c r="V23" s="119"/>
      <c r="W23" s="119"/>
      <c r="X23" s="119"/>
      <c r="Y23" s="937" t="s">
        <v>124</v>
      </c>
      <c r="Z23" s="937"/>
      <c r="AA23" s="937"/>
      <c r="AB23" s="937"/>
      <c r="AC23" s="937"/>
      <c r="AD23" s="937"/>
      <c r="AE23" s="937"/>
      <c r="AF23" s="937"/>
      <c r="AG23" s="937"/>
      <c r="AH23" s="113"/>
      <c r="AI23" s="113"/>
    </row>
    <row r="24" spans="1:35" ht="15.75">
      <c r="U24" s="119"/>
      <c r="V24" s="119"/>
      <c r="W24" s="119"/>
      <c r="X24" s="119"/>
      <c r="Y24" s="119"/>
      <c r="Z24" s="939" t="s">
        <v>125</v>
      </c>
      <c r="AA24" s="939"/>
      <c r="AB24" s="939"/>
      <c r="AC24" s="939"/>
      <c r="AD24" s="939"/>
      <c r="AE24" s="939"/>
      <c r="AF24" s="939"/>
      <c r="AG24" s="939"/>
      <c r="AH24" s="939"/>
      <c r="AI24" s="113"/>
    </row>
    <row r="25" spans="1:35" ht="15.75">
      <c r="U25" s="119"/>
      <c r="V25" s="119"/>
      <c r="W25" s="119"/>
      <c r="X25" s="119"/>
      <c r="Y25" s="119"/>
      <c r="Z25" s="119"/>
      <c r="AA25" s="937" t="s">
        <v>126</v>
      </c>
      <c r="AB25" s="937"/>
      <c r="AC25" s="937"/>
      <c r="AD25" s="937"/>
      <c r="AE25" s="937"/>
      <c r="AF25" s="937"/>
      <c r="AG25" s="937"/>
      <c r="AH25" s="937"/>
      <c r="AI25" s="937"/>
    </row>
  </sheetData>
  <mergeCells count="18">
    <mergeCell ref="A17:J17"/>
    <mergeCell ref="E1:F1"/>
    <mergeCell ref="P1:Q1"/>
    <mergeCell ref="A1:B1"/>
    <mergeCell ref="C1:D1"/>
    <mergeCell ref="G1:I1"/>
    <mergeCell ref="J1:K1"/>
    <mergeCell ref="L1:O1"/>
    <mergeCell ref="U19:AC19"/>
    <mergeCell ref="V20:AD20"/>
    <mergeCell ref="U1:AC2"/>
    <mergeCell ref="T1:T2"/>
    <mergeCell ref="R1:S1"/>
    <mergeCell ref="W21:AE21"/>
    <mergeCell ref="X22:AF22"/>
    <mergeCell ref="Y23:AG23"/>
    <mergeCell ref="Z24:AH24"/>
    <mergeCell ref="AA25:AI25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9"/>
  <sheetViews>
    <sheetView workbookViewId="0">
      <pane ySplit="2" topLeftCell="A3" activePane="bottomLeft" state="frozen"/>
      <selection pane="bottomLeft" activeCell="A17" sqref="A17:XFD18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1" customFormat="1" ht="32.25" customHeight="1">
      <c r="A1" s="969" t="s">
        <v>31</v>
      </c>
      <c r="B1" s="970"/>
      <c r="C1" s="970"/>
      <c r="D1" s="970"/>
      <c r="E1" s="971"/>
      <c r="F1" s="972" t="s">
        <v>288</v>
      </c>
      <c r="G1" s="973"/>
      <c r="H1" s="973"/>
      <c r="I1" s="974"/>
      <c r="J1" s="965" t="s">
        <v>289</v>
      </c>
      <c r="K1" s="966"/>
      <c r="L1" s="966"/>
      <c r="M1" s="966"/>
      <c r="N1" s="966"/>
      <c r="O1" s="966"/>
      <c r="P1" s="966"/>
      <c r="Q1" s="966"/>
      <c r="R1" s="966"/>
      <c r="S1" s="966"/>
      <c r="T1" s="966"/>
      <c r="U1" s="966"/>
      <c r="V1" s="966"/>
      <c r="W1" s="966"/>
      <c r="X1" s="966"/>
      <c r="Y1" s="967"/>
      <c r="Z1" s="975" t="s">
        <v>290</v>
      </c>
      <c r="AA1" s="976"/>
      <c r="AB1" s="976"/>
      <c r="AC1" s="977"/>
      <c r="AD1" s="965" t="s">
        <v>291</v>
      </c>
      <c r="AE1" s="966"/>
      <c r="AF1" s="966"/>
      <c r="AG1" s="966"/>
      <c r="AH1" s="966"/>
      <c r="AI1" s="966"/>
      <c r="AJ1" s="966"/>
      <c r="AK1" s="966"/>
      <c r="AL1" s="966"/>
      <c r="AM1" s="966"/>
      <c r="AN1" s="966"/>
      <c r="AO1" s="966"/>
      <c r="AP1" s="966"/>
      <c r="AQ1" s="966"/>
      <c r="AR1" s="966"/>
      <c r="AS1" s="967"/>
      <c r="AT1" s="972" t="s">
        <v>292</v>
      </c>
      <c r="AU1" s="973"/>
      <c r="AV1" s="973"/>
      <c r="AW1" s="974"/>
      <c r="AX1" s="965" t="s">
        <v>293</v>
      </c>
      <c r="AY1" s="966"/>
      <c r="AZ1" s="966"/>
      <c r="BA1" s="966"/>
      <c r="BB1" s="966"/>
      <c r="BC1" s="966"/>
      <c r="BD1" s="966"/>
      <c r="BE1" s="966"/>
      <c r="BF1" s="966"/>
      <c r="BG1" s="966"/>
      <c r="BH1" s="966"/>
      <c r="BI1" s="966"/>
      <c r="BJ1" s="966"/>
      <c r="BK1" s="966"/>
      <c r="BL1" s="966"/>
      <c r="BM1" s="967"/>
    </row>
    <row r="2" spans="1:65" s="4" customFormat="1" ht="23.25" customHeight="1">
      <c r="A2" s="183" t="s">
        <v>19</v>
      </c>
      <c r="B2" s="183" t="s">
        <v>294</v>
      </c>
      <c r="C2" s="184" t="s">
        <v>295</v>
      </c>
      <c r="D2" s="725" t="s">
        <v>29</v>
      </c>
      <c r="E2" s="936"/>
      <c r="F2" s="185" t="s">
        <v>296</v>
      </c>
      <c r="G2" s="183" t="s">
        <v>18</v>
      </c>
      <c r="H2" s="185" t="s">
        <v>23</v>
      </c>
      <c r="I2" s="186" t="s">
        <v>85</v>
      </c>
      <c r="J2" s="187" t="s">
        <v>297</v>
      </c>
      <c r="K2" s="187" t="s">
        <v>298</v>
      </c>
      <c r="L2" s="185" t="s">
        <v>299</v>
      </c>
      <c r="M2" s="185" t="s">
        <v>300</v>
      </c>
      <c r="N2" s="185" t="s">
        <v>301</v>
      </c>
      <c r="O2" s="185" t="s">
        <v>302</v>
      </c>
      <c r="P2" s="185" t="s">
        <v>303</v>
      </c>
      <c r="Q2" s="185" t="s">
        <v>304</v>
      </c>
      <c r="R2" s="185" t="s">
        <v>305</v>
      </c>
      <c r="S2" s="185" t="s">
        <v>306</v>
      </c>
      <c r="T2" s="185" t="s">
        <v>307</v>
      </c>
      <c r="U2" s="185" t="s">
        <v>23</v>
      </c>
      <c r="V2" s="185" t="s">
        <v>308</v>
      </c>
      <c r="W2" s="185" t="s">
        <v>309</v>
      </c>
      <c r="X2" s="185" t="s">
        <v>310</v>
      </c>
      <c r="Y2" s="188" t="s">
        <v>311</v>
      </c>
      <c r="Z2" s="185" t="s">
        <v>296</v>
      </c>
      <c r="AA2" s="183" t="s">
        <v>18</v>
      </c>
      <c r="AB2" s="185" t="s">
        <v>23</v>
      </c>
      <c r="AC2" s="189" t="s">
        <v>85</v>
      </c>
      <c r="AD2" s="187" t="s">
        <v>297</v>
      </c>
      <c r="AE2" s="187" t="s">
        <v>298</v>
      </c>
      <c r="AF2" s="185" t="s">
        <v>299</v>
      </c>
      <c r="AG2" s="185" t="s">
        <v>300</v>
      </c>
      <c r="AH2" s="185" t="s">
        <v>301</v>
      </c>
      <c r="AI2" s="185" t="s">
        <v>302</v>
      </c>
      <c r="AJ2" s="185" t="s">
        <v>303</v>
      </c>
      <c r="AK2" s="185" t="s">
        <v>304</v>
      </c>
      <c r="AL2" s="185" t="s">
        <v>305</v>
      </c>
      <c r="AM2" s="185" t="s">
        <v>306</v>
      </c>
      <c r="AN2" s="185" t="s">
        <v>307</v>
      </c>
      <c r="AO2" s="185" t="s">
        <v>23</v>
      </c>
      <c r="AP2" s="185" t="s">
        <v>308</v>
      </c>
      <c r="AQ2" s="185" t="s">
        <v>309</v>
      </c>
      <c r="AR2" s="185" t="s">
        <v>310</v>
      </c>
      <c r="AS2" s="188" t="s">
        <v>311</v>
      </c>
      <c r="AT2" s="185" t="s">
        <v>296</v>
      </c>
      <c r="AU2" s="183" t="s">
        <v>18</v>
      </c>
      <c r="AV2" s="185" t="s">
        <v>23</v>
      </c>
      <c r="AW2" s="186" t="s">
        <v>85</v>
      </c>
      <c r="AX2" s="187" t="s">
        <v>297</v>
      </c>
      <c r="AY2" s="187" t="s">
        <v>298</v>
      </c>
      <c r="AZ2" s="185" t="s">
        <v>299</v>
      </c>
      <c r="BA2" s="185" t="s">
        <v>300</v>
      </c>
      <c r="BB2" s="185" t="s">
        <v>301</v>
      </c>
      <c r="BC2" s="185" t="s">
        <v>302</v>
      </c>
      <c r="BD2" s="185" t="s">
        <v>303</v>
      </c>
      <c r="BE2" s="185" t="s">
        <v>304</v>
      </c>
      <c r="BF2" s="185" t="s">
        <v>305</v>
      </c>
      <c r="BG2" s="185" t="s">
        <v>306</v>
      </c>
      <c r="BH2" s="185" t="s">
        <v>307</v>
      </c>
      <c r="BI2" s="185" t="s">
        <v>23</v>
      </c>
      <c r="BJ2" s="185" t="s">
        <v>308</v>
      </c>
      <c r="BK2" s="185" t="s">
        <v>309</v>
      </c>
      <c r="BL2" s="185" t="s">
        <v>312</v>
      </c>
      <c r="BM2" s="188" t="s">
        <v>311</v>
      </c>
    </row>
    <row r="3" spans="1:65" s="33" customFormat="1">
      <c r="A3" s="29">
        <f>'1-συμβολαια'!A3</f>
        <v>111</v>
      </c>
      <c r="B3" s="15" t="str">
        <f>'4-πολλυπρ'!D3</f>
        <v>;;;???</v>
      </c>
      <c r="C3" s="15" t="str">
        <f>'4-πολλυπρ'!I3</f>
        <v>;;;???</v>
      </c>
      <c r="D3" s="31"/>
      <c r="E3" s="29"/>
      <c r="F3" s="29"/>
      <c r="G3" s="30"/>
      <c r="H3" s="29"/>
      <c r="I3" s="29"/>
      <c r="J3" s="29"/>
      <c r="K3" s="139" t="s">
        <v>313</v>
      </c>
      <c r="L3" s="32"/>
      <c r="M3" s="32"/>
      <c r="N3" s="32"/>
      <c r="O3" s="32"/>
      <c r="P3" s="32"/>
      <c r="Q3" s="32"/>
      <c r="R3" s="32"/>
      <c r="S3" s="32"/>
      <c r="T3" s="32"/>
      <c r="U3" s="29"/>
      <c r="V3" s="30"/>
      <c r="W3" s="30"/>
      <c r="X3" s="32"/>
      <c r="Y3" s="32"/>
      <c r="Z3" s="29"/>
      <c r="AA3" s="32"/>
      <c r="AB3" s="29"/>
      <c r="AC3" s="32"/>
      <c r="AD3" s="29"/>
      <c r="AE3" s="190" t="s">
        <v>313</v>
      </c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29"/>
      <c r="AU3" s="32"/>
      <c r="AV3" s="29"/>
      <c r="AW3" s="32"/>
      <c r="AX3" s="29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29"/>
      <c r="BJ3" s="32"/>
      <c r="BK3" s="32"/>
      <c r="BL3" s="32"/>
      <c r="BM3" s="32"/>
    </row>
    <row r="4" spans="1:65" s="33" customFormat="1">
      <c r="A4" s="29">
        <f>'1-συμβολαια'!A4</f>
        <v>113</v>
      </c>
      <c r="B4" s="15" t="str">
        <f>'4-πολλυπρ'!D4</f>
        <v>;;;???</v>
      </c>
      <c r="C4" s="15" t="str">
        <f>'4-πολλυπρ'!I4</f>
        <v>;;;???</v>
      </c>
      <c r="D4" s="31"/>
      <c r="E4" s="29"/>
      <c r="F4" s="29"/>
      <c r="G4" s="30"/>
      <c r="H4" s="29"/>
      <c r="I4" s="29"/>
      <c r="J4" s="29"/>
      <c r="K4" s="139" t="s">
        <v>313</v>
      </c>
      <c r="L4" s="32"/>
      <c r="M4" s="32"/>
      <c r="N4" s="32"/>
      <c r="O4" s="32"/>
      <c r="P4" s="32"/>
      <c r="Q4" s="32"/>
      <c r="R4" s="32"/>
      <c r="S4" s="32"/>
      <c r="T4" s="32"/>
      <c r="U4" s="29"/>
      <c r="V4" s="30"/>
      <c r="W4" s="30"/>
      <c r="X4" s="32"/>
      <c r="Y4" s="32"/>
      <c r="Z4" s="29"/>
      <c r="AA4" s="32"/>
      <c r="AB4" s="29"/>
      <c r="AC4" s="32"/>
      <c r="AD4" s="29"/>
      <c r="AE4" s="190" t="s">
        <v>313</v>
      </c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29"/>
      <c r="AU4" s="32"/>
      <c r="AV4" s="29"/>
      <c r="AW4" s="32"/>
      <c r="AX4" s="29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29"/>
      <c r="BJ4" s="32"/>
      <c r="BK4" s="32"/>
      <c r="BL4" s="32"/>
      <c r="BM4" s="32"/>
    </row>
    <row r="5" spans="1:65" s="33" customFormat="1">
      <c r="A5" s="29">
        <f>'1-συμβολαια'!A5</f>
        <v>0</v>
      </c>
      <c r="B5" s="15" t="str">
        <f>'4-πολλυπρ'!D5</f>
        <v>;;;???</v>
      </c>
      <c r="C5" s="15">
        <f>'4-πολλυπρ'!I5</f>
        <v>0</v>
      </c>
      <c r="D5" s="31"/>
      <c r="E5" s="29"/>
      <c r="F5" s="29"/>
      <c r="G5" s="30"/>
      <c r="H5" s="29"/>
      <c r="I5" s="29"/>
      <c r="J5" s="29"/>
      <c r="K5" s="139" t="s">
        <v>313</v>
      </c>
      <c r="L5" s="32"/>
      <c r="M5" s="32"/>
      <c r="N5" s="32"/>
      <c r="O5" s="32"/>
      <c r="P5" s="32"/>
      <c r="Q5" s="32"/>
      <c r="R5" s="32"/>
      <c r="S5" s="32"/>
      <c r="T5" s="32"/>
      <c r="U5" s="29"/>
      <c r="V5" s="30"/>
      <c r="W5" s="30"/>
      <c r="X5" s="32"/>
      <c r="Y5" s="32"/>
      <c r="Z5" s="29"/>
      <c r="AA5" s="32"/>
      <c r="AB5" s="29"/>
      <c r="AC5" s="32"/>
      <c r="AD5" s="29"/>
      <c r="AE5" s="190" t="s">
        <v>313</v>
      </c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29"/>
      <c r="AU5" s="32"/>
      <c r="AV5" s="29"/>
      <c r="AW5" s="32"/>
      <c r="AX5" s="29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29"/>
      <c r="BJ5" s="32"/>
      <c r="BK5" s="32"/>
      <c r="BL5" s="32"/>
      <c r="BM5" s="32"/>
    </row>
    <row r="6" spans="1:65" s="33" customFormat="1">
      <c r="A6" s="29">
        <f>'1-συμβολαια'!A6</f>
        <v>0</v>
      </c>
      <c r="B6" s="15" t="str">
        <f>'4-πολλυπρ'!D6</f>
        <v>;;;???</v>
      </c>
      <c r="C6" s="15">
        <f>'4-πολλυπρ'!I6</f>
        <v>0</v>
      </c>
      <c r="D6" s="31"/>
      <c r="E6" s="29"/>
      <c r="F6" s="29"/>
      <c r="G6" s="30"/>
      <c r="H6" s="29"/>
      <c r="I6" s="29"/>
      <c r="J6" s="29"/>
      <c r="K6" s="139" t="s">
        <v>313</v>
      </c>
      <c r="L6" s="32"/>
      <c r="M6" s="32"/>
      <c r="N6" s="32"/>
      <c r="O6" s="32"/>
      <c r="P6" s="32"/>
      <c r="Q6" s="32"/>
      <c r="R6" s="32"/>
      <c r="S6" s="32"/>
      <c r="T6" s="32"/>
      <c r="U6" s="29"/>
      <c r="V6" s="30"/>
      <c r="W6" s="30"/>
      <c r="X6" s="32"/>
      <c r="Y6" s="32"/>
      <c r="Z6" s="29"/>
      <c r="AA6" s="32"/>
      <c r="AB6" s="29"/>
      <c r="AC6" s="32"/>
      <c r="AD6" s="29"/>
      <c r="AE6" s="190" t="s">
        <v>313</v>
      </c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29"/>
      <c r="AU6" s="32"/>
      <c r="AV6" s="29"/>
      <c r="AW6" s="32"/>
      <c r="AX6" s="29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29"/>
      <c r="BJ6" s="32"/>
      <c r="BK6" s="32"/>
      <c r="BL6" s="32"/>
      <c r="BM6" s="32"/>
    </row>
    <row r="7" spans="1:65" s="33" customFormat="1">
      <c r="A7" s="29">
        <f>'1-συμβολαια'!A7</f>
        <v>0</v>
      </c>
      <c r="B7" s="15" t="str">
        <f>'4-πολλυπρ'!D7</f>
        <v>;;;???</v>
      </c>
      <c r="C7" s="15">
        <f>'4-πολλυπρ'!I7</f>
        <v>0</v>
      </c>
      <c r="D7" s="31"/>
      <c r="E7" s="29"/>
      <c r="F7" s="29"/>
      <c r="G7" s="30"/>
      <c r="H7" s="29"/>
      <c r="I7" s="29"/>
      <c r="J7" s="29"/>
      <c r="K7" s="139" t="s">
        <v>313</v>
      </c>
      <c r="L7" s="32"/>
      <c r="M7" s="32"/>
      <c r="N7" s="32"/>
      <c r="O7" s="32"/>
      <c r="P7" s="32"/>
      <c r="Q7" s="32"/>
      <c r="R7" s="32"/>
      <c r="S7" s="32"/>
      <c r="T7" s="32"/>
      <c r="U7" s="29"/>
      <c r="V7" s="30"/>
      <c r="W7" s="30"/>
      <c r="X7" s="32"/>
      <c r="Y7" s="32"/>
      <c r="Z7" s="29"/>
      <c r="AA7" s="32"/>
      <c r="AB7" s="29"/>
      <c r="AC7" s="32"/>
      <c r="AD7" s="29"/>
      <c r="AE7" s="190" t="s">
        <v>313</v>
      </c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0"/>
      <c r="AQ7" s="32"/>
      <c r="AR7" s="32"/>
      <c r="AS7" s="32"/>
      <c r="AT7" s="29"/>
      <c r="AU7" s="32"/>
      <c r="AV7" s="29"/>
      <c r="AW7" s="32"/>
      <c r="AX7" s="29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29"/>
      <c r="BJ7" s="32"/>
      <c r="BK7" s="32"/>
      <c r="BL7" s="32"/>
      <c r="BM7" s="32"/>
    </row>
    <row r="8" spans="1:65" s="33" customFormat="1">
      <c r="A8" s="29">
        <f>'1-συμβολαια'!A8</f>
        <v>114</v>
      </c>
      <c r="B8" s="15" t="str">
        <f>'4-πολλυπρ'!D8</f>
        <v>;;;???</v>
      </c>
      <c r="C8" s="15" t="str">
        <f>'4-πολλυπρ'!I8</f>
        <v>;;;???</v>
      </c>
      <c r="D8" s="31"/>
      <c r="E8" s="29"/>
      <c r="F8" s="29"/>
      <c r="G8" s="30"/>
      <c r="H8" s="29"/>
      <c r="I8" s="29"/>
      <c r="J8" s="29"/>
      <c r="K8" s="139" t="s">
        <v>313</v>
      </c>
      <c r="L8" s="32"/>
      <c r="M8" s="32"/>
      <c r="N8" s="32"/>
      <c r="O8" s="32"/>
      <c r="P8" s="32"/>
      <c r="Q8" s="32"/>
      <c r="R8" s="32"/>
      <c r="S8" s="32"/>
      <c r="T8" s="32"/>
      <c r="U8" s="29"/>
      <c r="V8" s="30"/>
      <c r="W8" s="30"/>
      <c r="X8" s="32"/>
      <c r="Y8" s="32"/>
      <c r="Z8" s="29"/>
      <c r="AA8" s="32"/>
      <c r="AB8" s="29"/>
      <c r="AC8" s="32"/>
      <c r="AD8" s="29"/>
      <c r="AE8" s="190" t="s">
        <v>313</v>
      </c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29"/>
      <c r="AU8" s="32"/>
      <c r="AV8" s="29"/>
      <c r="AW8" s="32"/>
      <c r="AX8" s="29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29"/>
      <c r="BJ8" s="32"/>
      <c r="BK8" s="32"/>
      <c r="BL8" s="32"/>
      <c r="BM8" s="32"/>
    </row>
    <row r="9" spans="1:65" s="33" customFormat="1">
      <c r="A9" s="29">
        <f>'1-συμβολαια'!A9</f>
        <v>0</v>
      </c>
      <c r="B9" s="15" t="str">
        <f>'4-πολλυπρ'!D9</f>
        <v>;;;???</v>
      </c>
      <c r="C9" s="15">
        <f>'4-πολλυπρ'!I9</f>
        <v>0</v>
      </c>
      <c r="D9" s="31"/>
      <c r="E9" s="29"/>
      <c r="F9" s="29"/>
      <c r="G9" s="30"/>
      <c r="H9" s="29"/>
      <c r="I9" s="29"/>
      <c r="J9" s="29"/>
      <c r="K9" s="139" t="s">
        <v>313</v>
      </c>
      <c r="L9" s="32"/>
      <c r="M9" s="32"/>
      <c r="N9" s="32"/>
      <c r="O9" s="32"/>
      <c r="P9" s="32"/>
      <c r="Q9" s="32"/>
      <c r="R9" s="32"/>
      <c r="S9" s="32"/>
      <c r="T9" s="32"/>
      <c r="U9" s="29"/>
      <c r="V9" s="30"/>
      <c r="W9" s="30"/>
      <c r="X9" s="32"/>
      <c r="Y9" s="32"/>
      <c r="Z9" s="29"/>
      <c r="AA9" s="32"/>
      <c r="AB9" s="29"/>
      <c r="AC9" s="32"/>
      <c r="AD9" s="29"/>
      <c r="AE9" s="190" t="s">
        <v>313</v>
      </c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29"/>
      <c r="AU9" s="32"/>
      <c r="AV9" s="29"/>
      <c r="AW9" s="32"/>
      <c r="AX9" s="29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29"/>
      <c r="BJ9" s="32"/>
      <c r="BK9" s="32"/>
      <c r="BL9" s="32"/>
      <c r="BM9" s="32"/>
    </row>
    <row r="10" spans="1:65" s="33" customFormat="1">
      <c r="A10" s="29" t="str">
        <f>'1-συμβολαια'!A10</f>
        <v>;;;???</v>
      </c>
      <c r="B10" s="15" t="str">
        <f>'4-πολλυπρ'!D10</f>
        <v>;;;???</v>
      </c>
      <c r="C10" s="15" t="str">
        <f>'4-πολλυπρ'!I10</f>
        <v>;;;???</v>
      </c>
      <c r="D10" s="31"/>
      <c r="E10" s="29"/>
      <c r="F10" s="29"/>
      <c r="G10" s="30"/>
      <c r="H10" s="29"/>
      <c r="I10" s="29"/>
      <c r="J10" s="29"/>
      <c r="K10" s="139" t="s">
        <v>313</v>
      </c>
      <c r="L10" s="32"/>
      <c r="M10" s="32"/>
      <c r="N10" s="32"/>
      <c r="O10" s="32"/>
      <c r="P10" s="32"/>
      <c r="Q10" s="32"/>
      <c r="R10" s="32"/>
      <c r="S10" s="32"/>
      <c r="T10" s="32"/>
      <c r="U10" s="29"/>
      <c r="V10" s="30"/>
      <c r="W10" s="30"/>
      <c r="X10" s="32"/>
      <c r="Y10" s="32"/>
      <c r="Z10" s="29"/>
      <c r="AA10" s="32"/>
      <c r="AB10" s="29"/>
      <c r="AC10" s="32"/>
      <c r="AD10" s="29"/>
      <c r="AE10" s="190" t="s">
        <v>313</v>
      </c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29"/>
      <c r="AU10" s="32"/>
      <c r="AV10" s="29"/>
      <c r="AW10" s="32"/>
      <c r="AX10" s="29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29"/>
      <c r="BJ10" s="32"/>
      <c r="BK10" s="32"/>
      <c r="BL10" s="32"/>
      <c r="BM10" s="32"/>
    </row>
    <row r="11" spans="1:65" s="33" customFormat="1">
      <c r="A11" s="29" t="str">
        <f>'1-συμβολαια'!A11</f>
        <v>;;;???</v>
      </c>
      <c r="B11" s="15" t="str">
        <f>'4-πολλυπρ'!D11</f>
        <v>;;;???</v>
      </c>
      <c r="C11" s="15" t="str">
        <f>'4-πολλυπρ'!I11</f>
        <v>;;;???</v>
      </c>
      <c r="D11" s="31"/>
      <c r="E11" s="29"/>
      <c r="F11" s="29"/>
      <c r="G11" s="30"/>
      <c r="H11" s="29"/>
      <c r="I11" s="29"/>
      <c r="J11" s="29"/>
      <c r="K11" s="139" t="s">
        <v>313</v>
      </c>
      <c r="L11" s="32"/>
      <c r="M11" s="32"/>
      <c r="N11" s="32"/>
      <c r="O11" s="32"/>
      <c r="P11" s="32"/>
      <c r="Q11" s="32"/>
      <c r="R11" s="32"/>
      <c r="S11" s="32"/>
      <c r="T11" s="32"/>
      <c r="U11" s="29"/>
      <c r="V11" s="30"/>
      <c r="W11" s="30"/>
      <c r="X11" s="32"/>
      <c r="Y11" s="32"/>
      <c r="Z11" s="29"/>
      <c r="AA11" s="32"/>
      <c r="AB11" s="29"/>
      <c r="AC11" s="32"/>
      <c r="AD11" s="29"/>
      <c r="AE11" s="190" t="s">
        <v>313</v>
      </c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29"/>
      <c r="AU11" s="32"/>
      <c r="AV11" s="29"/>
      <c r="AW11" s="32"/>
      <c r="AX11" s="29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29"/>
      <c r="BJ11" s="32"/>
      <c r="BK11" s="32"/>
      <c r="BL11" s="32"/>
      <c r="BM11" s="32"/>
    </row>
    <row r="12" spans="1:65" s="33" customFormat="1">
      <c r="A12" s="29">
        <f>'1-συμβολαια'!A12</f>
        <v>552</v>
      </c>
      <c r="B12" s="15" t="str">
        <f>'4-πολλυπρ'!D12</f>
        <v>;;;???</v>
      </c>
      <c r="C12" s="15" t="str">
        <f>'4-πολλυπρ'!I12</f>
        <v>;;;???</v>
      </c>
      <c r="D12" s="31"/>
      <c r="E12" s="29"/>
      <c r="F12" s="29"/>
      <c r="G12" s="30"/>
      <c r="H12" s="29"/>
      <c r="I12" s="29"/>
      <c r="J12" s="29"/>
      <c r="K12" s="139" t="s">
        <v>313</v>
      </c>
      <c r="L12" s="32"/>
      <c r="M12" s="32"/>
      <c r="N12" s="32"/>
      <c r="O12" s="32"/>
      <c r="P12" s="32"/>
      <c r="Q12" s="32"/>
      <c r="R12" s="32"/>
      <c r="S12" s="32"/>
      <c r="T12" s="32"/>
      <c r="U12" s="29"/>
      <c r="V12" s="30"/>
      <c r="W12" s="30"/>
      <c r="X12" s="32"/>
      <c r="Y12" s="32"/>
      <c r="Z12" s="29"/>
      <c r="AA12" s="32"/>
      <c r="AB12" s="29"/>
      <c r="AC12" s="32"/>
      <c r="AD12" s="29"/>
      <c r="AE12" s="190" t="s">
        <v>313</v>
      </c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29"/>
      <c r="AU12" s="32"/>
      <c r="AV12" s="29"/>
      <c r="AW12" s="32"/>
      <c r="AX12" s="29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29"/>
      <c r="BJ12" s="32"/>
      <c r="BK12" s="32"/>
      <c r="BL12" s="32"/>
      <c r="BM12" s="32"/>
    </row>
    <row r="13" spans="1:65" s="33" customFormat="1">
      <c r="A13" s="29">
        <f>'1-συμβολαια'!A13</f>
        <v>564</v>
      </c>
      <c r="B13" s="15" t="str">
        <f>'4-πολλυπρ'!D13</f>
        <v>;;;???</v>
      </c>
      <c r="C13" s="15" t="str">
        <f>'4-πολλυπρ'!I13</f>
        <v>;;;???</v>
      </c>
      <c r="D13" s="31"/>
      <c r="E13" s="29"/>
      <c r="F13" s="29"/>
      <c r="G13" s="30"/>
      <c r="H13" s="29"/>
      <c r="I13" s="29"/>
      <c r="J13" s="29"/>
      <c r="K13" s="139" t="s">
        <v>313</v>
      </c>
      <c r="L13" s="32"/>
      <c r="M13" s="32"/>
      <c r="N13" s="32"/>
      <c r="O13" s="32"/>
      <c r="P13" s="32"/>
      <c r="Q13" s="32"/>
      <c r="R13" s="32"/>
      <c r="S13" s="32"/>
      <c r="T13" s="32"/>
      <c r="U13" s="29"/>
      <c r="V13" s="30"/>
      <c r="W13" s="30"/>
      <c r="X13" s="32"/>
      <c r="Y13" s="32"/>
      <c r="Z13" s="29"/>
      <c r="AA13" s="32"/>
      <c r="AB13" s="29"/>
      <c r="AC13" s="32"/>
      <c r="AD13" s="29"/>
      <c r="AE13" s="190" t="s">
        <v>313</v>
      </c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2"/>
      <c r="AS13" s="32"/>
      <c r="AT13" s="29"/>
      <c r="AU13" s="32"/>
      <c r="AV13" s="29"/>
      <c r="AW13" s="32"/>
      <c r="AX13" s="29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29"/>
      <c r="BJ13" s="32"/>
      <c r="BK13" s="32"/>
      <c r="BL13" s="32"/>
      <c r="BM13" s="32"/>
    </row>
    <row r="14" spans="1:65" s="33" customFormat="1">
      <c r="A14" s="29">
        <f>'1-συμβολαια'!A14</f>
        <v>0</v>
      </c>
      <c r="B14" s="15" t="str">
        <f>'4-πολλυπρ'!D14</f>
        <v>πατήρ</v>
      </c>
      <c r="C14" s="15" t="str">
        <f>'4-πολλυπρ'!I14</f>
        <v>;;;???</v>
      </c>
      <c r="D14" s="31"/>
      <c r="E14" s="29"/>
      <c r="F14" s="29"/>
      <c r="G14" s="30"/>
      <c r="H14" s="29"/>
      <c r="I14" s="29"/>
      <c r="J14" s="29"/>
      <c r="K14" s="139" t="s">
        <v>313</v>
      </c>
      <c r="L14" s="32"/>
      <c r="M14" s="32"/>
      <c r="N14" s="32"/>
      <c r="O14" s="32"/>
      <c r="P14" s="32"/>
      <c r="Q14" s="32"/>
      <c r="R14" s="32"/>
      <c r="S14" s="32"/>
      <c r="T14" s="32"/>
      <c r="U14" s="29"/>
      <c r="V14" s="30"/>
      <c r="W14" s="30"/>
      <c r="X14" s="32"/>
      <c r="Y14" s="32"/>
      <c r="Z14" s="29"/>
      <c r="AA14" s="32"/>
      <c r="AB14" s="29"/>
      <c r="AC14" s="32"/>
      <c r="AD14" s="29"/>
      <c r="AE14" s="190" t="s">
        <v>313</v>
      </c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29"/>
      <c r="AU14" s="32"/>
      <c r="AV14" s="29"/>
      <c r="AW14" s="32"/>
      <c r="AX14" s="29"/>
      <c r="AY14" s="32"/>
      <c r="AZ14" s="32"/>
      <c r="BA14" s="32"/>
      <c r="BB14" s="32"/>
      <c r="BC14" s="32"/>
      <c r="BD14" s="32"/>
      <c r="BE14" s="32"/>
      <c r="BF14" s="32"/>
      <c r="BG14" s="32"/>
      <c r="BH14" s="32"/>
      <c r="BI14" s="29"/>
      <c r="BJ14" s="32"/>
      <c r="BK14" s="32"/>
      <c r="BL14" s="32"/>
      <c r="BM14" s="32"/>
    </row>
    <row r="15" spans="1:65" s="33" customFormat="1">
      <c r="A15" s="29">
        <f>'1-συμβολαια'!A15</f>
        <v>0</v>
      </c>
      <c r="B15" s="15" t="str">
        <f>'4-πολλυπρ'!D15</f>
        <v>πατήρ</v>
      </c>
      <c r="C15" s="15">
        <f>'4-πολλυπρ'!I15</f>
        <v>0</v>
      </c>
      <c r="D15" s="31"/>
      <c r="E15" s="29"/>
      <c r="F15" s="29"/>
      <c r="G15" s="30"/>
      <c r="H15" s="29"/>
      <c r="I15" s="29"/>
      <c r="J15" s="29"/>
      <c r="K15" s="139" t="s">
        <v>313</v>
      </c>
      <c r="L15" s="32"/>
      <c r="M15" s="32"/>
      <c r="N15" s="32"/>
      <c r="O15" s="32"/>
      <c r="P15" s="32"/>
      <c r="Q15" s="32"/>
      <c r="R15" s="32"/>
      <c r="S15" s="32"/>
      <c r="T15" s="32"/>
      <c r="U15" s="29"/>
      <c r="V15" s="30"/>
      <c r="W15" s="30"/>
      <c r="X15" s="32"/>
      <c r="Y15" s="32"/>
      <c r="Z15" s="29"/>
      <c r="AA15" s="32"/>
      <c r="AB15" s="29"/>
      <c r="AC15" s="32"/>
      <c r="AD15" s="29"/>
      <c r="AE15" s="190" t="s">
        <v>313</v>
      </c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29"/>
      <c r="AU15" s="32"/>
      <c r="AV15" s="29"/>
      <c r="AW15" s="32"/>
      <c r="AX15" s="29"/>
      <c r="AY15" s="32"/>
      <c r="AZ15" s="32"/>
      <c r="BA15" s="32"/>
      <c r="BB15" s="32"/>
      <c r="BC15" s="32"/>
      <c r="BD15" s="32"/>
      <c r="BE15" s="32"/>
      <c r="BF15" s="32"/>
      <c r="BG15" s="32"/>
      <c r="BH15" s="32"/>
      <c r="BI15" s="29"/>
      <c r="BJ15" s="32"/>
      <c r="BK15" s="32"/>
      <c r="BL15" s="32"/>
      <c r="BM15" s="32"/>
    </row>
    <row r="16" spans="1:65" s="33" customFormat="1">
      <c r="A16" s="29">
        <f>'1-συμβολαια'!A16</f>
        <v>0</v>
      </c>
      <c r="B16" s="15" t="str">
        <f>'4-πολλυπρ'!D16</f>
        <v>πατήρ</v>
      </c>
      <c r="C16" s="15">
        <f>'4-πολλυπρ'!I16</f>
        <v>0</v>
      </c>
      <c r="D16" s="31"/>
      <c r="E16" s="29"/>
      <c r="F16" s="29"/>
      <c r="G16" s="30"/>
      <c r="H16" s="29"/>
      <c r="I16" s="29"/>
      <c r="J16" s="29"/>
      <c r="K16" s="139" t="s">
        <v>313</v>
      </c>
      <c r="L16" s="32"/>
      <c r="M16" s="32"/>
      <c r="N16" s="32"/>
      <c r="O16" s="32"/>
      <c r="P16" s="32"/>
      <c r="Q16" s="32"/>
      <c r="R16" s="32"/>
      <c r="S16" s="32"/>
      <c r="T16" s="32"/>
      <c r="U16" s="29"/>
      <c r="V16" s="30"/>
      <c r="W16" s="30"/>
      <c r="X16" s="32"/>
      <c r="Y16" s="32"/>
      <c r="Z16" s="29"/>
      <c r="AA16" s="32"/>
      <c r="AB16" s="29"/>
      <c r="AC16" s="32"/>
      <c r="AD16" s="29"/>
      <c r="AE16" s="190" t="s">
        <v>313</v>
      </c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29"/>
      <c r="AU16" s="32"/>
      <c r="AV16" s="29"/>
      <c r="AW16" s="32"/>
      <c r="AX16" s="29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29"/>
      <c r="BJ16" s="32"/>
      <c r="BK16" s="32"/>
      <c r="BL16" s="32"/>
      <c r="BM16" s="32"/>
    </row>
    <row r="18" spans="6:9">
      <c r="F18" s="968" t="s">
        <v>314</v>
      </c>
      <c r="G18" s="968"/>
      <c r="H18" s="968"/>
      <c r="I18" s="968"/>
    </row>
    <row r="19" spans="6:9">
      <c r="F19" s="968"/>
      <c r="G19" s="968"/>
      <c r="H19" s="968"/>
      <c r="I19" s="968"/>
    </row>
  </sheetData>
  <mergeCells count="9">
    <mergeCell ref="AX1:BM1"/>
    <mergeCell ref="D2:E2"/>
    <mergeCell ref="F18:I19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A87"/>
  <sheetViews>
    <sheetView workbookViewId="0">
      <pane ySplit="2" topLeftCell="A3" activePane="bottomLeft" state="frozen"/>
      <selection pane="bottomLeft" activeCell="A20" sqref="A20"/>
    </sheetView>
  </sheetViews>
  <sheetFormatPr defaultRowHeight="11.25"/>
  <cols>
    <col min="1" max="1" width="7.28515625" style="8" bestFit="1" customWidth="1"/>
    <col min="2" max="2" width="8.7109375" style="134" bestFit="1" customWidth="1"/>
    <col min="3" max="3" width="67.7109375" style="91" bestFit="1" customWidth="1"/>
    <col min="4" max="4" width="8.5703125" style="3" customWidth="1"/>
    <col min="5" max="5" width="12.42578125" style="3" customWidth="1"/>
    <col min="6" max="6" width="9" style="3" customWidth="1"/>
    <col min="7" max="7" width="8.140625" style="2" customWidth="1"/>
    <col min="8" max="8" width="8.140625" style="2" bestFit="1" customWidth="1"/>
    <col min="9" max="9" width="9.42578125" style="2" bestFit="1" customWidth="1"/>
    <col min="10" max="10" width="8.140625" style="2" customWidth="1"/>
    <col min="11" max="11" width="8.140625" style="2" bestFit="1" customWidth="1"/>
    <col min="12" max="12" width="8.140625" style="2" customWidth="1"/>
    <col min="13" max="13" width="9.42578125" style="2" customWidth="1"/>
    <col min="14" max="15" width="10.5703125" style="2" customWidth="1"/>
    <col min="16" max="17" width="6" style="2" customWidth="1"/>
    <col min="18" max="18" width="10.5703125" style="2" customWidth="1"/>
    <col min="19" max="19" width="10.28515625" style="2" customWidth="1"/>
    <col min="20" max="20" width="10.28515625" style="2" bestFit="1" customWidth="1"/>
    <col min="21" max="21" width="11.140625" style="2" customWidth="1"/>
    <col min="22" max="22" width="10.28515625" style="2" customWidth="1"/>
    <col min="23" max="23" width="9" style="2" customWidth="1"/>
    <col min="24" max="24" width="9.42578125" style="2" customWidth="1"/>
    <col min="25" max="25" width="13.7109375" style="76" customWidth="1"/>
    <col min="26" max="26" width="12.140625" style="76" customWidth="1"/>
    <col min="27" max="27" width="10.28515625" style="2" bestFit="1" customWidth="1"/>
    <col min="28" max="28" width="5.7109375" style="2" customWidth="1"/>
    <col min="29" max="29" width="8.5703125" style="2" bestFit="1" customWidth="1"/>
    <col min="30" max="30" width="11.140625" style="2" bestFit="1" customWidth="1"/>
    <col min="31" max="31" width="10.28515625" style="2" bestFit="1" customWidth="1"/>
    <col min="32" max="32" width="9.42578125" style="2" bestFit="1" customWidth="1"/>
    <col min="33" max="33" width="11.140625" style="2" bestFit="1" customWidth="1"/>
    <col min="34" max="34" width="10.28515625" style="2" bestFit="1" customWidth="1"/>
    <col min="35" max="35" width="8.28515625" style="2" bestFit="1" customWidth="1"/>
    <col min="36" max="36" width="11.140625" style="2" bestFit="1" customWidth="1"/>
    <col min="37" max="37" width="10.28515625" style="2" bestFit="1" customWidth="1"/>
    <col min="38" max="39" width="9.42578125" style="2" bestFit="1" customWidth="1"/>
    <col min="40" max="40" width="11.140625" style="2" bestFit="1" customWidth="1"/>
    <col min="41" max="41" width="11.140625" style="2" customWidth="1"/>
    <col min="42" max="42" width="9.5703125" style="28" customWidth="1"/>
    <col min="43" max="43" width="9.42578125" style="28" bestFit="1" customWidth="1"/>
    <col min="44" max="44" width="33" style="78" customWidth="1"/>
    <col min="45" max="45" width="7.5703125" style="3" customWidth="1"/>
    <col min="46" max="46" width="9.5703125" style="3" customWidth="1"/>
    <col min="47" max="49" width="6.42578125" style="3" customWidth="1"/>
    <col min="50" max="52" width="7" style="3" customWidth="1"/>
    <col min="53" max="53" width="29.28515625" style="3" bestFit="1" customWidth="1"/>
    <col min="54" max="16384" width="9.140625" style="3"/>
  </cols>
  <sheetData>
    <row r="1" spans="1:49" ht="15.75" customHeight="1">
      <c r="A1" s="1005" t="s">
        <v>1</v>
      </c>
      <c r="B1" s="1007" t="s">
        <v>2</v>
      </c>
      <c r="C1" s="1004" t="s">
        <v>0</v>
      </c>
      <c r="D1" s="1008" t="s">
        <v>11</v>
      </c>
      <c r="E1" s="1002" t="s">
        <v>12</v>
      </c>
      <c r="F1" s="1012" t="s">
        <v>455</v>
      </c>
      <c r="G1" s="1012"/>
      <c r="H1" s="1012"/>
      <c r="I1" s="1012"/>
      <c r="J1" s="1010" t="s">
        <v>365</v>
      </c>
      <c r="K1" s="1011"/>
      <c r="L1" s="978" t="s">
        <v>551</v>
      </c>
      <c r="M1" s="979"/>
      <c r="N1" s="979"/>
      <c r="O1" s="979"/>
      <c r="P1" s="979"/>
      <c r="Q1" s="979"/>
      <c r="R1" s="980"/>
      <c r="S1" s="998" t="s">
        <v>496</v>
      </c>
      <c r="T1" s="998"/>
      <c r="U1" s="1013" t="s">
        <v>137</v>
      </c>
      <c r="V1" s="1014"/>
      <c r="W1" s="1017" t="s">
        <v>77</v>
      </c>
      <c r="X1" s="1018"/>
      <c r="Y1" s="1018"/>
      <c r="Z1" s="1018"/>
      <c r="AA1" s="1018"/>
      <c r="AB1" s="991" t="s">
        <v>497</v>
      </c>
      <c r="AC1" s="992"/>
      <c r="AD1" s="981" t="s">
        <v>43</v>
      </c>
      <c r="AE1" s="982"/>
      <c r="AF1" s="983"/>
      <c r="AG1" s="984" t="s">
        <v>58</v>
      </c>
      <c r="AH1" s="985"/>
      <c r="AI1" s="986"/>
      <c r="AJ1" s="1019" t="s">
        <v>78</v>
      </c>
      <c r="AK1" s="1020"/>
      <c r="AL1" s="1020"/>
      <c r="AM1" s="1020"/>
      <c r="AN1" s="1020"/>
      <c r="AO1" s="411"/>
      <c r="AP1" s="987" t="s">
        <v>54</v>
      </c>
      <c r="AQ1" s="989" t="s">
        <v>44</v>
      </c>
      <c r="AR1" s="1015" t="s">
        <v>81</v>
      </c>
      <c r="AS1" s="995" t="s">
        <v>29</v>
      </c>
      <c r="AT1" s="996"/>
      <c r="AU1" s="996"/>
      <c r="AV1" s="996"/>
      <c r="AW1" s="997"/>
    </row>
    <row r="2" spans="1:49" ht="26.25" thickBot="1">
      <c r="A2" s="1006"/>
      <c r="B2" s="718"/>
      <c r="C2" s="784"/>
      <c r="D2" s="1009"/>
      <c r="E2" s="1003"/>
      <c r="F2" s="340" t="s">
        <v>252</v>
      </c>
      <c r="G2" s="341" t="s">
        <v>92</v>
      </c>
      <c r="H2" s="341" t="s">
        <v>47</v>
      </c>
      <c r="I2" s="339" t="s">
        <v>411</v>
      </c>
      <c r="J2" s="257" t="s">
        <v>23</v>
      </c>
      <c r="K2" s="456" t="s">
        <v>411</v>
      </c>
      <c r="L2" s="457" t="s">
        <v>365</v>
      </c>
      <c r="M2" s="457" t="s">
        <v>549</v>
      </c>
      <c r="N2" s="458" t="s">
        <v>552</v>
      </c>
      <c r="O2" s="457" t="s">
        <v>95</v>
      </c>
      <c r="P2" s="457" t="s">
        <v>23</v>
      </c>
      <c r="Q2" s="457" t="s">
        <v>549</v>
      </c>
      <c r="R2" s="458" t="s">
        <v>552</v>
      </c>
      <c r="S2" s="179"/>
      <c r="T2" s="338" t="s">
        <v>411</v>
      </c>
      <c r="U2" s="41" t="s">
        <v>23</v>
      </c>
      <c r="V2" s="339" t="s">
        <v>411</v>
      </c>
      <c r="W2" s="70" t="s">
        <v>23</v>
      </c>
      <c r="X2" s="257" t="s">
        <v>411</v>
      </c>
      <c r="Y2" s="75" t="s">
        <v>82</v>
      </c>
      <c r="Z2" s="75" t="s">
        <v>549</v>
      </c>
      <c r="AA2" s="445" t="s">
        <v>550</v>
      </c>
      <c r="AB2" s="41" t="s">
        <v>23</v>
      </c>
      <c r="AC2" s="338" t="s">
        <v>411</v>
      </c>
      <c r="AD2" s="41" t="s">
        <v>23</v>
      </c>
      <c r="AE2" s="257" t="s">
        <v>411</v>
      </c>
      <c r="AF2" s="36" t="s">
        <v>34</v>
      </c>
      <c r="AG2" s="41" t="s">
        <v>23</v>
      </c>
      <c r="AH2" s="257" t="s">
        <v>411</v>
      </c>
      <c r="AI2" s="37" t="s">
        <v>34</v>
      </c>
      <c r="AJ2" s="41" t="s">
        <v>499</v>
      </c>
      <c r="AK2" s="257" t="s">
        <v>411</v>
      </c>
      <c r="AL2" s="10" t="s">
        <v>498</v>
      </c>
      <c r="AM2" s="257" t="s">
        <v>411</v>
      </c>
      <c r="AN2" s="10" t="s">
        <v>33</v>
      </c>
      <c r="AO2" s="412" t="s">
        <v>411</v>
      </c>
      <c r="AP2" s="988"/>
      <c r="AQ2" s="990"/>
      <c r="AR2" s="1016"/>
      <c r="AS2" s="995"/>
      <c r="AT2" s="996"/>
      <c r="AU2" s="996"/>
      <c r="AV2" s="996"/>
      <c r="AW2" s="997"/>
    </row>
    <row r="3" spans="1:49" s="5" customFormat="1" ht="12" thickBot="1">
      <c r="A3" s="582">
        <f>'1-συμβολαια'!A3</f>
        <v>111</v>
      </c>
      <c r="B3" s="514">
        <f>'1-συμβολαια'!B3</f>
        <v>36101</v>
      </c>
      <c r="C3" s="518" t="str">
        <f>'1-συμβολαια'!C3</f>
        <v>πληρεξύσιο</v>
      </c>
      <c r="D3" s="516" t="str">
        <f>'4-πολλυπρ'!D3</f>
        <v>;;;???</v>
      </c>
      <c r="E3" s="516" t="str">
        <f>'4-πολλυπρ'!I3</f>
        <v>;;;???</v>
      </c>
      <c r="F3" s="516">
        <f>'14-βιβλΕσ'!O3</f>
        <v>0</v>
      </c>
      <c r="G3" s="511">
        <f>'14-βιβλΕσ'!Q3</f>
        <v>0</v>
      </c>
      <c r="H3" s="511">
        <f t="shared" ref="H3" si="0">F3+G3</f>
        <v>0</v>
      </c>
      <c r="I3" s="581">
        <f t="shared" ref="I3" si="1">H3/340.75</f>
        <v>0</v>
      </c>
      <c r="J3" s="511">
        <f>'8-κ-15-17'!AG3</f>
        <v>0</v>
      </c>
      <c r="K3" s="581">
        <f t="shared" ref="K3" si="2">J3/340.75</f>
        <v>0</v>
      </c>
      <c r="L3" s="581"/>
      <c r="M3" s="581"/>
      <c r="N3" s="511"/>
      <c r="O3" s="701"/>
      <c r="P3" s="581"/>
      <c r="Q3" s="581"/>
      <c r="R3" s="511"/>
      <c r="S3" s="511">
        <f>('14-βιβλΕσ'!N3+'14-βιβλΕσ'!O3+'14-βιβλΕσ'!R3)*30%</f>
        <v>7234.8</v>
      </c>
      <c r="T3" s="581">
        <f t="shared" ref="T3" si="3">S3/340.75</f>
        <v>21.231988261188555</v>
      </c>
      <c r="U3" s="511">
        <f>'14-βιβλΕσ'!R3</f>
        <v>20050</v>
      </c>
      <c r="V3" s="581">
        <f t="shared" ref="V3:X16" si="4">U3/340.75</f>
        <v>58.840792369772558</v>
      </c>
      <c r="W3" s="511"/>
      <c r="X3" s="581">
        <f t="shared" si="4"/>
        <v>0</v>
      </c>
      <c r="Y3" s="512"/>
      <c r="Z3" s="581"/>
      <c r="AA3" s="581">
        <f>AO3</f>
        <v>70.356566397652244</v>
      </c>
      <c r="AB3" s="702"/>
      <c r="AC3" s="702"/>
      <c r="AD3" s="511">
        <f>AN3</f>
        <v>23974</v>
      </c>
      <c r="AE3" s="581">
        <f t="shared" ref="AE3" si="5">AD3/340.75</f>
        <v>70.356566397652244</v>
      </c>
      <c r="AF3" s="511">
        <v>4068.5821003191204</v>
      </c>
      <c r="AG3" s="706"/>
      <c r="AH3" s="707"/>
      <c r="AI3" s="706"/>
      <c r="AJ3" s="511">
        <f>'1-συμβολαια'!M3+'1-συμβολαια'!Q3+'8-κ-15-17'!AE3+'14-βιβλΕσ'!L3+'14-βιβλΕσ'!Q3+'14-βιβλΕσ'!R3+100</f>
        <v>30516</v>
      </c>
      <c r="AK3" s="581">
        <f t="shared" ref="AK3" si="6">AJ3/340.75</f>
        <v>89.555392516507709</v>
      </c>
      <c r="AL3" s="511">
        <f>'1-συμβολαια'!N3</f>
        <v>6542</v>
      </c>
      <c r="AM3" s="581">
        <f t="shared" ref="AM3" si="7">AL3/340.75</f>
        <v>19.198826118855465</v>
      </c>
      <c r="AN3" s="511">
        <f t="shared" ref="AN3" si="8">AJ3-AL3</f>
        <v>23974</v>
      </c>
      <c r="AO3" s="581">
        <f t="shared" ref="AO3" si="9">AN3/340.75</f>
        <v>70.356566397652244</v>
      </c>
      <c r="AP3" s="708">
        <v>46085</v>
      </c>
      <c r="AQ3" s="585">
        <f>AF3+AI3</f>
        <v>4068.5821003191204</v>
      </c>
      <c r="AR3" s="709"/>
      <c r="AS3" s="74"/>
      <c r="AT3" s="74"/>
      <c r="AU3" s="74"/>
      <c r="AV3" s="74"/>
      <c r="AW3" s="74"/>
    </row>
    <row r="4" spans="1:49" s="5" customFormat="1">
      <c r="A4" s="491">
        <f>'1-συμβολαια'!A4</f>
        <v>113</v>
      </c>
      <c r="B4" s="360">
        <f>'1-συμβολαια'!B4</f>
        <v>36102</v>
      </c>
      <c r="C4" s="335" t="str">
        <f>'1-συμβολαια'!C4</f>
        <v>δωρεάς ΠΡΟΤΑΣΗ [1/2 αγροτεμάχιο ;;;??? [το ανατολικό] Θεολόγος -Ποτός -'';;;???'' 2.798μ2</v>
      </c>
      <c r="D4" s="302" t="str">
        <f>'4-πολλυπρ'!D4</f>
        <v>;;;???</v>
      </c>
      <c r="E4" s="302" t="str">
        <f>'4-πολλυπρ'!I4</f>
        <v>;;;???</v>
      </c>
      <c r="F4" s="302">
        <f>'14-βιβλΕσ'!O4</f>
        <v>196</v>
      </c>
      <c r="G4" s="274">
        <f>'14-βιβλΕσ'!Q4</f>
        <v>4605</v>
      </c>
      <c r="H4" s="274">
        <f t="shared" ref="H4:H14" si="10">F4+G4</f>
        <v>4801</v>
      </c>
      <c r="I4" s="336">
        <f t="shared" ref="I4:I14" si="11">H4/340.75</f>
        <v>14.089508437270727</v>
      </c>
      <c r="J4" s="274">
        <f>'8-κ-15-17'!AG4</f>
        <v>124</v>
      </c>
      <c r="K4" s="336">
        <f t="shared" ref="K4:K14" si="12">J4/340.75</f>
        <v>0.36390315480557595</v>
      </c>
      <c r="L4" s="336">
        <v>54.22</v>
      </c>
      <c r="M4" s="336">
        <v>1568</v>
      </c>
      <c r="N4" s="274"/>
      <c r="O4" s="610" t="s">
        <v>558</v>
      </c>
      <c r="P4" s="336"/>
      <c r="Q4" s="336"/>
      <c r="R4" s="274">
        <v>1568</v>
      </c>
      <c r="S4" s="274">
        <f>('14-βιβλΕσ'!N4+'14-βιβλΕσ'!O4+'14-βιβλΕσ'!R4)*30%</f>
        <v>26773.200000000001</v>
      </c>
      <c r="T4" s="336">
        <f t="shared" ref="T4:T14" si="13">S4/340.75</f>
        <v>78.571386647101988</v>
      </c>
      <c r="U4" s="274">
        <f>'14-βιβλΕσ'!R4</f>
        <v>78400</v>
      </c>
      <c r="V4" s="336">
        <f t="shared" ref="V4:V14" si="14">U4/340.75</f>
        <v>230.08070432868672</v>
      </c>
      <c r="W4" s="274">
        <f>AL4</f>
        <v>63868</v>
      </c>
      <c r="X4" s="336">
        <f t="shared" si="4"/>
        <v>187.4336023477623</v>
      </c>
      <c r="Y4" s="610" t="s">
        <v>558</v>
      </c>
      <c r="Z4" s="336">
        <v>1567.6798199858822</v>
      </c>
      <c r="AA4" s="336">
        <f t="shared" ref="AA4:AA15" si="15">AO4</f>
        <v>274.93763756419662</v>
      </c>
      <c r="AB4" s="410"/>
      <c r="AC4" s="410"/>
      <c r="AD4" s="274">
        <f t="shared" ref="AD4:AD14" si="16">AN4</f>
        <v>93685</v>
      </c>
      <c r="AE4" s="336">
        <f t="shared" ref="AE4:AE14" si="17">AD4/340.75</f>
        <v>274.93763756419662</v>
      </c>
      <c r="AF4" s="274">
        <v>22885.686174298949</v>
      </c>
      <c r="AG4" s="446"/>
      <c r="AH4" s="447"/>
      <c r="AI4" s="446"/>
      <c r="AJ4" s="274">
        <f>'1-συμβολαια'!M4+'1-συμβολαια'!Q4+'8-κ-15-17'!AE4+'14-βιβλΕσ'!L4+'14-βιβλΕσ'!Q4+'14-βιβλΕσ'!R4+1000</f>
        <v>157553</v>
      </c>
      <c r="AK4" s="336">
        <f t="shared" ref="AK4:AK14" si="18">AJ4/340.75</f>
        <v>462.37123991195892</v>
      </c>
      <c r="AL4" s="274">
        <f>'1-συμβολαια'!N4</f>
        <v>63868</v>
      </c>
      <c r="AM4" s="336">
        <f t="shared" ref="AM4:AM14" si="19">AL4/340.75</f>
        <v>187.4336023477623</v>
      </c>
      <c r="AN4" s="274">
        <f t="shared" ref="AN4:AN14" si="20">AJ4-AL4</f>
        <v>93685</v>
      </c>
      <c r="AO4" s="336">
        <f t="shared" ref="AO4:AO14" si="21">AN4/340.75</f>
        <v>274.93763756419662</v>
      </c>
      <c r="AP4" s="704">
        <v>46085</v>
      </c>
      <c r="AQ4" s="324">
        <f t="shared" ref="AQ4:AQ14" si="22">AF4+AI4</f>
        <v>22885.686174298949</v>
      </c>
      <c r="AR4" s="705"/>
      <c r="AS4" s="74"/>
      <c r="AT4" s="74"/>
      <c r="AU4" s="74"/>
      <c r="AV4" s="74"/>
      <c r="AW4" s="74"/>
    </row>
    <row r="5" spans="1:49" s="5" customFormat="1">
      <c r="A5" s="491">
        <f>'1-συμβολαια'!A5</f>
        <v>0</v>
      </c>
      <c r="B5" s="360"/>
      <c r="C5" s="335" t="str">
        <f>'1-συμβολαια'!C5</f>
        <v>χρησικτησία αγροτεμαχίου = 1984 ΑΝΑΔΑΣΜΟΣ</v>
      </c>
      <c r="D5" s="302" t="str">
        <f>'4-πολλυπρ'!D5</f>
        <v>;;;???</v>
      </c>
      <c r="E5" s="302">
        <f>'4-πολλυπρ'!I5</f>
        <v>0</v>
      </c>
      <c r="F5" s="302">
        <f>'14-βιβλΕσ'!O5</f>
        <v>833.99959999999987</v>
      </c>
      <c r="G5" s="274">
        <f>'14-βιβλΕσ'!Q5</f>
        <v>1605</v>
      </c>
      <c r="H5" s="274">
        <f t="shared" si="10"/>
        <v>2438.9996000000001</v>
      </c>
      <c r="I5" s="336">
        <f t="shared" si="11"/>
        <v>7.1577391049156276</v>
      </c>
      <c r="J5" s="274">
        <f>'8-κ-15-17'!AG5</f>
        <v>1722.2205000000004</v>
      </c>
      <c r="K5" s="336">
        <f t="shared" si="12"/>
        <v>5.0542054292002945</v>
      </c>
      <c r="L5" s="336"/>
      <c r="M5" s="336"/>
      <c r="N5" s="274"/>
      <c r="O5" s="278"/>
      <c r="P5" s="336"/>
      <c r="Q5" s="336"/>
      <c r="R5" s="274"/>
      <c r="S5" s="274">
        <f>('14-βιβλΕσ'!N5+'14-βιβλΕσ'!O5+'14-βιβλΕσ'!R5)*30%</f>
        <v>11437.999199999998</v>
      </c>
      <c r="T5" s="336">
        <f t="shared" si="13"/>
        <v>33.567128980190752</v>
      </c>
      <c r="U5" s="274">
        <f>'14-βιβλΕσ'!R5</f>
        <v>26800</v>
      </c>
      <c r="V5" s="336">
        <f t="shared" si="14"/>
        <v>78.650036683785771</v>
      </c>
      <c r="W5" s="274"/>
      <c r="X5" s="336">
        <f t="shared" si="4"/>
        <v>0</v>
      </c>
      <c r="Y5" s="417"/>
      <c r="Z5" s="336"/>
      <c r="AA5" s="336">
        <f t="shared" si="15"/>
        <v>121.65483345561262</v>
      </c>
      <c r="AB5" s="410"/>
      <c r="AC5" s="410"/>
      <c r="AD5" s="274">
        <f t="shared" si="16"/>
        <v>41453.8845</v>
      </c>
      <c r="AE5" s="336">
        <f t="shared" si="17"/>
        <v>121.65483345561262</v>
      </c>
      <c r="AF5" s="278">
        <v>7034.7487553188794</v>
      </c>
      <c r="AG5" s="446"/>
      <c r="AH5" s="447"/>
      <c r="AI5" s="448"/>
      <c r="AJ5" s="274">
        <f>'1-συμβολαια'!M5+'1-συμβολαια'!Q5+'8-κ-15-17'!AE5+'14-βιβλΕσ'!L5+'14-βιβλΕσ'!Q5+'14-βιβλΕσ'!R5</f>
        <v>41453.8845</v>
      </c>
      <c r="AK5" s="336">
        <f t="shared" si="18"/>
        <v>121.65483345561262</v>
      </c>
      <c r="AL5" s="274">
        <f>'1-συμβολαια'!N5</f>
        <v>0</v>
      </c>
      <c r="AM5" s="336">
        <f t="shared" si="19"/>
        <v>0</v>
      </c>
      <c r="AN5" s="274">
        <f t="shared" si="20"/>
        <v>41453.8845</v>
      </c>
      <c r="AO5" s="336">
        <f t="shared" si="21"/>
        <v>121.65483345561262</v>
      </c>
      <c r="AP5" s="320">
        <v>46085</v>
      </c>
      <c r="AQ5" s="324">
        <f t="shared" si="22"/>
        <v>7034.7487553188794</v>
      </c>
      <c r="AR5" s="337"/>
      <c r="AS5" s="74"/>
      <c r="AT5" s="74"/>
      <c r="AU5" s="74"/>
      <c r="AV5" s="74"/>
      <c r="AW5" s="74"/>
    </row>
    <row r="6" spans="1:49" s="5" customFormat="1">
      <c r="A6" s="491">
        <f>'1-συμβολαια'!A6</f>
        <v>0</v>
      </c>
      <c r="B6" s="360"/>
      <c r="C6" s="335" t="str">
        <f>'1-συμβολαια'!C6</f>
        <v>διανομή [= ισομερής ΑΛΛΑ βάσει ΦΜΑ της Δ.Ο.Υ (3ου &amp; ;;;???}</v>
      </c>
      <c r="D6" s="302" t="str">
        <f>'4-πολλυπρ'!D6</f>
        <v>;;;???</v>
      </c>
      <c r="E6" s="302">
        <f>'4-πολλυπρ'!I6</f>
        <v>0</v>
      </c>
      <c r="F6" s="302">
        <f>'14-βιβλΕσ'!O6</f>
        <v>5811.1508000000003</v>
      </c>
      <c r="G6" s="274">
        <f>'14-βιβλΕσ'!Q6</f>
        <v>4805</v>
      </c>
      <c r="H6" s="274">
        <f t="shared" si="10"/>
        <v>10616.150799999999</v>
      </c>
      <c r="I6" s="336">
        <f t="shared" si="11"/>
        <v>31.155248129126925</v>
      </c>
      <c r="J6" s="274">
        <f>'8-κ-15-17'!AG6</f>
        <v>0</v>
      </c>
      <c r="K6" s="336">
        <f t="shared" si="12"/>
        <v>0</v>
      </c>
      <c r="L6" s="336"/>
      <c r="M6" s="336"/>
      <c r="N6" s="274"/>
      <c r="O6" s="272"/>
      <c r="P6" s="336"/>
      <c r="Q6" s="336"/>
      <c r="R6" s="274"/>
      <c r="S6" s="274">
        <f>('14-βιβλΕσ'!N6+'14-βιβλΕσ'!O6+'14-βιβλΕσ'!R6)*30%</f>
        <v>21392.301599999995</v>
      </c>
      <c r="T6" s="336">
        <f t="shared" si="13"/>
        <v>62.780048716067483</v>
      </c>
      <c r="U6" s="274">
        <f>'14-βιβλΕσ'!R6</f>
        <v>22400</v>
      </c>
      <c r="V6" s="336">
        <f t="shared" si="14"/>
        <v>65.737344093910494</v>
      </c>
      <c r="W6" s="274"/>
      <c r="X6" s="336">
        <f t="shared" si="4"/>
        <v>0</v>
      </c>
      <c r="Y6" s="417"/>
      <c r="Z6" s="336"/>
      <c r="AA6" s="336">
        <f t="shared" si="15"/>
        <v>223.36807630227437</v>
      </c>
      <c r="AB6" s="410"/>
      <c r="AC6" s="410"/>
      <c r="AD6" s="274">
        <f t="shared" si="16"/>
        <v>76112.671999999991</v>
      </c>
      <c r="AE6" s="336">
        <f t="shared" si="17"/>
        <v>223.36807630227437</v>
      </c>
      <c r="AF6" s="278">
        <v>12916.677739549756</v>
      </c>
      <c r="AG6" s="446"/>
      <c r="AH6" s="447"/>
      <c r="AI6" s="448"/>
      <c r="AJ6" s="274">
        <f>'1-συμβολαια'!M6+'1-συμβολαια'!Q6+'8-κ-15-17'!AE6+'14-βιβλΕσ'!L6+'14-βιβλΕσ'!Q6+'14-βιβλΕσ'!R6</f>
        <v>76112.671999999991</v>
      </c>
      <c r="AK6" s="336">
        <f t="shared" si="18"/>
        <v>223.36807630227437</v>
      </c>
      <c r="AL6" s="274">
        <f>'1-συμβολαια'!N6</f>
        <v>0</v>
      </c>
      <c r="AM6" s="336">
        <f t="shared" si="19"/>
        <v>0</v>
      </c>
      <c r="AN6" s="274">
        <f t="shared" si="20"/>
        <v>76112.671999999991</v>
      </c>
      <c r="AO6" s="336">
        <f t="shared" si="21"/>
        <v>223.36807630227437</v>
      </c>
      <c r="AP6" s="320">
        <v>46085</v>
      </c>
      <c r="AQ6" s="324">
        <f t="shared" si="22"/>
        <v>12916.677739549756</v>
      </c>
      <c r="AR6" s="337"/>
      <c r="AS6" s="74"/>
      <c r="AT6" s="74"/>
      <c r="AU6" s="74"/>
      <c r="AV6" s="74"/>
      <c r="AW6" s="74"/>
    </row>
    <row r="7" spans="1:49" s="5" customFormat="1" ht="12" thickBot="1">
      <c r="A7" s="675">
        <f>'1-συμβολαια'!A7</f>
        <v>0</v>
      </c>
      <c r="B7" s="415"/>
      <c r="C7" s="488" t="str">
        <f>'1-συμβολαια'!C7</f>
        <v>εξισορρόπηση διαφοράς διανεμομένων μεριδίων</v>
      </c>
      <c r="D7" s="416" t="str">
        <f>'4-πολλυπρ'!D7</f>
        <v>;;;???</v>
      </c>
      <c r="E7" s="416">
        <f>'4-πολλυπρ'!I7</f>
        <v>0</v>
      </c>
      <c r="F7" s="416">
        <f>'14-βιβλΕσ'!O7</f>
        <v>2065.4246000000003</v>
      </c>
      <c r="G7" s="418">
        <f>'14-βιβλΕσ'!Q7</f>
        <v>1000</v>
      </c>
      <c r="H7" s="418">
        <f t="shared" si="10"/>
        <v>3065.4246000000003</v>
      </c>
      <c r="I7" s="428">
        <f t="shared" si="11"/>
        <v>8.9961103448275868</v>
      </c>
      <c r="J7" s="418">
        <f>'8-κ-15-17'!AG7</f>
        <v>11782.511</v>
      </c>
      <c r="K7" s="428">
        <f t="shared" si="12"/>
        <v>34.57816874541453</v>
      </c>
      <c r="L7" s="428"/>
      <c r="M7" s="428"/>
      <c r="N7" s="418"/>
      <c r="O7" s="631"/>
      <c r="P7" s="428"/>
      <c r="Q7" s="428"/>
      <c r="R7" s="418"/>
      <c r="S7" s="418">
        <f>('14-βιβλΕσ'!N7+'14-βιβλΕσ'!O7+'14-βιβλΕσ'!R7)*30%</f>
        <v>5200.8491999999997</v>
      </c>
      <c r="T7" s="428">
        <f t="shared" si="13"/>
        <v>15.262947028613352</v>
      </c>
      <c r="U7" s="418">
        <f>'14-βιβλΕσ'!R7</f>
        <v>0</v>
      </c>
      <c r="V7" s="428">
        <f t="shared" si="14"/>
        <v>0</v>
      </c>
      <c r="W7" s="418"/>
      <c r="X7" s="428">
        <f t="shared" si="4"/>
        <v>0</v>
      </c>
      <c r="Y7" s="474"/>
      <c r="Z7" s="428"/>
      <c r="AA7" s="428">
        <f t="shared" si="15"/>
        <v>88.389361702127673</v>
      </c>
      <c r="AB7" s="584"/>
      <c r="AC7" s="584"/>
      <c r="AD7" s="418">
        <f t="shared" si="16"/>
        <v>30118.675000000003</v>
      </c>
      <c r="AE7" s="428">
        <f t="shared" si="17"/>
        <v>88.389361702127673</v>
      </c>
      <c r="AF7" s="418">
        <v>5111.2769813797622</v>
      </c>
      <c r="AG7" s="586"/>
      <c r="AH7" s="587"/>
      <c r="AI7" s="586"/>
      <c r="AJ7" s="418">
        <f>'1-συμβολαια'!M7+'1-συμβολαια'!Q7+'8-κ-15-17'!AE7+'14-βιβλΕσ'!L7+'14-βιβλΕσ'!Q7+'14-βιβλΕσ'!R7</f>
        <v>30118.675000000003</v>
      </c>
      <c r="AK7" s="428">
        <f t="shared" si="18"/>
        <v>88.389361702127673</v>
      </c>
      <c r="AL7" s="418">
        <f>'1-συμβολαια'!N7</f>
        <v>0</v>
      </c>
      <c r="AM7" s="428">
        <f t="shared" si="19"/>
        <v>0</v>
      </c>
      <c r="AN7" s="418">
        <f t="shared" si="20"/>
        <v>30118.675000000003</v>
      </c>
      <c r="AO7" s="428">
        <f t="shared" si="21"/>
        <v>88.389361702127673</v>
      </c>
      <c r="AP7" s="588">
        <v>46085</v>
      </c>
      <c r="AQ7" s="424">
        <f t="shared" si="22"/>
        <v>5111.2769813797622</v>
      </c>
      <c r="AR7" s="589"/>
      <c r="AS7" s="74"/>
      <c r="AT7" s="74"/>
      <c r="AU7" s="74"/>
      <c r="AV7" s="74"/>
      <c r="AW7" s="74"/>
    </row>
    <row r="8" spans="1:49" s="5" customFormat="1">
      <c r="A8" s="676">
        <f>'1-συμβολαια'!A8</f>
        <v>114</v>
      </c>
      <c r="B8" s="360">
        <f>'1-συμβολαια'!B8</f>
        <v>36102</v>
      </c>
      <c r="C8" s="335" t="str">
        <f>'1-συμβολαια'!C8</f>
        <v>δωρεάς ΠΡΟΤΑΣΗ [αγροτεμάχιο Θεολόγος -'';;;???'' 2.000μ2</v>
      </c>
      <c r="D8" s="302" t="str">
        <f>'4-πολλυπρ'!D8</f>
        <v>;;;???</v>
      </c>
      <c r="E8" s="302" t="str">
        <f>'4-πολλυπρ'!I8</f>
        <v>;;;???</v>
      </c>
      <c r="F8" s="302">
        <f>'14-βιβλΕσ'!O8</f>
        <v>237</v>
      </c>
      <c r="G8" s="274">
        <f>'14-βιβλΕσ'!Q8</f>
        <v>4605</v>
      </c>
      <c r="H8" s="274">
        <f t="shared" si="10"/>
        <v>4842</v>
      </c>
      <c r="I8" s="336">
        <f t="shared" si="11"/>
        <v>14.209831254585474</v>
      </c>
      <c r="J8" s="274">
        <f>'8-κ-15-17'!AG8</f>
        <v>0</v>
      </c>
      <c r="K8" s="336">
        <f t="shared" si="12"/>
        <v>0</v>
      </c>
      <c r="L8" s="336">
        <v>9.1</v>
      </c>
      <c r="M8" s="336">
        <v>262</v>
      </c>
      <c r="N8" s="274"/>
      <c r="O8" s="610" t="s">
        <v>558</v>
      </c>
      <c r="P8" s="336"/>
      <c r="Q8" s="336"/>
      <c r="R8" s="274">
        <v>262</v>
      </c>
      <c r="S8" s="274">
        <f>('14-βιβλΕσ'!N8+'14-βιβλΕσ'!O8+'14-βιβλΕσ'!R8)*30%</f>
        <v>20962.8</v>
      </c>
      <c r="T8" s="336">
        <f t="shared" si="13"/>
        <v>61.519589141599411</v>
      </c>
      <c r="U8" s="274">
        <f>'14-βιβλΕσ'!R8</f>
        <v>58400</v>
      </c>
      <c r="V8" s="336">
        <f t="shared" si="14"/>
        <v>171.38664710198091</v>
      </c>
      <c r="W8" s="274">
        <f t="shared" ref="W8:W13" si="23">AL8</f>
        <v>24460</v>
      </c>
      <c r="X8" s="336">
        <f t="shared" si="4"/>
        <v>71.782831988261194</v>
      </c>
      <c r="Y8" s="610" t="s">
        <v>558</v>
      </c>
      <c r="Z8" s="336">
        <v>263.11</v>
      </c>
      <c r="AA8" s="336">
        <f t="shared" si="15"/>
        <v>214.79970652971386</v>
      </c>
      <c r="AB8" s="410"/>
      <c r="AC8" s="410"/>
      <c r="AD8" s="274">
        <f t="shared" si="16"/>
        <v>73193</v>
      </c>
      <c r="AE8" s="336">
        <f t="shared" si="17"/>
        <v>214.79970652971386</v>
      </c>
      <c r="AF8" s="274">
        <v>14759.65943266224</v>
      </c>
      <c r="AG8" s="446"/>
      <c r="AH8" s="447"/>
      <c r="AI8" s="446"/>
      <c r="AJ8" s="274">
        <f>'1-συμβολαια'!M8+'1-συμβολαια'!Q8+'8-κ-15-17'!AE8+'14-βιβλΕσ'!L8+'14-βιβλΕσ'!Q8+'14-βιβλΕσ'!R8+1000</f>
        <v>97653</v>
      </c>
      <c r="AK8" s="336">
        <f t="shared" si="18"/>
        <v>286.58253851797508</v>
      </c>
      <c r="AL8" s="274">
        <f>'1-συμβολαια'!N8</f>
        <v>24460</v>
      </c>
      <c r="AM8" s="336">
        <f t="shared" si="19"/>
        <v>71.782831988261194</v>
      </c>
      <c r="AN8" s="274">
        <f t="shared" si="20"/>
        <v>73193</v>
      </c>
      <c r="AO8" s="336">
        <f t="shared" si="21"/>
        <v>214.79970652971386</v>
      </c>
      <c r="AP8" s="704">
        <v>46085</v>
      </c>
      <c r="AQ8" s="324">
        <f t="shared" si="22"/>
        <v>14759.65943266224</v>
      </c>
      <c r="AR8" s="705"/>
      <c r="AS8" s="74"/>
      <c r="AT8" s="74"/>
      <c r="AU8" s="74"/>
      <c r="AV8" s="74"/>
      <c r="AW8" s="74"/>
    </row>
    <row r="9" spans="1:49" s="5" customFormat="1" ht="12" thickBot="1">
      <c r="A9" s="677">
        <f>'1-συμβολαια'!A9</f>
        <v>0</v>
      </c>
      <c r="B9" s="415"/>
      <c r="C9" s="488" t="str">
        <f>'1-συμβολαια'!C9</f>
        <v>χρησικτησία αγροτεμαχίου = 1910 πατρός ΔΩΡΕΑ άτυπος</v>
      </c>
      <c r="D9" s="416" t="str">
        <f>'4-πολλυπρ'!D9</f>
        <v>;;;???</v>
      </c>
      <c r="E9" s="416">
        <f>'4-πολλυπρ'!I9</f>
        <v>0</v>
      </c>
      <c r="F9" s="416">
        <f>'14-βιβλΕσ'!O9</f>
        <v>1033.9993999999999</v>
      </c>
      <c r="G9" s="418">
        <f>'14-βιβλΕσ'!Q9</f>
        <v>1605</v>
      </c>
      <c r="H9" s="418">
        <f t="shared" si="10"/>
        <v>2638.9993999999997</v>
      </c>
      <c r="I9" s="428">
        <f t="shared" si="11"/>
        <v>7.7446790902421121</v>
      </c>
      <c r="J9" s="418">
        <f>'8-κ-15-17'!AG9</f>
        <v>2583.3307500000001</v>
      </c>
      <c r="K9" s="428">
        <f t="shared" si="12"/>
        <v>7.5813081438004408</v>
      </c>
      <c r="L9" s="428"/>
      <c r="M9" s="428"/>
      <c r="N9" s="418"/>
      <c r="O9" s="474"/>
      <c r="P9" s="428"/>
      <c r="Q9" s="428"/>
      <c r="R9" s="418"/>
      <c r="S9" s="418">
        <f>('14-βιβλΕσ'!N9+'14-βιβλΕσ'!O9+'14-βιβλΕσ'!R9)*30%</f>
        <v>12190.19982</v>
      </c>
      <c r="T9" s="428">
        <f t="shared" si="13"/>
        <v>35.774614292002937</v>
      </c>
      <c r="U9" s="418">
        <f>'14-βιβλΕσ'!R9</f>
        <v>39600</v>
      </c>
      <c r="V9" s="428">
        <f t="shared" si="14"/>
        <v>116.21423330887748</v>
      </c>
      <c r="W9" s="418"/>
      <c r="X9" s="428">
        <f t="shared" si="4"/>
        <v>0</v>
      </c>
      <c r="Y9" s="474"/>
      <c r="Z9" s="428"/>
      <c r="AA9" s="428">
        <f t="shared" si="15"/>
        <v>165.65906603081439</v>
      </c>
      <c r="AB9" s="584"/>
      <c r="AC9" s="584"/>
      <c r="AD9" s="418">
        <f t="shared" si="16"/>
        <v>56448.32675</v>
      </c>
      <c r="AE9" s="428">
        <f t="shared" si="17"/>
        <v>165.65906603081439</v>
      </c>
      <c r="AF9" s="418">
        <v>8873.7109254514817</v>
      </c>
      <c r="AG9" s="586"/>
      <c r="AH9" s="587"/>
      <c r="AI9" s="586"/>
      <c r="AJ9" s="418">
        <f>'1-συμβολαια'!M9+'1-συμβολαια'!Q9+'8-κ-15-17'!AE9+'14-βιβλΕσ'!L9+'14-βιβλΕσ'!Q9+'14-βιβλΕσ'!R9</f>
        <v>56448.32675</v>
      </c>
      <c r="AK9" s="428">
        <f t="shared" si="18"/>
        <v>165.65906603081439</v>
      </c>
      <c r="AL9" s="418">
        <f>'1-συμβολαια'!N9</f>
        <v>0</v>
      </c>
      <c r="AM9" s="428">
        <f t="shared" si="19"/>
        <v>0</v>
      </c>
      <c r="AN9" s="418">
        <f t="shared" si="20"/>
        <v>56448.32675</v>
      </c>
      <c r="AO9" s="428">
        <f t="shared" si="21"/>
        <v>165.65906603081439</v>
      </c>
      <c r="AP9" s="588">
        <v>46085</v>
      </c>
      <c r="AQ9" s="424">
        <f t="shared" si="22"/>
        <v>8873.7109254514817</v>
      </c>
      <c r="AR9" s="589"/>
      <c r="AS9" s="74"/>
      <c r="AT9" s="74"/>
      <c r="AU9" s="74"/>
      <c r="AV9" s="74"/>
      <c r="AW9" s="74"/>
    </row>
    <row r="10" spans="1:49" s="5" customFormat="1">
      <c r="A10" s="433" t="str">
        <f>'1-συμβολαια'!A10</f>
        <v>;;;???</v>
      </c>
      <c r="B10" s="360" t="str">
        <f>'1-συμβολαια'!B10</f>
        <v>;;;???</v>
      </c>
      <c r="C10" s="335" t="str">
        <f>'1-συμβολαια'!C10</f>
        <v>δωρεάς πρότασης 2ου  ΑΠΟΔΟΧΗ</v>
      </c>
      <c r="D10" s="302" t="str">
        <f>'4-πολλυπρ'!D10</f>
        <v>;;;???</v>
      </c>
      <c r="E10" s="302" t="str">
        <f>'4-πολλυπρ'!I10</f>
        <v>;;;???</v>
      </c>
      <c r="F10" s="302">
        <f>'14-βιβλΕσ'!O10</f>
        <v>0</v>
      </c>
      <c r="G10" s="274">
        <f>'14-βιβλΕσ'!Q10</f>
        <v>4489</v>
      </c>
      <c r="H10" s="274">
        <f t="shared" si="10"/>
        <v>4489</v>
      </c>
      <c r="I10" s="336">
        <f t="shared" si="11"/>
        <v>13.173881144534116</v>
      </c>
      <c r="J10" s="274">
        <f>'8-κ-15-17'!AG10</f>
        <v>0</v>
      </c>
      <c r="K10" s="336">
        <f t="shared" si="12"/>
        <v>0</v>
      </c>
      <c r="L10" s="336"/>
      <c r="M10" s="336"/>
      <c r="N10" s="274"/>
      <c r="O10" s="634"/>
      <c r="P10" s="336"/>
      <c r="Q10" s="336"/>
      <c r="R10" s="274"/>
      <c r="S10" s="274">
        <f>('14-βιβλΕσ'!N10+'14-βιβλΕσ'!O10+'14-βιβλΕσ'!R10)*40%</f>
        <v>9860</v>
      </c>
      <c r="T10" s="336">
        <f t="shared" si="13"/>
        <v>28.936170212765958</v>
      </c>
      <c r="U10" s="274">
        <f>'14-βιβλΕσ'!R10</f>
        <v>21211</v>
      </c>
      <c r="V10" s="336">
        <f t="shared" si="14"/>
        <v>62.247982391782834</v>
      </c>
      <c r="W10" s="274"/>
      <c r="X10" s="336">
        <f t="shared" si="4"/>
        <v>0</v>
      </c>
      <c r="Y10" s="417"/>
      <c r="Z10" s="336"/>
      <c r="AA10" s="336">
        <f t="shared" si="15"/>
        <v>84.812912692589876</v>
      </c>
      <c r="AB10" s="410"/>
      <c r="AC10" s="410"/>
      <c r="AD10" s="274">
        <f t="shared" si="16"/>
        <v>28900</v>
      </c>
      <c r="AE10" s="336">
        <f t="shared" si="17"/>
        <v>84.812912692589876</v>
      </c>
      <c r="AF10" s="274">
        <v>4181.6548435618879</v>
      </c>
      <c r="AG10" s="446"/>
      <c r="AH10" s="447"/>
      <c r="AI10" s="446"/>
      <c r="AJ10" s="274">
        <f>'1-συμβολαια'!M10+'1-συμβολαια'!Q10+'8-κ-15-17'!AE10+'14-βιβλΕσ'!L10+'14-βιβλΕσ'!Q10+'14-βιβλΕσ'!R10</f>
        <v>35000</v>
      </c>
      <c r="AK10" s="336">
        <f t="shared" si="18"/>
        <v>102.71460014673514</v>
      </c>
      <c r="AL10" s="274">
        <f>'1-συμβολαια'!N10</f>
        <v>6100</v>
      </c>
      <c r="AM10" s="336">
        <f t="shared" si="19"/>
        <v>17.901687454145268</v>
      </c>
      <c r="AN10" s="274">
        <f t="shared" si="20"/>
        <v>28900</v>
      </c>
      <c r="AO10" s="336">
        <f t="shared" si="21"/>
        <v>84.812912692589876</v>
      </c>
      <c r="AP10" s="704">
        <v>46085</v>
      </c>
      <c r="AQ10" s="324">
        <f t="shared" si="22"/>
        <v>4181.6548435618879</v>
      </c>
      <c r="AR10" s="705"/>
      <c r="AS10" s="74"/>
      <c r="AT10" s="74"/>
      <c r="AU10" s="74"/>
      <c r="AV10" s="74"/>
      <c r="AW10" s="74"/>
    </row>
    <row r="11" spans="1:49" s="5" customFormat="1">
      <c r="A11" s="433" t="str">
        <f>'1-συμβολαια'!A11</f>
        <v>;;;???</v>
      </c>
      <c r="B11" s="360" t="str">
        <f>'1-συμβολαια'!B11</f>
        <v>;;;???</v>
      </c>
      <c r="C11" s="301" t="str">
        <f>'1-συμβολαια'!C11</f>
        <v>δωρεάς πρότασης  3ου  ΑΠΟΔΟΧΗ</v>
      </c>
      <c r="D11" s="272" t="str">
        <f>'4-πολλυπρ'!D11</f>
        <v>;;;???</v>
      </c>
      <c r="E11" s="272" t="str">
        <f>'4-πολλυπρ'!I11</f>
        <v>;;;???</v>
      </c>
      <c r="F11" s="272">
        <f>'14-βιβλΕσ'!O11</f>
        <v>0</v>
      </c>
      <c r="G11" s="278">
        <f>'14-βιβλΕσ'!Q11</f>
        <v>4489</v>
      </c>
      <c r="H11" s="278">
        <f t="shared" si="10"/>
        <v>4489</v>
      </c>
      <c r="I11" s="322">
        <f t="shared" si="11"/>
        <v>13.173881144534116</v>
      </c>
      <c r="J11" s="278">
        <f>'8-κ-15-17'!AG11</f>
        <v>0</v>
      </c>
      <c r="K11" s="322">
        <f t="shared" si="12"/>
        <v>0</v>
      </c>
      <c r="L11" s="322"/>
      <c r="M11" s="322"/>
      <c r="N11" s="278"/>
      <c r="O11" s="475"/>
      <c r="P11" s="322"/>
      <c r="Q11" s="322"/>
      <c r="R11" s="278"/>
      <c r="S11" s="278">
        <f>('14-βιβλΕσ'!N11+'14-βιβλΕσ'!O11+'14-βιβλΕσ'!R11)*40%</f>
        <v>8260</v>
      </c>
      <c r="T11" s="322">
        <f t="shared" si="13"/>
        <v>24.240645634629495</v>
      </c>
      <c r="U11" s="278">
        <f>'14-βιβλΕσ'!R11</f>
        <v>17211</v>
      </c>
      <c r="V11" s="322">
        <f t="shared" si="14"/>
        <v>50.509170946441671</v>
      </c>
      <c r="W11" s="274"/>
      <c r="X11" s="322">
        <f t="shared" si="4"/>
        <v>0</v>
      </c>
      <c r="Y11" s="275"/>
      <c r="Z11" s="322"/>
      <c r="AA11" s="336">
        <f t="shared" si="15"/>
        <v>73.07410124724872</v>
      </c>
      <c r="AB11" s="672"/>
      <c r="AC11" s="672"/>
      <c r="AD11" s="278">
        <f t="shared" si="16"/>
        <v>24900</v>
      </c>
      <c r="AE11" s="322">
        <f t="shared" si="17"/>
        <v>73.07410124724872</v>
      </c>
      <c r="AF11" s="278">
        <v>3602.8398471502851</v>
      </c>
      <c r="AG11" s="448"/>
      <c r="AH11" s="673"/>
      <c r="AI11" s="448"/>
      <c r="AJ11" s="278">
        <f>'1-συμβολαια'!M11+'1-συμβολαια'!Q11+'8-κ-15-17'!AE11+'14-βιβλΕσ'!L11+'14-βιβλΕσ'!Q11+'14-βιβλΕσ'!R11</f>
        <v>31000</v>
      </c>
      <c r="AK11" s="322">
        <f t="shared" si="18"/>
        <v>90.975788701393981</v>
      </c>
      <c r="AL11" s="278">
        <f>'1-συμβολαια'!N11</f>
        <v>6100</v>
      </c>
      <c r="AM11" s="322">
        <f t="shared" si="19"/>
        <v>17.901687454145268</v>
      </c>
      <c r="AN11" s="278">
        <f t="shared" si="20"/>
        <v>24900</v>
      </c>
      <c r="AO11" s="322">
        <f t="shared" si="21"/>
        <v>73.07410124724872</v>
      </c>
      <c r="AP11" s="320">
        <v>46085</v>
      </c>
      <c r="AQ11" s="422">
        <f t="shared" si="22"/>
        <v>3602.8398471502851</v>
      </c>
      <c r="AR11" s="337"/>
      <c r="AS11" s="74"/>
      <c r="AT11" s="74"/>
      <c r="AU11" s="74"/>
      <c r="AV11" s="74"/>
      <c r="AW11" s="74"/>
    </row>
    <row r="12" spans="1:49" s="5" customFormat="1" ht="12" thickBot="1">
      <c r="A12" s="674">
        <f>'1-συμβολαια'!A12</f>
        <v>552</v>
      </c>
      <c r="B12" s="415">
        <f>'1-συμβολαια'!B12</f>
        <v>36384</v>
      </c>
      <c r="C12" s="488" t="str">
        <f>'1-συμβολαια'!C12</f>
        <v>πληρεξούσιο</v>
      </c>
      <c r="D12" s="416" t="str">
        <f>'4-πολλυπρ'!D12</f>
        <v>;;;???</v>
      </c>
      <c r="E12" s="416" t="str">
        <f>'4-πολλυπρ'!I12</f>
        <v>;;;???</v>
      </c>
      <c r="F12" s="416">
        <f>'14-βιβλΕσ'!O12</f>
        <v>0</v>
      </c>
      <c r="G12" s="418">
        <f>'14-βιβλΕσ'!Q12</f>
        <v>0</v>
      </c>
      <c r="H12" s="418">
        <f t="shared" si="10"/>
        <v>0</v>
      </c>
      <c r="I12" s="428">
        <f t="shared" si="11"/>
        <v>0</v>
      </c>
      <c r="J12" s="418">
        <f>'8-κ-15-17'!AG12</f>
        <v>0</v>
      </c>
      <c r="K12" s="428">
        <f t="shared" si="12"/>
        <v>0</v>
      </c>
      <c r="L12" s="428"/>
      <c r="M12" s="428"/>
      <c r="N12" s="418"/>
      <c r="O12" s="418"/>
      <c r="P12" s="428"/>
      <c r="Q12" s="428"/>
      <c r="R12" s="418"/>
      <c r="S12" s="418">
        <f>('14-βιβλΕσ'!N12+'14-βιβλΕσ'!O12+'14-βιβλΕσ'!R12)*40%</f>
        <v>861.6</v>
      </c>
      <c r="T12" s="428">
        <f t="shared" si="13"/>
        <v>2.5285399853264856</v>
      </c>
      <c r="U12" s="418">
        <f>'14-βιβλΕσ'!R12</f>
        <v>2300</v>
      </c>
      <c r="V12" s="428">
        <f t="shared" si="14"/>
        <v>6.7498165810711663</v>
      </c>
      <c r="W12" s="418"/>
      <c r="X12" s="428">
        <f t="shared" si="4"/>
        <v>0</v>
      </c>
      <c r="Y12" s="474"/>
      <c r="Z12" s="428"/>
      <c r="AA12" s="428">
        <f t="shared" si="15"/>
        <v>6.321349963316214</v>
      </c>
      <c r="AB12" s="584"/>
      <c r="AC12" s="584"/>
      <c r="AD12" s="418">
        <f t="shared" si="16"/>
        <v>2154</v>
      </c>
      <c r="AE12" s="428">
        <f t="shared" si="17"/>
        <v>6.321349963316214</v>
      </c>
      <c r="AF12" s="418">
        <v>311.64281678775478</v>
      </c>
      <c r="AG12" s="586"/>
      <c r="AH12" s="587"/>
      <c r="AI12" s="586"/>
      <c r="AJ12" s="418">
        <f>'1-συμβολαια'!M12+'1-συμβολαια'!Q12+'8-κ-15-17'!AE12+'14-βιβλΕσ'!L12+'14-βιβλΕσ'!Q12+'14-βιβλΕσ'!R12+100</f>
        <v>8696</v>
      </c>
      <c r="AK12" s="428">
        <f t="shared" si="18"/>
        <v>25.52017608217168</v>
      </c>
      <c r="AL12" s="418">
        <f>'1-συμβολαια'!N12</f>
        <v>6542</v>
      </c>
      <c r="AM12" s="428">
        <f t="shared" si="19"/>
        <v>19.198826118855465</v>
      </c>
      <c r="AN12" s="418">
        <f t="shared" si="20"/>
        <v>2154</v>
      </c>
      <c r="AO12" s="428">
        <f t="shared" si="21"/>
        <v>6.321349963316214</v>
      </c>
      <c r="AP12" s="588">
        <v>46085</v>
      </c>
      <c r="AQ12" s="424">
        <f t="shared" si="22"/>
        <v>311.64281678775478</v>
      </c>
      <c r="AR12" s="589"/>
      <c r="AS12" s="74"/>
      <c r="AT12" s="74"/>
      <c r="AU12" s="74"/>
      <c r="AV12" s="74"/>
      <c r="AW12" s="74"/>
    </row>
    <row r="13" spans="1:49" s="5" customFormat="1">
      <c r="A13" s="491">
        <f>'1-συμβολαια'!A13</f>
        <v>564</v>
      </c>
      <c r="B13" s="360">
        <f>'1-συμβολαια'!B13</f>
        <v>36388</v>
      </c>
      <c r="C13" s="335" t="str">
        <f>'1-συμβολαια'!C13</f>
        <v>γονική</v>
      </c>
      <c r="D13" s="302" t="str">
        <f>'4-πολλυπρ'!D13</f>
        <v>;;;???</v>
      </c>
      <c r="E13" s="302" t="str">
        <f>'4-πολλυπρ'!I13</f>
        <v>;;;???</v>
      </c>
      <c r="F13" s="302">
        <f>'14-βιβλΕσ'!O13</f>
        <v>0</v>
      </c>
      <c r="G13" s="274">
        <f>'14-βιβλΕσ'!Q13</f>
        <v>5094</v>
      </c>
      <c r="H13" s="274">
        <f t="shared" si="10"/>
        <v>5094</v>
      </c>
      <c r="I13" s="336">
        <f t="shared" si="11"/>
        <v>14.949376375641966</v>
      </c>
      <c r="J13" s="274">
        <f>'8-κ-15-17'!AG13</f>
        <v>2027.5000000000036</v>
      </c>
      <c r="K13" s="336">
        <f t="shared" si="12"/>
        <v>5.9501100513573109</v>
      </c>
      <c r="L13" s="336">
        <v>72.52</v>
      </c>
      <c r="M13" s="336">
        <v>167.63</v>
      </c>
      <c r="N13" s="274"/>
      <c r="O13" s="638">
        <v>37778</v>
      </c>
      <c r="P13" s="336"/>
      <c r="Q13" s="336"/>
      <c r="R13" s="274">
        <v>1248</v>
      </c>
      <c r="S13" s="274">
        <f>('14-βιβλΕσ'!N13+'14-βιβλΕσ'!O13+'14-βιβλΕσ'!R13)*40%</f>
        <v>45572.800000000003</v>
      </c>
      <c r="T13" s="336">
        <f t="shared" si="13"/>
        <v>133.74262655906091</v>
      </c>
      <c r="U13" s="274">
        <f>'14-βιβλΕσ'!R13</f>
        <v>103611</v>
      </c>
      <c r="V13" s="336">
        <f t="shared" si="14"/>
        <v>304.06749816581072</v>
      </c>
      <c r="W13" s="274">
        <f t="shared" si="23"/>
        <v>82625</v>
      </c>
      <c r="X13" s="336">
        <f t="shared" si="4"/>
        <v>242.47982391782833</v>
      </c>
      <c r="Y13" s="302" t="s">
        <v>579</v>
      </c>
      <c r="Z13" s="336">
        <v>167.63</v>
      </c>
      <c r="AA13" s="336">
        <f t="shared" si="15"/>
        <v>354.41085840058696</v>
      </c>
      <c r="AB13" s="410"/>
      <c r="AC13" s="410"/>
      <c r="AD13" s="274">
        <f t="shared" si="16"/>
        <v>120765.5</v>
      </c>
      <c r="AE13" s="336">
        <f t="shared" si="17"/>
        <v>354.41085840058696</v>
      </c>
      <c r="AF13" s="274">
        <v>22894.846708202022</v>
      </c>
      <c r="AG13" s="446"/>
      <c r="AH13" s="447"/>
      <c r="AI13" s="446"/>
      <c r="AJ13" s="274">
        <f>'1-συμβολαια'!M13+'1-συμβολαια'!Q13+'8-κ-15-17'!AE13+'14-βιβλΕσ'!L13+'14-βιβλΕσ'!Q13+'14-βιβλΕσ'!R13+1000</f>
        <v>203390.5</v>
      </c>
      <c r="AK13" s="336">
        <f t="shared" si="18"/>
        <v>596.89068231841532</v>
      </c>
      <c r="AL13" s="274">
        <f>'1-συμβολαια'!N13</f>
        <v>82625</v>
      </c>
      <c r="AM13" s="336">
        <f t="shared" si="19"/>
        <v>242.47982391782833</v>
      </c>
      <c r="AN13" s="274">
        <f t="shared" si="20"/>
        <v>120765.5</v>
      </c>
      <c r="AO13" s="336">
        <f t="shared" si="21"/>
        <v>354.41085840058696</v>
      </c>
      <c r="AP13" s="704">
        <v>46085</v>
      </c>
      <c r="AQ13" s="324">
        <f t="shared" si="22"/>
        <v>22894.846708202022</v>
      </c>
      <c r="AR13" s="705"/>
      <c r="AS13" s="74"/>
      <c r="AT13" s="74"/>
      <c r="AU13" s="74"/>
      <c r="AV13" s="74"/>
      <c r="AW13" s="74"/>
    </row>
    <row r="14" spans="1:49" s="5" customFormat="1">
      <c r="A14" s="491">
        <f>'1-συμβολαια'!A14</f>
        <v>0</v>
      </c>
      <c r="B14" s="360"/>
      <c r="C14" s="301" t="str">
        <f>'1-συμβολαια'!C14</f>
        <v>χρησικτησία αγροτεμαχίων = 1912 πατρός ΔΩΡΕΑ άτυπος</v>
      </c>
      <c r="D14" s="272" t="str">
        <f>'4-πολλυπρ'!D14</f>
        <v>πατήρ</v>
      </c>
      <c r="E14" s="272" t="str">
        <f>'4-πολλυπρ'!I14</f>
        <v>;;;???</v>
      </c>
      <c r="F14" s="272">
        <f>'14-βιβλΕσ'!O14</f>
        <v>6433.9993999999988</v>
      </c>
      <c r="G14" s="278">
        <f>'14-βιβλΕσ'!Q14</f>
        <v>1605</v>
      </c>
      <c r="H14" s="278">
        <f t="shared" si="10"/>
        <v>8038.9993999999988</v>
      </c>
      <c r="I14" s="322">
        <f t="shared" si="11"/>
        <v>23.592074541452675</v>
      </c>
      <c r="J14" s="278">
        <f>'8-κ-15-17'!AG14</f>
        <v>25833.330750000001</v>
      </c>
      <c r="K14" s="322">
        <f t="shared" si="12"/>
        <v>75.813149669845927</v>
      </c>
      <c r="L14" s="322"/>
      <c r="M14" s="322"/>
      <c r="N14" s="278"/>
      <c r="O14" s="320"/>
      <c r="P14" s="322"/>
      <c r="Q14" s="322"/>
      <c r="R14" s="278"/>
      <c r="S14" s="278">
        <f>('14-βιβλΕσ'!N14+'14-βιβλΕσ'!O14+'14-βιβλΕσ'!R14)*40%</f>
        <v>39863.998400000004</v>
      </c>
      <c r="T14" s="322">
        <f t="shared" si="13"/>
        <v>116.98899016874543</v>
      </c>
      <c r="U14" s="278">
        <f>'14-βιβλΕσ'!R14</f>
        <v>51000</v>
      </c>
      <c r="V14" s="322">
        <f t="shared" si="14"/>
        <v>149.66984592809979</v>
      </c>
      <c r="W14" s="278"/>
      <c r="X14" s="322">
        <f t="shared" si="4"/>
        <v>0</v>
      </c>
      <c r="Y14" s="272"/>
      <c r="Z14" s="322"/>
      <c r="AA14" s="336">
        <f t="shared" si="15"/>
        <v>372.99582318415264</v>
      </c>
      <c r="AB14" s="672"/>
      <c r="AC14" s="672"/>
      <c r="AD14" s="278">
        <f t="shared" si="16"/>
        <v>127098.32675000001</v>
      </c>
      <c r="AE14" s="322">
        <f t="shared" si="17"/>
        <v>372.99582318415264</v>
      </c>
      <c r="AF14" s="278">
        <v>18390.776327184398</v>
      </c>
      <c r="AG14" s="448"/>
      <c r="AH14" s="673"/>
      <c r="AI14" s="448"/>
      <c r="AJ14" s="278">
        <f>'1-συμβολαια'!M14+'1-συμβολαια'!Q14+'8-κ-15-17'!AE14+'14-βιβλΕσ'!L14+'14-βιβλΕσ'!Q14+'14-βιβλΕσ'!R14</f>
        <v>127098.32675000001</v>
      </c>
      <c r="AK14" s="322">
        <f t="shared" si="18"/>
        <v>372.99582318415264</v>
      </c>
      <c r="AL14" s="278">
        <f>'1-συμβολαια'!N14</f>
        <v>0</v>
      </c>
      <c r="AM14" s="322">
        <f t="shared" si="19"/>
        <v>0</v>
      </c>
      <c r="AN14" s="278">
        <f t="shared" si="20"/>
        <v>127098.32675000001</v>
      </c>
      <c r="AO14" s="322">
        <f t="shared" si="21"/>
        <v>372.99582318415264</v>
      </c>
      <c r="AP14" s="320">
        <v>46085</v>
      </c>
      <c r="AQ14" s="422">
        <f t="shared" si="22"/>
        <v>18390.776327184398</v>
      </c>
      <c r="AR14" s="337"/>
      <c r="AS14" s="74"/>
      <c r="AT14" s="74"/>
      <c r="AU14" s="74"/>
      <c r="AV14" s="74"/>
      <c r="AW14" s="74"/>
    </row>
    <row r="15" spans="1:49" s="5" customFormat="1">
      <c r="A15" s="491">
        <f>'1-συμβολαια'!A15</f>
        <v>0</v>
      </c>
      <c r="B15" s="360"/>
      <c r="C15" s="335" t="str">
        <f>'1-συμβολαια'!C15</f>
        <v>χρησικτησία αγροτεμαχίων = 1920 ΔΙΑΝΟΜΗ άτυπος</v>
      </c>
      <c r="D15" s="302" t="str">
        <f>'4-πολλυπρ'!D15</f>
        <v>πατήρ</v>
      </c>
      <c r="E15" s="302">
        <f>'4-πολλυπρ'!I15</f>
        <v>0</v>
      </c>
      <c r="F15" s="302">
        <f>'14-βιβλΕσ'!O15</f>
        <v>6644</v>
      </c>
      <c r="G15" s="274">
        <f>'14-βιβλΕσ'!Q15</f>
        <v>4805</v>
      </c>
      <c r="H15" s="274">
        <f t="shared" ref="H15:H16" si="24">F15+G15</f>
        <v>11449</v>
      </c>
      <c r="I15" s="336">
        <f t="shared" ref="I15:I16" si="25">H15/340.75</f>
        <v>33.599413059427732</v>
      </c>
      <c r="J15" s="274">
        <f>'8-κ-15-17'!AG15</f>
        <v>26737.500000000004</v>
      </c>
      <c r="K15" s="336">
        <f t="shared" ref="K15:K16" si="26">J15/340.75</f>
        <v>78.466617754952324</v>
      </c>
      <c r="L15" s="336"/>
      <c r="M15" s="336"/>
      <c r="N15" s="274"/>
      <c r="O15" s="74"/>
      <c r="P15" s="336"/>
      <c r="Q15" s="336"/>
      <c r="R15" s="274"/>
      <c r="S15" s="278">
        <f>('14-βιβλΕσ'!N15+'14-βιβλΕσ'!O15+'14-βιβλΕσ'!R15)*40%</f>
        <v>37944</v>
      </c>
      <c r="T15" s="336">
        <f t="shared" ref="T15:T16" si="27">S15/340.75</f>
        <v>111.35436537050623</v>
      </c>
      <c r="U15" s="274">
        <f>'14-βιβλΕσ'!R15</f>
        <v>40400</v>
      </c>
      <c r="V15" s="336">
        <f t="shared" ref="V15:V16" si="28">U15/340.75</f>
        <v>118.56199559794571</v>
      </c>
      <c r="W15" s="274"/>
      <c r="X15" s="336">
        <f t="shared" si="4"/>
        <v>0</v>
      </c>
      <c r="Y15" s="417"/>
      <c r="Z15" s="336"/>
      <c r="AA15" s="336">
        <f t="shared" si="15"/>
        <v>370.95377842993395</v>
      </c>
      <c r="AB15" s="410"/>
      <c r="AC15" s="410"/>
      <c r="AD15" s="274">
        <f t="shared" ref="AD15:AD16" si="29">AN15</f>
        <v>126402.5</v>
      </c>
      <c r="AE15" s="336">
        <f t="shared" ref="AE15:AE16" si="30">AD15/340.75</f>
        <v>370.95377842993395</v>
      </c>
      <c r="AF15" s="278">
        <v>18289.896566927237</v>
      </c>
      <c r="AG15" s="446"/>
      <c r="AH15" s="447"/>
      <c r="AI15" s="448"/>
      <c r="AJ15" s="274">
        <f>'1-συμβολαια'!M15+'1-συμβολαια'!Q15+'8-κ-15-17'!AE15+'14-βιβλΕσ'!L15+'14-βιβλΕσ'!Q15+'14-βιβλΕσ'!R15</f>
        <v>126402.5</v>
      </c>
      <c r="AK15" s="336">
        <f t="shared" ref="AK15:AK16" si="31">AJ15/340.75</f>
        <v>370.95377842993395</v>
      </c>
      <c r="AL15" s="274">
        <f>'1-συμβολαια'!N15</f>
        <v>0</v>
      </c>
      <c r="AM15" s="336">
        <f t="shared" ref="AM15:AM16" si="32">AL15/340.75</f>
        <v>0</v>
      </c>
      <c r="AN15" s="274">
        <f t="shared" ref="AN15:AN16" si="33">AJ15-AL15</f>
        <v>126402.5</v>
      </c>
      <c r="AO15" s="336">
        <f t="shared" ref="AO15:AO16" si="34">AN15/340.75</f>
        <v>370.95377842993395</v>
      </c>
      <c r="AP15" s="320">
        <v>46085</v>
      </c>
      <c r="AQ15" s="324">
        <f t="shared" ref="AQ15:AQ16" si="35">AF15+AI15</f>
        <v>18289.896566927237</v>
      </c>
      <c r="AR15" s="337"/>
      <c r="AS15" s="74"/>
      <c r="AT15" s="74"/>
      <c r="AU15" s="74"/>
      <c r="AV15" s="74"/>
      <c r="AW15" s="74"/>
    </row>
    <row r="16" spans="1:49" s="5" customFormat="1" ht="12" thickBot="1">
      <c r="A16" s="491">
        <f>'1-συμβολαια'!A16</f>
        <v>0</v>
      </c>
      <c r="B16" s="360"/>
      <c r="C16" s="488" t="str">
        <f>'1-συμβολαια'!C16</f>
        <v>εξισορρόπηση διαφοράς διανεμομένων μεριδίων</v>
      </c>
      <c r="D16" s="416" t="str">
        <f>'4-πολλυπρ'!D16</f>
        <v>πατήρ</v>
      </c>
      <c r="E16" s="416">
        <f>'4-πολλυπρ'!I16</f>
        <v>0</v>
      </c>
      <c r="F16" s="416">
        <f>'14-βιβλΕσ'!O16</f>
        <v>650</v>
      </c>
      <c r="G16" s="418">
        <f>'14-βιβλΕσ'!Q16</f>
        <v>1000</v>
      </c>
      <c r="H16" s="418">
        <f t="shared" si="24"/>
        <v>1650</v>
      </c>
      <c r="I16" s="428">
        <f t="shared" si="25"/>
        <v>4.8422597212032281</v>
      </c>
      <c r="J16" s="418">
        <f>'8-κ-15-17'!AG16</f>
        <v>1444.4430000000002</v>
      </c>
      <c r="K16" s="428">
        <f t="shared" si="26"/>
        <v>4.2390110051357306</v>
      </c>
      <c r="L16" s="428"/>
      <c r="M16" s="428"/>
      <c r="N16" s="418"/>
      <c r="O16" s="473"/>
      <c r="P16" s="428"/>
      <c r="Q16" s="428"/>
      <c r="R16" s="418"/>
      <c r="S16" s="418">
        <f>('14-βιβλΕσ'!N16+'14-βιβλΕσ'!O16+'14-βιβλΕσ'!R16)*40%</f>
        <v>3160</v>
      </c>
      <c r="T16" s="428">
        <f t="shared" si="27"/>
        <v>9.2736610418195156</v>
      </c>
      <c r="U16" s="418">
        <f>'14-βιβλΕσ'!R16</f>
        <v>0</v>
      </c>
      <c r="V16" s="428">
        <f t="shared" si="28"/>
        <v>0</v>
      </c>
      <c r="W16" s="418"/>
      <c r="X16" s="428">
        <f t="shared" si="4"/>
        <v>0</v>
      </c>
      <c r="Y16" s="474"/>
      <c r="Z16" s="428"/>
      <c r="AA16" s="428">
        <f t="shared" ref="AA16" si="36">AO16</f>
        <v>30.357866471019808</v>
      </c>
      <c r="AB16" s="584"/>
      <c r="AC16" s="584"/>
      <c r="AD16" s="418">
        <f t="shared" si="29"/>
        <v>10344.442999999999</v>
      </c>
      <c r="AE16" s="428">
        <f t="shared" si="30"/>
        <v>30.357866471019808</v>
      </c>
      <c r="AF16" s="418">
        <v>1496.8565059334451</v>
      </c>
      <c r="AG16" s="586"/>
      <c r="AH16" s="587"/>
      <c r="AI16" s="586"/>
      <c r="AJ16" s="418">
        <f>'1-συμβολαια'!M16+'1-συμβολαια'!Q16+'8-κ-15-17'!AE16+'14-βιβλΕσ'!L16+'14-βιβλΕσ'!Q16+'14-βιβλΕσ'!R16</f>
        <v>10344.442999999999</v>
      </c>
      <c r="AK16" s="428">
        <f t="shared" si="31"/>
        <v>30.357866471019808</v>
      </c>
      <c r="AL16" s="418">
        <f>'1-συμβολαια'!N16</f>
        <v>0</v>
      </c>
      <c r="AM16" s="428">
        <f t="shared" si="32"/>
        <v>0</v>
      </c>
      <c r="AN16" s="418">
        <f t="shared" si="33"/>
        <v>10344.442999999999</v>
      </c>
      <c r="AO16" s="428">
        <f t="shared" si="34"/>
        <v>30.357866471019808</v>
      </c>
      <c r="AP16" s="320">
        <v>46085</v>
      </c>
      <c r="AQ16" s="424">
        <f t="shared" si="35"/>
        <v>1496.8565059334451</v>
      </c>
      <c r="AR16" s="589"/>
      <c r="AS16" s="74"/>
      <c r="AT16" s="74"/>
      <c r="AU16" s="74"/>
      <c r="AV16" s="74"/>
      <c r="AW16" s="74"/>
    </row>
    <row r="17" spans="1:53" ht="10.5" customHeight="1">
      <c r="A17" s="999" t="s">
        <v>35</v>
      </c>
      <c r="B17" s="1000"/>
      <c r="C17" s="1000"/>
      <c r="D17" s="1000"/>
      <c r="E17" s="1001"/>
      <c r="F17" s="256">
        <f t="shared" ref="F17:N17" si="37">SUM(F3:F16)</f>
        <v>23905.573799999998</v>
      </c>
      <c r="G17" s="256">
        <f t="shared" si="37"/>
        <v>39707</v>
      </c>
      <c r="H17" s="256">
        <f t="shared" si="37"/>
        <v>63612.573799999998</v>
      </c>
      <c r="I17" s="43">
        <f t="shared" si="37"/>
        <v>186.68400234776226</v>
      </c>
      <c r="J17" s="256">
        <f t="shared" si="37"/>
        <v>72254.83600000001</v>
      </c>
      <c r="K17" s="43">
        <f t="shared" si="37"/>
        <v>212.04647395451212</v>
      </c>
      <c r="L17" s="43">
        <f t="shared" si="37"/>
        <v>135.84</v>
      </c>
      <c r="M17" s="43">
        <f t="shared" si="37"/>
        <v>1997.63</v>
      </c>
      <c r="N17" s="256">
        <f t="shared" si="37"/>
        <v>0</v>
      </c>
      <c r="O17" s="43"/>
      <c r="P17" s="43">
        <f t="shared" ref="P17:X17" si="38">SUM(P3:P16)</f>
        <v>0</v>
      </c>
      <c r="Q17" s="43">
        <f t="shared" si="38"/>
        <v>0</v>
      </c>
      <c r="R17" s="256">
        <f t="shared" si="38"/>
        <v>3078</v>
      </c>
      <c r="S17" s="256">
        <f t="shared" si="38"/>
        <v>250714.54822000003</v>
      </c>
      <c r="T17" s="43">
        <f t="shared" si="38"/>
        <v>735.77270203961848</v>
      </c>
      <c r="U17" s="256">
        <f t="shared" si="38"/>
        <v>481383</v>
      </c>
      <c r="V17" s="43">
        <f t="shared" si="38"/>
        <v>1412.7160674981658</v>
      </c>
      <c r="W17" s="434">
        <f t="shared" si="38"/>
        <v>170953</v>
      </c>
      <c r="X17" s="435">
        <f t="shared" si="38"/>
        <v>501.69625825385185</v>
      </c>
      <c r="Y17" s="434"/>
      <c r="Z17" s="435">
        <f t="shared" ref="Z17:AO17" si="39">SUM(Z3:Z16)</f>
        <v>1998.4198199858824</v>
      </c>
      <c r="AA17" s="435">
        <f t="shared" si="39"/>
        <v>2452.0919383712398</v>
      </c>
      <c r="AB17" s="449">
        <f t="shared" si="39"/>
        <v>0</v>
      </c>
      <c r="AC17" s="450">
        <f t="shared" si="39"/>
        <v>0</v>
      </c>
      <c r="AD17" s="256">
        <f t="shared" si="39"/>
        <v>835550.32799999998</v>
      </c>
      <c r="AE17" s="43">
        <f t="shared" si="39"/>
        <v>2452.0919383712398</v>
      </c>
      <c r="AF17" s="256">
        <f t="shared" si="39"/>
        <v>144818.85572472724</v>
      </c>
      <c r="AG17" s="449">
        <f t="shared" si="39"/>
        <v>0</v>
      </c>
      <c r="AH17" s="450">
        <f t="shared" si="39"/>
        <v>0</v>
      </c>
      <c r="AI17" s="449">
        <f t="shared" si="39"/>
        <v>0</v>
      </c>
      <c r="AJ17" s="256">
        <f t="shared" si="39"/>
        <v>1031787.328</v>
      </c>
      <c r="AK17" s="43">
        <f t="shared" si="39"/>
        <v>3027.9892237710937</v>
      </c>
      <c r="AL17" s="256">
        <f t="shared" si="39"/>
        <v>196237</v>
      </c>
      <c r="AM17" s="43">
        <f t="shared" si="39"/>
        <v>575.89728539985322</v>
      </c>
      <c r="AN17" s="256">
        <f t="shared" si="39"/>
        <v>835550.32799999998</v>
      </c>
      <c r="AO17" s="43">
        <f t="shared" si="39"/>
        <v>2452.0919383712398</v>
      </c>
      <c r="AP17" s="43"/>
      <c r="AQ17" s="256">
        <f>SUM(AQ3:AQ16)</f>
        <v>144818.85572472724</v>
      </c>
    </row>
    <row r="18" spans="1:53">
      <c r="U18" s="76"/>
      <c r="V18" s="76"/>
    </row>
    <row r="19" spans="1:53">
      <c r="U19" s="131"/>
      <c r="V19" s="131"/>
      <c r="AF19" s="8"/>
      <c r="AJ19" s="131"/>
      <c r="AK19" s="131"/>
      <c r="AQ19" s="366">
        <f>SUM(AQ4:AQ7)</f>
        <v>47948.389650547353</v>
      </c>
    </row>
    <row r="20" spans="1:53" ht="15.75">
      <c r="AD20" s="993" t="s">
        <v>559</v>
      </c>
      <c r="AE20" s="993"/>
      <c r="AF20" s="993"/>
      <c r="AG20" s="993"/>
      <c r="AH20" s="993"/>
      <c r="AI20" s="993"/>
      <c r="AJ20" s="131"/>
      <c r="AK20" s="132"/>
      <c r="AQ20" s="366">
        <f>SUM(AQ8:AQ9)</f>
        <v>23633.370358113723</v>
      </c>
    </row>
    <row r="21" spans="1:53">
      <c r="AQ21" s="8">
        <f>SUM(AQ13:AQ16)</f>
        <v>61072.376108247103</v>
      </c>
      <c r="AR21" s="82"/>
    </row>
    <row r="22" spans="1:53">
      <c r="Y22" s="2"/>
      <c r="Z22" s="2"/>
      <c r="AR22" s="28"/>
    </row>
    <row r="23" spans="1:53">
      <c r="AR23" s="82"/>
    </row>
    <row r="24" spans="1:53" ht="12" thickBot="1">
      <c r="W24" s="134"/>
      <c r="X24" s="8"/>
      <c r="Y24" s="703"/>
      <c r="Z24" s="443"/>
      <c r="AA24" s="674">
        <v>111</v>
      </c>
      <c r="AC24" s="8"/>
      <c r="AE24" s="428">
        <f>I3+K3+T3</f>
        <v>21.231988261188555</v>
      </c>
      <c r="AF24" s="418">
        <v>613.88711794987944</v>
      </c>
      <c r="AH24" s="428">
        <f t="shared" ref="AH24:AH37" si="40">AO3-AE24</f>
        <v>49.12457813646369</v>
      </c>
      <c r="AI24" s="418">
        <v>723.79124280624023</v>
      </c>
      <c r="AM24" s="674">
        <v>111</v>
      </c>
      <c r="AQ24" s="424">
        <f>AF24+AI24</f>
        <v>1337.6783607561197</v>
      </c>
      <c r="AR24" s="82"/>
    </row>
    <row r="25" spans="1:53">
      <c r="X25" s="8"/>
      <c r="Y25" s="610" t="s">
        <v>558</v>
      </c>
      <c r="Z25" s="451"/>
      <c r="AA25" s="333">
        <v>113</v>
      </c>
      <c r="AC25" s="8"/>
      <c r="AE25" s="336">
        <f t="shared" ref="AE25:AE37" si="41">I4+K4+T4</f>
        <v>93.024798239178295</v>
      </c>
      <c r="AF25" s="274">
        <v>2689.6550895945788</v>
      </c>
      <c r="AH25" s="336">
        <f t="shared" si="40"/>
        <v>181.91283932501833</v>
      </c>
      <c r="AI25" s="274">
        <v>2680.2656644034278</v>
      </c>
      <c r="AL25" s="8">
        <f>SUM(AF25:AF28)</f>
        <v>8430.4395054023789</v>
      </c>
      <c r="AM25" s="333">
        <v>113</v>
      </c>
      <c r="AN25" s="8">
        <f>SUM(AI25:AI28)</f>
        <v>6140.6536469540242</v>
      </c>
      <c r="AO25" s="8">
        <f>SUM(AQ25:AQ28)</f>
        <v>14571.093152356405</v>
      </c>
      <c r="AQ25" s="324">
        <f t="shared" ref="AQ25:AQ37" si="42">AF25+AI25</f>
        <v>5369.9207539980071</v>
      </c>
      <c r="AR25" s="82"/>
      <c r="AT25" s="126"/>
      <c r="AU25" s="126"/>
      <c r="AV25" s="126"/>
    </row>
    <row r="26" spans="1:53">
      <c r="X26" s="8"/>
      <c r="Y26" s="278"/>
      <c r="Z26" s="444"/>
      <c r="AA26" s="312">
        <v>0</v>
      </c>
      <c r="AC26" s="8"/>
      <c r="AE26" s="322">
        <f t="shared" si="41"/>
        <v>45.779073514306674</v>
      </c>
      <c r="AF26" s="278">
        <v>1323.6246721879124</v>
      </c>
      <c r="AH26" s="322">
        <f t="shared" si="40"/>
        <v>75.875759941305944</v>
      </c>
      <c r="AI26" s="278">
        <v>1117.937551223908</v>
      </c>
      <c r="AL26" s="8"/>
      <c r="AM26" s="312">
        <v>0</v>
      </c>
      <c r="AN26" s="8"/>
      <c r="AO26" s="8"/>
      <c r="AQ26" s="324">
        <f t="shared" si="42"/>
        <v>2441.5622234118205</v>
      </c>
      <c r="AR26" s="82"/>
      <c r="AS26" s="452"/>
      <c r="AT26" s="452"/>
      <c r="AU26" s="452"/>
      <c r="AV26" s="452"/>
      <c r="AW26" s="452"/>
    </row>
    <row r="27" spans="1:53">
      <c r="X27" s="8"/>
      <c r="Y27" s="272"/>
      <c r="Z27" s="443"/>
      <c r="AA27" s="312">
        <v>0</v>
      </c>
      <c r="AC27" s="8"/>
      <c r="AE27" s="322">
        <f t="shared" si="41"/>
        <v>93.935296845194415</v>
      </c>
      <c r="AF27" s="278">
        <v>2715.9806205937748</v>
      </c>
      <c r="AH27" s="322">
        <f t="shared" si="40"/>
        <v>129.43277945707996</v>
      </c>
      <c r="AI27" s="278">
        <v>1907.035456729315</v>
      </c>
      <c r="AL27" s="8"/>
      <c r="AM27" s="312">
        <v>0</v>
      </c>
      <c r="AN27" s="8"/>
      <c r="AO27" s="8"/>
      <c r="AQ27" s="324">
        <f t="shared" si="42"/>
        <v>4623.01607732309</v>
      </c>
      <c r="AR27" s="165"/>
      <c r="AT27" s="453"/>
      <c r="AU27" s="453"/>
      <c r="AV27" s="453"/>
      <c r="AW27" s="453"/>
      <c r="AX27" s="11"/>
      <c r="AY27" s="11"/>
      <c r="AZ27" s="11"/>
      <c r="BA27" s="11"/>
    </row>
    <row r="28" spans="1:53" ht="12" thickBot="1">
      <c r="Y28" s="631"/>
      <c r="AA28" s="421">
        <v>0</v>
      </c>
      <c r="AC28" s="8"/>
      <c r="AE28" s="428">
        <f t="shared" si="41"/>
        <v>58.837226118855469</v>
      </c>
      <c r="AF28" s="418">
        <v>1701.1791230261135</v>
      </c>
      <c r="AH28" s="428">
        <f t="shared" si="40"/>
        <v>29.552135583272204</v>
      </c>
      <c r="AI28" s="418">
        <v>435.41497459737377</v>
      </c>
      <c r="AL28" s="8"/>
      <c r="AM28" s="421">
        <v>0</v>
      </c>
      <c r="AN28" s="8"/>
      <c r="AO28" s="8"/>
      <c r="AQ28" s="424">
        <f t="shared" si="42"/>
        <v>2136.5940976234874</v>
      </c>
      <c r="AR28" s="165"/>
      <c r="AT28" s="454"/>
      <c r="AU28" s="454"/>
      <c r="AV28" s="454"/>
      <c r="AW28" s="454"/>
      <c r="AX28" s="11"/>
      <c r="AY28" s="11"/>
      <c r="AZ28" s="11"/>
      <c r="BA28" s="11"/>
    </row>
    <row r="29" spans="1:53">
      <c r="Y29" s="610" t="s">
        <v>558</v>
      </c>
      <c r="AA29" s="333">
        <v>114</v>
      </c>
      <c r="AC29" s="8"/>
      <c r="AE29" s="336">
        <f t="shared" si="41"/>
        <v>75.729420396184878</v>
      </c>
      <c r="AF29" s="274">
        <v>2189.5884200355258</v>
      </c>
      <c r="AH29" s="336">
        <f t="shared" si="40"/>
        <v>139.07028613352898</v>
      </c>
      <c r="AI29" s="274">
        <v>2049.0324610704643</v>
      </c>
      <c r="AL29" s="8">
        <f>SUM(AF29:AF30)</f>
        <v>3667.0760961978522</v>
      </c>
      <c r="AM29" s="333">
        <v>114</v>
      </c>
      <c r="AN29" s="8">
        <f>SUM(AI29:AI30)</f>
        <v>3736.9128774181991</v>
      </c>
      <c r="AO29" s="8">
        <f>SUM(AQ29:AQ30)</f>
        <v>7403.9889736160503</v>
      </c>
      <c r="AQ29" s="324">
        <f t="shared" si="42"/>
        <v>4238.6208811059896</v>
      </c>
      <c r="AR29" s="165"/>
      <c r="AS29" s="11"/>
      <c r="AT29" s="11"/>
      <c r="AU29" s="11"/>
      <c r="AV29" s="11"/>
      <c r="AW29" s="11"/>
      <c r="AX29" s="11"/>
      <c r="AY29" s="11"/>
      <c r="AZ29" s="11"/>
      <c r="BA29" s="11"/>
    </row>
    <row r="30" spans="1:53" ht="12" thickBot="1">
      <c r="Y30" s="474"/>
      <c r="AA30" s="421">
        <v>0</v>
      </c>
      <c r="AC30" s="8"/>
      <c r="AE30" s="428">
        <f t="shared" si="41"/>
        <v>51.100601526045494</v>
      </c>
      <c r="AF30" s="418">
        <v>1477.4876761623261</v>
      </c>
      <c r="AH30" s="428">
        <f t="shared" si="40"/>
        <v>114.55846450476889</v>
      </c>
      <c r="AI30" s="418">
        <v>1687.8804163477348</v>
      </c>
      <c r="AL30" s="8"/>
      <c r="AM30" s="421">
        <v>0</v>
      </c>
      <c r="AN30" s="8"/>
      <c r="AO30" s="8"/>
      <c r="AQ30" s="424">
        <f t="shared" si="42"/>
        <v>3165.3680925100607</v>
      </c>
      <c r="AR30" s="82"/>
      <c r="AS30" s="11"/>
      <c r="AT30" s="11"/>
      <c r="AU30" s="11"/>
      <c r="AV30" s="11"/>
      <c r="AW30" s="11"/>
      <c r="AX30" s="455"/>
      <c r="AY30" s="455"/>
      <c r="AZ30" s="455"/>
      <c r="BA30" s="11"/>
    </row>
    <row r="31" spans="1:53">
      <c r="Y31" s="634"/>
      <c r="AA31" s="333" t="s">
        <v>565</v>
      </c>
      <c r="AC31" s="8"/>
      <c r="AE31" s="336">
        <f t="shared" si="41"/>
        <v>42.110051357300073</v>
      </c>
      <c r="AF31" s="274">
        <v>1038.1244928863107</v>
      </c>
      <c r="AH31" s="336">
        <f t="shared" si="40"/>
        <v>42.702861335289803</v>
      </c>
      <c r="AI31" s="274">
        <v>535.58088062473064</v>
      </c>
      <c r="AL31" s="8"/>
      <c r="AM31" s="333" t="s">
        <v>565</v>
      </c>
      <c r="AN31" s="8"/>
      <c r="AO31" s="8"/>
      <c r="AQ31" s="324">
        <f t="shared" si="42"/>
        <v>1573.7053735110412</v>
      </c>
      <c r="AR31" s="165"/>
      <c r="AS31" s="11"/>
      <c r="AT31" s="11"/>
      <c r="AU31" s="11"/>
      <c r="AV31" s="11"/>
      <c r="AW31" s="11"/>
      <c r="AX31" s="11"/>
      <c r="AY31" s="11"/>
      <c r="AZ31" s="11"/>
      <c r="BA31" s="11"/>
    </row>
    <row r="32" spans="1:53">
      <c r="Y32" s="475"/>
      <c r="AA32" s="312" t="s">
        <v>565</v>
      </c>
      <c r="AC32" s="8"/>
      <c r="AE32" s="322">
        <f t="shared" si="41"/>
        <v>37.414526779163609</v>
      </c>
      <c r="AF32" s="278">
        <v>922.36735380915502</v>
      </c>
      <c r="AH32" s="322">
        <f t="shared" si="40"/>
        <v>35.659574468085111</v>
      </c>
      <c r="AI32" s="278">
        <v>447.2437138664759</v>
      </c>
      <c r="AL32" s="8"/>
      <c r="AM32" s="312" t="s">
        <v>565</v>
      </c>
      <c r="AN32" s="8"/>
      <c r="AO32" s="8"/>
      <c r="AQ32" s="422">
        <f t="shared" si="42"/>
        <v>1369.6110676756309</v>
      </c>
      <c r="AR32" s="82"/>
      <c r="AS32" s="11"/>
      <c r="AT32" s="11"/>
      <c r="AU32" s="11"/>
      <c r="AV32" s="11"/>
      <c r="AW32" s="11"/>
      <c r="AX32" s="11"/>
      <c r="AY32" s="11"/>
      <c r="AZ32" s="11"/>
      <c r="BA32" s="11"/>
    </row>
    <row r="33" spans="25:53" ht="12" thickBot="1">
      <c r="Y33" s="418"/>
      <c r="AA33" s="421">
        <v>552</v>
      </c>
      <c r="AC33" s="8"/>
      <c r="AE33" s="428">
        <f t="shared" si="41"/>
        <v>2.5285399853264856</v>
      </c>
      <c r="AF33" s="418">
        <v>62.335219393047879</v>
      </c>
      <c r="AH33" s="428">
        <f t="shared" si="40"/>
        <v>3.7928099779897284</v>
      </c>
      <c r="AI33" s="418">
        <v>47.56956429931968</v>
      </c>
      <c r="AL33" s="8"/>
      <c r="AM33" s="421">
        <v>552</v>
      </c>
      <c r="AN33" s="8"/>
      <c r="AO33" s="8"/>
      <c r="AQ33" s="424">
        <f t="shared" si="42"/>
        <v>109.90478369236756</v>
      </c>
      <c r="AR33" s="86"/>
      <c r="AS33" s="11"/>
      <c r="AT33" s="11"/>
      <c r="AU33" s="11"/>
      <c r="AV33" s="11"/>
      <c r="AW33" s="11"/>
      <c r="AX33" s="11"/>
      <c r="AY33" s="11"/>
      <c r="AZ33" s="11"/>
      <c r="BA33" s="11"/>
    </row>
    <row r="34" spans="25:53">
      <c r="Y34" s="638">
        <v>37778</v>
      </c>
      <c r="AA34" s="333">
        <v>564</v>
      </c>
      <c r="AE34" s="336">
        <f t="shared" si="41"/>
        <v>154.6421129860602</v>
      </c>
      <c r="AF34" s="274">
        <v>3812.3383835458294</v>
      </c>
      <c r="AH34" s="336">
        <f t="shared" si="40"/>
        <v>199.76874541452676</v>
      </c>
      <c r="AI34" s="274">
        <v>2505.5070607643502</v>
      </c>
      <c r="AL34" s="8">
        <f>SUM(AF34:AF37)</f>
        <v>15107.433223368094</v>
      </c>
      <c r="AM34" s="333">
        <v>564</v>
      </c>
      <c r="AN34" s="8">
        <f>SUM(AI34:AI37)</f>
        <v>6470.5207244556968</v>
      </c>
      <c r="AO34" s="8">
        <f>SUM(AQ34:AQ37)</f>
        <v>21577.953947823789</v>
      </c>
      <c r="AQ34" s="324">
        <f t="shared" si="42"/>
        <v>6317.84544431018</v>
      </c>
      <c r="AR34" s="2"/>
      <c r="AS34" s="11"/>
      <c r="AT34" s="11"/>
      <c r="AU34" s="11"/>
      <c r="AV34" s="11"/>
      <c r="AW34" s="11"/>
      <c r="AX34" s="11"/>
      <c r="AY34" s="11"/>
      <c r="AZ34" s="11"/>
      <c r="BA34" s="11"/>
    </row>
    <row r="35" spans="25:53">
      <c r="Y35" s="320"/>
      <c r="AA35" s="312">
        <v>0</v>
      </c>
      <c r="AE35" s="322">
        <f t="shared" si="41"/>
        <v>216.39421438004405</v>
      </c>
      <c r="AF35" s="278">
        <v>5334.6915243757085</v>
      </c>
      <c r="AH35" s="322">
        <f t="shared" si="40"/>
        <v>156.60160880410859</v>
      </c>
      <c r="AI35" s="278">
        <v>1964.1032223112679</v>
      </c>
      <c r="AL35" s="8"/>
      <c r="AM35" s="312">
        <v>0</v>
      </c>
      <c r="AN35" s="8"/>
      <c r="AO35" s="8"/>
      <c r="AQ35" s="422">
        <f t="shared" si="42"/>
        <v>7298.7947466869764</v>
      </c>
      <c r="AR35" s="82"/>
      <c r="AS35" s="11"/>
      <c r="AT35" s="11"/>
      <c r="AU35" s="11"/>
      <c r="AV35" s="11"/>
      <c r="AW35" s="11"/>
      <c r="AX35" s="11"/>
      <c r="AY35" s="11"/>
      <c r="AZ35" s="11"/>
      <c r="BA35" s="11"/>
    </row>
    <row r="36" spans="25:53">
      <c r="Y36" s="74"/>
      <c r="AA36" s="312">
        <v>0</v>
      </c>
      <c r="AE36" s="322">
        <f t="shared" si="41"/>
        <v>223.42039618488627</v>
      </c>
      <c r="AF36" s="278">
        <v>5507.9055478208447</v>
      </c>
      <c r="AH36" s="322">
        <f t="shared" si="40"/>
        <v>147.53338224504768</v>
      </c>
      <c r="AI36" s="278">
        <v>1850.3691863628874</v>
      </c>
      <c r="AL36" s="8"/>
      <c r="AM36" s="312">
        <v>0</v>
      </c>
      <c r="AN36" s="8"/>
      <c r="AO36" s="8"/>
      <c r="AQ36" s="324">
        <f t="shared" si="42"/>
        <v>7358.2747341837321</v>
      </c>
      <c r="AR36" s="82"/>
    </row>
    <row r="37" spans="25:53" ht="12" thickBot="1">
      <c r="Y37" s="473"/>
      <c r="AA37" s="421">
        <v>0</v>
      </c>
      <c r="AC37" s="8"/>
      <c r="AE37" s="428">
        <f t="shared" si="41"/>
        <v>18.354931768158472</v>
      </c>
      <c r="AF37" s="418">
        <v>452.49776762571059</v>
      </c>
      <c r="AH37" s="428">
        <f t="shared" si="40"/>
        <v>12.002934702861335</v>
      </c>
      <c r="AI37" s="418">
        <v>150.54125501719093</v>
      </c>
      <c r="AL37" s="8"/>
      <c r="AM37" s="421">
        <v>0</v>
      </c>
      <c r="AN37" s="8"/>
      <c r="AO37" s="8"/>
      <c r="AP37" s="2"/>
      <c r="AQ37" s="424">
        <f t="shared" si="42"/>
        <v>603.0390226429015</v>
      </c>
      <c r="AR37" s="82"/>
    </row>
    <row r="38" spans="25:53">
      <c r="AE38" s="43">
        <f>SUM(AE24:AE37)</f>
        <v>1134.5031783418929</v>
      </c>
      <c r="AF38" s="256">
        <f>SUM(AF24:AF37)</f>
        <v>29841.663009006719</v>
      </c>
      <c r="AH38" s="43">
        <f>SUM(AH24:AH37)</f>
        <v>1317.588760029347</v>
      </c>
      <c r="AI38" s="256">
        <f>SUM(AI24:AI37)</f>
        <v>18102.272650424686</v>
      </c>
      <c r="AQ38" s="256">
        <f>SUM(AQ24:AQ37)</f>
        <v>47943.935659431401</v>
      </c>
      <c r="AR38" s="82"/>
    </row>
    <row r="39" spans="25:53">
      <c r="AQ39" s="8"/>
      <c r="AR39" s="82"/>
    </row>
    <row r="43" spans="25:53" ht="15">
      <c r="AS43" s="122"/>
      <c r="AT43" s="122"/>
      <c r="AU43" s="122"/>
      <c r="AV43" s="122"/>
      <c r="AW43" s="122"/>
      <c r="AX43" s="122"/>
      <c r="AY43" s="122"/>
      <c r="AZ43" s="122"/>
      <c r="BA43" s="122"/>
    </row>
    <row r="44" spans="25:53" ht="15">
      <c r="AS44" s="122"/>
      <c r="AT44" s="122"/>
      <c r="AU44" s="122"/>
      <c r="AV44" s="122"/>
      <c r="AW44" s="122"/>
      <c r="AX44" s="122"/>
      <c r="AY44" s="122"/>
      <c r="AZ44" s="122"/>
      <c r="BA44" s="122"/>
    </row>
    <row r="45" spans="25:53" ht="15">
      <c r="AS45" s="122"/>
      <c r="AT45" s="122"/>
      <c r="AU45" s="122"/>
      <c r="AV45" s="122"/>
      <c r="AW45" s="122"/>
      <c r="AX45" s="122"/>
      <c r="AY45" s="122"/>
      <c r="AZ45" s="122"/>
      <c r="BA45" s="122"/>
    </row>
    <row r="46" spans="25:53" ht="15">
      <c r="AS46" s="122"/>
      <c r="AT46" s="122"/>
      <c r="AU46" s="122"/>
      <c r="AV46" s="122"/>
      <c r="AW46" s="122"/>
      <c r="AX46" s="122"/>
      <c r="AY46" s="122"/>
      <c r="AZ46" s="122"/>
      <c r="BA46" s="122"/>
    </row>
    <row r="47" spans="25:53" ht="15">
      <c r="AS47" s="122"/>
      <c r="AT47" s="122"/>
      <c r="AU47" s="122"/>
      <c r="AV47" s="122"/>
      <c r="AW47" s="122"/>
      <c r="AX47" s="122"/>
      <c r="AY47" s="122"/>
      <c r="AZ47" s="122"/>
      <c r="BA47" s="122"/>
    </row>
    <row r="48" spans="25:53" ht="15">
      <c r="AS48" s="122"/>
      <c r="AT48" s="122"/>
      <c r="AU48" s="122"/>
      <c r="AV48" s="122"/>
      <c r="AW48" s="122"/>
      <c r="AX48" s="122"/>
      <c r="AY48" s="122"/>
      <c r="AZ48" s="122"/>
      <c r="BA48" s="122"/>
    </row>
    <row r="49" spans="45:53" ht="15">
      <c r="AS49" s="122"/>
      <c r="AT49" s="122"/>
      <c r="AU49" s="122"/>
      <c r="AV49" s="122"/>
      <c r="AW49" s="122"/>
      <c r="AX49" s="122"/>
      <c r="AY49" s="122"/>
      <c r="AZ49" s="122"/>
      <c r="BA49" s="122"/>
    </row>
    <row r="50" spans="45:53" ht="15">
      <c r="AS50" s="122"/>
      <c r="AT50" s="122"/>
      <c r="AU50" s="122"/>
      <c r="AV50" s="122"/>
      <c r="AW50" s="122"/>
      <c r="AX50" s="122"/>
      <c r="AY50" s="122"/>
      <c r="AZ50" s="122"/>
      <c r="BA50" s="122"/>
    </row>
    <row r="51" spans="45:53" ht="15">
      <c r="AS51" s="122"/>
      <c r="AT51" s="122"/>
      <c r="AU51" s="122"/>
      <c r="AV51" s="122"/>
      <c r="AW51" s="122"/>
      <c r="AX51" s="122"/>
      <c r="AY51" s="122"/>
      <c r="AZ51" s="122"/>
      <c r="BA51" s="122"/>
    </row>
    <row r="52" spans="45:53" ht="15">
      <c r="AS52" s="122"/>
      <c r="AT52" s="122"/>
      <c r="AU52" s="122"/>
      <c r="AV52" s="122"/>
      <c r="AW52" s="122"/>
      <c r="AX52" s="122"/>
      <c r="AY52" s="122"/>
      <c r="AZ52" s="122"/>
      <c r="BA52" s="122"/>
    </row>
    <row r="53" spans="45:53" ht="15">
      <c r="AS53" s="122"/>
      <c r="AT53" s="122"/>
      <c r="AU53" s="122"/>
      <c r="AV53" s="122"/>
      <c r="AW53" s="122"/>
      <c r="AX53" s="122"/>
      <c r="AY53" s="122"/>
      <c r="AZ53" s="122"/>
      <c r="BA53" s="122"/>
    </row>
    <row r="54" spans="45:53" ht="15">
      <c r="AS54" s="122"/>
      <c r="AT54" s="122"/>
      <c r="AU54" s="122"/>
      <c r="AV54" s="122"/>
      <c r="AW54" s="122"/>
      <c r="AX54" s="122"/>
      <c r="AY54" s="122"/>
      <c r="AZ54" s="122"/>
      <c r="BA54" s="122"/>
    </row>
    <row r="55" spans="45:53" ht="15.75" customHeight="1">
      <c r="AS55" s="122"/>
      <c r="AT55" s="122"/>
      <c r="AU55" s="122"/>
      <c r="AV55" s="122"/>
      <c r="AW55" s="122"/>
      <c r="AX55" s="122"/>
      <c r="AY55" s="122"/>
      <c r="AZ55" s="122"/>
      <c r="BA55" s="122"/>
    </row>
    <row r="56" spans="45:53" ht="15">
      <c r="AS56" s="122"/>
      <c r="AT56" s="122"/>
      <c r="AU56" s="122"/>
      <c r="AV56" s="122"/>
      <c r="AW56" s="122"/>
      <c r="AX56" s="122"/>
      <c r="AY56" s="122"/>
      <c r="AZ56" s="122"/>
      <c r="BA56" s="122"/>
    </row>
    <row r="57" spans="45:53" ht="15">
      <c r="AS57" s="122"/>
      <c r="AT57" s="122"/>
      <c r="AU57" s="122"/>
      <c r="AV57" s="122"/>
      <c r="AW57" s="122"/>
      <c r="AX57" s="122"/>
      <c r="AY57" s="122"/>
      <c r="AZ57" s="122"/>
      <c r="BA57" s="122"/>
    </row>
    <row r="58" spans="45:53" ht="15.75">
      <c r="AS58" s="122"/>
      <c r="AT58" s="122"/>
      <c r="AU58" s="122"/>
      <c r="AV58" s="122"/>
      <c r="AW58" s="122"/>
      <c r="AX58" s="125"/>
      <c r="AY58" s="125"/>
      <c r="AZ58" s="125"/>
      <c r="BA58" s="125"/>
    </row>
    <row r="59" spans="45:53" ht="15.75" customHeight="1">
      <c r="AS59" s="122"/>
      <c r="AT59" s="122"/>
      <c r="AU59" s="122"/>
      <c r="AV59" s="122"/>
      <c r="AW59" s="122"/>
      <c r="AX59" s="125"/>
      <c r="AY59" s="125"/>
      <c r="AZ59" s="125"/>
      <c r="BA59" s="125"/>
    </row>
    <row r="60" spans="45:53" ht="15">
      <c r="AS60" s="122"/>
      <c r="AT60" s="122"/>
      <c r="AU60" s="122"/>
      <c r="AV60" s="122"/>
      <c r="AW60" s="122"/>
      <c r="AX60" s="122"/>
      <c r="AY60" s="122"/>
      <c r="AZ60" s="122"/>
      <c r="BA60" s="122"/>
    </row>
    <row r="61" spans="45:53" ht="15">
      <c r="AS61" s="122"/>
      <c r="AT61" s="122"/>
      <c r="AU61" s="122"/>
      <c r="AV61" s="122"/>
      <c r="AW61" s="122"/>
      <c r="AX61" s="122"/>
      <c r="AY61" s="122"/>
      <c r="AZ61" s="122"/>
      <c r="BA61" s="122"/>
    </row>
    <row r="62" spans="45:53" ht="15">
      <c r="AS62" s="122"/>
      <c r="AT62" s="122"/>
      <c r="AU62" s="122"/>
      <c r="AV62" s="122"/>
      <c r="AW62" s="122"/>
      <c r="AX62" s="122"/>
      <c r="AY62" s="122"/>
      <c r="AZ62" s="122"/>
      <c r="BA62" s="122"/>
    </row>
    <row r="63" spans="45:53" ht="15">
      <c r="AS63" s="122"/>
      <c r="AT63" s="122"/>
      <c r="AU63" s="122"/>
      <c r="AV63" s="122"/>
      <c r="AW63" s="122"/>
      <c r="AX63" s="122"/>
      <c r="AY63" s="122"/>
      <c r="AZ63" s="122"/>
      <c r="BA63" s="122"/>
    </row>
    <row r="64" spans="45:53" ht="15">
      <c r="AS64" s="122"/>
      <c r="AT64" s="122"/>
      <c r="AU64" s="122"/>
      <c r="AV64" s="122"/>
      <c r="AW64" s="122"/>
      <c r="AX64" s="122"/>
      <c r="AY64" s="122"/>
      <c r="AZ64" s="122"/>
      <c r="BA64" s="122"/>
    </row>
    <row r="65" spans="45:53" ht="15">
      <c r="AS65" s="122"/>
      <c r="AT65" s="122"/>
      <c r="AU65" s="122"/>
      <c r="AV65" s="122"/>
      <c r="AW65" s="122"/>
      <c r="AX65" s="122"/>
      <c r="AY65" s="122"/>
      <c r="AZ65" s="122"/>
      <c r="BA65" s="122"/>
    </row>
    <row r="66" spans="45:53" ht="15">
      <c r="AS66" s="122"/>
      <c r="AT66" s="122"/>
      <c r="AU66" s="122"/>
      <c r="AV66" s="122"/>
      <c r="AW66" s="122"/>
      <c r="AX66" s="122"/>
      <c r="AY66" s="122"/>
      <c r="AZ66" s="122"/>
      <c r="BA66" s="122"/>
    </row>
    <row r="67" spans="45:53" ht="15">
      <c r="AS67" s="122"/>
      <c r="AT67" s="122"/>
      <c r="AU67" s="122"/>
      <c r="AV67" s="122"/>
      <c r="AW67" s="122"/>
      <c r="AX67" s="122"/>
      <c r="AY67" s="122"/>
      <c r="AZ67" s="122"/>
      <c r="BA67" s="122"/>
    </row>
    <row r="68" spans="45:53" ht="15">
      <c r="AS68" s="122"/>
      <c r="AT68" s="122"/>
      <c r="AU68" s="122"/>
      <c r="AV68" s="122"/>
      <c r="AW68" s="122"/>
      <c r="AX68" s="122"/>
      <c r="AY68" s="122"/>
      <c r="AZ68" s="122"/>
      <c r="BA68" s="122"/>
    </row>
    <row r="69" spans="45:53" ht="15">
      <c r="AS69" s="122"/>
      <c r="AT69" s="122"/>
      <c r="AU69" s="122"/>
      <c r="AV69" s="122"/>
      <c r="AW69" s="122"/>
      <c r="AX69" s="122"/>
      <c r="AY69" s="122"/>
      <c r="AZ69" s="122"/>
      <c r="BA69" s="122"/>
    </row>
    <row r="70" spans="45:53" ht="15.75">
      <c r="AS70" s="122"/>
      <c r="AT70" s="122"/>
      <c r="AU70" s="122"/>
      <c r="AV70" s="122"/>
      <c r="AW70" s="122"/>
      <c r="AX70" s="124"/>
      <c r="AY70" s="124"/>
      <c r="AZ70" s="124"/>
      <c r="BA70" s="122"/>
    </row>
    <row r="71" spans="45:53" ht="15.75">
      <c r="AS71" s="122"/>
      <c r="AT71" s="122"/>
      <c r="AU71" s="122"/>
      <c r="AV71" s="122"/>
      <c r="AW71" s="122"/>
      <c r="AX71" s="351"/>
      <c r="AY71" s="122"/>
      <c r="AZ71" s="122"/>
      <c r="BA71" s="122"/>
    </row>
    <row r="72" spans="45:53" ht="15.75">
      <c r="AS72" s="122"/>
      <c r="AT72" s="122"/>
      <c r="AU72" s="122"/>
      <c r="AV72" s="122"/>
      <c r="AW72" s="122"/>
      <c r="AX72" s="994"/>
      <c r="AY72" s="994"/>
      <c r="AZ72" s="122"/>
      <c r="BA72" s="122"/>
    </row>
    <row r="73" spans="45:53" ht="15">
      <c r="AS73" s="122"/>
      <c r="AT73" s="122"/>
      <c r="AU73" s="122"/>
      <c r="AV73" s="122"/>
      <c r="AW73" s="122"/>
      <c r="AX73" s="122"/>
      <c r="AY73" s="122"/>
      <c r="AZ73" s="122"/>
      <c r="BA73" s="122"/>
    </row>
    <row r="74" spans="45:53" ht="15">
      <c r="AS74" s="122"/>
      <c r="AT74" s="122"/>
      <c r="AU74" s="122"/>
      <c r="AV74" s="122"/>
      <c r="AW74" s="122"/>
      <c r="AX74" s="122"/>
      <c r="AY74" s="122"/>
      <c r="AZ74" s="122"/>
      <c r="BA74" s="122"/>
    </row>
    <row r="75" spans="45:53" ht="15">
      <c r="AS75" s="122"/>
      <c r="AT75" s="122"/>
      <c r="AU75" s="122"/>
      <c r="AV75" s="122"/>
      <c r="AW75" s="122"/>
      <c r="AX75" s="122"/>
      <c r="AY75" s="122"/>
      <c r="AZ75" s="122"/>
      <c r="BA75" s="122"/>
    </row>
    <row r="76" spans="45:53" ht="15">
      <c r="AS76" s="122"/>
      <c r="AT76" s="122"/>
      <c r="AU76" s="122"/>
      <c r="AV76" s="122"/>
      <c r="AW76" s="122"/>
      <c r="AX76" s="122"/>
      <c r="AY76" s="122"/>
      <c r="AZ76" s="122"/>
      <c r="BA76" s="122"/>
    </row>
    <row r="77" spans="45:53" ht="15">
      <c r="AS77" s="122"/>
      <c r="AT77" s="122"/>
      <c r="AU77" s="122"/>
      <c r="AV77" s="122"/>
      <c r="AW77" s="122"/>
      <c r="AX77" s="122"/>
      <c r="AY77" s="122"/>
      <c r="AZ77" s="122"/>
      <c r="BA77" s="122"/>
    </row>
    <row r="78" spans="45:53" ht="15">
      <c r="AS78" s="122"/>
      <c r="AT78" s="122"/>
      <c r="AU78" s="122"/>
      <c r="AV78" s="122"/>
      <c r="AW78" s="122"/>
      <c r="AX78" s="122"/>
      <c r="AY78" s="122"/>
      <c r="AZ78" s="122"/>
      <c r="BA78" s="122"/>
    </row>
    <row r="79" spans="45:53" ht="15">
      <c r="AS79" s="122"/>
      <c r="AT79" s="122"/>
      <c r="AU79" s="122"/>
      <c r="AV79" s="122"/>
      <c r="AW79" s="122"/>
      <c r="AX79" s="122"/>
      <c r="AY79" s="122"/>
      <c r="AZ79" s="122"/>
      <c r="BA79" s="122"/>
    </row>
    <row r="80" spans="45:53" ht="15">
      <c r="AS80" s="122"/>
      <c r="AT80" s="122"/>
      <c r="AU80" s="122"/>
      <c r="AV80" s="122"/>
      <c r="AW80" s="122"/>
      <c r="AX80" s="122"/>
      <c r="AY80" s="122"/>
      <c r="AZ80" s="122"/>
      <c r="BA80" s="122"/>
    </row>
    <row r="81" spans="45:53" ht="15">
      <c r="AS81" s="122"/>
      <c r="AT81" s="122"/>
      <c r="AU81" s="122"/>
      <c r="AV81" s="122"/>
      <c r="AW81" s="122"/>
      <c r="AX81" s="122"/>
      <c r="AY81" s="122"/>
      <c r="AZ81" s="122"/>
      <c r="BA81" s="122"/>
    </row>
    <row r="82" spans="45:53" ht="15">
      <c r="AS82" s="122"/>
      <c r="AT82" s="122"/>
      <c r="AU82" s="122"/>
      <c r="AV82" s="122"/>
      <c r="AW82" s="122"/>
      <c r="AX82" s="122"/>
      <c r="AY82" s="122"/>
      <c r="AZ82" s="122"/>
      <c r="BA82" s="122"/>
    </row>
    <row r="83" spans="45:53" ht="15">
      <c r="AS83" s="122"/>
      <c r="AT83" s="122"/>
      <c r="AU83" s="122"/>
      <c r="AV83" s="122"/>
      <c r="AW83" s="122"/>
      <c r="AX83" s="122"/>
      <c r="AY83" s="122"/>
      <c r="AZ83" s="122"/>
      <c r="BA83" s="122"/>
    </row>
    <row r="84" spans="45:53" ht="15">
      <c r="AS84" s="122"/>
      <c r="AT84" s="122"/>
      <c r="AU84" s="122"/>
      <c r="AV84" s="122"/>
      <c r="AW84" s="122"/>
      <c r="AX84" s="122"/>
      <c r="AY84" s="122"/>
      <c r="AZ84" s="122"/>
      <c r="BA84" s="122"/>
    </row>
    <row r="85" spans="45:53" ht="15">
      <c r="AS85" s="122"/>
      <c r="AT85" s="122"/>
      <c r="AU85" s="122"/>
      <c r="AV85" s="122"/>
      <c r="AW85" s="122"/>
      <c r="AX85" s="122"/>
      <c r="AY85" s="122"/>
      <c r="AZ85" s="122"/>
      <c r="BA85" s="122"/>
    </row>
    <row r="86" spans="45:53" ht="15">
      <c r="AS86" s="122"/>
      <c r="AT86" s="122"/>
      <c r="AU86" s="122"/>
      <c r="AV86" s="122"/>
      <c r="AW86" s="122"/>
      <c r="AX86" s="122"/>
      <c r="AY86" s="122"/>
      <c r="AZ86" s="122"/>
      <c r="BA86" s="122"/>
    </row>
    <row r="87" spans="45:53" ht="15">
      <c r="AS87" s="122"/>
      <c r="AT87" s="122"/>
      <c r="AU87" s="122"/>
      <c r="AV87" s="122"/>
      <c r="AW87" s="122"/>
      <c r="AX87" s="122"/>
      <c r="AY87" s="122"/>
      <c r="AZ87" s="122"/>
      <c r="BA87" s="122"/>
    </row>
  </sheetData>
  <mergeCells count="22">
    <mergeCell ref="AD20:AI20"/>
    <mergeCell ref="AX72:AY72"/>
    <mergeCell ref="AS1:AW2"/>
    <mergeCell ref="S1:T1"/>
    <mergeCell ref="A17:E17"/>
    <mergeCell ref="E1:E2"/>
    <mergeCell ref="C1:C2"/>
    <mergeCell ref="A1:A2"/>
    <mergeCell ref="B1:B2"/>
    <mergeCell ref="D1:D2"/>
    <mergeCell ref="J1:K1"/>
    <mergeCell ref="F1:I1"/>
    <mergeCell ref="U1:V1"/>
    <mergeCell ref="AR1:AR2"/>
    <mergeCell ref="W1:AA1"/>
    <mergeCell ref="AJ1:AN1"/>
    <mergeCell ref="L1:R1"/>
    <mergeCell ref="AD1:AF1"/>
    <mergeCell ref="AG1:AI1"/>
    <mergeCell ref="AP1:AP2"/>
    <mergeCell ref="AQ1:AQ2"/>
    <mergeCell ref="AB1:AC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45"/>
  <sheetViews>
    <sheetView workbookViewId="0">
      <pane ySplit="1" topLeftCell="A2" activePane="bottomLeft" state="frozen"/>
      <selection pane="bottomLeft" activeCell="N32" sqref="N32"/>
    </sheetView>
  </sheetViews>
  <sheetFormatPr defaultRowHeight="11.25"/>
  <cols>
    <col min="1" max="1" width="9.140625" style="3"/>
    <col min="2" max="2" width="67" style="3" bestFit="1" customWidth="1"/>
    <col min="3" max="3" width="10.42578125" style="8" bestFit="1" customWidth="1"/>
    <col min="4" max="4" width="7.28515625" style="3" customWidth="1"/>
    <col min="5" max="5" width="10.28515625" style="3" bestFit="1" customWidth="1"/>
    <col min="6" max="6" width="14.28515625" style="3" bestFit="1" customWidth="1"/>
    <col min="7" max="7" width="10" style="3" bestFit="1" customWidth="1"/>
    <col min="8" max="8" width="6" style="3" bestFit="1" customWidth="1"/>
    <col min="9" max="9" width="4" style="3" bestFit="1" customWidth="1"/>
    <col min="10" max="10" width="10.28515625" style="3" customWidth="1"/>
    <col min="11" max="11" width="9.42578125" style="3" bestFit="1" customWidth="1"/>
    <col min="12" max="12" width="8.140625" style="3" bestFit="1" customWidth="1"/>
    <col min="13" max="14" width="9.42578125" style="3" bestFit="1" customWidth="1"/>
    <col min="15" max="15" width="4" style="3" bestFit="1" customWidth="1"/>
    <col min="16" max="17" width="9.140625" style="3"/>
    <col min="18" max="18" width="7" style="3" customWidth="1"/>
    <col min="19" max="19" width="8.140625" style="3" bestFit="1" customWidth="1"/>
    <col min="20" max="20" width="10.7109375" style="3" customWidth="1"/>
    <col min="21" max="21" width="13.42578125" style="3" bestFit="1" customWidth="1"/>
    <col min="22" max="22" width="12.42578125" style="3" bestFit="1" customWidth="1"/>
    <col min="23" max="23" width="5.85546875" style="3" customWidth="1"/>
    <col min="24" max="24" width="46.85546875" style="3" bestFit="1" customWidth="1"/>
    <col min="25" max="25" width="5.28515625" style="3" customWidth="1"/>
    <col min="26" max="16384" width="9.140625" style="3"/>
  </cols>
  <sheetData>
    <row r="1" spans="1:28">
      <c r="A1" s="192"/>
      <c r="B1" s="192"/>
      <c r="C1" s="362"/>
      <c r="D1" s="192" t="s">
        <v>315</v>
      </c>
      <c r="E1" s="192" t="s">
        <v>316</v>
      </c>
      <c r="F1" s="192" t="s">
        <v>317</v>
      </c>
      <c r="G1" s="192" t="s">
        <v>318</v>
      </c>
      <c r="H1" s="192" t="s">
        <v>319</v>
      </c>
      <c r="I1" s="192" t="s">
        <v>320</v>
      </c>
      <c r="J1" s="192" t="s">
        <v>321</v>
      </c>
      <c r="K1" s="193" t="s">
        <v>322</v>
      </c>
      <c r="L1" s="192" t="s">
        <v>323</v>
      </c>
      <c r="M1" s="192" t="s">
        <v>95</v>
      </c>
      <c r="N1" s="192" t="s">
        <v>324</v>
      </c>
      <c r="O1" s="192" t="s">
        <v>319</v>
      </c>
      <c r="P1" s="194" t="s">
        <v>29</v>
      </c>
      <c r="Q1" s="730" t="s">
        <v>325</v>
      </c>
      <c r="R1" s="731"/>
      <c r="S1" s="732"/>
      <c r="T1" s="420"/>
      <c r="U1" s="738" t="s">
        <v>409</v>
      </c>
      <c r="V1" s="739"/>
      <c r="W1" s="739"/>
      <c r="X1" s="733" t="s">
        <v>326</v>
      </c>
      <c r="Y1" s="733"/>
      <c r="Z1" s="733"/>
      <c r="AA1" s="733"/>
      <c r="AB1" s="734"/>
    </row>
    <row r="2" spans="1:28" ht="12" thickBot="1">
      <c r="A2" s="418">
        <f>'1-συμβολαια'!A3</f>
        <v>111</v>
      </c>
      <c r="B2" s="263" t="str">
        <f>'1-συμβολαια'!C3</f>
        <v>πληρεξύσιο</v>
      </c>
      <c r="C2" s="594">
        <f>'1-συμβολαια'!D3</f>
        <v>0</v>
      </c>
      <c r="D2" s="418">
        <v>100</v>
      </c>
      <c r="E2" s="418">
        <v>96</v>
      </c>
      <c r="F2" s="418"/>
      <c r="G2" s="418">
        <v>180</v>
      </c>
      <c r="H2" s="418">
        <v>190</v>
      </c>
      <c r="I2" s="418"/>
      <c r="J2" s="418"/>
      <c r="K2" s="418">
        <f>SUM(D2:J2)</f>
        <v>566</v>
      </c>
      <c r="L2" s="584"/>
      <c r="M2" s="584"/>
      <c r="N2" s="584"/>
      <c r="O2" s="584"/>
      <c r="P2" s="584"/>
      <c r="Q2" s="584"/>
      <c r="R2" s="584"/>
      <c r="S2" s="584"/>
      <c r="T2" s="628"/>
      <c r="U2" s="628"/>
      <c r="V2" s="629"/>
      <c r="W2" s="629"/>
      <c r="X2" s="629"/>
      <c r="Y2" s="418"/>
      <c r="Z2" s="418"/>
      <c r="AA2" s="430"/>
      <c r="AB2" s="77"/>
    </row>
    <row r="3" spans="1:28">
      <c r="A3" s="499">
        <f>'1-συμβολαια'!A4</f>
        <v>113</v>
      </c>
      <c r="B3" s="468" t="str">
        <f>'1-συμβολαια'!C4</f>
        <v>δωρεάς ΠΡΟΤΑΣΗ [1/2 αγροτεμάχιο ;;;??? [το ανατολικό] Θεολόγος -Ποτός -'';;;???'' 2.798μ2</v>
      </c>
      <c r="C3" s="469">
        <f>'1-συμβολαια'!D4</f>
        <v>2400000</v>
      </c>
      <c r="D3" s="274">
        <v>1000</v>
      </c>
      <c r="E3" s="274">
        <v>288</v>
      </c>
      <c r="F3" s="274">
        <v>3000</v>
      </c>
      <c r="G3" s="274"/>
      <c r="H3" s="274"/>
      <c r="I3" s="274"/>
      <c r="J3" s="274"/>
      <c r="K3" s="274">
        <f t="shared" ref="K3:K9" si="0">SUM(D3:J3)</f>
        <v>4288</v>
      </c>
      <c r="L3" s="274"/>
      <c r="M3" s="274"/>
      <c r="N3" s="274"/>
      <c r="O3" s="274"/>
      <c r="P3" s="274"/>
      <c r="Q3" s="610" t="s">
        <v>558</v>
      </c>
      <c r="R3" s="274"/>
      <c r="S3" s="274"/>
      <c r="T3" s="417"/>
      <c r="U3" s="417" t="s">
        <v>566</v>
      </c>
      <c r="V3" s="417" t="s">
        <v>567</v>
      </c>
      <c r="W3" s="471"/>
      <c r="X3" s="471"/>
      <c r="Y3" s="274"/>
      <c r="Z3" s="274"/>
      <c r="AA3" s="430"/>
      <c r="AB3" s="77"/>
    </row>
    <row r="4" spans="1:28">
      <c r="A4" s="500">
        <f>'1-συμβολαια'!A5</f>
        <v>0</v>
      </c>
      <c r="B4" s="77" t="str">
        <f>'1-συμβολαια'!C5</f>
        <v>χρησικτησία αγροτεμαχίου = 1984 ΑΝΑΔΑΣΜΟΣ</v>
      </c>
      <c r="C4" s="195">
        <f>'1-συμβολαια'!D5</f>
        <v>222222</v>
      </c>
      <c r="D4" s="278"/>
      <c r="E4" s="278"/>
      <c r="F4" s="278"/>
      <c r="G4" s="278"/>
      <c r="H4" s="278"/>
      <c r="I4" s="278"/>
      <c r="J4" s="278"/>
      <c r="K4" s="278">
        <f t="shared" si="0"/>
        <v>0</v>
      </c>
      <c r="L4" s="278"/>
      <c r="M4" s="278"/>
      <c r="N4" s="278"/>
      <c r="O4" s="278"/>
      <c r="P4" s="278"/>
      <c r="Q4" s="278"/>
      <c r="R4" s="278"/>
      <c r="S4" s="278"/>
      <c r="T4" s="275"/>
      <c r="U4" s="275"/>
      <c r="V4" s="275"/>
      <c r="W4" s="429"/>
      <c r="X4" s="429"/>
      <c r="Y4" s="278"/>
      <c r="Z4" s="278"/>
      <c r="AA4" s="430"/>
      <c r="AB4" s="77"/>
    </row>
    <row r="5" spans="1:28">
      <c r="A5" s="500">
        <f>'1-συμβολαια'!A6</f>
        <v>0</v>
      </c>
      <c r="B5" s="77" t="str">
        <f>'1-συμβολαια'!C6</f>
        <v>διανομή [= ισομερής ΑΛΛΑ βάσει ΦΜΑ της Δ.Ο.Υ (3ου &amp; ;;;???}</v>
      </c>
      <c r="C5" s="195">
        <f>'1-συμβολαια'!D6</f>
        <v>2987306</v>
      </c>
      <c r="D5" s="278"/>
      <c r="E5" s="278"/>
      <c r="F5" s="278"/>
      <c r="G5" s="278"/>
      <c r="H5" s="278"/>
      <c r="I5" s="278"/>
      <c r="J5" s="278"/>
      <c r="K5" s="278">
        <f t="shared" si="0"/>
        <v>0</v>
      </c>
      <c r="L5" s="278"/>
      <c r="M5" s="278"/>
      <c r="N5" s="278"/>
      <c r="O5" s="278"/>
      <c r="P5" s="278"/>
      <c r="Q5" s="272"/>
      <c r="R5" s="278"/>
      <c r="S5" s="278"/>
      <c r="T5" s="275"/>
      <c r="U5" s="275"/>
      <c r="V5" s="272"/>
      <c r="W5" s="272"/>
      <c r="X5" s="275"/>
      <c r="Y5" s="278"/>
      <c r="Z5" s="278"/>
      <c r="AA5" s="430"/>
      <c r="AB5" s="77"/>
    </row>
    <row r="6" spans="1:28" ht="12" thickBot="1">
      <c r="A6" s="501">
        <f>'1-συμβολαια'!A7</f>
        <v>0</v>
      </c>
      <c r="B6" s="263" t="str">
        <f>'1-συμβολαια'!C7</f>
        <v>εξισορρόπηση διαφοράς διανεμομένων μεριδίων</v>
      </c>
      <c r="C6" s="594">
        <f>'1-συμβολαια'!D7</f>
        <v>906347</v>
      </c>
      <c r="D6" s="418"/>
      <c r="E6" s="418"/>
      <c r="F6" s="418"/>
      <c r="G6" s="418"/>
      <c r="H6" s="418"/>
      <c r="I6" s="418"/>
      <c r="J6" s="418"/>
      <c r="K6" s="418"/>
      <c r="L6" s="418"/>
      <c r="M6" s="418"/>
      <c r="N6" s="418"/>
      <c r="O6" s="418"/>
      <c r="P6" s="418"/>
      <c r="Q6" s="631"/>
      <c r="R6" s="418"/>
      <c r="S6" s="418"/>
      <c r="T6" s="474"/>
      <c r="U6" s="474"/>
      <c r="V6" s="416"/>
      <c r="W6" s="416"/>
      <c r="X6" s="474"/>
      <c r="Y6" s="418"/>
      <c r="Z6" s="418"/>
      <c r="AA6" s="632"/>
      <c r="AB6" s="77"/>
    </row>
    <row r="7" spans="1:28">
      <c r="A7" s="595">
        <f>'1-συμβολαια'!A8</f>
        <v>114</v>
      </c>
      <c r="B7" s="468" t="str">
        <f>'1-συμβολαια'!C8</f>
        <v>δωρεάς ΠΡΟΤΑΣΗ [αγροτεμάχιο Θεολόγος -'';;;???'' 2.000μ2</v>
      </c>
      <c r="C7" s="469">
        <f>'1-συμβολαια'!D8</f>
        <v>400000</v>
      </c>
      <c r="D7" s="274"/>
      <c r="E7" s="274">
        <v>288</v>
      </c>
      <c r="F7" s="274">
        <v>3600</v>
      </c>
      <c r="G7" s="274"/>
      <c r="H7" s="274"/>
      <c r="I7" s="274"/>
      <c r="J7" s="274"/>
      <c r="K7" s="274">
        <f t="shared" ref="K7" si="1">SUM(D7:J7)</f>
        <v>3888</v>
      </c>
      <c r="L7" s="274"/>
      <c r="M7" s="274"/>
      <c r="N7" s="274"/>
      <c r="O7" s="274"/>
      <c r="P7" s="274"/>
      <c r="Q7" s="610" t="s">
        <v>558</v>
      </c>
      <c r="R7" s="274"/>
      <c r="S7" s="274"/>
      <c r="T7" s="417"/>
      <c r="U7" s="417" t="s">
        <v>568</v>
      </c>
      <c r="V7" s="302"/>
      <c r="W7" s="302"/>
      <c r="X7" s="417"/>
      <c r="Y7" s="274"/>
      <c r="Z7" s="274"/>
      <c r="AA7" s="417"/>
      <c r="AB7" s="77"/>
    </row>
    <row r="8" spans="1:28" ht="12" thickBot="1">
      <c r="A8" s="596">
        <f>'1-συμβολαια'!A9</f>
        <v>0</v>
      </c>
      <c r="B8" s="263" t="str">
        <f>'1-συμβολαια'!C9</f>
        <v>χρησικτησία αγροτεμαχίου = 1910 πατρός ΔΩΡΕΑ άτυπος</v>
      </c>
      <c r="C8" s="594">
        <f>'1-συμβολαια'!D9</f>
        <v>333333</v>
      </c>
      <c r="D8" s="418"/>
      <c r="E8" s="418"/>
      <c r="F8" s="418"/>
      <c r="G8" s="418"/>
      <c r="H8" s="418"/>
      <c r="I8" s="418"/>
      <c r="J8" s="418"/>
      <c r="K8" s="418">
        <f t="shared" si="0"/>
        <v>0</v>
      </c>
      <c r="L8" s="418"/>
      <c r="M8" s="418"/>
      <c r="N8" s="418"/>
      <c r="O8" s="418"/>
      <c r="P8" s="418"/>
      <c r="Q8" s="474"/>
      <c r="R8" s="418"/>
      <c r="S8" s="418"/>
      <c r="T8" s="536"/>
      <c r="U8" s="474"/>
      <c r="V8" s="416"/>
      <c r="W8" s="416"/>
      <c r="X8" s="474"/>
      <c r="Y8" s="418"/>
      <c r="Z8" s="418"/>
      <c r="AA8" s="474"/>
      <c r="AB8" s="77"/>
    </row>
    <row r="9" spans="1:28">
      <c r="A9" s="274" t="str">
        <f>'1-συμβολαια'!A10</f>
        <v>;;;???</v>
      </c>
      <c r="B9" s="468" t="str">
        <f>'1-συμβολαια'!C10</f>
        <v>δωρεάς πρότασης 2ου  ΑΠΟΔΟΧΗ</v>
      </c>
      <c r="C9" s="469">
        <f>'1-συμβολαια'!D10</f>
        <v>0</v>
      </c>
      <c r="D9" s="633"/>
      <c r="E9" s="633"/>
      <c r="F9" s="633"/>
      <c r="G9" s="633"/>
      <c r="H9" s="633"/>
      <c r="I9" s="633"/>
      <c r="J9" s="633"/>
      <c r="K9" s="274">
        <f t="shared" si="0"/>
        <v>0</v>
      </c>
      <c r="L9" s="274"/>
      <c r="M9" s="274"/>
      <c r="N9" s="274"/>
      <c r="O9" s="274"/>
      <c r="P9" s="274"/>
      <c r="Q9" s="634"/>
      <c r="R9" s="274"/>
      <c r="S9" s="274"/>
      <c r="T9" s="417"/>
      <c r="U9" s="417"/>
      <c r="V9" s="302"/>
      <c r="W9" s="302"/>
      <c r="X9" s="417"/>
      <c r="Y9" s="274"/>
      <c r="Z9" s="274"/>
      <c r="AA9" s="417"/>
      <c r="AB9" s="77"/>
    </row>
    <row r="10" spans="1:28">
      <c r="A10" s="278" t="str">
        <f>'1-συμβολαια'!A11</f>
        <v>;;;???</v>
      </c>
      <c r="B10" s="77" t="str">
        <f>'1-συμβολαια'!C11</f>
        <v>δωρεάς πρότασης  3ου  ΑΠΟΔΟΧΗ</v>
      </c>
      <c r="C10" s="195">
        <f>'1-συμβολαια'!D11</f>
        <v>0</v>
      </c>
      <c r="D10" s="615"/>
      <c r="E10" s="615"/>
      <c r="F10" s="615"/>
      <c r="G10" s="615"/>
      <c r="H10" s="615"/>
      <c r="I10" s="615"/>
      <c r="J10" s="615"/>
      <c r="K10" s="278">
        <f t="shared" ref="K10" si="2">SUM(D10:J10)</f>
        <v>0</v>
      </c>
      <c r="L10" s="278"/>
      <c r="M10" s="278"/>
      <c r="N10" s="278"/>
      <c r="O10" s="278"/>
      <c r="P10" s="278"/>
      <c r="Q10" s="475"/>
      <c r="R10" s="278"/>
      <c r="S10" s="278"/>
      <c r="T10" s="77"/>
      <c r="U10" s="77"/>
      <c r="V10" s="77"/>
      <c r="W10" s="272"/>
      <c r="X10" s="275"/>
      <c r="Y10" s="278"/>
      <c r="Z10" s="278"/>
      <c r="AA10" s="275"/>
      <c r="AB10" s="77"/>
    </row>
    <row r="11" spans="1:28" ht="12" thickBot="1">
      <c r="A11" s="418">
        <f>'1-συμβολαια'!A12</f>
        <v>552</v>
      </c>
      <c r="B11" s="263" t="str">
        <f>'1-συμβολαια'!C12</f>
        <v>πληρεξούσιο</v>
      </c>
      <c r="C11" s="594">
        <f>'1-συμβολαια'!D12</f>
        <v>0</v>
      </c>
      <c r="D11" s="594">
        <v>100</v>
      </c>
      <c r="E11" s="594"/>
      <c r="F11" s="594"/>
      <c r="G11" s="418">
        <v>196</v>
      </c>
      <c r="H11" s="418"/>
      <c r="I11" s="418"/>
      <c r="J11" s="418"/>
      <c r="K11" s="418">
        <f>SUM(D11:J11)</f>
        <v>296</v>
      </c>
      <c r="L11" s="584"/>
      <c r="M11" s="584"/>
      <c r="N11" s="584"/>
      <c r="O11" s="584"/>
      <c r="P11" s="584"/>
      <c r="Q11" s="584"/>
      <c r="R11" s="584"/>
      <c r="S11" s="584"/>
      <c r="T11" s="636"/>
      <c r="U11" s="636"/>
      <c r="V11" s="636"/>
      <c r="W11" s="637"/>
      <c r="X11" s="474"/>
      <c r="Y11" s="418"/>
      <c r="Z11" s="418"/>
      <c r="AA11" s="275"/>
      <c r="AB11" s="77"/>
    </row>
    <row r="12" spans="1:28">
      <c r="A12" s="499">
        <f>'1-συμβολαια'!A13</f>
        <v>564</v>
      </c>
      <c r="B12" s="468" t="str">
        <f>'1-συμβολαια'!C13</f>
        <v>γονική</v>
      </c>
      <c r="C12" s="469">
        <f>'1-συμβολαια'!D13</f>
        <v>3450000</v>
      </c>
      <c r="D12" s="469">
        <v>1000</v>
      </c>
      <c r="E12" s="469">
        <v>288</v>
      </c>
      <c r="F12" s="469">
        <v>2400</v>
      </c>
      <c r="G12" s="635"/>
      <c r="H12" s="635"/>
      <c r="I12" s="635"/>
      <c r="J12" s="635"/>
      <c r="K12" s="274">
        <f t="shared" ref="K12" si="3">SUM(D12:J12)</f>
        <v>3688</v>
      </c>
      <c r="L12" s="469"/>
      <c r="M12" s="469"/>
      <c r="N12" s="469"/>
      <c r="O12" s="469"/>
      <c r="P12" s="469"/>
      <c r="Q12" s="638">
        <v>37778</v>
      </c>
      <c r="R12" s="469">
        <v>378</v>
      </c>
      <c r="S12" s="469">
        <v>100</v>
      </c>
      <c r="T12" s="468"/>
      <c r="U12" s="468"/>
      <c r="V12" s="468"/>
      <c r="W12" s="302"/>
      <c r="X12" s="417"/>
      <c r="Y12" s="274"/>
      <c r="Z12" s="274"/>
      <c r="AA12" s="275"/>
      <c r="AB12" s="77"/>
    </row>
    <row r="13" spans="1:28">
      <c r="A13" s="500">
        <f>'1-συμβολαια'!A14</f>
        <v>0</v>
      </c>
      <c r="B13" s="77" t="str">
        <f>'1-συμβολαια'!C14</f>
        <v>χρησικτησία αγροτεμαχίων = 1912 πατρός ΔΩΡΕΑ άτυπος</v>
      </c>
      <c r="C13" s="195">
        <f>'1-συμβολαια'!D14</f>
        <v>3333333</v>
      </c>
      <c r="D13" s="464"/>
      <c r="E13" s="464"/>
      <c r="F13" s="464"/>
      <c r="G13" s="464"/>
      <c r="H13" s="464"/>
      <c r="I13" s="464"/>
      <c r="J13" s="464"/>
      <c r="K13" s="605">
        <f t="shared" ref="K13:K14" si="4">SUM(D13:J13)</f>
        <v>0</v>
      </c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77"/>
      <c r="W13" s="74"/>
      <c r="X13" s="74"/>
      <c r="Y13" s="278"/>
      <c r="Z13" s="278"/>
      <c r="AA13" s="275"/>
      <c r="AB13" s="77"/>
    </row>
    <row r="14" spans="1:28">
      <c r="A14" s="500">
        <f>'1-συμβολαια'!A15</f>
        <v>0</v>
      </c>
      <c r="B14" s="77" t="str">
        <f>'1-συμβολαια'!C15</f>
        <v>χρησικτησία αγροτεμαχίων = 1920 ΔΙΑΝΟΜΗ άτυπος</v>
      </c>
      <c r="C14" s="195">
        <f>'1-συμβολαια'!D15</f>
        <v>3450000</v>
      </c>
      <c r="D14" s="464"/>
      <c r="E14" s="464"/>
      <c r="F14" s="464"/>
      <c r="G14" s="464"/>
      <c r="H14" s="464"/>
      <c r="I14" s="464"/>
      <c r="J14" s="464"/>
      <c r="K14" s="605">
        <f t="shared" si="4"/>
        <v>0</v>
      </c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4"/>
      <c r="X14" s="74"/>
      <c r="Y14" s="278"/>
      <c r="Z14" s="278"/>
      <c r="AA14" s="275"/>
      <c r="AB14" s="77"/>
    </row>
    <row r="15" spans="1:28">
      <c r="A15" s="500">
        <f>'1-συμβολαια'!A16</f>
        <v>0</v>
      </c>
      <c r="B15" s="77" t="str">
        <f>'1-συμβολαια'!C16</f>
        <v>εξισορρόπηση διαφοράς διανεμομένων μεριδίων</v>
      </c>
      <c r="C15" s="195">
        <f>'1-συμβολαια'!D16</f>
        <v>111111</v>
      </c>
      <c r="D15" s="464"/>
      <c r="E15" s="464"/>
      <c r="F15" s="464"/>
      <c r="G15" s="464"/>
      <c r="H15" s="464"/>
      <c r="I15" s="464"/>
      <c r="J15" s="464"/>
      <c r="K15" s="74">
        <f t="shared" ref="K15" si="5">SUM(D15:J15)</f>
        <v>0</v>
      </c>
      <c r="L15" s="278"/>
      <c r="M15" s="278"/>
      <c r="N15" s="278"/>
      <c r="O15" s="278"/>
      <c r="P15" s="278"/>
      <c r="Q15" s="74"/>
      <c r="R15" s="74"/>
      <c r="S15" s="74"/>
      <c r="T15" s="74"/>
      <c r="U15" s="74"/>
      <c r="V15" s="74"/>
      <c r="W15" s="74"/>
      <c r="X15" s="275"/>
      <c r="Y15" s="278"/>
      <c r="Z15" s="278"/>
      <c r="AA15" s="275"/>
      <c r="AB15" s="77"/>
    </row>
    <row r="16" spans="1:28">
      <c r="A16" s="735" t="str">
        <f>'1-συμβολαια'!A17</f>
        <v>σύνολο</v>
      </c>
      <c r="B16" s="736"/>
      <c r="C16" s="737"/>
      <c r="D16" s="77">
        <f t="shared" ref="D16:K16" si="6">SUM(D2:D15)</f>
        <v>2200</v>
      </c>
      <c r="E16" s="77">
        <f t="shared" si="6"/>
        <v>960</v>
      </c>
      <c r="F16" s="77">
        <f t="shared" si="6"/>
        <v>9000</v>
      </c>
      <c r="G16" s="77">
        <f t="shared" si="6"/>
        <v>376</v>
      </c>
      <c r="H16" s="77">
        <f t="shared" si="6"/>
        <v>190</v>
      </c>
      <c r="I16" s="77">
        <f t="shared" si="6"/>
        <v>0</v>
      </c>
      <c r="J16" s="77">
        <f t="shared" si="6"/>
        <v>0</v>
      </c>
      <c r="K16" s="77">
        <f t="shared" si="6"/>
        <v>12726</v>
      </c>
    </row>
    <row r="17" spans="3:16">
      <c r="J17" s="2"/>
    </row>
    <row r="18" spans="3:16">
      <c r="C18" s="8" t="s">
        <v>410</v>
      </c>
      <c r="D18" s="3">
        <v>1800</v>
      </c>
      <c r="F18" s="3">
        <v>9000</v>
      </c>
      <c r="H18" s="3">
        <v>190</v>
      </c>
      <c r="I18" s="5"/>
    </row>
    <row r="19" spans="3:16">
      <c r="J19" s="2"/>
    </row>
    <row r="20" spans="3:16">
      <c r="H20" s="156"/>
    </row>
    <row r="21" spans="3:16">
      <c r="J21" s="2"/>
    </row>
    <row r="22" spans="3:16">
      <c r="E22" s="114"/>
      <c r="J22" s="2"/>
    </row>
    <row r="23" spans="3:16">
      <c r="E23" s="6"/>
      <c r="J23" s="2"/>
    </row>
    <row r="26" spans="3:16">
      <c r="C26" s="58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</row>
    <row r="27" spans="3:16">
      <c r="C27" s="58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</row>
    <row r="28" spans="3:16">
      <c r="C28" s="58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</row>
    <row r="29" spans="3:16">
      <c r="C29" s="363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</row>
    <row r="30" spans="3:16">
      <c r="C30" s="36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</row>
    <row r="31" spans="3:16">
      <c r="C31" s="58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</row>
    <row r="32" spans="3:16">
      <c r="D32" s="5"/>
    </row>
    <row r="33" spans="2:5">
      <c r="D33" s="5"/>
    </row>
    <row r="34" spans="2:5">
      <c r="B34" s="300"/>
      <c r="D34" s="5"/>
      <c r="E34" s="8"/>
    </row>
    <row r="35" spans="2:5">
      <c r="D35" s="5"/>
      <c r="E35" s="8"/>
    </row>
    <row r="36" spans="2:5">
      <c r="D36" s="5"/>
      <c r="E36" s="8"/>
    </row>
    <row r="37" spans="2:5">
      <c r="D37" s="5"/>
      <c r="E37" s="8"/>
    </row>
    <row r="38" spans="2:5">
      <c r="D38" s="5"/>
      <c r="E38" s="8"/>
    </row>
    <row r="39" spans="2:5">
      <c r="D39" s="5"/>
      <c r="E39" s="8"/>
    </row>
    <row r="40" spans="2:5">
      <c r="B40" s="300"/>
      <c r="D40" s="5"/>
      <c r="E40" s="58"/>
    </row>
    <row r="41" spans="2:5">
      <c r="D41" s="5"/>
      <c r="E41" s="58"/>
    </row>
    <row r="42" spans="2:5">
      <c r="D42" s="5"/>
      <c r="E42" s="58"/>
    </row>
    <row r="43" spans="2:5">
      <c r="C43" s="58"/>
      <c r="D43" s="5"/>
      <c r="E43" s="58"/>
    </row>
    <row r="44" spans="2:5">
      <c r="D44" s="5"/>
      <c r="E44" s="8"/>
    </row>
    <row r="45" spans="2:5">
      <c r="D45" s="5"/>
      <c r="E45" s="2"/>
    </row>
  </sheetData>
  <mergeCells count="4">
    <mergeCell ref="Q1:S1"/>
    <mergeCell ref="X1:AB1"/>
    <mergeCell ref="A16:C16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53"/>
  <sheetViews>
    <sheetView workbookViewId="0">
      <pane ySplit="2" topLeftCell="A3" activePane="bottomLeft" state="frozen"/>
      <selection pane="bottomLeft" activeCell="U34" sqref="U34"/>
    </sheetView>
  </sheetViews>
  <sheetFormatPr defaultRowHeight="11.25"/>
  <cols>
    <col min="1" max="1" width="7" style="8" customWidth="1"/>
    <col min="2" max="2" width="67.140625" style="91" customWidth="1"/>
    <col min="3" max="3" width="12.42578125" style="2" customWidth="1"/>
    <col min="4" max="4" width="9" style="8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8" bestFit="1" customWidth="1"/>
    <col min="9" max="11" width="8.140625" style="8" bestFit="1" customWidth="1"/>
    <col min="12" max="12" width="8.140625" style="2" bestFit="1" customWidth="1"/>
    <col min="13" max="13" width="10" style="2" customWidth="1"/>
    <col min="14" max="15" width="8.140625" style="2" customWidth="1"/>
    <col min="16" max="16" width="7" style="82" customWidth="1"/>
    <col min="17" max="24" width="8" style="82" customWidth="1"/>
    <col min="25" max="25" width="18.7109375" style="82" customWidth="1"/>
    <col min="26" max="26" width="8" style="82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750" t="s">
        <v>1</v>
      </c>
      <c r="B1" s="752" t="s">
        <v>0</v>
      </c>
      <c r="C1" s="754" t="s">
        <v>7</v>
      </c>
      <c r="D1" s="748" t="s">
        <v>367</v>
      </c>
      <c r="E1" s="749"/>
      <c r="F1" s="749"/>
      <c r="G1" s="749"/>
      <c r="H1" s="749"/>
      <c r="I1" s="749"/>
      <c r="J1" s="749"/>
      <c r="K1" s="749"/>
      <c r="L1" s="749"/>
      <c r="M1" s="756" t="s">
        <v>93</v>
      </c>
      <c r="N1" s="757"/>
      <c r="O1" s="758" t="s">
        <v>252</v>
      </c>
      <c r="P1" s="740" t="s">
        <v>85</v>
      </c>
      <c r="Q1" s="741"/>
      <c r="R1" s="741"/>
      <c r="S1" s="741"/>
      <c r="T1" s="741"/>
      <c r="U1" s="741"/>
      <c r="V1" s="741"/>
      <c r="W1" s="741"/>
      <c r="X1" s="741"/>
      <c r="Y1" s="741"/>
      <c r="Z1" s="742"/>
    </row>
    <row r="2" spans="1:26" s="11" customFormat="1" ht="24" customHeight="1" thickBot="1">
      <c r="A2" s="751"/>
      <c r="B2" s="753"/>
      <c r="C2" s="755"/>
      <c r="D2" s="60" t="s">
        <v>79</v>
      </c>
      <c r="E2" s="60" t="s">
        <v>80</v>
      </c>
      <c r="F2" s="60" t="s">
        <v>368</v>
      </c>
      <c r="G2" s="60" t="s">
        <v>369</v>
      </c>
      <c r="H2" s="60" t="s">
        <v>23</v>
      </c>
      <c r="I2" s="213" t="s">
        <v>357</v>
      </c>
      <c r="J2" s="213" t="s">
        <v>358</v>
      </c>
      <c r="K2" s="213" t="s">
        <v>381</v>
      </c>
      <c r="L2" s="214" t="s">
        <v>360</v>
      </c>
      <c r="M2" s="218" t="s">
        <v>382</v>
      </c>
      <c r="N2" s="217" t="s">
        <v>383</v>
      </c>
      <c r="O2" s="759"/>
      <c r="P2" s="743"/>
      <c r="Q2" s="744"/>
      <c r="R2" s="744"/>
      <c r="S2" s="744"/>
      <c r="T2" s="744"/>
      <c r="U2" s="744"/>
      <c r="V2" s="744"/>
      <c r="W2" s="744"/>
      <c r="X2" s="744"/>
      <c r="Y2" s="744"/>
      <c r="Z2" s="745"/>
    </row>
    <row r="3" spans="1:26" s="5" customFormat="1" ht="12" thickBot="1">
      <c r="A3" s="421">
        <f>'1-συμβολαια'!A3</f>
        <v>111</v>
      </c>
      <c r="B3" s="488" t="str">
        <f>'1-συμβολαια'!C3</f>
        <v>πληρεξύσιο</v>
      </c>
      <c r="C3" s="416">
        <f>'1-συμβολαια'!D3</f>
        <v>0</v>
      </c>
      <c r="D3" s="467">
        <v>3000</v>
      </c>
      <c r="E3" s="467"/>
      <c r="F3" s="467"/>
      <c r="G3" s="467"/>
      <c r="H3" s="467">
        <f t="shared" ref="H3" si="0">D3+E3+F3+G3</f>
        <v>3000</v>
      </c>
      <c r="I3" s="590">
        <f t="shared" ref="I3" si="1">(F3+G3)*9%</f>
        <v>0</v>
      </c>
      <c r="J3" s="590">
        <f t="shared" ref="J3" si="2">(D3+E3)*5%</f>
        <v>150</v>
      </c>
      <c r="K3" s="590">
        <f t="shared" ref="K3" si="3">H3*5%</f>
        <v>150</v>
      </c>
      <c r="L3" s="541">
        <f t="shared" ref="L3" si="4">H3*1%</f>
        <v>30</v>
      </c>
      <c r="M3" s="541">
        <f t="shared" ref="M3" si="5">H3-O3</f>
        <v>2670</v>
      </c>
      <c r="N3" s="541">
        <f t="shared" ref="N3" si="6">D3+E3</f>
        <v>3000</v>
      </c>
      <c r="O3" s="541">
        <f t="shared" ref="O3" si="7">I3+J3+K3+L3</f>
        <v>330</v>
      </c>
      <c r="P3" s="303"/>
      <c r="Q3" s="303"/>
      <c r="R3" s="303"/>
      <c r="S3" s="303"/>
      <c r="T3" s="303"/>
      <c r="U3" s="303"/>
      <c r="V3" s="303"/>
      <c r="W3" s="276"/>
      <c r="X3" s="276"/>
      <c r="Y3" s="276"/>
      <c r="Z3" s="276"/>
    </row>
    <row r="4" spans="1:26" s="5" customFormat="1">
      <c r="A4" s="462">
        <f>'1-συμβολαια'!A4</f>
        <v>113</v>
      </c>
      <c r="B4" s="335" t="str">
        <f>'1-συμβολαια'!C4</f>
        <v>δωρεάς ΠΡΟΤΑΣΗ [1/2 αγροτεμάχιο ;;;??? [το ανατολικό] Θεολόγος -Ποτός -'';;;???'' 2.798μ2</v>
      </c>
      <c r="C4" s="302">
        <f>'1-συμβολαια'!D4</f>
        <v>2400000</v>
      </c>
      <c r="D4" s="273"/>
      <c r="E4" s="273">
        <v>1000</v>
      </c>
      <c r="F4" s="273">
        <v>3600</v>
      </c>
      <c r="G4" s="273">
        <f t="shared" ref="G4:G5" si="8">(C4-120000)*1.2%</f>
        <v>27360</v>
      </c>
      <c r="H4" s="273">
        <f t="shared" ref="H4:H13" si="9">D4+E4+F4+G4</f>
        <v>31960</v>
      </c>
      <c r="I4" s="273">
        <f t="shared" ref="I4:I13" si="10">(F4+G4)*9%</f>
        <v>2786.4</v>
      </c>
      <c r="J4" s="273">
        <f t="shared" ref="J4:J13" si="11">(D4+E4)*5%</f>
        <v>50</v>
      </c>
      <c r="K4" s="273">
        <f t="shared" ref="K4:K13" si="12">H4*5%</f>
        <v>1598</v>
      </c>
      <c r="L4" s="302">
        <f t="shared" ref="L4:L13" si="13">H4*1%</f>
        <v>319.60000000000002</v>
      </c>
      <c r="M4" s="302">
        <f t="shared" ref="M4:M13" si="14">H4-O4</f>
        <v>27206</v>
      </c>
      <c r="N4" s="302">
        <f t="shared" ref="N4:N13" si="15">D4+E4</f>
        <v>1000</v>
      </c>
      <c r="O4" s="302">
        <f t="shared" ref="O4:O13" si="16">I4+J4+K4+L4</f>
        <v>4754</v>
      </c>
      <c r="P4" s="303"/>
      <c r="Q4" s="303" t="s">
        <v>407</v>
      </c>
      <c r="R4" s="303" t="s">
        <v>408</v>
      </c>
      <c r="S4" s="303"/>
      <c r="T4" s="303"/>
      <c r="U4" s="303"/>
      <c r="V4" s="303"/>
      <c r="W4" s="276"/>
      <c r="X4" s="276"/>
      <c r="Y4" s="276"/>
      <c r="Z4" s="276"/>
    </row>
    <row r="5" spans="1:26" s="5" customFormat="1">
      <c r="A5" s="409">
        <f>'1-συμβολαια'!A5</f>
        <v>0</v>
      </c>
      <c r="B5" s="301" t="str">
        <f>'1-συμβολαια'!C5</f>
        <v>χρησικτησία αγροτεμαχίου = 1984 ΑΝΑΔΑΣΜΟΣ</v>
      </c>
      <c r="C5" s="272">
        <f>'1-συμβολαια'!D5</f>
        <v>222222</v>
      </c>
      <c r="D5" s="297"/>
      <c r="E5" s="297">
        <v>1000</v>
      </c>
      <c r="F5" s="297">
        <v>3600</v>
      </c>
      <c r="G5" s="297">
        <f t="shared" si="8"/>
        <v>1226.664</v>
      </c>
      <c r="H5" s="297">
        <f t="shared" si="9"/>
        <v>5826.6639999999998</v>
      </c>
      <c r="I5" s="297">
        <f t="shared" si="10"/>
        <v>434.39975999999996</v>
      </c>
      <c r="J5" s="297">
        <f t="shared" si="11"/>
        <v>50</v>
      </c>
      <c r="K5" s="297">
        <f t="shared" si="12"/>
        <v>291.33319999999998</v>
      </c>
      <c r="L5" s="272">
        <f t="shared" si="13"/>
        <v>58.266639999999995</v>
      </c>
      <c r="M5" s="272">
        <f t="shared" si="14"/>
        <v>4992.6643999999997</v>
      </c>
      <c r="N5" s="272">
        <f t="shared" si="15"/>
        <v>1000</v>
      </c>
      <c r="O5" s="272">
        <f t="shared" si="16"/>
        <v>833.99959999999987</v>
      </c>
      <c r="P5" s="303"/>
      <c r="Q5" s="303" t="s">
        <v>407</v>
      </c>
      <c r="R5" s="303" t="s">
        <v>408</v>
      </c>
      <c r="S5" s="303"/>
      <c r="T5" s="303"/>
      <c r="U5" s="303"/>
      <c r="V5" s="303"/>
      <c r="W5" s="276"/>
      <c r="X5" s="276"/>
      <c r="Y5" s="276"/>
      <c r="Z5" s="276"/>
    </row>
    <row r="6" spans="1:26" s="5" customFormat="1">
      <c r="A6" s="409">
        <f>'1-συμβολαια'!A6</f>
        <v>0</v>
      </c>
      <c r="B6" s="301" t="str">
        <f>'1-συμβολαια'!C6</f>
        <v>διανομή [= ισομερής ΑΛΛΑ βάσει ΦΜΑ της Δ.Ο.Υ (3ου &amp; ;;;???}</v>
      </c>
      <c r="C6" s="272">
        <f>'1-συμβολαια'!D6</f>
        <v>2987306</v>
      </c>
      <c r="D6" s="297"/>
      <c r="E6" s="297">
        <v>1000</v>
      </c>
      <c r="F6" s="297">
        <v>3600</v>
      </c>
      <c r="G6" s="297">
        <f t="shared" ref="G6:G7" si="17">(C6-120000)*1.2%</f>
        <v>34407.671999999999</v>
      </c>
      <c r="H6" s="297">
        <f t="shared" si="9"/>
        <v>39007.671999999999</v>
      </c>
      <c r="I6" s="297">
        <f t="shared" si="10"/>
        <v>3420.6904799999998</v>
      </c>
      <c r="J6" s="297">
        <f t="shared" si="11"/>
        <v>50</v>
      </c>
      <c r="K6" s="297">
        <f t="shared" si="12"/>
        <v>1950.3836000000001</v>
      </c>
      <c r="L6" s="272">
        <f t="shared" si="13"/>
        <v>390.07672000000002</v>
      </c>
      <c r="M6" s="272">
        <f t="shared" si="14"/>
        <v>33196.521199999996</v>
      </c>
      <c r="N6" s="272">
        <f t="shared" si="15"/>
        <v>1000</v>
      </c>
      <c r="O6" s="272">
        <f t="shared" si="16"/>
        <v>5811.1508000000003</v>
      </c>
      <c r="P6" s="303"/>
      <c r="Q6" s="303" t="s">
        <v>407</v>
      </c>
      <c r="R6" s="303" t="s">
        <v>408</v>
      </c>
      <c r="S6" s="303"/>
      <c r="T6" s="303"/>
      <c r="U6" s="303"/>
      <c r="V6" s="303"/>
      <c r="W6" s="276"/>
      <c r="X6" s="276"/>
      <c r="Y6" s="276"/>
      <c r="Z6" s="276"/>
    </row>
    <row r="7" spans="1:26" s="5" customFormat="1" ht="12" thickBot="1">
      <c r="A7" s="423">
        <f>'1-συμβολαια'!A7</f>
        <v>0</v>
      </c>
      <c r="B7" s="488" t="str">
        <f>'1-συμβολαια'!C7</f>
        <v>εξισορρόπηση διαφοράς διανεμομένων μεριδίων</v>
      </c>
      <c r="C7" s="416">
        <f>'1-συμβολαια'!D7</f>
        <v>906347</v>
      </c>
      <c r="D7" s="467"/>
      <c r="E7" s="467">
        <v>1000</v>
      </c>
      <c r="F7" s="467">
        <v>3600</v>
      </c>
      <c r="G7" s="467">
        <f t="shared" si="17"/>
        <v>9436.1640000000007</v>
      </c>
      <c r="H7" s="467">
        <f t="shared" si="9"/>
        <v>14036.164000000001</v>
      </c>
      <c r="I7" s="467">
        <f t="shared" si="10"/>
        <v>1173.25476</v>
      </c>
      <c r="J7" s="467">
        <f t="shared" si="11"/>
        <v>50</v>
      </c>
      <c r="K7" s="467">
        <f t="shared" si="12"/>
        <v>701.80820000000006</v>
      </c>
      <c r="L7" s="416">
        <f t="shared" si="13"/>
        <v>140.36164000000002</v>
      </c>
      <c r="M7" s="416">
        <f t="shared" si="14"/>
        <v>11970.7394</v>
      </c>
      <c r="N7" s="416">
        <f t="shared" si="15"/>
        <v>1000</v>
      </c>
      <c r="O7" s="416">
        <f t="shared" si="16"/>
        <v>2065.4246000000003</v>
      </c>
      <c r="P7" s="303"/>
      <c r="Q7" s="303" t="s">
        <v>407</v>
      </c>
      <c r="R7" s="303" t="s">
        <v>408</v>
      </c>
      <c r="S7" s="303"/>
      <c r="T7" s="303"/>
      <c r="U7" s="303"/>
      <c r="V7" s="303"/>
      <c r="W7" s="276"/>
      <c r="X7" s="276"/>
      <c r="Y7" s="276"/>
      <c r="Z7" s="276"/>
    </row>
    <row r="8" spans="1:26" s="5" customFormat="1">
      <c r="A8" s="591">
        <f>'1-συμβολαια'!A8</f>
        <v>114</v>
      </c>
      <c r="B8" s="335" t="str">
        <f>'1-συμβολαια'!C8</f>
        <v>δωρεάς ΠΡΟΤΑΣΗ [αγροτεμάχιο Θεολόγος -'';;;???'' 2.000μ2</v>
      </c>
      <c r="C8" s="302">
        <f>'1-συμβολαια'!D8</f>
        <v>400000</v>
      </c>
      <c r="D8" s="273"/>
      <c r="E8" s="273">
        <v>1000</v>
      </c>
      <c r="F8" s="273">
        <v>3600</v>
      </c>
      <c r="G8" s="273">
        <f t="shared" ref="G8" si="18">(C8-120000)*1.2%</f>
        <v>3360</v>
      </c>
      <c r="H8" s="273">
        <f t="shared" si="9"/>
        <v>7960</v>
      </c>
      <c r="I8" s="273">
        <f t="shared" si="10"/>
        <v>626.4</v>
      </c>
      <c r="J8" s="273">
        <f t="shared" si="11"/>
        <v>50</v>
      </c>
      <c r="K8" s="273">
        <f t="shared" si="12"/>
        <v>398</v>
      </c>
      <c r="L8" s="302">
        <f t="shared" si="13"/>
        <v>79.600000000000009</v>
      </c>
      <c r="M8" s="302">
        <f t="shared" si="14"/>
        <v>6806</v>
      </c>
      <c r="N8" s="302">
        <f t="shared" si="15"/>
        <v>1000</v>
      </c>
      <c r="O8" s="302">
        <f t="shared" si="16"/>
        <v>1154</v>
      </c>
      <c r="P8" s="303"/>
      <c r="Q8" s="303" t="s">
        <v>407</v>
      </c>
      <c r="R8" s="303" t="s">
        <v>408</v>
      </c>
      <c r="S8" s="303"/>
      <c r="T8" s="303"/>
      <c r="U8" s="303"/>
      <c r="V8" s="303"/>
      <c r="W8" s="276"/>
      <c r="X8" s="276"/>
      <c r="Y8" s="276"/>
      <c r="Z8" s="276"/>
    </row>
    <row r="9" spans="1:26" s="5" customFormat="1" ht="12" thickBot="1">
      <c r="A9" s="592">
        <f>'1-συμβολαια'!A9</f>
        <v>0</v>
      </c>
      <c r="B9" s="488" t="str">
        <f>'1-συμβολαια'!C9</f>
        <v>χρησικτησία αγροτεμαχίου = 1910 πατρός ΔΩΡΕΑ άτυπος</v>
      </c>
      <c r="C9" s="416">
        <f>'1-συμβολαια'!D9</f>
        <v>333333</v>
      </c>
      <c r="D9" s="467"/>
      <c r="E9" s="467">
        <v>1000</v>
      </c>
      <c r="F9" s="467">
        <v>3600</v>
      </c>
      <c r="G9" s="467">
        <f t="shared" ref="G9" si="19">(C9-120000)*1.2%</f>
        <v>2559.9960000000001</v>
      </c>
      <c r="H9" s="467">
        <f t="shared" si="9"/>
        <v>7159.9960000000001</v>
      </c>
      <c r="I9" s="467">
        <f t="shared" si="10"/>
        <v>554.39963999999998</v>
      </c>
      <c r="J9" s="467">
        <f t="shared" si="11"/>
        <v>50</v>
      </c>
      <c r="K9" s="467">
        <f t="shared" si="12"/>
        <v>357.99980000000005</v>
      </c>
      <c r="L9" s="416">
        <f t="shared" si="13"/>
        <v>71.599959999999996</v>
      </c>
      <c r="M9" s="416">
        <f t="shared" si="14"/>
        <v>6125.9966000000004</v>
      </c>
      <c r="N9" s="416">
        <f t="shared" si="15"/>
        <v>1000</v>
      </c>
      <c r="O9" s="416">
        <f t="shared" si="16"/>
        <v>1033.9993999999999</v>
      </c>
      <c r="P9" s="303"/>
      <c r="Q9" s="303" t="s">
        <v>407</v>
      </c>
      <c r="R9" s="303" t="s">
        <v>408</v>
      </c>
      <c r="S9" s="303"/>
      <c r="T9" s="303"/>
      <c r="U9" s="303"/>
      <c r="V9" s="303"/>
      <c r="W9" s="276"/>
      <c r="X9" s="276"/>
      <c r="Y9" s="276"/>
      <c r="Z9" s="276"/>
    </row>
    <row r="10" spans="1:26" s="5" customFormat="1">
      <c r="A10" s="333" t="str">
        <f>'1-συμβολαια'!A10</f>
        <v>;;;???</v>
      </c>
      <c r="B10" s="335" t="str">
        <f>'1-συμβολαια'!C10</f>
        <v>δωρεάς πρότασης 2ου  ΑΠΟΔΟΧΗ</v>
      </c>
      <c r="C10" s="302">
        <f>'1-συμβολαια'!D10</f>
        <v>0</v>
      </c>
      <c r="D10" s="273">
        <v>3000</v>
      </c>
      <c r="E10" s="273"/>
      <c r="F10" s="273"/>
      <c r="G10" s="273"/>
      <c r="H10" s="273">
        <f t="shared" si="9"/>
        <v>3000</v>
      </c>
      <c r="I10" s="273">
        <f t="shared" si="10"/>
        <v>0</v>
      </c>
      <c r="J10" s="273">
        <f t="shared" si="11"/>
        <v>150</v>
      </c>
      <c r="K10" s="273">
        <f t="shared" si="12"/>
        <v>150</v>
      </c>
      <c r="L10" s="302">
        <f t="shared" si="13"/>
        <v>30</v>
      </c>
      <c r="M10" s="302">
        <f t="shared" si="14"/>
        <v>2670</v>
      </c>
      <c r="N10" s="302">
        <f t="shared" si="15"/>
        <v>3000</v>
      </c>
      <c r="O10" s="302">
        <f t="shared" si="16"/>
        <v>330</v>
      </c>
      <c r="P10" s="303"/>
      <c r="Q10" s="303"/>
      <c r="R10" s="303"/>
      <c r="S10" s="303"/>
      <c r="T10" s="303"/>
      <c r="U10" s="303"/>
      <c r="V10" s="303"/>
      <c r="W10" s="276"/>
      <c r="X10" s="276"/>
      <c r="Y10" s="276"/>
      <c r="Z10" s="276"/>
    </row>
    <row r="11" spans="1:26" s="5" customFormat="1">
      <c r="A11" s="312" t="str">
        <f>'1-συμβολαια'!A11</f>
        <v>;;;???</v>
      </c>
      <c r="B11" s="301" t="str">
        <f>'1-συμβολαια'!C11</f>
        <v>δωρεάς πρότασης  3ου  ΑΠΟΔΟΧΗ</v>
      </c>
      <c r="C11" s="272">
        <f>'1-συμβολαια'!D11</f>
        <v>0</v>
      </c>
      <c r="D11" s="297">
        <v>3000</v>
      </c>
      <c r="E11" s="297"/>
      <c r="F11" s="297"/>
      <c r="G11" s="297"/>
      <c r="H11" s="297">
        <f t="shared" si="9"/>
        <v>3000</v>
      </c>
      <c r="I11" s="297">
        <f t="shared" si="10"/>
        <v>0</v>
      </c>
      <c r="J11" s="297">
        <f t="shared" si="11"/>
        <v>150</v>
      </c>
      <c r="K11" s="297">
        <f t="shared" si="12"/>
        <v>150</v>
      </c>
      <c r="L11" s="272">
        <f t="shared" si="13"/>
        <v>30</v>
      </c>
      <c r="M11" s="272">
        <f t="shared" si="14"/>
        <v>2670</v>
      </c>
      <c r="N11" s="272">
        <f t="shared" si="15"/>
        <v>3000</v>
      </c>
      <c r="O11" s="272">
        <f t="shared" si="16"/>
        <v>330</v>
      </c>
      <c r="P11" s="303"/>
      <c r="Q11" s="303"/>
      <c r="R11" s="303"/>
      <c r="S11" s="303"/>
      <c r="T11" s="303"/>
      <c r="U11" s="303"/>
      <c r="V11" s="303"/>
      <c r="W11" s="276"/>
      <c r="X11" s="276"/>
      <c r="Y11" s="276"/>
      <c r="Z11" s="276"/>
    </row>
    <row r="12" spans="1:26" s="5" customFormat="1" ht="12" thickBot="1">
      <c r="A12" s="421">
        <f>'1-συμβολαια'!A12</f>
        <v>552</v>
      </c>
      <c r="B12" s="488" t="str">
        <f>'1-συμβολαια'!C12</f>
        <v>πληρεξούσιο</v>
      </c>
      <c r="C12" s="416">
        <f>'1-συμβολαια'!D12</f>
        <v>0</v>
      </c>
      <c r="D12" s="467">
        <v>3000</v>
      </c>
      <c r="E12" s="467"/>
      <c r="F12" s="467"/>
      <c r="G12" s="467"/>
      <c r="H12" s="467">
        <f t="shared" si="9"/>
        <v>3000</v>
      </c>
      <c r="I12" s="467">
        <f t="shared" si="10"/>
        <v>0</v>
      </c>
      <c r="J12" s="467">
        <f t="shared" si="11"/>
        <v>150</v>
      </c>
      <c r="K12" s="467">
        <f t="shared" si="12"/>
        <v>150</v>
      </c>
      <c r="L12" s="416">
        <f t="shared" si="13"/>
        <v>30</v>
      </c>
      <c r="M12" s="416">
        <f t="shared" si="14"/>
        <v>2670</v>
      </c>
      <c r="N12" s="416">
        <f t="shared" si="15"/>
        <v>3000</v>
      </c>
      <c r="O12" s="416">
        <f t="shared" si="16"/>
        <v>330</v>
      </c>
      <c r="P12" s="303"/>
      <c r="Q12" s="303"/>
      <c r="R12" s="303"/>
      <c r="S12" s="303"/>
      <c r="T12" s="303"/>
      <c r="U12" s="303"/>
      <c r="V12" s="303"/>
      <c r="W12" s="276"/>
      <c r="X12" s="276"/>
      <c r="Y12" s="276"/>
      <c r="Z12" s="276"/>
    </row>
    <row r="13" spans="1:26" s="5" customFormat="1">
      <c r="A13" s="462">
        <f>'1-συμβολαια'!A13</f>
        <v>564</v>
      </c>
      <c r="B13" s="335" t="str">
        <f>'1-συμβολαια'!C13</f>
        <v>γονική</v>
      </c>
      <c r="C13" s="302">
        <f>'1-συμβολαια'!D13</f>
        <v>3450000</v>
      </c>
      <c r="D13" s="273"/>
      <c r="E13" s="273">
        <v>1000</v>
      </c>
      <c r="F13" s="273">
        <v>3600</v>
      </c>
      <c r="G13" s="273">
        <f t="shared" ref="G13:G14" si="20">(C13-120000)*1.2%</f>
        <v>39960</v>
      </c>
      <c r="H13" s="273">
        <f t="shared" si="9"/>
        <v>44560</v>
      </c>
      <c r="I13" s="273">
        <f t="shared" si="10"/>
        <v>3920.3999999999996</v>
      </c>
      <c r="J13" s="273">
        <f t="shared" si="11"/>
        <v>50</v>
      </c>
      <c r="K13" s="273">
        <f t="shared" si="12"/>
        <v>2228</v>
      </c>
      <c r="L13" s="302">
        <f t="shared" si="13"/>
        <v>445.6</v>
      </c>
      <c r="M13" s="302">
        <f t="shared" si="14"/>
        <v>37916</v>
      </c>
      <c r="N13" s="302">
        <f t="shared" si="15"/>
        <v>1000</v>
      </c>
      <c r="O13" s="302">
        <f t="shared" si="16"/>
        <v>6644</v>
      </c>
      <c r="P13" s="303"/>
      <c r="Q13" s="303" t="s">
        <v>407</v>
      </c>
      <c r="R13" s="303" t="s">
        <v>408</v>
      </c>
      <c r="S13" s="303"/>
      <c r="T13" s="303"/>
      <c r="U13" s="303"/>
      <c r="V13" s="303"/>
      <c r="W13" s="276"/>
      <c r="X13" s="276"/>
      <c r="Y13" s="276"/>
      <c r="Z13" s="276"/>
    </row>
    <row r="14" spans="1:26" s="5" customFormat="1">
      <c r="A14" s="409">
        <f>'1-συμβολαια'!A14</f>
        <v>0</v>
      </c>
      <c r="B14" s="301" t="str">
        <f>'1-συμβολαια'!C14</f>
        <v>χρησικτησία αγροτεμαχίων = 1912 πατρός ΔΩΡΕΑ άτυπος</v>
      </c>
      <c r="C14" s="272">
        <f>'1-συμβολαια'!D14</f>
        <v>3333333</v>
      </c>
      <c r="D14" s="297"/>
      <c r="E14" s="297">
        <v>1000</v>
      </c>
      <c r="F14" s="297">
        <v>3600</v>
      </c>
      <c r="G14" s="297">
        <f t="shared" si="20"/>
        <v>38559.995999999999</v>
      </c>
      <c r="H14" s="297">
        <f t="shared" ref="H14:H16" si="21">D14+E14+F14+G14</f>
        <v>43159.995999999999</v>
      </c>
      <c r="I14" s="297">
        <f t="shared" ref="I14:I16" si="22">(F14+G14)*9%</f>
        <v>3794.3996399999996</v>
      </c>
      <c r="J14" s="297">
        <f t="shared" ref="J14:J16" si="23">(D14+E14)*5%</f>
        <v>50</v>
      </c>
      <c r="K14" s="297">
        <f t="shared" ref="K14:K16" si="24">H14*5%</f>
        <v>2157.9998000000001</v>
      </c>
      <c r="L14" s="272">
        <f t="shared" ref="L14:L16" si="25">H14*1%</f>
        <v>431.59996000000001</v>
      </c>
      <c r="M14" s="272">
        <f t="shared" ref="M14:M16" si="26">H14-O14</f>
        <v>36725.996599999999</v>
      </c>
      <c r="N14" s="272">
        <f t="shared" ref="N14:N16" si="27">D14+E14</f>
        <v>1000</v>
      </c>
      <c r="O14" s="272">
        <f t="shared" ref="O14:O16" si="28">I14+J14+K14+L14</f>
        <v>6433.9993999999988</v>
      </c>
      <c r="P14" s="303"/>
      <c r="Q14" s="303" t="s">
        <v>407</v>
      </c>
      <c r="R14" s="303" t="s">
        <v>408</v>
      </c>
      <c r="S14" s="303"/>
      <c r="T14" s="303"/>
      <c r="U14" s="303"/>
      <c r="V14" s="303"/>
      <c r="W14" s="276"/>
      <c r="X14" s="276"/>
      <c r="Y14" s="276"/>
      <c r="Z14" s="276"/>
    </row>
    <row r="15" spans="1:26" s="5" customFormat="1">
      <c r="A15" s="409">
        <f>'1-συμβολαια'!A15</f>
        <v>0</v>
      </c>
      <c r="B15" s="301" t="str">
        <f>'1-συμβολαια'!C15</f>
        <v>χρησικτησία αγροτεμαχίων = 1920 ΔΙΑΝΟΜΗ άτυπος</v>
      </c>
      <c r="C15" s="272">
        <f>'1-συμβολαια'!D15</f>
        <v>3450000</v>
      </c>
      <c r="D15" s="297"/>
      <c r="E15" s="297">
        <v>1000</v>
      </c>
      <c r="F15" s="297">
        <v>3600</v>
      </c>
      <c r="G15" s="297">
        <f t="shared" ref="G15" si="29">(C15-120000)*1.2%</f>
        <v>39960</v>
      </c>
      <c r="H15" s="297">
        <f t="shared" si="21"/>
        <v>44560</v>
      </c>
      <c r="I15" s="297">
        <f t="shared" si="22"/>
        <v>3920.3999999999996</v>
      </c>
      <c r="J15" s="297">
        <f t="shared" si="23"/>
        <v>50</v>
      </c>
      <c r="K15" s="297">
        <f t="shared" si="24"/>
        <v>2228</v>
      </c>
      <c r="L15" s="272">
        <f t="shared" si="25"/>
        <v>445.6</v>
      </c>
      <c r="M15" s="272">
        <f t="shared" si="26"/>
        <v>37916</v>
      </c>
      <c r="N15" s="272">
        <f t="shared" si="27"/>
        <v>1000</v>
      </c>
      <c r="O15" s="272">
        <f t="shared" si="28"/>
        <v>6644</v>
      </c>
      <c r="P15" s="303"/>
      <c r="Q15" s="303" t="s">
        <v>407</v>
      </c>
      <c r="R15" s="303" t="s">
        <v>408</v>
      </c>
      <c r="S15" s="303"/>
      <c r="T15" s="303"/>
      <c r="U15" s="303"/>
      <c r="V15" s="303"/>
      <c r="W15" s="276"/>
      <c r="X15" s="276"/>
      <c r="Y15" s="276"/>
      <c r="Z15" s="276"/>
    </row>
    <row r="16" spans="1:26" s="5" customFormat="1" ht="12" thickBot="1">
      <c r="A16" s="423">
        <f>'1-συμβολαια'!A16</f>
        <v>0</v>
      </c>
      <c r="B16" s="488" t="str">
        <f>'1-συμβολαια'!C16</f>
        <v>εξισορρόπηση διαφοράς διανεμομένων μεριδίων</v>
      </c>
      <c r="C16" s="416">
        <f>'1-συμβολαια'!D16</f>
        <v>111111</v>
      </c>
      <c r="D16" s="467"/>
      <c r="E16" s="467">
        <v>1000</v>
      </c>
      <c r="F16" s="467">
        <v>3600</v>
      </c>
      <c r="G16" s="467"/>
      <c r="H16" s="467">
        <f t="shared" si="21"/>
        <v>4600</v>
      </c>
      <c r="I16" s="467">
        <f t="shared" si="22"/>
        <v>324</v>
      </c>
      <c r="J16" s="467">
        <f t="shared" si="23"/>
        <v>50</v>
      </c>
      <c r="K16" s="467">
        <f t="shared" si="24"/>
        <v>230</v>
      </c>
      <c r="L16" s="416">
        <f t="shared" si="25"/>
        <v>46</v>
      </c>
      <c r="M16" s="416">
        <f t="shared" si="26"/>
        <v>3950</v>
      </c>
      <c r="N16" s="416">
        <f t="shared" si="27"/>
        <v>1000</v>
      </c>
      <c r="O16" s="416">
        <f t="shared" si="28"/>
        <v>650</v>
      </c>
      <c r="P16" s="303"/>
      <c r="Q16" s="303" t="s">
        <v>407</v>
      </c>
      <c r="R16" s="303" t="s">
        <v>408</v>
      </c>
      <c r="S16" s="303"/>
      <c r="T16" s="303"/>
      <c r="U16" s="303"/>
      <c r="V16" s="303"/>
      <c r="W16" s="276"/>
      <c r="X16" s="276"/>
      <c r="Y16" s="276"/>
      <c r="Z16" s="276"/>
    </row>
    <row r="17" spans="1:26">
      <c r="A17" s="713" t="s">
        <v>56</v>
      </c>
      <c r="B17" s="714"/>
      <c r="C17" s="714"/>
      <c r="D17" s="419">
        <f t="shared" ref="D17:O17" si="30">SUM(D3:D16)</f>
        <v>12000</v>
      </c>
      <c r="E17" s="419">
        <f t="shared" si="30"/>
        <v>10000</v>
      </c>
      <c r="F17" s="419">
        <f t="shared" si="30"/>
        <v>36000</v>
      </c>
      <c r="G17" s="419">
        <f t="shared" si="30"/>
        <v>196830.492</v>
      </c>
      <c r="H17" s="419">
        <f t="shared" si="30"/>
        <v>254830.49199999997</v>
      </c>
      <c r="I17" s="419">
        <f t="shared" si="30"/>
        <v>20954.744279999999</v>
      </c>
      <c r="J17" s="419">
        <f t="shared" si="30"/>
        <v>1100</v>
      </c>
      <c r="K17" s="419">
        <f t="shared" si="30"/>
        <v>12741.524600000001</v>
      </c>
      <c r="L17" s="419">
        <f t="shared" si="30"/>
        <v>2548.30492</v>
      </c>
      <c r="M17" s="419">
        <f t="shared" si="30"/>
        <v>217485.91820000001</v>
      </c>
      <c r="N17" s="419">
        <f t="shared" si="30"/>
        <v>22000</v>
      </c>
      <c r="O17" s="419">
        <f t="shared" si="30"/>
        <v>37344.573799999998</v>
      </c>
    </row>
    <row r="18" spans="1:26">
      <c r="J18" s="223"/>
      <c r="K18" s="223">
        <v>10</v>
      </c>
      <c r="L18" s="8" t="s">
        <v>79</v>
      </c>
      <c r="P18" s="154" t="s">
        <v>384</v>
      </c>
      <c r="Q18" s="126"/>
      <c r="R18" s="126"/>
      <c r="S18" s="126"/>
      <c r="T18" s="126"/>
      <c r="U18" s="126"/>
      <c r="V18" s="126"/>
      <c r="W18" s="126"/>
      <c r="X18" s="126"/>
      <c r="Y18" s="126"/>
    </row>
    <row r="19" spans="1:26">
      <c r="K19" s="223">
        <v>50</v>
      </c>
      <c r="L19" s="8" t="s">
        <v>397</v>
      </c>
      <c r="P19" s="136"/>
      <c r="Q19" s="154" t="s">
        <v>385</v>
      </c>
      <c r="R19" s="126"/>
      <c r="S19" s="126"/>
      <c r="T19" s="126"/>
      <c r="U19" s="126"/>
      <c r="V19" s="126"/>
      <c r="W19" s="126"/>
      <c r="X19" s="126"/>
      <c r="Y19" s="136"/>
    </row>
    <row r="20" spans="1:26">
      <c r="P20" s="136"/>
      <c r="Q20" s="136"/>
      <c r="R20" s="126" t="s">
        <v>386</v>
      </c>
      <c r="S20" s="136"/>
      <c r="T20" s="136"/>
      <c r="U20" s="136"/>
      <c r="V20" s="136"/>
      <c r="W20" s="136"/>
      <c r="X20" s="136"/>
      <c r="Y20" s="136"/>
    </row>
    <row r="21" spans="1:26">
      <c r="P21" s="136"/>
      <c r="Q21" s="136"/>
      <c r="R21" s="136"/>
      <c r="S21" s="154" t="s">
        <v>387</v>
      </c>
      <c r="T21" s="136"/>
      <c r="U21" s="136"/>
      <c r="V21" s="136"/>
      <c r="W21" s="136"/>
      <c r="X21" s="136"/>
      <c r="Y21" s="136"/>
    </row>
    <row r="22" spans="1:26">
      <c r="P22" s="136"/>
      <c r="Q22" s="136"/>
      <c r="R22" s="136"/>
      <c r="S22" s="136"/>
      <c r="T22" s="126" t="s">
        <v>388</v>
      </c>
      <c r="U22" s="136"/>
      <c r="V22" s="136"/>
      <c r="W22" s="136"/>
      <c r="X22" s="136"/>
      <c r="Y22" s="136"/>
    </row>
    <row r="23" spans="1:26">
      <c r="P23" s="136"/>
      <c r="Q23" s="136"/>
      <c r="R23" s="126"/>
      <c r="S23" s="126"/>
      <c r="T23" s="136"/>
      <c r="U23" s="154" t="s">
        <v>389</v>
      </c>
      <c r="V23" s="136"/>
      <c r="W23" s="126"/>
      <c r="X23" s="126"/>
      <c r="Y23" s="126"/>
      <c r="Z23" s="126"/>
    </row>
    <row r="24" spans="1:26">
      <c r="P24" s="136"/>
      <c r="Q24" s="136"/>
      <c r="R24" s="126"/>
      <c r="S24" s="126"/>
      <c r="T24" s="136"/>
      <c r="U24" s="136"/>
      <c r="V24" s="126" t="s">
        <v>390</v>
      </c>
      <c r="W24" s="126"/>
      <c r="X24" s="126"/>
      <c r="Y24" s="126"/>
      <c r="Z24" s="136"/>
    </row>
    <row r="25" spans="1:26">
      <c r="P25" s="136"/>
      <c r="Q25" s="136"/>
      <c r="R25" s="136"/>
      <c r="S25" s="126"/>
      <c r="T25" s="136"/>
      <c r="U25" s="136"/>
      <c r="V25" s="136"/>
      <c r="W25" s="136"/>
      <c r="X25" s="136"/>
      <c r="Y25" s="136"/>
      <c r="Z25" s="136"/>
    </row>
    <row r="26" spans="1:26" ht="15.75">
      <c r="B26" s="746" t="s">
        <v>391</v>
      </c>
      <c r="C26" s="746"/>
      <c r="D26" s="746"/>
      <c r="E26" s="746"/>
      <c r="F26" s="746"/>
      <c r="G26" s="746"/>
      <c r="H26" s="746"/>
      <c r="I26" s="746"/>
      <c r="J26" s="746"/>
      <c r="K26" s="746"/>
      <c r="L26" s="746"/>
      <c r="M26" s="746"/>
      <c r="N26" s="746"/>
      <c r="O26" s="746"/>
      <c r="P26" s="746"/>
    </row>
    <row r="27" spans="1:26" ht="15.75">
      <c r="C27" s="761" t="s">
        <v>392</v>
      </c>
      <c r="D27" s="761"/>
      <c r="E27" s="761"/>
      <c r="F27" s="761"/>
      <c r="G27" s="761"/>
      <c r="H27" s="761"/>
      <c r="I27" s="761"/>
      <c r="J27" s="761"/>
      <c r="K27" s="761"/>
      <c r="L27" s="761"/>
      <c r="M27" s="761"/>
      <c r="N27" s="61"/>
      <c r="O27" s="224">
        <v>50</v>
      </c>
      <c r="P27" s="225"/>
      <c r="Q27" s="5" t="s">
        <v>398</v>
      </c>
      <c r="R27" s="3"/>
      <c r="S27" s="224"/>
    </row>
    <row r="28" spans="1:26" ht="15.75">
      <c r="C28" s="219"/>
      <c r="D28" s="760" t="s">
        <v>393</v>
      </c>
      <c r="E28" s="760"/>
      <c r="F28" s="760"/>
      <c r="G28" s="760"/>
      <c r="H28" s="760"/>
      <c r="I28" s="760"/>
      <c r="J28" s="760"/>
      <c r="K28" s="760"/>
      <c r="L28" s="760"/>
      <c r="M28" s="61"/>
      <c r="N28" s="61"/>
      <c r="O28" s="157">
        <v>150</v>
      </c>
      <c r="P28" s="226">
        <v>191</v>
      </c>
      <c r="Q28" s="226" t="s">
        <v>399</v>
      </c>
      <c r="R28" s="3"/>
      <c r="S28" s="157"/>
    </row>
    <row r="29" spans="1:26" ht="15">
      <c r="L29" s="215"/>
      <c r="M29" s="215"/>
      <c r="N29" s="215"/>
      <c r="O29" s="8"/>
      <c r="P29" s="225">
        <v>250</v>
      </c>
      <c r="Q29" s="225" t="s">
        <v>132</v>
      </c>
      <c r="R29" s="3"/>
      <c r="S29" s="5"/>
    </row>
    <row r="30" spans="1:26" ht="15">
      <c r="C30" s="747" t="s">
        <v>61</v>
      </c>
      <c r="D30" s="747"/>
      <c r="E30" s="747"/>
      <c r="F30" s="747"/>
      <c r="G30" s="747"/>
      <c r="H30" s="747"/>
      <c r="L30" s="8"/>
      <c r="M30" s="216"/>
      <c r="N30" s="216"/>
      <c r="O30" s="8"/>
      <c r="P30" s="225">
        <v>500</v>
      </c>
      <c r="Q30" s="226" t="s">
        <v>400</v>
      </c>
      <c r="R30" s="3"/>
      <c r="S30" s="3"/>
    </row>
    <row r="31" spans="1:26" ht="15">
      <c r="H31" s="3"/>
      <c r="J31" s="3"/>
      <c r="K31" s="3"/>
      <c r="L31" s="215"/>
      <c r="M31" s="215"/>
      <c r="N31" s="215"/>
      <c r="O31" s="8"/>
      <c r="P31" s="227">
        <v>1260</v>
      </c>
      <c r="Q31" s="225" t="s">
        <v>401</v>
      </c>
      <c r="R31" s="5"/>
      <c r="S31" s="5"/>
      <c r="U31" s="3"/>
      <c r="V31" s="3"/>
      <c r="W31" s="3"/>
      <c r="X31" s="3"/>
    </row>
    <row r="32" spans="1:26">
      <c r="D32" s="3"/>
      <c r="H32" s="3"/>
      <c r="J32" s="3"/>
      <c r="K32" s="3"/>
      <c r="L32" s="216"/>
      <c r="M32" s="216"/>
      <c r="N32" s="216"/>
      <c r="O32" s="8"/>
      <c r="P32" s="5"/>
      <c r="Q32" s="5"/>
      <c r="R32" s="5"/>
      <c r="S32" s="5"/>
      <c r="U32" s="3"/>
      <c r="V32" s="3"/>
      <c r="W32" s="3"/>
      <c r="X32" s="3"/>
    </row>
    <row r="33" spans="2:24" ht="12.75">
      <c r="B33" s="220" t="s">
        <v>394</v>
      </c>
      <c r="H33" s="3"/>
      <c r="J33" s="3"/>
      <c r="K33" s="3"/>
      <c r="O33" s="8"/>
      <c r="P33" s="5" t="s">
        <v>402</v>
      </c>
      <c r="Q33" s="5"/>
      <c r="R33" s="5" t="s">
        <v>132</v>
      </c>
      <c r="S33" s="5"/>
      <c r="U33" s="3"/>
      <c r="V33" s="3"/>
      <c r="W33" s="3"/>
      <c r="X33" s="3"/>
    </row>
    <row r="34" spans="2:24" ht="12.75">
      <c r="B34" s="221" t="s">
        <v>395</v>
      </c>
      <c r="H34" s="58"/>
      <c r="J34" s="58"/>
      <c r="K34" s="58"/>
      <c r="O34" s="8"/>
      <c r="P34" s="5" t="s">
        <v>403</v>
      </c>
      <c r="Q34" s="5"/>
      <c r="R34" s="5" t="s">
        <v>133</v>
      </c>
      <c r="S34" s="5"/>
    </row>
    <row r="35" spans="2:24" ht="15.75">
      <c r="B35" s="222" t="s">
        <v>396</v>
      </c>
      <c r="H35" s="58"/>
      <c r="I35" s="58"/>
      <c r="J35" s="58"/>
      <c r="K35" s="58"/>
      <c r="O35" s="8"/>
      <c r="P35" s="5" t="s">
        <v>404</v>
      </c>
      <c r="Q35" s="5"/>
      <c r="R35" s="5" t="s">
        <v>134</v>
      </c>
      <c r="S35" s="5"/>
    </row>
    <row r="36" spans="2:24" ht="15">
      <c r="B36" s="92"/>
      <c r="C36" s="4"/>
      <c r="D36" s="58"/>
      <c r="E36" s="4"/>
      <c r="F36" s="4"/>
      <c r="G36" s="4"/>
      <c r="H36" s="58"/>
      <c r="I36" s="58"/>
      <c r="J36" s="58"/>
      <c r="K36" s="58"/>
      <c r="L36" s="58"/>
      <c r="O36" s="8"/>
      <c r="P36" s="228">
        <v>750</v>
      </c>
      <c r="Q36" s="225"/>
      <c r="R36" s="5" t="s">
        <v>405</v>
      </c>
      <c r="S36" s="5"/>
    </row>
    <row r="37" spans="2:24" ht="15">
      <c r="B37" s="92"/>
      <c r="C37" s="4"/>
      <c r="D37" s="58"/>
      <c r="E37" s="4"/>
      <c r="F37" s="4"/>
      <c r="G37" s="4"/>
      <c r="H37" s="58"/>
      <c r="I37" s="58"/>
      <c r="J37" s="58"/>
      <c r="K37" s="58"/>
      <c r="O37" s="8"/>
      <c r="P37" s="229">
        <v>1000</v>
      </c>
      <c r="Q37" s="226"/>
      <c r="R37" s="3" t="s">
        <v>406</v>
      </c>
      <c r="S37" s="3"/>
    </row>
    <row r="38" spans="2:24" ht="15">
      <c r="B38" s="92"/>
      <c r="C38" s="4"/>
      <c r="D38" s="58"/>
      <c r="E38" s="4"/>
      <c r="F38" s="4"/>
      <c r="G38" s="4"/>
      <c r="H38" s="58"/>
      <c r="I38" s="58"/>
      <c r="J38" s="58"/>
      <c r="K38" s="58"/>
      <c r="O38" s="157"/>
      <c r="P38" s="226"/>
      <c r="Q38" s="226"/>
      <c r="R38" s="3"/>
      <c r="S38" s="157"/>
    </row>
    <row r="39" spans="2:24" ht="15">
      <c r="B39" s="92"/>
      <c r="C39" s="4"/>
      <c r="D39" s="58"/>
      <c r="E39" s="4"/>
      <c r="F39" s="4"/>
      <c r="G39" s="4"/>
      <c r="H39" s="58"/>
      <c r="I39" s="58"/>
      <c r="J39" s="58"/>
      <c r="K39" s="58"/>
      <c r="O39" s="8"/>
      <c r="P39" s="225"/>
      <c r="Q39" s="225"/>
      <c r="R39" s="3"/>
      <c r="S39" s="5"/>
    </row>
    <row r="40" spans="2:24">
      <c r="B40" s="92"/>
      <c r="C40" s="4"/>
      <c r="D40" s="58"/>
      <c r="E40" s="4"/>
      <c r="F40" s="4"/>
      <c r="G40" s="4"/>
      <c r="H40" s="58"/>
      <c r="I40" s="58"/>
      <c r="J40" s="58"/>
      <c r="K40" s="58"/>
      <c r="O40" s="8"/>
      <c r="P40" s="5"/>
      <c r="Q40" s="5"/>
      <c r="R40" s="5"/>
      <c r="S40" s="5"/>
    </row>
    <row r="41" spans="2:24">
      <c r="O41" s="8"/>
      <c r="P41" s="5"/>
      <c r="Q41" s="5"/>
      <c r="R41" s="5"/>
      <c r="S41" s="5"/>
    </row>
    <row r="42" spans="2:24">
      <c r="O42" s="8"/>
      <c r="P42" s="5"/>
      <c r="Q42" s="5"/>
      <c r="R42" s="5"/>
      <c r="S42" s="5"/>
    </row>
    <row r="43" spans="2:24">
      <c r="B43" s="300"/>
      <c r="E43" s="8"/>
      <c r="F43" s="8"/>
      <c r="G43" s="8"/>
    </row>
    <row r="44" spans="2:24">
      <c r="B44" s="3"/>
      <c r="E44" s="8"/>
      <c r="F44" s="8"/>
      <c r="G44" s="8"/>
    </row>
    <row r="45" spans="2:24">
      <c r="B45" s="3"/>
      <c r="E45" s="8"/>
      <c r="F45" s="8"/>
      <c r="G45" s="8"/>
    </row>
    <row r="46" spans="2:24">
      <c r="B46" s="3"/>
      <c r="E46" s="8"/>
      <c r="F46" s="8"/>
      <c r="G46" s="8"/>
    </row>
    <row r="47" spans="2:24">
      <c r="B47" s="3"/>
      <c r="E47" s="8"/>
      <c r="F47" s="8"/>
      <c r="G47" s="8"/>
    </row>
    <row r="48" spans="2:24">
      <c r="B48" s="3"/>
      <c r="E48" s="8"/>
      <c r="F48" s="8"/>
      <c r="G48" s="8"/>
    </row>
    <row r="49" spans="2:9">
      <c r="B49" s="300"/>
      <c r="D49" s="58"/>
      <c r="E49" s="58"/>
      <c r="F49" s="58"/>
      <c r="G49" s="58"/>
      <c r="H49" s="58"/>
    </row>
    <row r="50" spans="2:9">
      <c r="B50" s="3"/>
      <c r="D50" s="58"/>
      <c r="E50" s="58"/>
      <c r="F50" s="58"/>
      <c r="G50" s="58"/>
      <c r="H50" s="58"/>
    </row>
    <row r="51" spans="2:9">
      <c r="B51" s="3"/>
      <c r="C51" s="58"/>
      <c r="D51" s="58"/>
      <c r="E51" s="58"/>
      <c r="F51" s="58"/>
      <c r="G51" s="58"/>
      <c r="H51" s="58"/>
    </row>
    <row r="52" spans="2:9">
      <c r="B52" s="3"/>
      <c r="C52" s="58"/>
      <c r="D52" s="58"/>
      <c r="E52" s="58"/>
      <c r="F52" s="58"/>
      <c r="G52" s="58"/>
      <c r="I52" s="2"/>
    </row>
    <row r="53" spans="2:9">
      <c r="B53" s="3"/>
      <c r="C53" s="8"/>
      <c r="E53" s="8"/>
      <c r="F53" s="8"/>
      <c r="G53" s="8"/>
      <c r="I53" s="2"/>
    </row>
  </sheetData>
  <mergeCells count="12">
    <mergeCell ref="P1:Z2"/>
    <mergeCell ref="B26:P26"/>
    <mergeCell ref="C30:H30"/>
    <mergeCell ref="D1:L1"/>
    <mergeCell ref="A17:C17"/>
    <mergeCell ref="A1:A2"/>
    <mergeCell ref="B1:B2"/>
    <mergeCell ref="C1:C2"/>
    <mergeCell ref="M1:N1"/>
    <mergeCell ref="O1:O2"/>
    <mergeCell ref="D28:L28"/>
    <mergeCell ref="C27:M27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5"/>
  <sheetViews>
    <sheetView workbookViewId="0">
      <pane ySplit="2" topLeftCell="A3" activePane="bottomLeft" state="frozen"/>
      <selection pane="bottomLeft" activeCell="I27" sqref="I27"/>
    </sheetView>
  </sheetViews>
  <sheetFormatPr defaultRowHeight="11.25"/>
  <cols>
    <col min="1" max="1" width="11.5703125" style="3" bestFit="1" customWidth="1"/>
    <col min="2" max="2" width="89.5703125" style="89" customWidth="1"/>
    <col min="3" max="3" width="16.7109375" style="8" bestFit="1" customWidth="1"/>
    <col min="4" max="4" width="5.85546875" style="8" bestFit="1" customWidth="1"/>
    <col min="5" max="5" width="6.28515625" style="8" bestFit="1" customWidth="1"/>
    <col min="6" max="6" width="16.28515625" style="2" customWidth="1"/>
    <col min="7" max="7" width="10.28515625" style="8" bestFit="1" customWidth="1"/>
    <col min="8" max="8" width="6.28515625" style="82" customWidth="1"/>
    <col min="9" max="12" width="5.5703125" style="82" customWidth="1"/>
    <col min="13" max="13" width="19.7109375" style="82" customWidth="1"/>
    <col min="14" max="14" width="19.7109375" style="82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9" customFormat="1" ht="15.75" customHeight="1">
      <c r="A1" s="771" t="s">
        <v>1</v>
      </c>
      <c r="B1" s="777" t="s">
        <v>0</v>
      </c>
      <c r="C1" s="779" t="s">
        <v>86</v>
      </c>
      <c r="D1" s="773" t="s">
        <v>3</v>
      </c>
      <c r="E1" s="774"/>
      <c r="F1" s="775" t="s">
        <v>522</v>
      </c>
      <c r="G1" s="776"/>
      <c r="H1" s="762" t="s">
        <v>29</v>
      </c>
      <c r="I1" s="763"/>
      <c r="J1" s="763"/>
      <c r="K1" s="763"/>
      <c r="L1" s="763"/>
      <c r="M1" s="763"/>
      <c r="N1" s="764"/>
    </row>
    <row r="2" spans="1:14" s="9" customFormat="1" ht="23.25" customHeight="1" thickBot="1">
      <c r="A2" s="772"/>
      <c r="B2" s="778"/>
      <c r="C2" s="780"/>
      <c r="D2" s="48"/>
      <c r="E2" s="59" t="s">
        <v>9</v>
      </c>
      <c r="F2" s="99" t="s">
        <v>412</v>
      </c>
      <c r="G2" s="306" t="s">
        <v>9</v>
      </c>
      <c r="H2" s="765"/>
      <c r="I2" s="766"/>
      <c r="J2" s="766"/>
      <c r="K2" s="766"/>
      <c r="L2" s="766"/>
      <c r="M2" s="766"/>
      <c r="N2" s="767"/>
    </row>
    <row r="3" spans="1:14" s="135" customFormat="1" ht="15.75" thickBot="1">
      <c r="A3" s="519">
        <f>'1-συμβολαια'!A3</f>
        <v>111</v>
      </c>
      <c r="B3" s="520" t="str">
        <f>'1-συμβολαια'!C3</f>
        <v>πληρεξύσιο</v>
      </c>
      <c r="C3" s="521">
        <f>'1-συμβολαια'!D3</f>
        <v>0</v>
      </c>
      <c r="D3" s="608">
        <v>2</v>
      </c>
      <c r="E3" s="608">
        <v>2</v>
      </c>
      <c r="F3" s="522">
        <f>(D3-1)*800</f>
        <v>800</v>
      </c>
      <c r="G3" s="522">
        <f>(E3-1)*800</f>
        <v>800</v>
      </c>
      <c r="H3" s="641"/>
      <c r="I3" s="641"/>
      <c r="J3" s="641"/>
      <c r="K3" s="642"/>
      <c r="L3" s="642"/>
      <c r="M3" s="642"/>
      <c r="N3" s="305"/>
    </row>
    <row r="4" spans="1:14" s="135" customFormat="1" ht="15">
      <c r="A4" s="484">
        <f>'1-συμβολαια'!A4</f>
        <v>113</v>
      </c>
      <c r="B4" s="612" t="str">
        <f>'1-συμβολαια'!C4</f>
        <v>δωρεάς ΠΡΟΤΑΣΗ [1/2 αγροτεμάχιο ;;;??? [το ανατολικό] Θεολόγος -Ποτός -'';;;???'' 2.798μ2</v>
      </c>
      <c r="C4" s="477">
        <f>'1-συμβολαια'!D4</f>
        <v>2400000</v>
      </c>
      <c r="D4" s="478">
        <v>4</v>
      </c>
      <c r="E4" s="478">
        <v>4</v>
      </c>
      <c r="F4" s="331">
        <f>(D4-1)*1100</f>
        <v>3300</v>
      </c>
      <c r="G4" s="331">
        <f>(E4-1)*1100</f>
        <v>3300</v>
      </c>
      <c r="H4" s="479"/>
      <c r="I4" s="431"/>
      <c r="J4" s="479"/>
      <c r="K4" s="480"/>
      <c r="L4" s="480"/>
      <c r="M4" s="480"/>
      <c r="N4" s="305"/>
    </row>
    <row r="5" spans="1:14" s="135" customFormat="1" ht="15">
      <c r="A5" s="621">
        <f>'1-συμβολαια'!A5</f>
        <v>0</v>
      </c>
      <c r="B5" s="622" t="str">
        <f>'1-συμβολαια'!C5</f>
        <v>χρησικτησία αγροτεμαχίου = 1984 ΑΝΑΔΑΣΜΟΣ</v>
      </c>
      <c r="C5" s="623">
        <f>'1-συμβολαια'!D5</f>
        <v>222222</v>
      </c>
      <c r="D5" s="624">
        <v>4</v>
      </c>
      <c r="E5" s="624"/>
      <c r="F5" s="606">
        <f t="shared" ref="F5:G16" si="0">(D5-1)*1100</f>
        <v>3300</v>
      </c>
      <c r="G5" s="625"/>
      <c r="H5" s="626"/>
      <c r="I5" s="431" t="s">
        <v>135</v>
      </c>
      <c r="J5" s="626"/>
      <c r="K5" s="627"/>
      <c r="L5" s="627"/>
      <c r="M5" s="627"/>
      <c r="N5" s="627"/>
    </row>
    <row r="6" spans="1:14" s="135" customFormat="1" ht="15">
      <c r="A6" s="563">
        <f>'1-συμβολαια'!A6</f>
        <v>0</v>
      </c>
      <c r="B6" s="330" t="str">
        <f>'1-συμβολαια'!C6</f>
        <v>διανομή [= ισομερής ΑΛΛΑ βάσει ΦΜΑ της Δ.Ο.Υ (3ου &amp; ;;;???}</v>
      </c>
      <c r="C6" s="346">
        <f>'1-συμβολαια'!D6</f>
        <v>2987306</v>
      </c>
      <c r="D6" s="346">
        <v>4</v>
      </c>
      <c r="E6" s="346"/>
      <c r="F6" s="304">
        <f t="shared" si="0"/>
        <v>3300</v>
      </c>
      <c r="G6" s="304"/>
      <c r="H6" s="303"/>
      <c r="I6" s="303" t="s">
        <v>135</v>
      </c>
      <c r="J6" s="303"/>
      <c r="K6" s="305"/>
      <c r="L6" s="305"/>
      <c r="M6" s="305"/>
      <c r="N6" s="305"/>
    </row>
    <row r="7" spans="1:14" s="135" customFormat="1" ht="15.75" thickBot="1">
      <c r="A7" s="567">
        <f>'1-συμβολαια'!A7</f>
        <v>0</v>
      </c>
      <c r="B7" s="568" t="str">
        <f>'1-συμβολαια'!C7</f>
        <v>εξισορρόπηση διαφοράς διανεμομένων μεριδίων</v>
      </c>
      <c r="C7" s="481">
        <f>'1-συμβολαια'!D7</f>
        <v>906347</v>
      </c>
      <c r="D7" s="481">
        <v>4</v>
      </c>
      <c r="E7" s="481"/>
      <c r="F7" s="482">
        <f t="shared" si="0"/>
        <v>3300</v>
      </c>
      <c r="G7" s="482"/>
      <c r="H7" s="643"/>
      <c r="I7" s="643" t="s">
        <v>135</v>
      </c>
      <c r="J7" s="643"/>
      <c r="K7" s="483"/>
      <c r="L7" s="483"/>
      <c r="M7" s="483"/>
      <c r="N7" s="305"/>
    </row>
    <row r="8" spans="1:14" s="135" customFormat="1" ht="15">
      <c r="A8" s="619">
        <f>'1-συμβολαια'!A8</f>
        <v>114</v>
      </c>
      <c r="B8" s="564" t="str">
        <f>'1-συμβολαια'!C8</f>
        <v>δωρεάς ΠΡΟΤΑΣΗ [αγροτεμάχιο Θεολόγος -'';;;???'' 2.000μ2</v>
      </c>
      <c r="C8" s="478">
        <f>'1-συμβολαια'!D8</f>
        <v>400000</v>
      </c>
      <c r="D8" s="478">
        <v>4</v>
      </c>
      <c r="E8" s="478">
        <v>4</v>
      </c>
      <c r="F8" s="331">
        <f t="shared" si="0"/>
        <v>3300</v>
      </c>
      <c r="G8" s="331">
        <f t="shared" si="0"/>
        <v>3300</v>
      </c>
      <c r="H8" s="479"/>
      <c r="I8" s="479"/>
      <c r="J8" s="479"/>
      <c r="K8" s="480"/>
      <c r="L8" s="480"/>
      <c r="M8" s="480"/>
      <c r="N8" s="305"/>
    </row>
    <row r="9" spans="1:14" s="135" customFormat="1" ht="15.75" thickBot="1">
      <c r="A9" s="620">
        <f>'1-συμβολαια'!A9</f>
        <v>0</v>
      </c>
      <c r="B9" s="568" t="str">
        <f>'1-συμβολαια'!C9</f>
        <v>χρησικτησία αγροτεμαχίου = 1910 πατρός ΔΩΡΕΑ άτυπος</v>
      </c>
      <c r="C9" s="481">
        <f>'1-συμβολαια'!D9</f>
        <v>333333</v>
      </c>
      <c r="D9" s="481">
        <v>4</v>
      </c>
      <c r="E9" s="481"/>
      <c r="F9" s="482">
        <f t="shared" si="0"/>
        <v>3300</v>
      </c>
      <c r="G9" s="482"/>
      <c r="H9" s="303"/>
      <c r="I9" s="303" t="s">
        <v>135</v>
      </c>
      <c r="J9" s="303"/>
      <c r="K9" s="305"/>
      <c r="L9" s="305"/>
      <c r="M9" s="305"/>
      <c r="N9" s="305"/>
    </row>
    <row r="10" spans="1:14" s="135" customFormat="1" ht="15">
      <c r="A10" s="478" t="str">
        <f>'1-συμβολαια'!A10</f>
        <v>;;;???</v>
      </c>
      <c r="B10" s="564" t="str">
        <f>'1-συμβολαια'!C10</f>
        <v>δωρεάς πρότασης 2ου  ΑΠΟΔΟΧΗ</v>
      </c>
      <c r="C10" s="478">
        <f>'1-συμβολαια'!D10</f>
        <v>0</v>
      </c>
      <c r="D10" s="613">
        <v>2</v>
      </c>
      <c r="E10" s="613">
        <v>2</v>
      </c>
      <c r="F10" s="331">
        <f t="shared" ref="F10:G12" si="1">(D10-1)*800</f>
        <v>800</v>
      </c>
      <c r="G10" s="331">
        <f t="shared" si="1"/>
        <v>800</v>
      </c>
      <c r="H10" s="303"/>
      <c r="I10" s="303" t="s">
        <v>135</v>
      </c>
      <c r="J10" s="303"/>
      <c r="K10" s="305"/>
      <c r="L10" s="305"/>
      <c r="M10" s="305"/>
      <c r="N10" s="305"/>
    </row>
    <row r="11" spans="1:14" s="135" customFormat="1" ht="15">
      <c r="A11" s="346" t="str">
        <f>'1-συμβολαια'!A11</f>
        <v>;;;???</v>
      </c>
      <c r="B11" s="330" t="str">
        <f>'1-συμβολαια'!C11</f>
        <v>δωρεάς πρότασης  3ου  ΑΠΟΔΟΧΗ</v>
      </c>
      <c r="C11" s="346">
        <f>'1-συμβολαια'!D11</f>
        <v>0</v>
      </c>
      <c r="D11" s="614">
        <v>2</v>
      </c>
      <c r="E11" s="614">
        <v>2</v>
      </c>
      <c r="F11" s="304">
        <f t="shared" si="1"/>
        <v>800</v>
      </c>
      <c r="G11" s="304">
        <f>(E11-1)*800</f>
        <v>800</v>
      </c>
      <c r="H11" s="303"/>
      <c r="I11" s="303" t="s">
        <v>135</v>
      </c>
      <c r="J11" s="303"/>
      <c r="K11" s="305"/>
      <c r="L11" s="305"/>
      <c r="M11" s="305"/>
      <c r="N11" s="305"/>
    </row>
    <row r="12" spans="1:14" s="135" customFormat="1" ht="15.75" thickBot="1">
      <c r="A12" s="481">
        <f>'1-συμβολαια'!A12</f>
        <v>552</v>
      </c>
      <c r="B12" s="568" t="str">
        <f>'1-συμβολαια'!C12</f>
        <v>πληρεξούσιο</v>
      </c>
      <c r="C12" s="481">
        <f>'1-συμβολαια'!D12</f>
        <v>0</v>
      </c>
      <c r="D12" s="481">
        <v>2</v>
      </c>
      <c r="E12" s="481">
        <v>2</v>
      </c>
      <c r="F12" s="482">
        <f t="shared" si="1"/>
        <v>800</v>
      </c>
      <c r="G12" s="482">
        <f>(E12-1)*800</f>
        <v>800</v>
      </c>
      <c r="H12" s="303"/>
      <c r="I12" s="303"/>
      <c r="J12" s="303"/>
      <c r="K12" s="305"/>
      <c r="L12" s="305"/>
      <c r="M12" s="305"/>
      <c r="N12" s="305"/>
    </row>
    <row r="13" spans="1:14" s="135" customFormat="1" ht="15">
      <c r="A13" s="571">
        <f>'1-συμβολαια'!A13</f>
        <v>564</v>
      </c>
      <c r="B13" s="564" t="str">
        <f>'1-συμβολαια'!C13</f>
        <v>γονική</v>
      </c>
      <c r="C13" s="478">
        <f>'1-συμβολαια'!D13</f>
        <v>3450000</v>
      </c>
      <c r="D13" s="478">
        <v>4</v>
      </c>
      <c r="E13" s="331">
        <v>4</v>
      </c>
      <c r="F13" s="331">
        <f t="shared" si="0"/>
        <v>3300</v>
      </c>
      <c r="G13" s="331">
        <f t="shared" si="0"/>
        <v>3300</v>
      </c>
      <c r="H13" s="303"/>
      <c r="I13" s="303"/>
      <c r="J13" s="303"/>
      <c r="K13" s="305"/>
      <c r="L13" s="305"/>
      <c r="M13" s="305"/>
      <c r="N13" s="305"/>
    </row>
    <row r="14" spans="1:14" s="135" customFormat="1" ht="15">
      <c r="A14" s="563">
        <f>'1-συμβολαια'!A14</f>
        <v>0</v>
      </c>
      <c r="B14" s="330" t="str">
        <f>'1-συμβολαια'!C14</f>
        <v>χρησικτησία αγροτεμαχίων = 1912 πατρός ΔΩΡΕΑ άτυπος</v>
      </c>
      <c r="C14" s="346">
        <f>'1-συμβολαια'!D14</f>
        <v>3333333</v>
      </c>
      <c r="D14" s="346">
        <v>4</v>
      </c>
      <c r="E14" s="346"/>
      <c r="F14" s="304">
        <f t="shared" si="0"/>
        <v>3300</v>
      </c>
      <c r="G14" s="304"/>
      <c r="H14" s="303"/>
      <c r="I14" s="303" t="s">
        <v>135</v>
      </c>
      <c r="J14" s="303"/>
      <c r="K14" s="305"/>
      <c r="L14" s="305"/>
      <c r="M14" s="305"/>
      <c r="N14" s="305"/>
    </row>
    <row r="15" spans="1:14" s="135" customFormat="1" ht="15">
      <c r="A15" s="563">
        <f>'1-συμβολαια'!A15</f>
        <v>0</v>
      </c>
      <c r="B15" s="330" t="str">
        <f>'1-συμβολαια'!C15</f>
        <v>χρησικτησία αγροτεμαχίων = 1920 ΔΙΑΝΟΜΗ άτυπος</v>
      </c>
      <c r="C15" s="346">
        <f>'1-συμβολαια'!D15</f>
        <v>3450000</v>
      </c>
      <c r="D15" s="346">
        <v>4</v>
      </c>
      <c r="E15" s="346"/>
      <c r="F15" s="304">
        <f t="shared" si="0"/>
        <v>3300</v>
      </c>
      <c r="G15" s="304"/>
      <c r="H15" s="303"/>
      <c r="I15" s="303" t="s">
        <v>135</v>
      </c>
      <c r="J15" s="303"/>
      <c r="K15" s="305"/>
      <c r="L15" s="305"/>
      <c r="M15" s="305"/>
      <c r="N15" s="305"/>
    </row>
    <row r="16" spans="1:14" s="135" customFormat="1" ht="15.75" thickBot="1">
      <c r="A16" s="567">
        <f>'1-συμβολαια'!A16</f>
        <v>0</v>
      </c>
      <c r="B16" s="568" t="str">
        <f>'1-συμβολαια'!C16</f>
        <v>εξισορρόπηση διαφοράς διανεμομένων μεριδίων</v>
      </c>
      <c r="C16" s="481">
        <f>'1-συμβολαια'!D16</f>
        <v>111111</v>
      </c>
      <c r="D16" s="481">
        <v>4</v>
      </c>
      <c r="E16" s="481"/>
      <c r="F16" s="482">
        <f t="shared" si="0"/>
        <v>3300</v>
      </c>
      <c r="G16" s="482"/>
      <c r="H16" s="303"/>
      <c r="I16" s="303" t="s">
        <v>135</v>
      </c>
      <c r="J16" s="303"/>
      <c r="K16" s="305"/>
      <c r="L16" s="305"/>
      <c r="M16" s="305"/>
      <c r="N16" s="305"/>
    </row>
    <row r="17" spans="1:13" ht="15.75">
      <c r="A17" s="768" t="s">
        <v>60</v>
      </c>
      <c r="B17" s="769"/>
      <c r="C17" s="769"/>
      <c r="D17" s="769"/>
      <c r="E17" s="770"/>
      <c r="F17" s="639">
        <f>SUM(F3:F16)</f>
        <v>36200</v>
      </c>
      <c r="G17" s="640">
        <f>SUM(G3:G16)</f>
        <v>13100</v>
      </c>
    </row>
    <row r="18" spans="1:13" ht="15.75">
      <c r="H18" s="137" t="s">
        <v>143</v>
      </c>
      <c r="I18" s="138"/>
      <c r="J18" s="138"/>
      <c r="K18" s="138"/>
      <c r="L18" s="138"/>
      <c r="M18" s="138"/>
    </row>
    <row r="19" spans="1:13" ht="15.75">
      <c r="I19" s="138" t="s">
        <v>144</v>
      </c>
      <c r="J19" s="138"/>
      <c r="K19" s="138"/>
      <c r="L19" s="138"/>
      <c r="M19" s="86"/>
    </row>
    <row r="20" spans="1:13" ht="15.75">
      <c r="J20" s="137" t="s">
        <v>145</v>
      </c>
    </row>
    <row r="24" spans="1:13" ht="15.75">
      <c r="B24" s="367" t="s">
        <v>523</v>
      </c>
    </row>
    <row r="25" spans="1:13" ht="15.75">
      <c r="B25" s="367" t="s">
        <v>524</v>
      </c>
      <c r="F25" s="8"/>
      <c r="H25" s="8"/>
      <c r="I25" s="8"/>
    </row>
    <row r="26" spans="1:13" ht="15.75">
      <c r="B26" s="3"/>
      <c r="C26" s="230" t="s">
        <v>61</v>
      </c>
      <c r="F26" s="8"/>
      <c r="H26" s="8"/>
      <c r="I26" s="8"/>
    </row>
    <row r="27" spans="1:13">
      <c r="B27" s="3"/>
      <c r="F27" s="8"/>
      <c r="H27" s="8"/>
      <c r="I27" s="8"/>
    </row>
    <row r="28" spans="1:13">
      <c r="B28" s="3"/>
      <c r="F28" s="8"/>
      <c r="H28" s="8"/>
      <c r="I28" s="8"/>
    </row>
    <row r="29" spans="1:13">
      <c r="B29" s="3"/>
      <c r="F29" s="8"/>
      <c r="H29" s="8"/>
      <c r="I29" s="8"/>
    </row>
    <row r="30" spans="1:13">
      <c r="B30" s="3"/>
      <c r="F30" s="8"/>
      <c r="H30" s="8"/>
      <c r="I30" s="8"/>
    </row>
    <row r="31" spans="1:13">
      <c r="B31" s="300"/>
      <c r="D31" s="58"/>
      <c r="E31" s="58"/>
      <c r="F31" s="58"/>
      <c r="G31" s="58"/>
      <c r="H31" s="8"/>
      <c r="I31" s="8"/>
    </row>
    <row r="32" spans="1:13">
      <c r="B32" s="3"/>
      <c r="D32" s="58"/>
      <c r="E32" s="58"/>
      <c r="F32" s="58"/>
      <c r="G32" s="58"/>
      <c r="H32" s="8"/>
      <c r="I32" s="8"/>
    </row>
    <row r="33" spans="2:9">
      <c r="B33" s="3"/>
      <c r="D33" s="58"/>
      <c r="E33" s="58"/>
      <c r="F33" s="58"/>
      <c r="G33" s="58"/>
      <c r="H33" s="8"/>
      <c r="I33" s="8"/>
    </row>
    <row r="34" spans="2:9">
      <c r="B34" s="3"/>
      <c r="D34" s="58"/>
      <c r="E34" s="58"/>
      <c r="F34" s="58"/>
      <c r="G34" s="58"/>
      <c r="H34" s="8"/>
      <c r="I34" s="2"/>
    </row>
    <row r="35" spans="2:9">
      <c r="B35" s="3"/>
      <c r="F35" s="8"/>
      <c r="H35" s="8"/>
      <c r="I35" s="2"/>
    </row>
  </sheetData>
  <mergeCells count="7">
    <mergeCell ref="H1:N2"/>
    <mergeCell ref="A17:E17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25"/>
  <sheetViews>
    <sheetView workbookViewId="0">
      <pane ySplit="2" topLeftCell="A3" activePane="bottomLeft" state="frozen"/>
      <selection pane="bottomLeft" activeCell="D32" sqref="D32"/>
    </sheetView>
  </sheetViews>
  <sheetFormatPr defaultRowHeight="11.25"/>
  <cols>
    <col min="1" max="1" width="11.5703125" style="8" bestFit="1" customWidth="1"/>
    <col min="2" max="2" width="79.42578125" style="91" bestFit="1" customWidth="1"/>
    <col min="3" max="3" width="7.28515625" style="8" bestFit="1" customWidth="1"/>
    <col min="4" max="4" width="20.42578125" style="8" customWidth="1"/>
    <col min="5" max="5" width="16.140625" style="8" customWidth="1"/>
    <col min="6" max="7" width="4.140625" style="8" bestFit="1" customWidth="1"/>
    <col min="8" max="8" width="7.28515625" style="8" bestFit="1" customWidth="1"/>
    <col min="9" max="9" width="22" style="8" bestFit="1" customWidth="1"/>
    <col min="10" max="10" width="16.28515625" style="8" bestFit="1" customWidth="1"/>
    <col min="11" max="11" width="10.140625" style="8" bestFit="1" customWidth="1"/>
    <col min="12" max="12" width="16.85546875" style="8" bestFit="1" customWidth="1"/>
    <col min="13" max="13" width="9.85546875" style="8" bestFit="1" customWidth="1"/>
    <col min="14" max="14" width="4.140625" style="8" bestFit="1" customWidth="1"/>
    <col min="15" max="15" width="7.85546875" style="8" bestFit="1" customWidth="1"/>
    <col min="16" max="16" width="16.42578125" style="8" customWidth="1"/>
    <col min="17" max="17" width="7.140625" style="82" customWidth="1"/>
    <col min="18" max="20" width="6.7109375" style="82" customWidth="1"/>
    <col min="21" max="21" width="30.5703125" style="82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1" s="6" customFormat="1" ht="15.75">
      <c r="A1" s="750" t="s">
        <v>1</v>
      </c>
      <c r="B1" s="752" t="s">
        <v>0</v>
      </c>
      <c r="C1" s="785" t="s">
        <v>11</v>
      </c>
      <c r="D1" s="785"/>
      <c r="E1" s="785"/>
      <c r="F1" s="785"/>
      <c r="G1" s="785"/>
      <c r="H1" s="786" t="s">
        <v>12</v>
      </c>
      <c r="I1" s="786"/>
      <c r="J1" s="786"/>
      <c r="K1" s="786"/>
      <c r="L1" s="786"/>
      <c r="M1" s="786"/>
      <c r="N1" s="786"/>
      <c r="O1" s="789" t="s">
        <v>87</v>
      </c>
      <c r="P1" s="787" t="s">
        <v>228</v>
      </c>
      <c r="Q1" s="740" t="s">
        <v>29</v>
      </c>
      <c r="R1" s="741"/>
      <c r="S1" s="741"/>
      <c r="T1" s="741"/>
      <c r="U1" s="742"/>
    </row>
    <row r="2" spans="1:21" ht="24" customHeight="1" thickBot="1">
      <c r="A2" s="783"/>
      <c r="B2" s="784"/>
      <c r="C2" s="7" t="s">
        <v>47</v>
      </c>
      <c r="D2" s="342" t="s">
        <v>48</v>
      </c>
      <c r="E2" s="342" t="s">
        <v>49</v>
      </c>
      <c r="F2" s="342" t="s">
        <v>50</v>
      </c>
      <c r="G2" s="39" t="s">
        <v>51</v>
      </c>
      <c r="H2" s="7" t="s">
        <v>47</v>
      </c>
      <c r="I2" s="342" t="s">
        <v>48</v>
      </c>
      <c r="J2" s="342" t="s">
        <v>49</v>
      </c>
      <c r="K2" s="342" t="s">
        <v>50</v>
      </c>
      <c r="L2" s="342" t="s">
        <v>51</v>
      </c>
      <c r="M2" s="342" t="s">
        <v>52</v>
      </c>
      <c r="N2" s="40" t="s">
        <v>53</v>
      </c>
      <c r="O2" s="790"/>
      <c r="P2" s="788"/>
      <c r="Q2" s="743"/>
      <c r="R2" s="744"/>
      <c r="S2" s="744"/>
      <c r="T2" s="744"/>
      <c r="U2" s="745"/>
    </row>
    <row r="3" spans="1:21" s="277" customFormat="1" ht="15.75" thickBot="1">
      <c r="A3" s="519">
        <f>'1-συμβολαια'!A3</f>
        <v>111</v>
      </c>
      <c r="B3" s="523" t="str">
        <f>'1-συμβολαια'!C3</f>
        <v>πληρεξύσιο</v>
      </c>
      <c r="C3" s="524">
        <v>2</v>
      </c>
      <c r="D3" s="511" t="s">
        <v>565</v>
      </c>
      <c r="E3" s="511" t="s">
        <v>565</v>
      </c>
      <c r="F3" s="516"/>
      <c r="G3" s="516"/>
      <c r="H3" s="524">
        <v>1</v>
      </c>
      <c r="I3" s="511" t="s">
        <v>565</v>
      </c>
      <c r="J3" s="516"/>
      <c r="K3" s="516"/>
      <c r="L3" s="516"/>
      <c r="M3" s="516"/>
      <c r="N3" s="516"/>
      <c r="O3" s="524">
        <v>1</v>
      </c>
      <c r="P3" s="522">
        <f>O3*('2-δικαιώμ'!N3+'3-φύλλα2α'!F3)</f>
        <v>3800</v>
      </c>
      <c r="Q3" s="525"/>
      <c r="R3" s="309"/>
      <c r="S3" s="309"/>
      <c r="T3" s="309"/>
      <c r="U3" s="310"/>
    </row>
    <row r="4" spans="1:21" s="277" customFormat="1" ht="15">
      <c r="A4" s="484">
        <f>'1-συμβολαια'!A4</f>
        <v>113</v>
      </c>
      <c r="B4" s="335" t="str">
        <f>'1-συμβολαια'!C4</f>
        <v>δωρεάς ΠΡΟΤΑΣΗ [1/2 αγροτεμάχιο ;;;??? [το ανατολικό] Θεολόγος -Ποτός -'';;;???'' 2.798μ2</v>
      </c>
      <c r="C4" s="302">
        <v>1</v>
      </c>
      <c r="D4" s="302" t="s">
        <v>565</v>
      </c>
      <c r="E4" s="302"/>
      <c r="F4" s="302"/>
      <c r="G4" s="302"/>
      <c r="H4" s="302"/>
      <c r="I4" s="618" t="s">
        <v>565</v>
      </c>
      <c r="J4" s="302"/>
      <c r="K4" s="302"/>
      <c r="L4" s="302"/>
      <c r="M4" s="302"/>
      <c r="N4" s="302"/>
      <c r="O4" s="494"/>
      <c r="P4" s="331">
        <f>O4*('2-δικαιώμ'!N4+'3-φύλλα2α'!F4)</f>
        <v>0</v>
      </c>
      <c r="Q4" s="495"/>
      <c r="R4" s="309"/>
      <c r="S4" s="309"/>
      <c r="T4" s="309"/>
      <c r="U4" s="310"/>
    </row>
    <row r="5" spans="1:21" s="277" customFormat="1" ht="15">
      <c r="A5" s="485">
        <f>'1-συμβολαια'!A5</f>
        <v>0</v>
      </c>
      <c r="B5" s="307" t="str">
        <f>'1-συμβολαια'!C5</f>
        <v>χρησικτησία αγροτεμαχίου = 1984 ΑΝΑΔΑΣΜΟΣ</v>
      </c>
      <c r="C5" s="272"/>
      <c r="D5" s="272" t="s">
        <v>565</v>
      </c>
      <c r="E5" s="272"/>
      <c r="F5" s="272"/>
      <c r="G5" s="272"/>
      <c r="H5" s="272"/>
      <c r="I5" s="302"/>
      <c r="J5" s="272"/>
      <c r="K5" s="272"/>
      <c r="L5" s="272"/>
      <c r="M5" s="272"/>
      <c r="N5" s="272"/>
      <c r="O5" s="308"/>
      <c r="P5" s="304">
        <f>O5*('2-δικαιώμ'!N5+'3-φύλλα2α'!F5)</f>
        <v>0</v>
      </c>
      <c r="Q5" s="309"/>
      <c r="R5" s="309"/>
      <c r="S5" s="309"/>
      <c r="T5" s="309"/>
      <c r="U5" s="310"/>
    </row>
    <row r="6" spans="1:21" s="277" customFormat="1" ht="15">
      <c r="A6" s="563">
        <f>'1-συμβολαια'!A6</f>
        <v>0</v>
      </c>
      <c r="B6" s="307" t="str">
        <f>'1-συμβολαια'!C6</f>
        <v>διανομή [= ισομερής ΑΛΛΑ βάσει ΦΜΑ της Δ.Ο.Υ (3ου &amp; ;;;???}</v>
      </c>
      <c r="C6" s="272"/>
      <c r="D6" s="272" t="s">
        <v>565</v>
      </c>
      <c r="E6" s="272"/>
      <c r="F6" s="272"/>
      <c r="G6" s="272"/>
      <c r="H6" s="272"/>
      <c r="I6" s="272"/>
      <c r="J6" s="272"/>
      <c r="K6" s="272"/>
      <c r="L6" s="272"/>
      <c r="M6" s="272"/>
      <c r="N6" s="272"/>
      <c r="O6" s="308"/>
      <c r="P6" s="304">
        <f>O6*('2-δικαιώμ'!N6+'3-φύλλα2α'!F6)</f>
        <v>0</v>
      </c>
      <c r="Q6" s="309"/>
      <c r="R6" s="309"/>
      <c r="S6" s="309"/>
      <c r="T6" s="309"/>
      <c r="U6" s="310"/>
    </row>
    <row r="7" spans="1:21" s="277" customFormat="1" ht="15.75" thickBot="1">
      <c r="A7" s="567">
        <f>'1-συμβολαια'!A7</f>
        <v>0</v>
      </c>
      <c r="B7" s="496" t="str">
        <f>'1-συμβολαια'!C7</f>
        <v>εξισορρόπηση διαφοράς διανεμομένων μεριδίων</v>
      </c>
      <c r="C7" s="416"/>
      <c r="D7" s="416" t="s">
        <v>565</v>
      </c>
      <c r="E7" s="416"/>
      <c r="F7" s="416"/>
      <c r="G7" s="416"/>
      <c r="H7" s="416"/>
      <c r="I7" s="416"/>
      <c r="J7" s="416"/>
      <c r="K7" s="416"/>
      <c r="L7" s="416"/>
      <c r="M7" s="416"/>
      <c r="N7" s="416"/>
      <c r="O7" s="497"/>
      <c r="P7" s="482">
        <f>O7*('2-δικαιώμ'!N7+'3-φύλλα2α'!F7)</f>
        <v>0</v>
      </c>
      <c r="Q7" s="498"/>
      <c r="R7" s="498"/>
      <c r="S7" s="309"/>
      <c r="T7" s="309"/>
      <c r="U7" s="310"/>
    </row>
    <row r="8" spans="1:21" s="277" customFormat="1" ht="15">
      <c r="A8" s="619">
        <f>'1-συμβολαια'!A8</f>
        <v>114</v>
      </c>
      <c r="B8" s="493" t="str">
        <f>'1-συμβολαια'!C8</f>
        <v>δωρεάς ΠΡΟΤΑΣΗ [αγροτεμάχιο Θεολόγος -'';;;???'' 2.000μ2</v>
      </c>
      <c r="C8" s="302"/>
      <c r="D8" s="302" t="s">
        <v>565</v>
      </c>
      <c r="E8" s="302"/>
      <c r="F8" s="302"/>
      <c r="G8" s="302"/>
      <c r="H8" s="302"/>
      <c r="I8" s="618" t="s">
        <v>565</v>
      </c>
      <c r="J8" s="302"/>
      <c r="K8" s="302"/>
      <c r="L8" s="302"/>
      <c r="M8" s="302"/>
      <c r="N8" s="302"/>
      <c r="O8" s="494"/>
      <c r="P8" s="331">
        <f>O8*('2-δικαιώμ'!N8+'3-φύλλα2α'!F8)</f>
        <v>0</v>
      </c>
      <c r="Q8" s="495"/>
      <c r="R8" s="495"/>
      <c r="S8" s="309"/>
      <c r="T8" s="309"/>
      <c r="U8" s="310"/>
    </row>
    <row r="9" spans="1:21" s="277" customFormat="1" ht="15.75" thickBot="1">
      <c r="A9" s="620">
        <f>'1-συμβολαια'!A9</f>
        <v>0</v>
      </c>
      <c r="B9" s="496" t="str">
        <f>'1-συμβολαια'!C9</f>
        <v>χρησικτησία αγροτεμαχίου = 1910 πατρός ΔΩΡΕΑ άτυπος</v>
      </c>
      <c r="C9" s="416"/>
      <c r="D9" s="416" t="s">
        <v>565</v>
      </c>
      <c r="E9" s="416"/>
      <c r="F9" s="416"/>
      <c r="G9" s="416"/>
      <c r="H9" s="416"/>
      <c r="I9" s="541"/>
      <c r="J9" s="416"/>
      <c r="K9" s="416"/>
      <c r="L9" s="416"/>
      <c r="M9" s="416"/>
      <c r="N9" s="416"/>
      <c r="O9" s="497"/>
      <c r="P9" s="482">
        <f>O9*('2-δικαιώμ'!N9+'3-φύλλα2α'!F9)</f>
        <v>0</v>
      </c>
      <c r="Q9" s="498"/>
      <c r="R9" s="309"/>
      <c r="S9" s="309"/>
      <c r="T9" s="309"/>
      <c r="U9" s="310"/>
    </row>
    <row r="10" spans="1:21" s="277" customFormat="1" ht="15">
      <c r="A10" s="478" t="str">
        <f>'1-συμβολαια'!A10</f>
        <v>;;;???</v>
      </c>
      <c r="B10" s="493" t="str">
        <f>'1-συμβολαια'!C10</f>
        <v>δωρεάς πρότασης 2ου  ΑΠΟΔΟΧΗ</v>
      </c>
      <c r="C10" s="302"/>
      <c r="D10" s="302" t="s">
        <v>565</v>
      </c>
      <c r="E10" s="302"/>
      <c r="F10" s="302"/>
      <c r="G10" s="302"/>
      <c r="H10" s="302"/>
      <c r="I10" s="302" t="s">
        <v>565</v>
      </c>
      <c r="J10" s="302"/>
      <c r="K10" s="302"/>
      <c r="L10" s="302"/>
      <c r="M10" s="302"/>
      <c r="N10" s="302"/>
      <c r="O10" s="494"/>
      <c r="P10" s="331">
        <f>O10*('2-δικαιώμ'!N10+'3-φύλλα2α'!F10)</f>
        <v>0</v>
      </c>
      <c r="Q10" s="495"/>
      <c r="R10" s="309"/>
      <c r="S10" s="309"/>
      <c r="T10" s="309"/>
      <c r="U10" s="310"/>
    </row>
    <row r="11" spans="1:21" s="277" customFormat="1" ht="15">
      <c r="A11" s="346" t="str">
        <f>'1-συμβολαια'!A11</f>
        <v>;;;???</v>
      </c>
      <c r="B11" s="307" t="str">
        <f>'1-συμβολαια'!C11</f>
        <v>δωρεάς πρότασης  3ου  ΑΠΟΔΟΧΗ</v>
      </c>
      <c r="C11" s="272"/>
      <c r="D11" s="272" t="s">
        <v>565</v>
      </c>
      <c r="E11" s="272"/>
      <c r="F11" s="272"/>
      <c r="G11" s="272"/>
      <c r="H11" s="272"/>
      <c r="I11" s="272" t="s">
        <v>565</v>
      </c>
      <c r="J11" s="272"/>
      <c r="K11" s="272"/>
      <c r="L11" s="272"/>
      <c r="M11" s="272"/>
      <c r="N11" s="272"/>
      <c r="O11" s="308"/>
      <c r="P11" s="304">
        <f>O11*('2-δικαιώμ'!N11+'3-φύλλα2α'!F11)</f>
        <v>0</v>
      </c>
      <c r="Q11" s="309"/>
      <c r="R11" s="309"/>
      <c r="S11" s="309"/>
      <c r="T11" s="309"/>
      <c r="U11" s="310"/>
    </row>
    <row r="12" spans="1:21" s="277" customFormat="1" ht="15.75" thickBot="1">
      <c r="A12" s="481">
        <f>'1-συμβολαια'!A12</f>
        <v>552</v>
      </c>
      <c r="B12" s="496" t="str">
        <f>'1-συμβολαια'!C12</f>
        <v>πληρεξούσιο</v>
      </c>
      <c r="C12" s="416"/>
      <c r="D12" s="416" t="s">
        <v>565</v>
      </c>
      <c r="E12" s="416"/>
      <c r="F12" s="416"/>
      <c r="G12" s="416"/>
      <c r="H12" s="416"/>
      <c r="I12" s="416" t="s">
        <v>565</v>
      </c>
      <c r="J12" s="416"/>
      <c r="K12" s="416"/>
      <c r="L12" s="416"/>
      <c r="M12" s="416"/>
      <c r="N12" s="416"/>
      <c r="O12" s="497"/>
      <c r="P12" s="482">
        <f>O12*('2-δικαιώμ'!N12+'3-φύλλα2α'!F12)</f>
        <v>0</v>
      </c>
      <c r="Q12" s="498"/>
      <c r="R12" s="498"/>
      <c r="S12" s="309"/>
      <c r="T12" s="309"/>
      <c r="U12" s="310"/>
    </row>
    <row r="13" spans="1:21" s="277" customFormat="1" ht="15">
      <c r="A13" s="571">
        <f>'1-συμβολαια'!A13</f>
        <v>564</v>
      </c>
      <c r="B13" s="493" t="str">
        <f>'1-συμβολαια'!C13</f>
        <v>γονική</v>
      </c>
      <c r="C13" s="302"/>
      <c r="D13" s="302" t="s">
        <v>565</v>
      </c>
      <c r="E13" s="302"/>
      <c r="F13" s="302"/>
      <c r="G13" s="302"/>
      <c r="H13" s="302"/>
      <c r="I13" s="302" t="s">
        <v>565</v>
      </c>
      <c r="J13" s="302"/>
      <c r="K13" s="302"/>
      <c r="L13" s="302"/>
      <c r="M13" s="302"/>
      <c r="N13" s="302"/>
      <c r="O13" s="494"/>
      <c r="P13" s="331">
        <f>O13*('2-δικαιώμ'!N13+'3-φύλλα2α'!F13)</f>
        <v>0</v>
      </c>
      <c r="Q13" s="495"/>
      <c r="R13" s="495"/>
      <c r="S13" s="309"/>
      <c r="T13" s="309"/>
      <c r="U13" s="310"/>
    </row>
    <row r="14" spans="1:21" s="277" customFormat="1" ht="15">
      <c r="A14" s="563">
        <f>'1-συμβολαια'!A14</f>
        <v>0</v>
      </c>
      <c r="B14" s="307" t="str">
        <f>'1-συμβολαια'!C14</f>
        <v>χρησικτησία αγροτεμαχίων = 1912 πατρός ΔΩΡΕΑ άτυπος</v>
      </c>
      <c r="C14" s="272"/>
      <c r="D14" s="272" t="s">
        <v>575</v>
      </c>
      <c r="E14" s="272"/>
      <c r="F14" s="272"/>
      <c r="G14" s="272"/>
      <c r="H14" s="272"/>
      <c r="I14" s="272" t="s">
        <v>565</v>
      </c>
      <c r="J14" s="272"/>
      <c r="K14" s="272"/>
      <c r="L14" s="272"/>
      <c r="M14" s="272"/>
      <c r="N14" s="272"/>
      <c r="O14" s="308"/>
      <c r="P14" s="304">
        <f>O14*('2-δικαιώμ'!N14+'3-φύλλα2α'!F14)</f>
        <v>0</v>
      </c>
      <c r="Q14" s="309"/>
      <c r="R14" s="309"/>
      <c r="S14" s="309"/>
      <c r="T14" s="309"/>
      <c r="U14" s="310"/>
    </row>
    <row r="15" spans="1:21" s="277" customFormat="1" ht="15">
      <c r="A15" s="563">
        <f>'1-συμβολαια'!A15</f>
        <v>0</v>
      </c>
      <c r="B15" s="307" t="str">
        <f>'1-συμβολαια'!C15</f>
        <v>χρησικτησία αγροτεμαχίων = 1920 ΔΙΑΝΟΜΗ άτυπος</v>
      </c>
      <c r="C15" s="272"/>
      <c r="D15" s="272" t="s">
        <v>575</v>
      </c>
      <c r="E15" s="272"/>
      <c r="F15" s="272"/>
      <c r="G15" s="272"/>
      <c r="H15" s="272"/>
      <c r="I15" s="272"/>
      <c r="J15" s="272"/>
      <c r="K15" s="272"/>
      <c r="L15" s="272"/>
      <c r="M15" s="272"/>
      <c r="N15" s="475"/>
      <c r="O15" s="308"/>
      <c r="P15" s="304">
        <f>O15*('2-δικαιώμ'!N15+'3-φύλλα2α'!F15)</f>
        <v>0</v>
      </c>
      <c r="Q15" s="309"/>
      <c r="R15" s="309"/>
      <c r="S15" s="309"/>
      <c r="T15" s="309"/>
      <c r="U15" s="310"/>
    </row>
    <row r="16" spans="1:21" s="277" customFormat="1" ht="15">
      <c r="A16" s="563">
        <f>'1-συμβολαια'!A16</f>
        <v>0</v>
      </c>
      <c r="B16" s="307" t="str">
        <f>'1-συμβολαια'!C16</f>
        <v>εξισορρόπηση διαφοράς διανεμομένων μεριδίων</v>
      </c>
      <c r="C16" s="272"/>
      <c r="D16" s="272" t="s">
        <v>575</v>
      </c>
      <c r="E16" s="272"/>
      <c r="F16" s="272"/>
      <c r="G16" s="272"/>
      <c r="H16" s="272"/>
      <c r="I16" s="272"/>
      <c r="J16" s="272"/>
      <c r="K16" s="272"/>
      <c r="L16" s="272"/>
      <c r="M16" s="272"/>
      <c r="N16" s="272"/>
      <c r="O16" s="308"/>
      <c r="P16" s="304">
        <f>O16*('2-δικαιώμ'!N16+'3-φύλλα2α'!F16)</f>
        <v>0</v>
      </c>
      <c r="Q16" s="309"/>
      <c r="R16" s="309"/>
      <c r="S16" s="309"/>
      <c r="T16" s="309"/>
      <c r="U16" s="310"/>
    </row>
    <row r="17" spans="1:25" ht="15.75">
      <c r="A17" s="781" t="s">
        <v>47</v>
      </c>
      <c r="B17" s="782"/>
      <c r="C17" s="782"/>
      <c r="D17" s="782"/>
      <c r="E17" s="782"/>
      <c r="F17" s="782"/>
      <c r="G17" s="782"/>
      <c r="H17" s="782"/>
      <c r="I17" s="782"/>
      <c r="J17" s="782"/>
      <c r="K17" s="782"/>
      <c r="L17" s="782"/>
      <c r="M17" s="782"/>
      <c r="N17" s="782"/>
      <c r="O17" s="782"/>
      <c r="P17" s="107">
        <f>SUM(P3:P16)</f>
        <v>3800</v>
      </c>
    </row>
    <row r="19" spans="1:25" ht="15.75">
      <c r="Q19" s="152" t="s">
        <v>146</v>
      </c>
      <c r="R19" s="123"/>
      <c r="S19" s="123"/>
      <c r="T19" s="123"/>
      <c r="U19" s="123"/>
      <c r="V19" s="123"/>
      <c r="W19" s="123"/>
      <c r="X19" s="123"/>
      <c r="Y19" s="113"/>
    </row>
    <row r="20" spans="1:25" ht="15.75">
      <c r="R20" s="138" t="s">
        <v>147</v>
      </c>
      <c r="S20" s="138"/>
      <c r="T20" s="138"/>
      <c r="U20" s="138"/>
      <c r="V20" s="138"/>
      <c r="W20" s="138"/>
      <c r="X20" s="138"/>
    </row>
    <row r="21" spans="1:25" ht="15.75">
      <c r="S21" s="152" t="s">
        <v>148</v>
      </c>
    </row>
    <row r="24" spans="1:25">
      <c r="B24" s="129"/>
    </row>
    <row r="25" spans="1:25">
      <c r="B25" s="130"/>
    </row>
  </sheetData>
  <mergeCells count="8">
    <mergeCell ref="Q1:U2"/>
    <mergeCell ref="A17:O17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54"/>
  <sheetViews>
    <sheetView workbookViewId="0">
      <pane ySplit="2" topLeftCell="A3" activePane="bottomLeft" state="frozen"/>
      <selection pane="bottomLeft" activeCell="H43" sqref="H43"/>
    </sheetView>
  </sheetViews>
  <sheetFormatPr defaultRowHeight="11.25"/>
  <cols>
    <col min="1" max="1" width="7.28515625" style="8" bestFit="1" customWidth="1"/>
    <col min="2" max="2" width="67" style="91" bestFit="1" customWidth="1"/>
    <col min="3" max="3" width="11.5703125" style="8" customWidth="1"/>
    <col min="4" max="5" width="7.85546875" style="3" customWidth="1"/>
    <col min="6" max="6" width="6.85546875" style="8" customWidth="1"/>
    <col min="7" max="7" width="7.140625" style="8" customWidth="1"/>
    <col min="8" max="8" width="11.140625" style="8" customWidth="1"/>
    <col min="9" max="9" width="9" style="8" customWidth="1"/>
    <col min="10" max="12" width="7.28515625" style="8" customWidth="1"/>
    <col min="13" max="13" width="9" style="8" customWidth="1"/>
    <col min="14" max="14" width="10.5703125" style="8" customWidth="1"/>
    <col min="15" max="15" width="8.42578125" style="8" customWidth="1"/>
    <col min="16" max="16" width="10.28515625" style="8" customWidth="1"/>
    <col min="17" max="17" width="11.140625" style="8" customWidth="1"/>
    <col min="18" max="18" width="8.85546875" style="82" customWidth="1"/>
    <col min="19" max="19" width="9.7109375" style="82" customWidth="1"/>
    <col min="20" max="20" width="10.42578125" style="82" customWidth="1"/>
    <col min="21" max="21" width="7.28515625" style="82" customWidth="1"/>
    <col min="22" max="22" width="9.42578125" style="82" customWidth="1"/>
    <col min="23" max="23" width="9.7109375" style="82" customWidth="1"/>
    <col min="24" max="24" width="4.85546875" style="82" customWidth="1"/>
    <col min="25" max="25" width="5.85546875" style="82" customWidth="1"/>
    <col min="26" max="26" width="5" style="82" customWidth="1"/>
    <col min="27" max="27" width="6.7109375" style="82" customWidth="1"/>
    <col min="28" max="28" width="7.85546875" style="82" customWidth="1"/>
    <col min="29" max="29" width="6.28515625" style="82" customWidth="1"/>
    <col min="30" max="30" width="7.140625" style="82" customWidth="1"/>
    <col min="31" max="31" width="9.85546875" style="82" customWidth="1"/>
    <col min="32" max="32" width="8.42578125" style="82" customWidth="1"/>
    <col min="33" max="33" width="6.28515625" style="82" customWidth="1"/>
    <col min="34" max="34" width="8.140625" style="82" customWidth="1"/>
    <col min="35" max="35" width="9.28515625" style="82" customWidth="1"/>
    <col min="36" max="38" width="6.28515625" style="82" customWidth="1"/>
    <col min="39" max="39" width="10.5703125" style="82" customWidth="1"/>
    <col min="40" max="40" width="11.7109375" style="83" customWidth="1"/>
    <col min="41" max="41" width="22.7109375" style="82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715" t="s">
        <v>1</v>
      </c>
      <c r="B1" s="800" t="s">
        <v>0</v>
      </c>
      <c r="C1" s="804" t="s">
        <v>7</v>
      </c>
      <c r="D1" s="802" t="s">
        <v>3</v>
      </c>
      <c r="E1" s="803"/>
      <c r="F1" s="791" t="s">
        <v>413</v>
      </c>
      <c r="G1" s="792"/>
      <c r="H1" s="792"/>
      <c r="I1" s="792"/>
      <c r="J1" s="792"/>
      <c r="K1" s="792"/>
      <c r="L1" s="793"/>
      <c r="M1" s="794" t="s">
        <v>416</v>
      </c>
      <c r="N1" s="795"/>
      <c r="O1" s="796" t="s">
        <v>252</v>
      </c>
      <c r="P1" s="797"/>
      <c r="Q1" s="798"/>
      <c r="R1" s="799" t="s">
        <v>174</v>
      </c>
      <c r="S1" s="799"/>
      <c r="T1" s="799"/>
      <c r="U1" s="799"/>
      <c r="V1" s="799"/>
      <c r="W1" s="799"/>
      <c r="X1" s="799"/>
      <c r="Y1" s="799"/>
      <c r="Z1" s="799"/>
      <c r="AA1" s="799"/>
      <c r="AB1" s="799"/>
      <c r="AC1" s="799"/>
      <c r="AD1" s="799"/>
      <c r="AE1" s="799"/>
      <c r="AF1" s="799"/>
      <c r="AG1" s="799"/>
      <c r="AH1" s="799"/>
      <c r="AI1" s="799"/>
      <c r="AJ1" s="799"/>
      <c r="AK1" s="799"/>
      <c r="AL1" s="799"/>
      <c r="AM1" s="799"/>
      <c r="AN1" s="799"/>
      <c r="AO1" s="799"/>
    </row>
    <row r="2" spans="1:41" ht="23.25" thickBot="1">
      <c r="A2" s="716"/>
      <c r="B2" s="801"/>
      <c r="C2" s="805"/>
      <c r="D2" s="158" t="s">
        <v>4</v>
      </c>
      <c r="E2" s="145" t="s">
        <v>9</v>
      </c>
      <c r="F2" s="231" t="s">
        <v>4</v>
      </c>
      <c r="G2" s="159" t="s">
        <v>9</v>
      </c>
      <c r="H2" s="313" t="s">
        <v>47</v>
      </c>
      <c r="I2" s="231" t="s">
        <v>9</v>
      </c>
      <c r="J2" s="314" t="s">
        <v>358</v>
      </c>
      <c r="K2" s="314" t="s">
        <v>381</v>
      </c>
      <c r="L2" s="315" t="s">
        <v>360</v>
      </c>
      <c r="M2" s="231" t="s">
        <v>23</v>
      </c>
      <c r="N2" s="316" t="s">
        <v>88</v>
      </c>
      <c r="O2" s="231" t="s">
        <v>23</v>
      </c>
      <c r="P2" s="295" t="s">
        <v>9</v>
      </c>
      <c r="Q2" s="372" t="s">
        <v>414</v>
      </c>
      <c r="R2" s="161" t="s">
        <v>129</v>
      </c>
      <c r="S2" s="161" t="s">
        <v>172</v>
      </c>
      <c r="T2" s="161" t="s">
        <v>130</v>
      </c>
      <c r="U2" s="161" t="s">
        <v>254</v>
      </c>
      <c r="V2" s="161" t="s">
        <v>131</v>
      </c>
      <c r="W2" s="161" t="s">
        <v>255</v>
      </c>
      <c r="X2" s="161" t="s">
        <v>149</v>
      </c>
      <c r="Y2" s="161" t="s">
        <v>173</v>
      </c>
      <c r="Z2" s="161" t="s">
        <v>150</v>
      </c>
      <c r="AA2" s="161" t="s">
        <v>256</v>
      </c>
      <c r="AB2" s="161" t="s">
        <v>151</v>
      </c>
      <c r="AC2" s="161" t="s">
        <v>257</v>
      </c>
      <c r="AD2" s="161" t="s">
        <v>152</v>
      </c>
      <c r="AE2" s="161" t="s">
        <v>269</v>
      </c>
      <c r="AF2" s="161" t="s">
        <v>270</v>
      </c>
      <c r="AG2" s="270" t="s">
        <v>271</v>
      </c>
      <c r="AH2" s="645" t="s">
        <v>272</v>
      </c>
      <c r="AI2" s="645" t="s">
        <v>273</v>
      </c>
      <c r="AJ2" s="161" t="s">
        <v>479</v>
      </c>
      <c r="AK2" s="161" t="s">
        <v>480</v>
      </c>
      <c r="AL2" s="161"/>
      <c r="AM2" s="255" t="s">
        <v>507</v>
      </c>
      <c r="AN2" s="347" t="s">
        <v>47</v>
      </c>
      <c r="AO2" s="254" t="s">
        <v>29</v>
      </c>
    </row>
    <row r="3" spans="1:41" s="5" customFormat="1" ht="12" thickBot="1">
      <c r="A3" s="582">
        <f>'1-συμβολαια'!A3</f>
        <v>111</v>
      </c>
      <c r="B3" s="518" t="str">
        <f>'1-συμβολαια'!C3</f>
        <v>πληρεξύσιο</v>
      </c>
      <c r="C3" s="516">
        <f>'1-συμβολαια'!D3</f>
        <v>0</v>
      </c>
      <c r="D3" s="421">
        <f>'3-φύλλα2α'!D3</f>
        <v>2</v>
      </c>
      <c r="E3" s="421">
        <f>'3-φύλλα2α'!E3</f>
        <v>2</v>
      </c>
      <c r="F3" s="489">
        <v>1</v>
      </c>
      <c r="G3" s="489">
        <v>1</v>
      </c>
      <c r="H3" s="467">
        <f t="shared" ref="H3" si="0">F3*D3*1100</f>
        <v>2200</v>
      </c>
      <c r="I3" s="490">
        <f t="shared" ref="I3" si="1">E3*G3*1100</f>
        <v>2200</v>
      </c>
      <c r="J3" s="490">
        <f t="shared" ref="J3" si="2">H3*5%</f>
        <v>110</v>
      </c>
      <c r="K3" s="490">
        <f t="shared" ref="K3" si="3">H3*5%</f>
        <v>110</v>
      </c>
      <c r="L3" s="490">
        <f t="shared" ref="L3" si="4">H3*1%</f>
        <v>22</v>
      </c>
      <c r="M3" s="490">
        <f t="shared" ref="M3" si="5">H3-O3</f>
        <v>1958</v>
      </c>
      <c r="N3" s="490">
        <f t="shared" ref="N3" si="6">I3-P3</f>
        <v>2200</v>
      </c>
      <c r="O3" s="490">
        <f t="shared" ref="O3" si="7">J3+K3+L3</f>
        <v>242</v>
      </c>
      <c r="P3" s="490"/>
      <c r="Q3" s="467">
        <f t="shared" ref="Q3" si="8">O3-P3</f>
        <v>242</v>
      </c>
      <c r="R3" s="355"/>
      <c r="S3" s="355"/>
      <c r="T3" s="529"/>
      <c r="U3" s="529"/>
      <c r="V3" s="529"/>
      <c r="W3" s="529"/>
      <c r="X3" s="529"/>
      <c r="Y3" s="529"/>
      <c r="Z3" s="529"/>
      <c r="AA3" s="529"/>
      <c r="AB3" s="529"/>
      <c r="AC3" s="529"/>
      <c r="AD3" s="529"/>
      <c r="AE3" s="529"/>
      <c r="AF3" s="530"/>
      <c r="AG3" s="646"/>
      <c r="AH3" s="646"/>
      <c r="AI3" s="646"/>
      <c r="AJ3" s="318"/>
      <c r="AK3" s="318"/>
      <c r="AL3" s="318"/>
      <c r="AM3" s="530">
        <f t="shared" ref="AM3" si="9">U3+Y3+AA3+AI3+AK3</f>
        <v>0</v>
      </c>
      <c r="AN3" s="530">
        <f t="shared" ref="AN3" si="10">SUM(R3:AL3)-AM3</f>
        <v>0</v>
      </c>
      <c r="AO3" s="276"/>
    </row>
    <row r="4" spans="1:41" s="5" customFormat="1">
      <c r="A4" s="491">
        <f>'1-συμβολαια'!A4</f>
        <v>113</v>
      </c>
      <c r="B4" s="335" t="str">
        <f>'1-συμβολαια'!C4</f>
        <v>δωρεάς ΠΡΟΤΑΣΗ [1/2 αγροτεμάχιο ;;;??? [το ανατολικό] Θεολόγος -Ποτός -'';;;???'' 2.798μ2</v>
      </c>
      <c r="C4" s="302">
        <f>'1-συμβολαια'!D4</f>
        <v>2400000</v>
      </c>
      <c r="D4" s="333">
        <f>'3-φύλλα2α'!D4</f>
        <v>4</v>
      </c>
      <c r="E4" s="333">
        <f>'3-φύλλα2α'!E4</f>
        <v>4</v>
      </c>
      <c r="F4" s="486">
        <v>2</v>
      </c>
      <c r="G4" s="486">
        <v>2</v>
      </c>
      <c r="H4" s="273">
        <f t="shared" ref="H4:H14" si="11">F4*D4*1100</f>
        <v>8800</v>
      </c>
      <c r="I4" s="487">
        <f t="shared" ref="I4:I14" si="12">E4*G4*1100</f>
        <v>8800</v>
      </c>
      <c r="J4" s="487">
        <f t="shared" ref="J4:J14" si="13">H4*5%</f>
        <v>440</v>
      </c>
      <c r="K4" s="487">
        <f t="shared" ref="K4:K14" si="14">H4*5%</f>
        <v>440</v>
      </c>
      <c r="L4" s="487">
        <f t="shared" ref="L4:L14" si="15">H4*1%</f>
        <v>88</v>
      </c>
      <c r="M4" s="487">
        <f t="shared" ref="M4:M14" si="16">H4-O4</f>
        <v>7832</v>
      </c>
      <c r="N4" s="487">
        <f t="shared" ref="N4:N14" si="17">I4-P4</f>
        <v>8800</v>
      </c>
      <c r="O4" s="487">
        <f t="shared" ref="O4:O14" si="18">J4+K4+L4</f>
        <v>968</v>
      </c>
      <c r="P4" s="487"/>
      <c r="Q4" s="487">
        <f t="shared" ref="Q4:Q14" si="19">O4-P4</f>
        <v>968</v>
      </c>
      <c r="R4" s="529">
        <v>2200</v>
      </c>
      <c r="S4" s="529">
        <v>500</v>
      </c>
      <c r="T4" s="529">
        <v>4400</v>
      </c>
      <c r="U4" s="529">
        <v>800</v>
      </c>
      <c r="V4" s="529">
        <v>4400</v>
      </c>
      <c r="W4" s="529">
        <v>500</v>
      </c>
      <c r="X4" s="529"/>
      <c r="Y4" s="529"/>
      <c r="Z4" s="529"/>
      <c r="AA4" s="529"/>
      <c r="AB4" s="529"/>
      <c r="AC4" s="529"/>
      <c r="AD4" s="529"/>
      <c r="AE4" s="529"/>
      <c r="AF4" s="530"/>
      <c r="AG4" s="646"/>
      <c r="AH4" s="646"/>
      <c r="AI4" s="646"/>
      <c r="AJ4" s="318"/>
      <c r="AK4" s="318"/>
      <c r="AL4" s="318"/>
      <c r="AM4" s="530">
        <f t="shared" ref="AM4:AM14" si="20">U4+Y4+AA4+AI4+AK4</f>
        <v>800</v>
      </c>
      <c r="AN4" s="530">
        <f t="shared" ref="AN4:AN14" si="21">SUM(R4:AL4)-AM4</f>
        <v>12000</v>
      </c>
      <c r="AO4" s="276"/>
    </row>
    <row r="5" spans="1:41" s="5" customFormat="1">
      <c r="A5" s="492">
        <f>'1-συμβολαια'!A5</f>
        <v>0</v>
      </c>
      <c r="B5" s="301" t="str">
        <f>'1-συμβολαια'!C5</f>
        <v>χρησικτησία αγροτεμαχίου = 1984 ΑΝΑΔΑΣΜΟΣ</v>
      </c>
      <c r="C5" s="302">
        <f>'1-συμβολαια'!D5</f>
        <v>222222</v>
      </c>
      <c r="D5" s="312">
        <f>'3-φύλλα2α'!D5</f>
        <v>4</v>
      </c>
      <c r="E5" s="312">
        <f>'3-φύλλα2α'!E5</f>
        <v>0</v>
      </c>
      <c r="F5" s="350"/>
      <c r="G5" s="350"/>
      <c r="H5" s="297">
        <f t="shared" si="11"/>
        <v>0</v>
      </c>
      <c r="I5" s="317">
        <f t="shared" si="12"/>
        <v>0</v>
      </c>
      <c r="J5" s="317">
        <f t="shared" si="13"/>
        <v>0</v>
      </c>
      <c r="K5" s="317">
        <f t="shared" si="14"/>
        <v>0</v>
      </c>
      <c r="L5" s="317">
        <f t="shared" si="15"/>
        <v>0</v>
      </c>
      <c r="M5" s="317">
        <f t="shared" si="16"/>
        <v>0</v>
      </c>
      <c r="N5" s="317">
        <f t="shared" si="17"/>
        <v>0</v>
      </c>
      <c r="O5" s="317">
        <f t="shared" si="18"/>
        <v>0</v>
      </c>
      <c r="P5" s="317"/>
      <c r="Q5" s="317">
        <f t="shared" si="19"/>
        <v>0</v>
      </c>
      <c r="R5" s="529"/>
      <c r="S5" s="529"/>
      <c r="T5" s="529"/>
      <c r="U5" s="529"/>
      <c r="V5" s="529"/>
      <c r="W5" s="529"/>
      <c r="X5" s="529"/>
      <c r="Y5" s="529"/>
      <c r="Z5" s="529"/>
      <c r="AA5" s="529"/>
      <c r="AB5" s="529"/>
      <c r="AC5" s="529"/>
      <c r="AD5" s="529"/>
      <c r="AE5" s="529"/>
      <c r="AF5" s="530"/>
      <c r="AG5" s="646"/>
      <c r="AH5" s="646"/>
      <c r="AI5" s="646"/>
      <c r="AJ5" s="318"/>
      <c r="AK5" s="318"/>
      <c r="AL5" s="318"/>
      <c r="AM5" s="530">
        <f t="shared" si="20"/>
        <v>0</v>
      </c>
      <c r="AN5" s="530">
        <f t="shared" si="21"/>
        <v>0</v>
      </c>
      <c r="AO5" s="276"/>
    </row>
    <row r="6" spans="1:41" s="5" customFormat="1">
      <c r="A6" s="409">
        <f>'1-συμβολαια'!A6</f>
        <v>0</v>
      </c>
      <c r="B6" s="301" t="str">
        <f>'1-συμβολαια'!C6</f>
        <v>διανομή [= ισομερής ΑΛΛΑ βάσει ΦΜΑ της Δ.Ο.Υ (3ου &amp; ;;;???}</v>
      </c>
      <c r="C6" s="272">
        <f>'1-συμβολαια'!D6</f>
        <v>2987306</v>
      </c>
      <c r="D6" s="312">
        <f>'3-φύλλα2α'!D6</f>
        <v>4</v>
      </c>
      <c r="E6" s="312">
        <f>'3-φύλλα2α'!E6</f>
        <v>0</v>
      </c>
      <c r="F6" s="350"/>
      <c r="G6" s="350"/>
      <c r="H6" s="297">
        <f t="shared" si="11"/>
        <v>0</v>
      </c>
      <c r="I6" s="297">
        <f t="shared" si="12"/>
        <v>0</v>
      </c>
      <c r="J6" s="297">
        <f t="shared" si="13"/>
        <v>0</v>
      </c>
      <c r="K6" s="297">
        <f t="shared" si="14"/>
        <v>0</v>
      </c>
      <c r="L6" s="297">
        <f t="shared" si="15"/>
        <v>0</v>
      </c>
      <c r="M6" s="297">
        <f t="shared" si="16"/>
        <v>0</v>
      </c>
      <c r="N6" s="297">
        <f t="shared" si="17"/>
        <v>0</v>
      </c>
      <c r="O6" s="297">
        <f t="shared" si="18"/>
        <v>0</v>
      </c>
      <c r="P6" s="297"/>
      <c r="Q6" s="297">
        <f t="shared" si="19"/>
        <v>0</v>
      </c>
      <c r="R6" s="529"/>
      <c r="S6" s="529"/>
      <c r="T6" s="529"/>
      <c r="U6" s="529"/>
      <c r="V6" s="529"/>
      <c r="W6" s="529"/>
      <c r="X6" s="529"/>
      <c r="Y6" s="529"/>
      <c r="Z6" s="529"/>
      <c r="AA6" s="529"/>
      <c r="AB6" s="529"/>
      <c r="AC6" s="529"/>
      <c r="AD6" s="529"/>
      <c r="AE6" s="529"/>
      <c r="AF6" s="529"/>
      <c r="AG6" s="647"/>
      <c r="AH6" s="647"/>
      <c r="AI6" s="647"/>
      <c r="AJ6" s="355"/>
      <c r="AK6" s="355"/>
      <c r="AL6" s="355"/>
      <c r="AM6" s="529">
        <f t="shared" si="20"/>
        <v>0</v>
      </c>
      <c r="AN6" s="529">
        <f t="shared" si="21"/>
        <v>0</v>
      </c>
      <c r="AO6" s="276"/>
    </row>
    <row r="7" spans="1:41" s="5" customFormat="1" ht="12" thickBot="1">
      <c r="A7" s="423">
        <f>'1-συμβολαια'!A7</f>
        <v>0</v>
      </c>
      <c r="B7" s="488" t="str">
        <f>'1-συμβολαια'!C7</f>
        <v>εξισορρόπηση διαφοράς διανεμομένων μεριδίων</v>
      </c>
      <c r="C7" s="416">
        <f>'1-συμβολαια'!D7</f>
        <v>906347</v>
      </c>
      <c r="D7" s="421">
        <f>'3-φύλλα2α'!D7</f>
        <v>4</v>
      </c>
      <c r="E7" s="421">
        <f>'3-φύλλα2α'!E7</f>
        <v>0</v>
      </c>
      <c r="F7" s="489"/>
      <c r="G7" s="489"/>
      <c r="H7" s="467">
        <f t="shared" si="11"/>
        <v>0</v>
      </c>
      <c r="I7" s="467">
        <f t="shared" si="12"/>
        <v>0</v>
      </c>
      <c r="J7" s="467">
        <f t="shared" si="13"/>
        <v>0</v>
      </c>
      <c r="K7" s="467">
        <f t="shared" si="14"/>
        <v>0</v>
      </c>
      <c r="L7" s="467">
        <f t="shared" si="15"/>
        <v>0</v>
      </c>
      <c r="M7" s="467">
        <f t="shared" si="16"/>
        <v>0</v>
      </c>
      <c r="N7" s="467">
        <f t="shared" si="17"/>
        <v>0</v>
      </c>
      <c r="O7" s="467">
        <f t="shared" si="18"/>
        <v>0</v>
      </c>
      <c r="P7" s="467"/>
      <c r="Q7" s="467">
        <f t="shared" si="19"/>
        <v>0</v>
      </c>
      <c r="R7" s="529"/>
      <c r="S7" s="529"/>
      <c r="T7" s="529"/>
      <c r="U7" s="529"/>
      <c r="V7" s="529"/>
      <c r="W7" s="529"/>
      <c r="X7" s="529"/>
      <c r="Y7" s="529"/>
      <c r="Z7" s="529"/>
      <c r="AA7" s="529"/>
      <c r="AB7" s="529"/>
      <c r="AC7" s="529"/>
      <c r="AD7" s="529"/>
      <c r="AE7" s="529"/>
      <c r="AF7" s="529"/>
      <c r="AG7" s="647"/>
      <c r="AH7" s="647"/>
      <c r="AI7" s="647"/>
      <c r="AJ7" s="355"/>
      <c r="AK7" s="355"/>
      <c r="AL7" s="355"/>
      <c r="AM7" s="529">
        <f t="shared" si="20"/>
        <v>0</v>
      </c>
      <c r="AN7" s="529">
        <f t="shared" si="21"/>
        <v>0</v>
      </c>
      <c r="AO7" s="276"/>
    </row>
    <row r="8" spans="1:41" s="5" customFormat="1">
      <c r="A8" s="591">
        <f>'1-συμβολαια'!A8</f>
        <v>114</v>
      </c>
      <c r="B8" s="335" t="str">
        <f>'1-συμβολαια'!C8</f>
        <v>δωρεάς ΠΡΟΤΑΣΗ [αγροτεμάχιο Θεολόγος -'';;;???'' 2.000μ2</v>
      </c>
      <c r="C8" s="302">
        <f>'1-συμβολαια'!D8</f>
        <v>400000</v>
      </c>
      <c r="D8" s="333">
        <f>'3-φύλλα2α'!D8</f>
        <v>4</v>
      </c>
      <c r="E8" s="333">
        <f>'3-φύλλα2α'!E8</f>
        <v>4</v>
      </c>
      <c r="F8" s="486">
        <v>2</v>
      </c>
      <c r="G8" s="486">
        <v>2</v>
      </c>
      <c r="H8" s="273">
        <f t="shared" si="11"/>
        <v>8800</v>
      </c>
      <c r="I8" s="273">
        <f t="shared" si="12"/>
        <v>8800</v>
      </c>
      <c r="J8" s="273">
        <f t="shared" si="13"/>
        <v>440</v>
      </c>
      <c r="K8" s="273">
        <f t="shared" si="14"/>
        <v>440</v>
      </c>
      <c r="L8" s="273">
        <f t="shared" si="15"/>
        <v>88</v>
      </c>
      <c r="M8" s="273">
        <f t="shared" si="16"/>
        <v>7832</v>
      </c>
      <c r="N8" s="273">
        <f t="shared" si="17"/>
        <v>8800</v>
      </c>
      <c r="O8" s="273">
        <f t="shared" si="18"/>
        <v>968</v>
      </c>
      <c r="P8" s="273"/>
      <c r="Q8" s="273">
        <f t="shared" si="19"/>
        <v>968</v>
      </c>
      <c r="R8" s="529">
        <v>2200</v>
      </c>
      <c r="S8" s="529">
        <v>500</v>
      </c>
      <c r="T8" s="529">
        <v>4400</v>
      </c>
      <c r="U8" s="529">
        <v>800</v>
      </c>
      <c r="V8" s="529">
        <v>4400</v>
      </c>
      <c r="W8" s="529">
        <v>500</v>
      </c>
      <c r="X8" s="529"/>
      <c r="Y8" s="529"/>
      <c r="Z8" s="529"/>
      <c r="AA8" s="529"/>
      <c r="AB8" s="529"/>
      <c r="AC8" s="529"/>
      <c r="AD8" s="529"/>
      <c r="AE8" s="529"/>
      <c r="AF8" s="529"/>
      <c r="AG8" s="647"/>
      <c r="AH8" s="647"/>
      <c r="AI8" s="647"/>
      <c r="AJ8" s="355"/>
      <c r="AK8" s="355"/>
      <c r="AL8" s="355"/>
      <c r="AM8" s="529">
        <f t="shared" si="20"/>
        <v>800</v>
      </c>
      <c r="AN8" s="529">
        <f t="shared" si="21"/>
        <v>12000</v>
      </c>
      <c r="AO8" s="276"/>
    </row>
    <row r="9" spans="1:41" s="5" customFormat="1" ht="12" thickBot="1">
      <c r="A9" s="592">
        <f>'1-συμβολαια'!A9</f>
        <v>0</v>
      </c>
      <c r="B9" s="488" t="str">
        <f>'1-συμβολαια'!C9</f>
        <v>χρησικτησία αγροτεμαχίου = 1910 πατρός ΔΩΡΕΑ άτυπος</v>
      </c>
      <c r="C9" s="416">
        <f>'1-συμβολαια'!D9</f>
        <v>333333</v>
      </c>
      <c r="D9" s="421">
        <f>'3-φύλλα2α'!D9</f>
        <v>4</v>
      </c>
      <c r="E9" s="421">
        <f>'3-φύλλα2α'!E9</f>
        <v>0</v>
      </c>
      <c r="F9" s="489"/>
      <c r="G9" s="489"/>
      <c r="H9" s="467">
        <f t="shared" si="11"/>
        <v>0</v>
      </c>
      <c r="I9" s="467">
        <f t="shared" si="12"/>
        <v>0</v>
      </c>
      <c r="J9" s="467">
        <f t="shared" si="13"/>
        <v>0</v>
      </c>
      <c r="K9" s="467">
        <f t="shared" si="14"/>
        <v>0</v>
      </c>
      <c r="L9" s="467">
        <f t="shared" si="15"/>
        <v>0</v>
      </c>
      <c r="M9" s="467">
        <f t="shared" si="16"/>
        <v>0</v>
      </c>
      <c r="N9" s="467">
        <f t="shared" si="17"/>
        <v>0</v>
      </c>
      <c r="O9" s="467">
        <f t="shared" si="18"/>
        <v>0</v>
      </c>
      <c r="P9" s="467"/>
      <c r="Q9" s="467">
        <f t="shared" si="19"/>
        <v>0</v>
      </c>
      <c r="R9" s="529"/>
      <c r="S9" s="529"/>
      <c r="T9" s="529"/>
      <c r="U9" s="529"/>
      <c r="V9" s="529"/>
      <c r="W9" s="529"/>
      <c r="X9" s="529"/>
      <c r="Y9" s="529"/>
      <c r="Z9" s="529"/>
      <c r="AA9" s="529"/>
      <c r="AB9" s="529"/>
      <c r="AC9" s="529"/>
      <c r="AD9" s="529"/>
      <c r="AE9" s="529"/>
      <c r="AF9" s="529"/>
      <c r="AG9" s="647"/>
      <c r="AH9" s="647"/>
      <c r="AI9" s="647"/>
      <c r="AJ9" s="355"/>
      <c r="AK9" s="355"/>
      <c r="AL9" s="355"/>
      <c r="AM9" s="529">
        <f t="shared" si="20"/>
        <v>0</v>
      </c>
      <c r="AN9" s="529">
        <f t="shared" si="21"/>
        <v>0</v>
      </c>
      <c r="AO9" s="276"/>
    </row>
    <row r="10" spans="1:41" s="5" customFormat="1">
      <c r="A10" s="333" t="str">
        <f>'1-συμβολαια'!A10</f>
        <v>;;;???</v>
      </c>
      <c r="B10" s="335" t="str">
        <f>'1-συμβολαια'!C10</f>
        <v>δωρεάς πρότασης 2ου  ΑΠΟΔΟΧΗ</v>
      </c>
      <c r="C10" s="302">
        <f>'1-συμβολαια'!D10</f>
        <v>0</v>
      </c>
      <c r="D10" s="333">
        <f>'3-φύλλα2α'!D10</f>
        <v>2</v>
      </c>
      <c r="E10" s="333">
        <f>'3-φύλλα2α'!E10</f>
        <v>2</v>
      </c>
      <c r="F10" s="486">
        <v>1</v>
      </c>
      <c r="G10" s="486">
        <v>1</v>
      </c>
      <c r="H10" s="273">
        <f t="shared" si="11"/>
        <v>2200</v>
      </c>
      <c r="I10" s="273">
        <f t="shared" si="12"/>
        <v>2200</v>
      </c>
      <c r="J10" s="273">
        <f t="shared" si="13"/>
        <v>110</v>
      </c>
      <c r="K10" s="273">
        <f t="shared" si="14"/>
        <v>110</v>
      </c>
      <c r="L10" s="273">
        <f t="shared" si="15"/>
        <v>22</v>
      </c>
      <c r="M10" s="273">
        <f t="shared" si="16"/>
        <v>1958</v>
      </c>
      <c r="N10" s="273">
        <f t="shared" si="17"/>
        <v>2200</v>
      </c>
      <c r="O10" s="273">
        <f t="shared" si="18"/>
        <v>242</v>
      </c>
      <c r="P10" s="273"/>
      <c r="Q10" s="273">
        <f t="shared" si="19"/>
        <v>242</v>
      </c>
      <c r="R10" s="529">
        <v>4400</v>
      </c>
      <c r="S10" s="529">
        <v>500</v>
      </c>
      <c r="T10" s="529">
        <v>2200</v>
      </c>
      <c r="U10" s="529">
        <v>800</v>
      </c>
      <c r="V10" s="529"/>
      <c r="W10" s="529"/>
      <c r="X10" s="529"/>
      <c r="Y10" s="529"/>
      <c r="Z10" s="529"/>
      <c r="AA10" s="529"/>
      <c r="AB10" s="529"/>
      <c r="AC10" s="529"/>
      <c r="AD10" s="529">
        <v>1100</v>
      </c>
      <c r="AE10" s="529">
        <v>2200</v>
      </c>
      <c r="AF10" s="529">
        <v>500</v>
      </c>
      <c r="AG10" s="647"/>
      <c r="AH10" s="647"/>
      <c r="AI10" s="647"/>
      <c r="AJ10" s="355"/>
      <c r="AK10" s="355"/>
      <c r="AL10" s="355"/>
      <c r="AM10" s="529">
        <f t="shared" si="20"/>
        <v>800</v>
      </c>
      <c r="AN10" s="529">
        <f t="shared" si="21"/>
        <v>10900</v>
      </c>
      <c r="AO10" s="276"/>
    </row>
    <row r="11" spans="1:41" s="5" customFormat="1">
      <c r="A11" s="312" t="str">
        <f>'1-συμβολαια'!A11</f>
        <v>;;;???</v>
      </c>
      <c r="B11" s="301" t="str">
        <f>'1-συμβολαια'!C11</f>
        <v>δωρεάς πρότασης  3ου  ΑΠΟΔΟΧΗ</v>
      </c>
      <c r="C11" s="272">
        <f>'1-συμβολαια'!D11</f>
        <v>0</v>
      </c>
      <c r="D11" s="312">
        <f>'3-φύλλα2α'!D11</f>
        <v>2</v>
      </c>
      <c r="E11" s="312">
        <f>'3-φύλλα2α'!E11</f>
        <v>2</v>
      </c>
      <c r="F11" s="486">
        <v>1</v>
      </c>
      <c r="G11" s="486">
        <v>1</v>
      </c>
      <c r="H11" s="297">
        <f t="shared" si="11"/>
        <v>2200</v>
      </c>
      <c r="I11" s="297">
        <f t="shared" si="12"/>
        <v>2200</v>
      </c>
      <c r="J11" s="297">
        <f t="shared" si="13"/>
        <v>110</v>
      </c>
      <c r="K11" s="297">
        <f t="shared" si="14"/>
        <v>110</v>
      </c>
      <c r="L11" s="297">
        <f t="shared" si="15"/>
        <v>22</v>
      </c>
      <c r="M11" s="297">
        <f t="shared" si="16"/>
        <v>1958</v>
      </c>
      <c r="N11" s="297">
        <f t="shared" si="17"/>
        <v>2200</v>
      </c>
      <c r="O11" s="297">
        <f t="shared" si="18"/>
        <v>242</v>
      </c>
      <c r="P11" s="297"/>
      <c r="Q11" s="297">
        <f t="shared" si="19"/>
        <v>242</v>
      </c>
      <c r="R11" s="529">
        <v>4400</v>
      </c>
      <c r="S11" s="529">
        <v>500</v>
      </c>
      <c r="T11" s="529">
        <v>2200</v>
      </c>
      <c r="U11" s="529">
        <v>800</v>
      </c>
      <c r="V11" s="529"/>
      <c r="W11" s="529"/>
      <c r="X11" s="529"/>
      <c r="Y11" s="529"/>
      <c r="Z11" s="529"/>
      <c r="AA11" s="529"/>
      <c r="AB11" s="529"/>
      <c r="AC11" s="529"/>
      <c r="AD11" s="529">
        <v>1100</v>
      </c>
      <c r="AE11" s="529">
        <v>2200</v>
      </c>
      <c r="AF11" s="529">
        <v>500</v>
      </c>
      <c r="AG11" s="647"/>
      <c r="AH11" s="647"/>
      <c r="AI11" s="647"/>
      <c r="AJ11" s="355"/>
      <c r="AK11" s="355"/>
      <c r="AL11" s="355"/>
      <c r="AM11" s="529">
        <f t="shared" si="20"/>
        <v>800</v>
      </c>
      <c r="AN11" s="529">
        <f t="shared" si="21"/>
        <v>10900</v>
      </c>
      <c r="AO11" s="276"/>
    </row>
    <row r="12" spans="1:41" s="5" customFormat="1" ht="12" thickBot="1">
      <c r="A12" s="421">
        <f>'1-συμβολαια'!A12</f>
        <v>552</v>
      </c>
      <c r="B12" s="488" t="str">
        <f>'1-συμβολαια'!C12</f>
        <v>πληρεξούσιο</v>
      </c>
      <c r="C12" s="416">
        <f>'1-συμβολαια'!D12</f>
        <v>0</v>
      </c>
      <c r="D12" s="421">
        <f>'3-φύλλα2α'!D12</f>
        <v>2</v>
      </c>
      <c r="E12" s="421">
        <f>'3-φύλλα2α'!E12</f>
        <v>2</v>
      </c>
      <c r="F12" s="418">
        <v>1</v>
      </c>
      <c r="G12" s="418">
        <v>1</v>
      </c>
      <c r="H12" s="467">
        <f t="shared" si="11"/>
        <v>2200</v>
      </c>
      <c r="I12" s="467">
        <f t="shared" si="12"/>
        <v>2200</v>
      </c>
      <c r="J12" s="467">
        <f t="shared" si="13"/>
        <v>110</v>
      </c>
      <c r="K12" s="467">
        <f t="shared" si="14"/>
        <v>110</v>
      </c>
      <c r="L12" s="467">
        <f t="shared" si="15"/>
        <v>22</v>
      </c>
      <c r="M12" s="467">
        <f t="shared" si="16"/>
        <v>1958</v>
      </c>
      <c r="N12" s="467">
        <f t="shared" si="17"/>
        <v>2200</v>
      </c>
      <c r="O12" s="467">
        <f t="shared" si="18"/>
        <v>242</v>
      </c>
      <c r="P12" s="467"/>
      <c r="Q12" s="467">
        <f t="shared" si="19"/>
        <v>242</v>
      </c>
      <c r="R12" s="529"/>
      <c r="S12" s="529"/>
      <c r="T12" s="529"/>
      <c r="U12" s="529"/>
      <c r="V12" s="529"/>
      <c r="W12" s="529"/>
      <c r="X12" s="529"/>
      <c r="Y12" s="529"/>
      <c r="Z12" s="529"/>
      <c r="AA12" s="529"/>
      <c r="AB12" s="529"/>
      <c r="AC12" s="529"/>
      <c r="AD12" s="529"/>
      <c r="AE12" s="529"/>
      <c r="AF12" s="529"/>
      <c r="AG12" s="647"/>
      <c r="AH12" s="647"/>
      <c r="AI12" s="647"/>
      <c r="AJ12" s="355"/>
      <c r="AK12" s="355"/>
      <c r="AL12" s="355"/>
      <c r="AM12" s="529">
        <f t="shared" si="20"/>
        <v>0</v>
      </c>
      <c r="AN12" s="529">
        <f t="shared" si="21"/>
        <v>0</v>
      </c>
      <c r="AO12" s="276"/>
    </row>
    <row r="13" spans="1:41" s="5" customFormat="1">
      <c r="A13" s="462">
        <f>'1-συμβολαια'!A13</f>
        <v>564</v>
      </c>
      <c r="B13" s="335" t="str">
        <f>'1-συμβολαια'!C13</f>
        <v>γονική</v>
      </c>
      <c r="C13" s="302">
        <f>'1-συμβολαια'!D13</f>
        <v>3450000</v>
      </c>
      <c r="D13" s="333">
        <f>'3-φύλλα2α'!D13</f>
        <v>4</v>
      </c>
      <c r="E13" s="333">
        <f>'3-φύλλα2α'!E13</f>
        <v>4</v>
      </c>
      <c r="F13" s="274">
        <v>2</v>
      </c>
      <c r="G13" s="274">
        <v>2</v>
      </c>
      <c r="H13" s="273">
        <f t="shared" si="11"/>
        <v>8800</v>
      </c>
      <c r="I13" s="273">
        <f t="shared" si="12"/>
        <v>8800</v>
      </c>
      <c r="J13" s="273">
        <f t="shared" si="13"/>
        <v>440</v>
      </c>
      <c r="K13" s="273">
        <f t="shared" si="14"/>
        <v>440</v>
      </c>
      <c r="L13" s="273">
        <f t="shared" si="15"/>
        <v>88</v>
      </c>
      <c r="M13" s="273">
        <f t="shared" si="16"/>
        <v>7832</v>
      </c>
      <c r="N13" s="273">
        <f t="shared" si="17"/>
        <v>8800</v>
      </c>
      <c r="O13" s="273">
        <f t="shared" si="18"/>
        <v>968</v>
      </c>
      <c r="P13" s="273"/>
      <c r="Q13" s="273">
        <f t="shared" si="19"/>
        <v>968</v>
      </c>
      <c r="R13" s="529">
        <v>2200</v>
      </c>
      <c r="S13" s="529">
        <v>500</v>
      </c>
      <c r="T13" s="529">
        <v>4400</v>
      </c>
      <c r="U13" s="529">
        <v>800</v>
      </c>
      <c r="V13" s="529">
        <v>4400</v>
      </c>
      <c r="W13" s="529">
        <v>500</v>
      </c>
      <c r="X13" s="529"/>
      <c r="Y13" s="529"/>
      <c r="Z13" s="529"/>
      <c r="AA13" s="529"/>
      <c r="AB13" s="529"/>
      <c r="AC13" s="529"/>
      <c r="AD13" s="529"/>
      <c r="AE13" s="529"/>
      <c r="AF13" s="529"/>
      <c r="AG13" s="647"/>
      <c r="AH13" s="647"/>
      <c r="AI13" s="647"/>
      <c r="AJ13" s="355"/>
      <c r="AK13" s="355"/>
      <c r="AL13" s="355"/>
      <c r="AM13" s="529">
        <f t="shared" si="20"/>
        <v>800</v>
      </c>
      <c r="AN13" s="529">
        <f t="shared" si="21"/>
        <v>12000</v>
      </c>
      <c r="AO13" s="276"/>
    </row>
    <row r="14" spans="1:41" s="5" customFormat="1">
      <c r="A14" s="409">
        <f>'1-συμβολαια'!A14</f>
        <v>0</v>
      </c>
      <c r="B14" s="301" t="str">
        <f>'1-συμβολαια'!C14</f>
        <v>χρησικτησία αγροτεμαχίων = 1912 πατρός ΔΩΡΕΑ άτυπος</v>
      </c>
      <c r="C14" s="272">
        <f>'1-συμβολαια'!D14</f>
        <v>3333333</v>
      </c>
      <c r="D14" s="312">
        <f>'3-φύλλα2α'!D14</f>
        <v>4</v>
      </c>
      <c r="E14" s="312">
        <f>'3-φύλλα2α'!E14</f>
        <v>0</v>
      </c>
      <c r="F14" s="350"/>
      <c r="G14" s="350"/>
      <c r="H14" s="297">
        <f t="shared" si="11"/>
        <v>0</v>
      </c>
      <c r="I14" s="297">
        <f t="shared" si="12"/>
        <v>0</v>
      </c>
      <c r="J14" s="297">
        <f t="shared" si="13"/>
        <v>0</v>
      </c>
      <c r="K14" s="297">
        <f t="shared" si="14"/>
        <v>0</v>
      </c>
      <c r="L14" s="297">
        <f t="shared" si="15"/>
        <v>0</v>
      </c>
      <c r="M14" s="297">
        <f t="shared" si="16"/>
        <v>0</v>
      </c>
      <c r="N14" s="297">
        <f t="shared" si="17"/>
        <v>0</v>
      </c>
      <c r="O14" s="297">
        <f t="shared" si="18"/>
        <v>0</v>
      </c>
      <c r="P14" s="297"/>
      <c r="Q14" s="297">
        <f t="shared" si="19"/>
        <v>0</v>
      </c>
      <c r="R14" s="529"/>
      <c r="S14" s="529"/>
      <c r="T14" s="529"/>
      <c r="U14" s="529"/>
      <c r="V14" s="529"/>
      <c r="W14" s="529"/>
      <c r="X14" s="529"/>
      <c r="Y14" s="529"/>
      <c r="Z14" s="529"/>
      <c r="AA14" s="529"/>
      <c r="AB14" s="529"/>
      <c r="AC14" s="529"/>
      <c r="AD14" s="529"/>
      <c r="AE14" s="529"/>
      <c r="AF14" s="529"/>
      <c r="AG14" s="647"/>
      <c r="AH14" s="647"/>
      <c r="AI14" s="647"/>
      <c r="AJ14" s="355"/>
      <c r="AK14" s="355"/>
      <c r="AL14" s="355"/>
      <c r="AM14" s="529">
        <f t="shared" si="20"/>
        <v>0</v>
      </c>
      <c r="AN14" s="529">
        <f t="shared" si="21"/>
        <v>0</v>
      </c>
      <c r="AO14" s="276"/>
    </row>
    <row r="15" spans="1:41" s="5" customFormat="1">
      <c r="A15" s="409">
        <f>'1-συμβολαια'!A15</f>
        <v>0</v>
      </c>
      <c r="B15" s="301" t="str">
        <f>'1-συμβολαια'!C15</f>
        <v>χρησικτησία αγροτεμαχίων = 1920 ΔΙΑΝΟΜΗ άτυπος</v>
      </c>
      <c r="C15" s="272">
        <f>'1-συμβολαια'!D15</f>
        <v>3450000</v>
      </c>
      <c r="D15" s="312">
        <f>'3-φύλλα2α'!D15</f>
        <v>4</v>
      </c>
      <c r="E15" s="312">
        <f>'3-φύλλα2α'!E15</f>
        <v>0</v>
      </c>
      <c r="F15" s="350"/>
      <c r="G15" s="350"/>
      <c r="H15" s="297">
        <f t="shared" ref="H15:H16" si="22">F15*D15*1100</f>
        <v>0</v>
      </c>
      <c r="I15" s="297">
        <f t="shared" ref="I15:I16" si="23">E15*G15*1100</f>
        <v>0</v>
      </c>
      <c r="J15" s="297">
        <f t="shared" ref="J15:J16" si="24">H15*5%</f>
        <v>0</v>
      </c>
      <c r="K15" s="297">
        <f t="shared" ref="K15:K16" si="25">H15*5%</f>
        <v>0</v>
      </c>
      <c r="L15" s="297">
        <f t="shared" ref="L15:L16" si="26">H15*1%</f>
        <v>0</v>
      </c>
      <c r="M15" s="297">
        <f t="shared" ref="M15:M16" si="27">H15-O15</f>
        <v>0</v>
      </c>
      <c r="N15" s="297">
        <f t="shared" ref="N15:N16" si="28">I15-P15</f>
        <v>0</v>
      </c>
      <c r="O15" s="297">
        <f t="shared" ref="O15:O16" si="29">J15+K15+L15</f>
        <v>0</v>
      </c>
      <c r="P15" s="297"/>
      <c r="Q15" s="297">
        <f t="shared" ref="Q15:Q16" si="30">O15-P15</f>
        <v>0</v>
      </c>
      <c r="R15" s="529"/>
      <c r="S15" s="529"/>
      <c r="T15" s="529"/>
      <c r="U15" s="529"/>
      <c r="V15" s="529"/>
      <c r="W15" s="529"/>
      <c r="X15" s="529"/>
      <c r="Y15" s="529"/>
      <c r="Z15" s="529"/>
      <c r="AA15" s="529"/>
      <c r="AB15" s="529"/>
      <c r="AC15" s="529"/>
      <c r="AD15" s="529"/>
      <c r="AE15" s="529"/>
      <c r="AF15" s="529"/>
      <c r="AG15" s="647"/>
      <c r="AH15" s="647"/>
      <c r="AI15" s="647"/>
      <c r="AJ15" s="355"/>
      <c r="AK15" s="355"/>
      <c r="AL15" s="355"/>
      <c r="AM15" s="529">
        <f t="shared" ref="AM15:AM16" si="31">U15+Y15+AA15+AI15+AK15</f>
        <v>0</v>
      </c>
      <c r="AN15" s="529">
        <f t="shared" ref="AN15:AN16" si="32">SUM(R15:AL15)-AM15</f>
        <v>0</v>
      </c>
      <c r="AO15" s="276"/>
    </row>
    <row r="16" spans="1:41" s="5" customFormat="1" ht="12" thickBot="1">
      <c r="A16" s="423">
        <f>'1-συμβολαια'!A16</f>
        <v>0</v>
      </c>
      <c r="B16" s="488" t="str">
        <f>'1-συμβολαια'!C16</f>
        <v>εξισορρόπηση διαφοράς διανεμομένων μεριδίων</v>
      </c>
      <c r="C16" s="416">
        <f>'1-συμβολαια'!D16</f>
        <v>111111</v>
      </c>
      <c r="D16" s="421">
        <f>'3-φύλλα2α'!D16</f>
        <v>4</v>
      </c>
      <c r="E16" s="421">
        <f>'3-φύλλα2α'!E16</f>
        <v>0</v>
      </c>
      <c r="F16" s="489"/>
      <c r="G16" s="489"/>
      <c r="H16" s="467">
        <f t="shared" si="22"/>
        <v>0</v>
      </c>
      <c r="I16" s="467">
        <f t="shared" si="23"/>
        <v>0</v>
      </c>
      <c r="J16" s="467">
        <f t="shared" si="24"/>
        <v>0</v>
      </c>
      <c r="K16" s="467">
        <f t="shared" si="25"/>
        <v>0</v>
      </c>
      <c r="L16" s="467">
        <f t="shared" si="26"/>
        <v>0</v>
      </c>
      <c r="M16" s="467">
        <f t="shared" si="27"/>
        <v>0</v>
      </c>
      <c r="N16" s="467">
        <f t="shared" si="28"/>
        <v>0</v>
      </c>
      <c r="O16" s="467">
        <f t="shared" si="29"/>
        <v>0</v>
      </c>
      <c r="P16" s="467"/>
      <c r="Q16" s="467">
        <f t="shared" si="30"/>
        <v>0</v>
      </c>
      <c r="R16" s="530"/>
      <c r="S16" s="530"/>
      <c r="T16" s="530"/>
      <c r="U16" s="530"/>
      <c r="V16" s="530"/>
      <c r="W16" s="530"/>
      <c r="X16" s="530"/>
      <c r="Y16" s="530"/>
      <c r="Z16" s="530"/>
      <c r="AA16" s="530"/>
      <c r="AB16" s="530"/>
      <c r="AC16" s="530"/>
      <c r="AD16" s="530"/>
      <c r="AE16" s="530"/>
      <c r="AF16" s="530"/>
      <c r="AG16" s="646"/>
      <c r="AH16" s="646"/>
      <c r="AI16" s="646"/>
      <c r="AJ16" s="318"/>
      <c r="AK16" s="318"/>
      <c r="AL16" s="318"/>
      <c r="AM16" s="530">
        <f t="shared" si="31"/>
        <v>0</v>
      </c>
      <c r="AN16" s="530">
        <f t="shared" si="32"/>
        <v>0</v>
      </c>
      <c r="AO16" s="502"/>
    </row>
    <row r="17" spans="1:41">
      <c r="A17" s="713" t="s">
        <v>47</v>
      </c>
      <c r="B17" s="714"/>
      <c r="C17" s="714"/>
      <c r="D17" s="714"/>
      <c r="E17" s="714"/>
      <c r="F17" s="644"/>
      <c r="G17" s="644"/>
      <c r="H17" s="419">
        <f t="shared" ref="H17:W17" si="33">SUM(H3:H16)</f>
        <v>35200</v>
      </c>
      <c r="I17" s="419">
        <f t="shared" si="33"/>
        <v>35200</v>
      </c>
      <c r="J17" s="419">
        <f t="shared" si="33"/>
        <v>1760</v>
      </c>
      <c r="K17" s="419">
        <f t="shared" si="33"/>
        <v>1760</v>
      </c>
      <c r="L17" s="419">
        <f t="shared" si="33"/>
        <v>352</v>
      </c>
      <c r="M17" s="419">
        <f t="shared" si="33"/>
        <v>31328</v>
      </c>
      <c r="N17" s="419">
        <f t="shared" si="33"/>
        <v>35200</v>
      </c>
      <c r="O17" s="419">
        <f t="shared" si="33"/>
        <v>3872</v>
      </c>
      <c r="P17" s="419">
        <f t="shared" si="33"/>
        <v>0</v>
      </c>
      <c r="Q17" s="419">
        <f t="shared" si="33"/>
        <v>3872</v>
      </c>
      <c r="R17" s="149">
        <f t="shared" si="33"/>
        <v>15400</v>
      </c>
      <c r="S17" s="149">
        <f t="shared" si="33"/>
        <v>2500</v>
      </c>
      <c r="T17" s="149">
        <f t="shared" si="33"/>
        <v>17600</v>
      </c>
      <c r="U17" s="149">
        <f t="shared" si="33"/>
        <v>4000</v>
      </c>
      <c r="V17" s="149">
        <f t="shared" si="33"/>
        <v>13200</v>
      </c>
      <c r="W17" s="149">
        <f t="shared" si="33"/>
        <v>1500</v>
      </c>
      <c r="X17" s="149"/>
      <c r="Y17" s="149"/>
      <c r="Z17" s="149"/>
      <c r="AA17" s="149">
        <f t="shared" ref="AA17:AF17" si="34">SUM(AA3:AA16)</f>
        <v>0</v>
      </c>
      <c r="AB17" s="149">
        <f t="shared" si="34"/>
        <v>0</v>
      </c>
      <c r="AC17" s="149">
        <f t="shared" si="34"/>
        <v>0</v>
      </c>
      <c r="AD17" s="149">
        <f t="shared" si="34"/>
        <v>2200</v>
      </c>
      <c r="AE17" s="149">
        <f t="shared" si="34"/>
        <v>4400</v>
      </c>
      <c r="AF17" s="149">
        <f t="shared" si="34"/>
        <v>1000</v>
      </c>
      <c r="AG17" s="349"/>
      <c r="AH17" s="648">
        <f t="shared" ref="AH17:AN17" si="35">SUM(AH3:AH16)</f>
        <v>0</v>
      </c>
      <c r="AI17" s="648">
        <f t="shared" si="35"/>
        <v>0</v>
      </c>
      <c r="AJ17" s="149">
        <f t="shared" si="35"/>
        <v>0</v>
      </c>
      <c r="AK17" s="149">
        <f t="shared" si="35"/>
        <v>0</v>
      </c>
      <c r="AL17" s="149">
        <f t="shared" si="35"/>
        <v>0</v>
      </c>
      <c r="AM17" s="149">
        <f t="shared" si="35"/>
        <v>4000</v>
      </c>
      <c r="AN17" s="149">
        <f t="shared" si="35"/>
        <v>57800</v>
      </c>
    </row>
    <row r="19" spans="1:41">
      <c r="R19" s="154" t="s">
        <v>495</v>
      </c>
      <c r="S19" s="164"/>
      <c r="T19" s="164"/>
      <c r="U19" s="164"/>
      <c r="V19" s="164"/>
      <c r="W19" s="164"/>
      <c r="X19" s="165"/>
      <c r="Y19" s="165"/>
      <c r="Z19" s="165"/>
      <c r="AA19" s="165"/>
      <c r="AB19" s="165"/>
      <c r="AC19" s="165"/>
      <c r="AD19" s="165"/>
      <c r="AE19" s="86"/>
      <c r="AF19" s="86"/>
      <c r="AG19" s="86"/>
      <c r="AH19" s="86"/>
      <c r="AI19" s="86"/>
      <c r="AJ19" s="86"/>
      <c r="AK19" s="86"/>
      <c r="AL19" s="86"/>
      <c r="AM19" s="86"/>
      <c r="AN19" s="111"/>
    </row>
    <row r="20" spans="1:41" ht="15.75">
      <c r="B20" s="426" t="s">
        <v>415</v>
      </c>
      <c r="D20" s="427"/>
      <c r="E20" s="427"/>
      <c r="R20" s="165"/>
      <c r="S20" s="166" t="s">
        <v>505</v>
      </c>
      <c r="T20" s="165"/>
      <c r="U20" s="165"/>
      <c r="V20" s="165"/>
      <c r="W20" s="165"/>
      <c r="X20" s="165"/>
      <c r="Y20" s="165"/>
      <c r="Z20" s="165"/>
      <c r="AA20" s="165"/>
      <c r="AB20" s="165"/>
      <c r="AC20" s="165"/>
      <c r="AD20" s="165"/>
      <c r="AE20" s="86"/>
      <c r="AF20" s="86"/>
      <c r="AG20" s="86"/>
      <c r="AH20" s="86"/>
      <c r="AI20" s="86"/>
      <c r="AJ20" s="86"/>
      <c r="AK20" s="86"/>
      <c r="AL20" s="86"/>
      <c r="AM20" s="86"/>
      <c r="AN20" s="111"/>
    </row>
    <row r="21" spans="1:41">
      <c r="C21" s="78" t="s">
        <v>580</v>
      </c>
      <c r="D21" s="8">
        <f>H3/F3</f>
        <v>2200</v>
      </c>
      <c r="R21" s="165"/>
      <c r="S21" s="165"/>
      <c r="T21" s="163" t="s">
        <v>229</v>
      </c>
      <c r="U21" s="165"/>
      <c r="V21" s="165"/>
      <c r="W21" s="165"/>
      <c r="X21" s="165"/>
      <c r="Y21" s="165"/>
      <c r="Z21" s="165"/>
      <c r="AA21" s="165"/>
      <c r="AB21" s="165"/>
      <c r="AC21" s="165"/>
      <c r="AD21" s="165"/>
      <c r="AE21" s="86"/>
      <c r="AF21" s="86"/>
      <c r="AG21" s="86"/>
      <c r="AH21" s="86"/>
      <c r="AI21" s="86"/>
      <c r="AJ21" s="86"/>
      <c r="AK21" s="86"/>
      <c r="AL21" s="86"/>
      <c r="AM21" s="86"/>
      <c r="AN21" s="111"/>
    </row>
    <row r="22" spans="1:41">
      <c r="C22" s="78" t="s">
        <v>538</v>
      </c>
      <c r="D22" s="8"/>
      <c r="Q22" s="78" t="s">
        <v>581</v>
      </c>
      <c r="R22" s="165" t="s">
        <v>580</v>
      </c>
      <c r="S22" s="165"/>
      <c r="T22" s="165"/>
      <c r="U22" s="166" t="s">
        <v>230</v>
      </c>
      <c r="V22" s="165"/>
      <c r="W22" s="165"/>
      <c r="X22" s="165"/>
      <c r="Y22" s="165"/>
      <c r="Z22" s="165"/>
      <c r="AA22" s="165"/>
      <c r="AB22" s="165"/>
      <c r="AC22" s="165"/>
      <c r="AD22" s="165"/>
      <c r="AE22" s="86"/>
      <c r="AF22" s="86"/>
      <c r="AG22" s="86"/>
      <c r="AH22" s="86"/>
      <c r="AI22" s="86"/>
      <c r="AJ22" s="86"/>
      <c r="AK22" s="86"/>
      <c r="AL22" s="86"/>
      <c r="AM22" s="86"/>
      <c r="AN22" s="111"/>
    </row>
    <row r="23" spans="1:41">
      <c r="C23" s="78" t="s">
        <v>557</v>
      </c>
      <c r="D23" s="8"/>
      <c r="Q23" s="78"/>
      <c r="R23" s="165"/>
      <c r="S23" s="165"/>
      <c r="T23" s="165"/>
      <c r="U23" s="165"/>
      <c r="V23" s="163" t="s">
        <v>506</v>
      </c>
      <c r="W23" s="165"/>
      <c r="X23" s="165"/>
      <c r="Y23" s="165"/>
      <c r="Z23" s="165"/>
      <c r="AA23" s="165"/>
      <c r="AB23" s="165"/>
      <c r="AC23" s="165"/>
      <c r="AD23" s="165"/>
      <c r="AE23" s="165"/>
      <c r="AF23" s="165"/>
      <c r="AG23" s="165"/>
      <c r="AH23" s="165"/>
      <c r="AI23" s="165"/>
      <c r="AJ23" s="165"/>
      <c r="AK23" s="165"/>
      <c r="AL23" s="165"/>
      <c r="AM23" s="86"/>
      <c r="AN23" s="111"/>
    </row>
    <row r="24" spans="1:41">
      <c r="C24" s="78"/>
      <c r="D24" s="8"/>
      <c r="Q24" s="78" t="s">
        <v>582</v>
      </c>
      <c r="R24" s="82" t="s">
        <v>580</v>
      </c>
      <c r="S24" s="165"/>
      <c r="T24" s="165"/>
      <c r="U24" s="165"/>
      <c r="V24" s="165"/>
      <c r="W24" s="166" t="s">
        <v>231</v>
      </c>
      <c r="X24" s="165"/>
      <c r="Y24" s="165"/>
      <c r="Z24" s="165"/>
      <c r="AA24" s="165"/>
      <c r="AB24" s="165"/>
      <c r="AC24" s="165"/>
      <c r="AD24" s="165"/>
      <c r="AE24" s="165"/>
      <c r="AF24" s="165"/>
      <c r="AG24" s="165"/>
      <c r="AH24" s="165"/>
      <c r="AI24" s="165"/>
      <c r="AJ24" s="165"/>
      <c r="AK24" s="165"/>
      <c r="AL24" s="165"/>
      <c r="AM24" s="86"/>
      <c r="AN24" s="111"/>
    </row>
    <row r="25" spans="1:41">
      <c r="C25" s="78" t="s">
        <v>581</v>
      </c>
      <c r="D25" s="8">
        <f>H4/F4</f>
        <v>4400</v>
      </c>
      <c r="Q25" s="78"/>
      <c r="R25" s="165"/>
      <c r="S25" s="165"/>
      <c r="T25" s="165"/>
      <c r="U25" s="165"/>
      <c r="V25" s="165"/>
      <c r="W25" s="165"/>
      <c r="X25" s="163" t="s">
        <v>232</v>
      </c>
      <c r="Y25" s="163"/>
      <c r="Z25" s="165"/>
      <c r="AA25" s="165"/>
      <c r="AB25" s="165"/>
      <c r="AC25" s="165"/>
      <c r="AD25" s="165"/>
      <c r="AE25" s="165"/>
      <c r="AF25" s="165"/>
      <c r="AG25" s="165"/>
      <c r="AH25" s="165"/>
      <c r="AI25" s="165"/>
      <c r="AJ25" s="165"/>
      <c r="AK25" s="165"/>
      <c r="AL25" s="165"/>
      <c r="AM25" s="86"/>
      <c r="AN25" s="111"/>
    </row>
    <row r="26" spans="1:41">
      <c r="C26" s="78" t="s">
        <v>537</v>
      </c>
      <c r="D26" s="8"/>
      <c r="Q26" s="78" t="s">
        <v>589</v>
      </c>
      <c r="R26" s="165" t="s">
        <v>581</v>
      </c>
      <c r="S26" s="165"/>
      <c r="T26" s="165"/>
      <c r="U26" s="165"/>
      <c r="V26" s="165"/>
      <c r="W26" s="165"/>
      <c r="X26" s="165"/>
      <c r="Y26" s="166" t="s">
        <v>258</v>
      </c>
      <c r="Z26" s="165"/>
      <c r="AA26" s="165"/>
      <c r="AB26" s="165"/>
      <c r="AC26" s="165"/>
      <c r="AD26" s="165"/>
      <c r="AE26" s="165"/>
      <c r="AF26" s="165"/>
      <c r="AG26" s="165"/>
      <c r="AH26" s="165"/>
      <c r="AI26" s="165"/>
      <c r="AJ26" s="165"/>
      <c r="AK26" s="165"/>
      <c r="AL26" s="165"/>
      <c r="AM26" s="86"/>
      <c r="AN26" s="111"/>
    </row>
    <row r="27" spans="1:41">
      <c r="C27" s="78" t="s">
        <v>535</v>
      </c>
      <c r="D27" s="8"/>
      <c r="Q27" s="78" t="s">
        <v>590</v>
      </c>
      <c r="R27" s="165" t="s">
        <v>582</v>
      </c>
      <c r="S27" s="165"/>
      <c r="T27" s="165"/>
      <c r="U27" s="165"/>
      <c r="V27" s="165"/>
      <c r="W27" s="165"/>
      <c r="X27" s="165"/>
      <c r="Y27" s="165"/>
      <c r="Z27" s="163" t="s">
        <v>233</v>
      </c>
      <c r="AA27" s="166"/>
      <c r="AB27" s="165"/>
      <c r="AC27" s="165"/>
      <c r="AD27" s="165"/>
      <c r="AE27" s="165"/>
      <c r="AF27" s="165"/>
      <c r="AG27" s="165"/>
      <c r="AH27" s="165"/>
      <c r="AI27" s="165"/>
      <c r="AJ27" s="165"/>
      <c r="AK27" s="165"/>
      <c r="AL27" s="165"/>
      <c r="AM27" s="86"/>
      <c r="AN27" s="111"/>
      <c r="AO27" s="162"/>
    </row>
    <row r="28" spans="1:41">
      <c r="C28" s="78"/>
      <c r="D28" s="8"/>
      <c r="Q28" s="78"/>
      <c r="R28" s="165"/>
      <c r="S28" s="165"/>
      <c r="T28" s="165"/>
      <c r="U28" s="165"/>
      <c r="V28" s="165"/>
      <c r="W28" s="165"/>
      <c r="X28" s="165"/>
      <c r="Y28" s="165"/>
      <c r="Z28" s="166"/>
      <c r="AA28" s="166" t="s">
        <v>259</v>
      </c>
      <c r="AB28" s="165"/>
      <c r="AC28" s="165"/>
      <c r="AD28" s="165"/>
      <c r="AE28" s="165"/>
      <c r="AF28" s="165"/>
      <c r="AG28" s="165"/>
      <c r="AH28" s="165"/>
      <c r="AI28" s="165"/>
      <c r="AJ28" s="165"/>
      <c r="AK28" s="165"/>
      <c r="AL28" s="165"/>
      <c r="AM28" s="86"/>
      <c r="AN28" s="111"/>
      <c r="AO28" s="162"/>
    </row>
    <row r="29" spans="1:41">
      <c r="C29" s="78" t="s">
        <v>582</v>
      </c>
      <c r="D29" s="8">
        <f>H8/F8</f>
        <v>4400</v>
      </c>
      <c r="Q29" s="78" t="s">
        <v>586</v>
      </c>
      <c r="R29" s="607" t="s">
        <v>585</v>
      </c>
      <c r="S29" s="165"/>
      <c r="T29" s="165"/>
      <c r="U29" s="165"/>
      <c r="V29" s="165"/>
      <c r="W29" s="165"/>
      <c r="X29" s="165"/>
      <c r="Y29" s="165"/>
      <c r="Z29" s="165"/>
      <c r="AA29" s="165"/>
      <c r="AB29" s="163" t="s">
        <v>234</v>
      </c>
      <c r="AC29" s="165"/>
      <c r="AD29" s="165"/>
      <c r="AE29" s="165"/>
      <c r="AF29" s="165"/>
      <c r="AG29" s="165"/>
      <c r="AH29" s="165"/>
      <c r="AI29" s="165"/>
      <c r="AJ29" s="165"/>
      <c r="AK29" s="165"/>
      <c r="AL29" s="165"/>
      <c r="AM29" s="86"/>
      <c r="AN29" s="348"/>
    </row>
    <row r="30" spans="1:41">
      <c r="C30" s="78" t="s">
        <v>537</v>
      </c>
      <c r="D30" s="8"/>
      <c r="Q30" s="371"/>
      <c r="R30" s="165"/>
      <c r="S30" s="165"/>
      <c r="T30" s="165"/>
      <c r="U30" s="8"/>
      <c r="V30" s="8"/>
      <c r="W30" s="165"/>
      <c r="X30" s="165"/>
      <c r="Y30" s="165"/>
      <c r="Z30" s="165"/>
      <c r="AA30" s="165"/>
      <c r="AB30" s="165"/>
      <c r="AC30" s="166" t="s">
        <v>235</v>
      </c>
      <c r="AD30" s="165"/>
      <c r="AE30" s="165"/>
      <c r="AF30" s="165"/>
      <c r="AG30" s="165"/>
      <c r="AH30" s="165"/>
      <c r="AI30" s="165"/>
      <c r="AJ30" s="165"/>
      <c r="AK30" s="165"/>
      <c r="AL30" s="165"/>
      <c r="AM30" s="86"/>
      <c r="AN30" s="111"/>
    </row>
    <row r="31" spans="1:41">
      <c r="C31" s="78" t="s">
        <v>535</v>
      </c>
      <c r="D31" s="8"/>
      <c r="S31" s="165"/>
      <c r="T31" s="165"/>
      <c r="U31" s="8"/>
      <c r="V31" s="8"/>
      <c r="W31" s="165"/>
      <c r="X31" s="165"/>
      <c r="Y31" s="165"/>
      <c r="Z31" s="165"/>
      <c r="AA31" s="165"/>
      <c r="AB31" s="165"/>
      <c r="AC31" s="165"/>
      <c r="AD31" s="163" t="s">
        <v>274</v>
      </c>
      <c r="AE31" s="167"/>
      <c r="AF31" s="167"/>
      <c r="AG31" s="167"/>
      <c r="AH31" s="167"/>
      <c r="AI31" s="167"/>
      <c r="AJ31" s="167"/>
      <c r="AK31" s="167"/>
      <c r="AL31" s="167"/>
      <c r="AM31" s="166"/>
    </row>
    <row r="32" spans="1:41">
      <c r="C32" s="78"/>
      <c r="R32" s="165"/>
      <c r="S32" s="86"/>
      <c r="T32" s="86"/>
      <c r="U32" s="8"/>
      <c r="V32" s="8"/>
      <c r="W32" s="165"/>
      <c r="X32" s="165"/>
      <c r="Y32" s="165"/>
      <c r="Z32" s="165"/>
      <c r="AA32" s="165"/>
      <c r="AB32" s="165"/>
      <c r="AC32" s="165"/>
      <c r="AD32" s="165"/>
      <c r="AE32" s="163" t="s">
        <v>275</v>
      </c>
      <c r="AF32" s="166"/>
      <c r="AG32" s="166"/>
      <c r="AH32" s="166"/>
      <c r="AI32" s="166"/>
      <c r="AJ32" s="166"/>
      <c r="AK32" s="166"/>
      <c r="AL32" s="166"/>
      <c r="AM32" s="86"/>
    </row>
    <row r="33" spans="2:38">
      <c r="C33" s="78" t="s">
        <v>583</v>
      </c>
      <c r="D33" s="8">
        <f>H10/F10</f>
        <v>2200</v>
      </c>
      <c r="S33" s="2"/>
      <c r="T33" s="2"/>
      <c r="U33" s="8"/>
      <c r="V33" s="8"/>
      <c r="AF33" s="166" t="s">
        <v>276</v>
      </c>
      <c r="AG33" s="167"/>
      <c r="AH33" s="167"/>
      <c r="AI33" s="167"/>
      <c r="AJ33" s="167"/>
      <c r="AK33" s="167"/>
    </row>
    <row r="34" spans="2:38">
      <c r="C34" s="78" t="s">
        <v>538</v>
      </c>
      <c r="D34" s="8"/>
      <c r="E34" s="8"/>
      <c r="R34" s="86"/>
      <c r="U34" s="8"/>
      <c r="V34" s="8"/>
      <c r="AF34" s="165"/>
      <c r="AG34" s="271" t="s">
        <v>277</v>
      </c>
      <c r="AH34" s="271"/>
      <c r="AI34" s="271"/>
      <c r="AJ34" s="271"/>
      <c r="AK34" s="271"/>
      <c r="AL34" s="271"/>
    </row>
    <row r="35" spans="2:38">
      <c r="C35" s="78" t="s">
        <v>535</v>
      </c>
      <c r="D35" s="8"/>
      <c r="E35" s="8"/>
      <c r="R35" s="2"/>
      <c r="U35" s="8"/>
      <c r="V35" s="8"/>
      <c r="AG35" s="165"/>
      <c r="AH35" s="163" t="s">
        <v>484</v>
      </c>
      <c r="AI35" s="165"/>
      <c r="AJ35" s="165"/>
      <c r="AK35" s="165"/>
      <c r="AL35" s="166"/>
    </row>
    <row r="36" spans="2:38">
      <c r="C36" s="78"/>
      <c r="D36" s="8"/>
      <c r="E36" s="8"/>
      <c r="U36" s="8"/>
      <c r="V36" s="8"/>
      <c r="AI36" s="166" t="s">
        <v>481</v>
      </c>
      <c r="AJ36" s="166"/>
      <c r="AK36" s="166"/>
    </row>
    <row r="37" spans="2:38">
      <c r="C37" s="78" t="s">
        <v>584</v>
      </c>
      <c r="D37" s="8">
        <f>H11/F11</f>
        <v>2200</v>
      </c>
      <c r="E37" s="8"/>
      <c r="U37" s="8"/>
      <c r="V37" s="8"/>
      <c r="AJ37" s="163" t="s">
        <v>482</v>
      </c>
      <c r="AK37" s="165"/>
    </row>
    <row r="38" spans="2:38">
      <c r="C38" s="78" t="s">
        <v>538</v>
      </c>
      <c r="D38" s="8"/>
      <c r="E38" s="8"/>
      <c r="U38" s="8"/>
      <c r="V38" s="8"/>
      <c r="AK38" s="166" t="s">
        <v>483</v>
      </c>
    </row>
    <row r="39" spans="2:38">
      <c r="C39" s="78" t="s">
        <v>535</v>
      </c>
      <c r="D39" s="8"/>
      <c r="E39" s="8"/>
      <c r="U39" s="8"/>
      <c r="V39" s="8"/>
    </row>
    <row r="40" spans="2:38">
      <c r="D40" s="58"/>
      <c r="E40" s="58"/>
      <c r="F40" s="58"/>
      <c r="U40" s="8"/>
      <c r="V40" s="8"/>
    </row>
    <row r="41" spans="2:38">
      <c r="C41" s="78" t="s">
        <v>585</v>
      </c>
      <c r="D41" s="3">
        <f>H12/F12</f>
        <v>2200</v>
      </c>
      <c r="E41" s="58"/>
      <c r="F41" s="58"/>
    </row>
    <row r="42" spans="2:38">
      <c r="B42" s="3"/>
      <c r="C42" s="78" t="s">
        <v>538</v>
      </c>
      <c r="E42" s="58"/>
      <c r="F42" s="58"/>
    </row>
    <row r="43" spans="2:38">
      <c r="B43" s="3"/>
      <c r="C43" s="78" t="s">
        <v>535</v>
      </c>
      <c r="E43" s="58"/>
      <c r="F43" s="58"/>
    </row>
    <row r="44" spans="2:38">
      <c r="B44" s="300"/>
      <c r="E44" s="8"/>
      <c r="R44" s="86"/>
    </row>
    <row r="45" spans="2:38">
      <c r="B45" s="3"/>
      <c r="R45" s="2"/>
      <c r="S45" s="167"/>
    </row>
    <row r="46" spans="2:38">
      <c r="B46" s="3" t="s">
        <v>587</v>
      </c>
      <c r="C46" s="78" t="s">
        <v>586</v>
      </c>
      <c r="D46" s="3">
        <f>H13/F13</f>
        <v>4400</v>
      </c>
    </row>
    <row r="47" spans="2:38">
      <c r="B47" s="3" t="s">
        <v>588</v>
      </c>
      <c r="C47" s="78" t="s">
        <v>537</v>
      </c>
    </row>
    <row r="48" spans="2:38">
      <c r="B48" s="3"/>
      <c r="C48" s="78" t="s">
        <v>535</v>
      </c>
    </row>
    <row r="49" spans="2:18">
      <c r="B49" s="3"/>
    </row>
    <row r="52" spans="2:18">
      <c r="G52" s="58"/>
    </row>
    <row r="54" spans="2:18">
      <c r="R54" s="607"/>
    </row>
  </sheetData>
  <mergeCells count="9">
    <mergeCell ref="F1:L1"/>
    <mergeCell ref="M1:N1"/>
    <mergeCell ref="O1:Q1"/>
    <mergeCell ref="R1:AO1"/>
    <mergeCell ref="A17:E17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J111"/>
  <sheetViews>
    <sheetView workbookViewId="0">
      <pane ySplit="2" topLeftCell="A3" activePane="bottomLeft" state="frozen"/>
      <selection pane="bottomLeft" activeCell="C45" sqref="C45:C46"/>
    </sheetView>
  </sheetViews>
  <sheetFormatPr defaultRowHeight="11.25"/>
  <cols>
    <col min="1" max="1" width="7.28515625" style="8" bestFit="1" customWidth="1"/>
    <col min="2" max="2" width="8.7109375" style="8" bestFit="1" customWidth="1"/>
    <col min="3" max="3" width="67.7109375" style="89" bestFit="1" customWidth="1"/>
    <col min="4" max="4" width="7.5703125" style="3" customWidth="1"/>
    <col min="5" max="5" width="8" style="3" customWidth="1"/>
    <col min="6" max="6" width="10.28515625" style="3" customWidth="1"/>
    <col min="7" max="7" width="9.5703125" style="2" bestFit="1" customWidth="1"/>
    <col min="8" max="11" width="9.5703125" style="2" customWidth="1"/>
    <col min="12" max="12" width="10.7109375" style="2" bestFit="1" customWidth="1"/>
    <col min="13" max="13" width="10.140625" style="2" bestFit="1" customWidth="1"/>
    <col min="14" max="14" width="9.85546875" style="2" customWidth="1"/>
    <col min="15" max="15" width="12.28515625" style="2" customWidth="1"/>
    <col min="16" max="16" width="9.5703125" style="2" bestFit="1" customWidth="1"/>
    <col min="17" max="17" width="11.85546875" style="3" customWidth="1"/>
    <col min="18" max="18" width="14.28515625" style="3" customWidth="1"/>
    <col min="19" max="20" width="11.28515625" style="3" customWidth="1"/>
    <col min="21" max="21" width="9.28515625" style="28" bestFit="1" customWidth="1"/>
    <col min="22" max="22" width="5.7109375" style="3" bestFit="1" customWidth="1"/>
    <col min="23" max="23" width="10.7109375" style="3" customWidth="1"/>
    <col min="24" max="24" width="8.85546875" style="3" bestFit="1" customWidth="1"/>
    <col min="25" max="25" width="12.5703125" style="3" customWidth="1"/>
    <col min="26" max="26" width="5.85546875" style="2" bestFit="1" customWidth="1"/>
    <col min="27" max="27" width="7.7109375" style="3" bestFit="1" customWidth="1"/>
    <col min="28" max="28" width="12.7109375" style="3" customWidth="1"/>
    <col min="29" max="29" width="5.7109375" style="3" customWidth="1"/>
    <col min="30" max="30" width="7.42578125" style="3" customWidth="1"/>
    <col min="31" max="31" width="10.7109375" style="28" bestFit="1" customWidth="1"/>
    <col min="32" max="32" width="8.28515625" style="3" bestFit="1" customWidth="1"/>
    <col min="33" max="33" width="9.7109375" style="3" bestFit="1" customWidth="1"/>
    <col min="34" max="34" width="6" style="3" bestFit="1" customWidth="1"/>
    <col min="35" max="35" width="4.42578125" style="3" bestFit="1" customWidth="1"/>
    <col min="36" max="37" width="10.5703125" style="8" customWidth="1"/>
    <col min="38" max="38" width="6.85546875" style="8" customWidth="1"/>
    <col min="39" max="39" width="6.7109375" style="3" customWidth="1"/>
    <col min="40" max="40" width="5.7109375" style="3" bestFit="1" customWidth="1"/>
    <col min="41" max="41" width="3.140625" style="3" bestFit="1" customWidth="1"/>
    <col min="42" max="42" width="10.7109375" style="3" customWidth="1"/>
    <col min="43" max="43" width="8.85546875" style="3" bestFit="1" customWidth="1"/>
    <col min="44" max="44" width="12.5703125" style="3" customWidth="1"/>
    <col min="45" max="45" width="5.7109375" style="3" bestFit="1" customWidth="1"/>
    <col min="46" max="46" width="8.28515625" style="3" customWidth="1"/>
    <col min="47" max="47" width="16.85546875" style="3" customWidth="1"/>
    <col min="48" max="49" width="8.85546875" style="3" bestFit="1" customWidth="1"/>
    <col min="50" max="50" width="7.5703125" style="3" bestFit="1" customWidth="1"/>
    <col min="51" max="51" width="3.5703125" style="3" bestFit="1" customWidth="1"/>
    <col min="52" max="52" width="7.140625" style="3" bestFit="1" customWidth="1"/>
    <col min="53" max="53" width="14.7109375" style="3" customWidth="1"/>
    <col min="54" max="54" width="6" style="3" bestFit="1" customWidth="1"/>
    <col min="55" max="55" width="3.5703125" style="3" bestFit="1" customWidth="1"/>
    <col min="56" max="56" width="10.42578125" style="3" bestFit="1" customWidth="1"/>
    <col min="57" max="57" width="8.85546875" style="3" bestFit="1" customWidth="1"/>
    <col min="58" max="59" width="6.7109375" style="3" bestFit="1" customWidth="1"/>
    <col min="60" max="60" width="8.7109375" style="28" bestFit="1" customWidth="1"/>
    <col min="61" max="62" width="8.85546875" style="3" bestFit="1" customWidth="1"/>
    <col min="63" max="16384" width="9.140625" style="3"/>
  </cols>
  <sheetData>
    <row r="1" spans="1:62" s="65" customFormat="1" ht="15.75" customHeight="1">
      <c r="A1" s="806" t="s">
        <v>31</v>
      </c>
      <c r="B1" s="807"/>
      <c r="C1" s="807"/>
      <c r="D1" s="807"/>
      <c r="E1" s="808"/>
      <c r="F1" s="819" t="s">
        <v>417</v>
      </c>
      <c r="G1" s="820"/>
      <c r="H1" s="820"/>
      <c r="I1" s="820"/>
      <c r="J1" s="820"/>
      <c r="K1" s="820"/>
      <c r="L1" s="820"/>
      <c r="M1" s="820"/>
      <c r="N1" s="820"/>
      <c r="O1" s="820"/>
      <c r="P1" s="820"/>
      <c r="Q1" s="820"/>
      <c r="R1" s="820"/>
      <c r="S1" s="821" t="s">
        <v>70</v>
      </c>
      <c r="T1" s="827" t="s">
        <v>162</v>
      </c>
      <c r="U1" s="806" t="s">
        <v>13</v>
      </c>
      <c r="V1" s="807"/>
      <c r="W1" s="807"/>
      <c r="X1" s="807"/>
      <c r="Y1" s="807"/>
      <c r="Z1" s="807"/>
      <c r="AA1" s="807"/>
      <c r="AB1" s="807"/>
      <c r="AC1" s="807"/>
      <c r="AD1" s="808"/>
      <c r="AE1" s="818" t="s">
        <v>14</v>
      </c>
      <c r="AF1" s="818"/>
      <c r="AG1" s="818"/>
      <c r="AH1" s="818"/>
      <c r="AI1" s="818"/>
      <c r="AJ1" s="818"/>
      <c r="AK1" s="818"/>
      <c r="AL1" s="818"/>
      <c r="AM1" s="818"/>
      <c r="AN1" s="806" t="s">
        <v>15</v>
      </c>
      <c r="AO1" s="807"/>
      <c r="AP1" s="807"/>
      <c r="AQ1" s="807"/>
      <c r="AR1" s="807"/>
      <c r="AS1" s="807"/>
      <c r="AT1" s="807"/>
      <c r="AU1" s="807"/>
      <c r="AV1" s="807"/>
      <c r="AW1" s="808"/>
      <c r="AX1" s="809" t="s">
        <v>16</v>
      </c>
      <c r="AY1" s="809"/>
      <c r="AZ1" s="809"/>
      <c r="BA1" s="809"/>
      <c r="BB1" s="809"/>
      <c r="BC1" s="809"/>
      <c r="BD1" s="809"/>
      <c r="BE1" s="809"/>
      <c r="BF1" s="810" t="s">
        <v>17</v>
      </c>
      <c r="BG1" s="811"/>
      <c r="BH1" s="811"/>
      <c r="BI1" s="811"/>
      <c r="BJ1" s="812"/>
    </row>
    <row r="2" spans="1:62" s="4" customFormat="1" ht="45.75" customHeight="1" thickBot="1">
      <c r="A2" s="79" t="s">
        <v>19</v>
      </c>
      <c r="B2" s="79"/>
      <c r="C2" s="88" t="s">
        <v>0</v>
      </c>
      <c r="D2" s="66" t="s">
        <v>11</v>
      </c>
      <c r="E2" s="67" t="s">
        <v>12</v>
      </c>
      <c r="F2" s="55" t="s">
        <v>71</v>
      </c>
      <c r="G2" s="41" t="s">
        <v>72</v>
      </c>
      <c r="H2" s="41" t="s">
        <v>253</v>
      </c>
      <c r="I2" s="41" t="s">
        <v>73</v>
      </c>
      <c r="J2" s="825" t="s">
        <v>29</v>
      </c>
      <c r="K2" s="826"/>
      <c r="L2" s="41" t="s">
        <v>153</v>
      </c>
      <c r="M2" s="41" t="s">
        <v>154</v>
      </c>
      <c r="N2" s="41" t="s">
        <v>92</v>
      </c>
      <c r="O2" s="41"/>
      <c r="P2" s="41" t="s">
        <v>161</v>
      </c>
      <c r="Q2" s="93" t="s">
        <v>98</v>
      </c>
      <c r="R2" s="112" t="s">
        <v>97</v>
      </c>
      <c r="S2" s="822"/>
      <c r="T2" s="828"/>
      <c r="U2" s="55" t="s">
        <v>32</v>
      </c>
      <c r="V2" s="55" t="s">
        <v>19</v>
      </c>
      <c r="W2" s="41" t="s">
        <v>20</v>
      </c>
      <c r="X2" s="10" t="s">
        <v>21</v>
      </c>
      <c r="Y2" s="10" t="s">
        <v>22</v>
      </c>
      <c r="Z2" s="41" t="s">
        <v>23</v>
      </c>
      <c r="AA2" s="41" t="s">
        <v>24</v>
      </c>
      <c r="AB2" s="41" t="s">
        <v>25</v>
      </c>
      <c r="AC2" s="813" t="s">
        <v>29</v>
      </c>
      <c r="AD2" s="814"/>
      <c r="AE2" s="55" t="s">
        <v>28</v>
      </c>
      <c r="AF2" s="55" t="s">
        <v>19</v>
      </c>
      <c r="AG2" s="41" t="s">
        <v>20</v>
      </c>
      <c r="AH2" s="10" t="s">
        <v>27</v>
      </c>
      <c r="AI2" s="10" t="s">
        <v>19</v>
      </c>
      <c r="AJ2" s="71" t="s">
        <v>74</v>
      </c>
      <c r="AK2" s="71" t="s">
        <v>75</v>
      </c>
      <c r="AL2" s="823" t="s">
        <v>29</v>
      </c>
      <c r="AM2" s="824"/>
      <c r="AN2" s="55" t="s">
        <v>18</v>
      </c>
      <c r="AO2" s="55" t="s">
        <v>19</v>
      </c>
      <c r="AP2" s="41" t="s">
        <v>20</v>
      </c>
      <c r="AQ2" s="10" t="s">
        <v>21</v>
      </c>
      <c r="AR2" s="10" t="s">
        <v>22</v>
      </c>
      <c r="AS2" s="41" t="s">
        <v>23</v>
      </c>
      <c r="AT2" s="41" t="s">
        <v>24</v>
      </c>
      <c r="AU2" s="41" t="s">
        <v>25</v>
      </c>
      <c r="AV2" s="813" t="s">
        <v>29</v>
      </c>
      <c r="AW2" s="814"/>
      <c r="AX2" s="55" t="s">
        <v>18</v>
      </c>
      <c r="AY2" s="41" t="s">
        <v>19</v>
      </c>
      <c r="AZ2" s="41" t="s">
        <v>20</v>
      </c>
      <c r="BA2" s="41" t="s">
        <v>26</v>
      </c>
      <c r="BB2" s="10" t="s">
        <v>27</v>
      </c>
      <c r="BC2" s="10" t="s">
        <v>19</v>
      </c>
      <c r="BD2" s="41" t="s">
        <v>28</v>
      </c>
      <c r="BE2" s="42" t="s">
        <v>29</v>
      </c>
      <c r="BF2" s="56" t="s">
        <v>30</v>
      </c>
      <c r="BG2" s="56" t="s">
        <v>19</v>
      </c>
      <c r="BH2" s="57" t="s">
        <v>18</v>
      </c>
      <c r="BI2" s="813" t="s">
        <v>29</v>
      </c>
      <c r="BJ2" s="814"/>
    </row>
    <row r="3" spans="1:62" s="191" customFormat="1" ht="12" thickBot="1">
      <c r="A3" s="649">
        <f>'1-συμβολαια'!A3</f>
        <v>111</v>
      </c>
      <c r="B3" s="650">
        <f>'1-συμβολαια'!B3</f>
        <v>36101</v>
      </c>
      <c r="C3" s="651" t="str">
        <f>'1-συμβολαια'!C3</f>
        <v>πληρεξύσιο</v>
      </c>
      <c r="D3" s="516" t="str">
        <f>'4-πολλυπρ'!D3</f>
        <v>;;;???</v>
      </c>
      <c r="E3" s="516" t="str">
        <f>'4-πολλυπρ'!I3</f>
        <v>;;;???</v>
      </c>
      <c r="F3" s="516"/>
      <c r="G3" s="598"/>
      <c r="H3" s="516"/>
      <c r="I3" s="516"/>
      <c r="J3" s="662"/>
      <c r="K3" s="662"/>
      <c r="L3" s="516"/>
      <c r="M3" s="516"/>
      <c r="N3" s="516"/>
      <c r="O3" s="516"/>
      <c r="P3" s="516">
        <f>L3+M3</f>
        <v>0</v>
      </c>
      <c r="Q3" s="516"/>
      <c r="R3" s="516"/>
      <c r="S3" s="516"/>
      <c r="T3" s="272"/>
      <c r="U3" s="353"/>
      <c r="V3" s="352"/>
      <c r="W3" s="321" t="s">
        <v>418</v>
      </c>
      <c r="X3" s="321"/>
      <c r="Y3" s="321" t="s">
        <v>9</v>
      </c>
      <c r="Z3" s="354"/>
      <c r="AA3" s="321"/>
      <c r="AB3" s="321"/>
      <c r="AC3" s="321"/>
      <c r="AD3" s="352"/>
      <c r="AE3" s="353"/>
      <c r="AF3" s="352"/>
      <c r="AG3" s="352"/>
      <c r="AH3" s="352"/>
      <c r="AI3" s="352"/>
      <c r="AJ3" s="352"/>
      <c r="AK3" s="352"/>
      <c r="AL3" s="352"/>
      <c r="AM3" s="352"/>
      <c r="AN3" s="352"/>
      <c r="AO3" s="352"/>
      <c r="AP3" s="321" t="s">
        <v>418</v>
      </c>
      <c r="AQ3" s="352"/>
      <c r="AR3" s="321" t="s">
        <v>9</v>
      </c>
      <c r="AS3" s="352"/>
      <c r="AT3" s="352"/>
      <c r="AU3" s="352"/>
      <c r="AV3" s="352"/>
      <c r="AW3" s="353"/>
      <c r="AX3" s="352"/>
      <c r="AY3" s="352"/>
      <c r="AZ3" s="352"/>
      <c r="BA3" s="354"/>
      <c r="BB3" s="354"/>
      <c r="BC3" s="354"/>
      <c r="BD3" s="354"/>
      <c r="BE3" s="354"/>
      <c r="BF3" s="352"/>
      <c r="BG3" s="352"/>
      <c r="BH3" s="353"/>
      <c r="BI3" s="354"/>
      <c r="BJ3" s="354"/>
    </row>
    <row r="4" spans="1:62" s="191" customFormat="1">
      <c r="A4" s="538">
        <f>'1-συμβολαια'!A4</f>
        <v>113</v>
      </c>
      <c r="B4" s="532">
        <f>'1-συμβολαια'!B4</f>
        <v>36102</v>
      </c>
      <c r="C4" s="319" t="str">
        <f>'1-συμβολαια'!C4</f>
        <v>δωρεάς ΠΡΟΤΑΣΗ [1/2 αγροτεμάχιο ;;;??? [το ανατολικό] Θεολόγος -Ποτός -'';;;???'' 2.798μ2</v>
      </c>
      <c r="D4" s="302" t="str">
        <f>'4-πολλυπρ'!D4</f>
        <v>;;;???</v>
      </c>
      <c r="E4" s="302" t="str">
        <f>'4-πολλυπρ'!I4</f>
        <v>;;;???</v>
      </c>
      <c r="F4" s="302">
        <v>2</v>
      </c>
      <c r="G4" s="311">
        <f t="shared" ref="G4:G15" si="0">F4*1100</f>
        <v>2200</v>
      </c>
      <c r="H4" s="302">
        <f t="shared" ref="H4:H15" si="1">2*1100</f>
        <v>2200</v>
      </c>
      <c r="I4" s="302">
        <f t="shared" ref="I4:I15" si="2">G4+H4</f>
        <v>4400</v>
      </c>
      <c r="J4" s="323" t="s">
        <v>159</v>
      </c>
      <c r="K4" s="323" t="s">
        <v>160</v>
      </c>
      <c r="L4" s="272">
        <v>2000</v>
      </c>
      <c r="M4" s="272">
        <v>2000</v>
      </c>
      <c r="N4" s="272">
        <v>3200</v>
      </c>
      <c r="O4" s="302"/>
      <c r="P4" s="302">
        <f t="shared" ref="P4:P14" si="3">L4+M4</f>
        <v>4000</v>
      </c>
      <c r="Q4" s="302"/>
      <c r="R4" s="302"/>
      <c r="S4" s="302"/>
      <c r="T4" s="272"/>
      <c r="U4" s="353"/>
      <c r="V4" s="352"/>
      <c r="W4" s="321" t="s">
        <v>418</v>
      </c>
      <c r="X4" s="321"/>
      <c r="Y4" s="321" t="s">
        <v>9</v>
      </c>
      <c r="Z4" s="354"/>
      <c r="AA4" s="321"/>
      <c r="AB4" s="321"/>
      <c r="AC4" s="321"/>
      <c r="AD4" s="352"/>
      <c r="AE4" s="353"/>
      <c r="AF4" s="352"/>
      <c r="AG4" s="352"/>
      <c r="AH4" s="352"/>
      <c r="AI4" s="352"/>
      <c r="AJ4" s="352"/>
      <c r="AK4" s="352"/>
      <c r="AL4" s="352"/>
      <c r="AM4" s="352"/>
      <c r="AN4" s="352"/>
      <c r="AO4" s="352"/>
      <c r="AP4" s="321" t="s">
        <v>418</v>
      </c>
      <c r="AQ4" s="352"/>
      <c r="AR4" s="321" t="s">
        <v>9</v>
      </c>
      <c r="AS4" s="352"/>
      <c r="AT4" s="352"/>
      <c r="AU4" s="352"/>
      <c r="AV4" s="352"/>
      <c r="AW4" s="353"/>
      <c r="AX4" s="352"/>
      <c r="AY4" s="352"/>
      <c r="AZ4" s="352"/>
      <c r="BA4" s="354"/>
      <c r="BB4" s="354"/>
      <c r="BC4" s="354"/>
      <c r="BD4" s="354"/>
      <c r="BE4" s="354"/>
      <c r="BF4" s="352"/>
      <c r="BG4" s="352"/>
      <c r="BH4" s="353"/>
      <c r="BI4" s="354"/>
      <c r="BJ4" s="354"/>
    </row>
    <row r="5" spans="1:62" s="191" customFormat="1">
      <c r="A5" s="539">
        <f>'1-συμβολαια'!A5</f>
        <v>0</v>
      </c>
      <c r="B5" s="353"/>
      <c r="C5" s="319" t="str">
        <f>'1-συμβολαια'!C5</f>
        <v>χρησικτησία αγροτεμαχίου = 1984 ΑΝΑΔΑΣΜΟΣ</v>
      </c>
      <c r="D5" s="272" t="str">
        <f>'4-πολλυπρ'!D5</f>
        <v>;;;???</v>
      </c>
      <c r="E5" s="272">
        <f>'4-πολλυπρ'!I5</f>
        <v>0</v>
      </c>
      <c r="F5" s="272"/>
      <c r="G5" s="311"/>
      <c r="H5" s="302"/>
      <c r="I5" s="302"/>
      <c r="J5" s="323"/>
      <c r="K5" s="323"/>
      <c r="L5" s="302"/>
      <c r="M5" s="302"/>
      <c r="N5" s="302"/>
      <c r="O5" s="302"/>
      <c r="P5" s="302">
        <f t="shared" si="3"/>
        <v>0</v>
      </c>
      <c r="Q5" s="272"/>
      <c r="R5" s="272"/>
      <c r="S5" s="272"/>
      <c r="T5" s="272"/>
      <c r="U5" s="353"/>
      <c r="V5" s="352"/>
      <c r="W5" s="321" t="s">
        <v>418</v>
      </c>
      <c r="X5" s="321"/>
      <c r="Y5" s="321" t="s">
        <v>9</v>
      </c>
      <c r="Z5" s="354"/>
      <c r="AA5" s="321"/>
      <c r="AB5" s="321"/>
      <c r="AC5" s="321"/>
      <c r="AD5" s="352"/>
      <c r="AE5" s="353"/>
      <c r="AF5" s="352"/>
      <c r="AG5" s="352"/>
      <c r="AH5" s="352"/>
      <c r="AI5" s="352"/>
      <c r="AJ5" s="352"/>
      <c r="AK5" s="352"/>
      <c r="AL5" s="352"/>
      <c r="AM5" s="352"/>
      <c r="AN5" s="352"/>
      <c r="AO5" s="352"/>
      <c r="AP5" s="321" t="s">
        <v>418</v>
      </c>
      <c r="AQ5" s="352"/>
      <c r="AR5" s="321" t="s">
        <v>9</v>
      </c>
      <c r="AS5" s="352"/>
      <c r="AT5" s="352"/>
      <c r="AU5" s="352"/>
      <c r="AV5" s="352"/>
      <c r="AW5" s="353"/>
      <c r="AX5" s="352"/>
      <c r="AY5" s="352"/>
      <c r="AZ5" s="352"/>
      <c r="BA5" s="354"/>
      <c r="BB5" s="354"/>
      <c r="BC5" s="354"/>
      <c r="BD5" s="354"/>
      <c r="BE5" s="354"/>
      <c r="BF5" s="352"/>
      <c r="BG5" s="352"/>
      <c r="BH5" s="353"/>
      <c r="BI5" s="354"/>
      <c r="BJ5" s="354"/>
    </row>
    <row r="6" spans="1:62" s="191" customFormat="1">
      <c r="A6" s="539">
        <f>'1-συμβολαια'!A6</f>
        <v>0</v>
      </c>
      <c r="B6" s="353"/>
      <c r="C6" s="319" t="str">
        <f>'1-συμβολαια'!C6</f>
        <v>διανομή [= ισομερής ΑΛΛΑ βάσει ΦΜΑ της Δ.Ο.Υ (3ου &amp; ;;;???}</v>
      </c>
      <c r="D6" s="272" t="str">
        <f>'4-πολλυπρ'!D6</f>
        <v>;;;???</v>
      </c>
      <c r="E6" s="272">
        <f>'4-πολλυπρ'!I6</f>
        <v>0</v>
      </c>
      <c r="F6" s="302">
        <v>2</v>
      </c>
      <c r="G6" s="311">
        <f t="shared" ref="G6" si="4">F6*1100</f>
        <v>2200</v>
      </c>
      <c r="H6" s="302">
        <f t="shared" si="1"/>
        <v>2200</v>
      </c>
      <c r="I6" s="302">
        <f t="shared" ref="I6" si="5">G6+H6</f>
        <v>4400</v>
      </c>
      <c r="J6" s="323" t="s">
        <v>159</v>
      </c>
      <c r="K6" s="323" t="s">
        <v>160</v>
      </c>
      <c r="L6" s="302"/>
      <c r="M6" s="302"/>
      <c r="N6" s="302">
        <v>3200</v>
      </c>
      <c r="O6" s="302"/>
      <c r="P6" s="302">
        <f t="shared" si="3"/>
        <v>0</v>
      </c>
      <c r="Q6" s="272"/>
      <c r="R6" s="272"/>
      <c r="S6" s="272"/>
      <c r="T6" s="272"/>
      <c r="U6" s="353"/>
      <c r="V6" s="352"/>
      <c r="W6" s="321" t="s">
        <v>418</v>
      </c>
      <c r="X6" s="321"/>
      <c r="Y6" s="321" t="s">
        <v>9</v>
      </c>
      <c r="Z6" s="354"/>
      <c r="AA6" s="321"/>
      <c r="AB6" s="321"/>
      <c r="AC6" s="321"/>
      <c r="AD6" s="352"/>
      <c r="AE6" s="353"/>
      <c r="AF6" s="352"/>
      <c r="AG6" s="352"/>
      <c r="AH6" s="352"/>
      <c r="AI6" s="352"/>
      <c r="AJ6" s="352"/>
      <c r="AK6" s="352"/>
      <c r="AL6" s="352"/>
      <c r="AM6" s="352"/>
      <c r="AN6" s="352"/>
      <c r="AO6" s="352"/>
      <c r="AP6" s="321" t="s">
        <v>418</v>
      </c>
      <c r="AQ6" s="352"/>
      <c r="AR6" s="321" t="s">
        <v>9</v>
      </c>
      <c r="AS6" s="352"/>
      <c r="AT6" s="352"/>
      <c r="AU6" s="352"/>
      <c r="AV6" s="352"/>
      <c r="AW6" s="353"/>
      <c r="AX6" s="352"/>
      <c r="AY6" s="352"/>
      <c r="AZ6" s="352"/>
      <c r="BA6" s="354"/>
      <c r="BB6" s="354"/>
      <c r="BC6" s="354"/>
      <c r="BD6" s="354"/>
      <c r="BE6" s="354"/>
      <c r="BF6" s="352"/>
      <c r="BG6" s="352"/>
      <c r="BH6" s="353"/>
      <c r="BI6" s="354"/>
      <c r="BJ6" s="354"/>
    </row>
    <row r="7" spans="1:62" s="191" customFormat="1" ht="12" thickBot="1">
      <c r="A7" s="540">
        <f>'1-συμβολαια'!A7</f>
        <v>0</v>
      </c>
      <c r="B7" s="534"/>
      <c r="C7" s="535" t="str">
        <f>'1-συμβολαια'!C7</f>
        <v>εξισορρόπηση διαφοράς διανεμομένων μεριδίων</v>
      </c>
      <c r="D7" s="416" t="str">
        <f>'4-πολλυπρ'!D7</f>
        <v>;;;???</v>
      </c>
      <c r="E7" s="416">
        <f>'4-πολλυπρ'!I7</f>
        <v>0</v>
      </c>
      <c r="F7" s="416"/>
      <c r="G7" s="536"/>
      <c r="H7" s="416"/>
      <c r="I7" s="416"/>
      <c r="J7" s="537"/>
      <c r="K7" s="537"/>
      <c r="L7" s="416"/>
      <c r="M7" s="416"/>
      <c r="N7" s="416"/>
      <c r="O7" s="416"/>
      <c r="P7" s="416">
        <f t="shared" si="3"/>
        <v>0</v>
      </c>
      <c r="Q7" s="416"/>
      <c r="R7" s="416"/>
      <c r="S7" s="416"/>
      <c r="T7" s="272"/>
      <c r="U7" s="353"/>
      <c r="V7" s="352"/>
      <c r="W7" s="321" t="s">
        <v>418</v>
      </c>
      <c r="X7" s="321"/>
      <c r="Y7" s="321" t="s">
        <v>9</v>
      </c>
      <c r="Z7" s="354"/>
      <c r="AA7" s="321"/>
      <c r="AB7" s="321"/>
      <c r="AC7" s="321"/>
      <c r="AD7" s="352"/>
      <c r="AE7" s="353"/>
      <c r="AF7" s="352"/>
      <c r="AG7" s="352"/>
      <c r="AH7" s="352"/>
      <c r="AI7" s="352"/>
      <c r="AJ7" s="352"/>
      <c r="AK7" s="352"/>
      <c r="AL7" s="352"/>
      <c r="AM7" s="352"/>
      <c r="AN7" s="352"/>
      <c r="AO7" s="352"/>
      <c r="AP7" s="321" t="s">
        <v>418</v>
      </c>
      <c r="AQ7" s="352"/>
      <c r="AR7" s="321" t="s">
        <v>9</v>
      </c>
      <c r="AS7" s="352"/>
      <c r="AT7" s="352"/>
      <c r="AU7" s="352"/>
      <c r="AV7" s="352"/>
      <c r="AW7" s="353"/>
      <c r="AX7" s="352"/>
      <c r="AY7" s="352"/>
      <c r="AZ7" s="352"/>
      <c r="BA7" s="354"/>
      <c r="BB7" s="354"/>
      <c r="BC7" s="354"/>
      <c r="BD7" s="354"/>
      <c r="BE7" s="354"/>
      <c r="BF7" s="352"/>
      <c r="BG7" s="352"/>
      <c r="BH7" s="353"/>
      <c r="BI7" s="354"/>
      <c r="BJ7" s="354"/>
    </row>
    <row r="8" spans="1:62" s="191" customFormat="1">
      <c r="A8" s="659">
        <f>'1-συμβολαια'!A8</f>
        <v>114</v>
      </c>
      <c r="B8" s="652">
        <f>'1-συμβολαια'!B8</f>
        <v>36102</v>
      </c>
      <c r="C8" s="653" t="str">
        <f>'1-συμβολαια'!C8</f>
        <v>δωρεάς ΠΡΟΤΑΣΗ [αγροτεμάχιο Θεολόγος -'';;;???'' 2.000μ2</v>
      </c>
      <c r="D8" s="654" t="str">
        <f>'4-πολλυπρ'!D8</f>
        <v>;;;???</v>
      </c>
      <c r="E8" s="654" t="str">
        <f>'4-πολλυπρ'!I8</f>
        <v>;;;???</v>
      </c>
      <c r="F8" s="302">
        <v>2</v>
      </c>
      <c r="G8" s="311">
        <f t="shared" si="0"/>
        <v>2200</v>
      </c>
      <c r="H8" s="302">
        <f t="shared" si="1"/>
        <v>2200</v>
      </c>
      <c r="I8" s="302">
        <f t="shared" si="2"/>
        <v>4400</v>
      </c>
      <c r="J8" s="323" t="s">
        <v>159</v>
      </c>
      <c r="K8" s="323" t="s">
        <v>160</v>
      </c>
      <c r="L8" s="302"/>
      <c r="M8" s="302"/>
      <c r="N8" s="302">
        <v>3200</v>
      </c>
      <c r="O8" s="302"/>
      <c r="P8" s="302">
        <f t="shared" si="3"/>
        <v>0</v>
      </c>
      <c r="Q8" s="302"/>
      <c r="R8" s="302"/>
      <c r="S8" s="302"/>
      <c r="T8" s="272"/>
      <c r="U8" s="353"/>
      <c r="V8" s="352"/>
      <c r="W8" s="321" t="s">
        <v>418</v>
      </c>
      <c r="X8" s="321"/>
      <c r="Y8" s="321" t="s">
        <v>9</v>
      </c>
      <c r="Z8" s="354"/>
      <c r="AA8" s="321"/>
      <c r="AB8" s="321"/>
      <c r="AC8" s="321"/>
      <c r="AD8" s="352"/>
      <c r="AE8" s="353"/>
      <c r="AF8" s="352"/>
      <c r="AG8" s="352"/>
      <c r="AH8" s="352"/>
      <c r="AI8" s="352"/>
      <c r="AJ8" s="352"/>
      <c r="AK8" s="352"/>
      <c r="AL8" s="352"/>
      <c r="AM8" s="352"/>
      <c r="AN8" s="352"/>
      <c r="AO8" s="352"/>
      <c r="AP8" s="321" t="s">
        <v>418</v>
      </c>
      <c r="AQ8" s="352"/>
      <c r="AR8" s="321" t="s">
        <v>9</v>
      </c>
      <c r="AS8" s="352"/>
      <c r="AT8" s="352"/>
      <c r="AU8" s="352"/>
      <c r="AV8" s="352"/>
      <c r="AW8" s="353"/>
      <c r="AX8" s="352"/>
      <c r="AY8" s="352"/>
      <c r="AZ8" s="352"/>
      <c r="BA8" s="354"/>
      <c r="BB8" s="354"/>
      <c r="BC8" s="354"/>
      <c r="BD8" s="354"/>
      <c r="BE8" s="354"/>
      <c r="BF8" s="352"/>
      <c r="BG8" s="352"/>
      <c r="BH8" s="353"/>
      <c r="BI8" s="354"/>
      <c r="BJ8" s="354"/>
    </row>
    <row r="9" spans="1:62" s="191" customFormat="1" ht="12" thickBot="1">
      <c r="A9" s="660">
        <f>'1-συμβολαια'!A9</f>
        <v>0</v>
      </c>
      <c r="B9" s="534"/>
      <c r="C9" s="535" t="str">
        <f>'1-συμβολαια'!C9</f>
        <v>χρησικτησία αγροτεμαχίου = 1910 πατρός ΔΩΡΕΑ άτυπος</v>
      </c>
      <c r="D9" s="416" t="str">
        <f>'4-πολλυπρ'!D9</f>
        <v>;;;???</v>
      </c>
      <c r="E9" s="416">
        <f>'4-πολλυπρ'!I9</f>
        <v>0</v>
      </c>
      <c r="F9" s="416"/>
      <c r="G9" s="536"/>
      <c r="H9" s="416"/>
      <c r="I9" s="416"/>
      <c r="J9" s="537"/>
      <c r="K9" s="537"/>
      <c r="L9" s="416"/>
      <c r="M9" s="416"/>
      <c r="N9" s="416"/>
      <c r="O9" s="416"/>
      <c r="P9" s="416">
        <f t="shared" si="3"/>
        <v>0</v>
      </c>
      <c r="Q9" s="416"/>
      <c r="R9" s="416"/>
      <c r="S9" s="272"/>
      <c r="T9" s="272"/>
      <c r="U9" s="353"/>
      <c r="V9" s="352"/>
      <c r="W9" s="321" t="s">
        <v>418</v>
      </c>
      <c r="X9" s="321"/>
      <c r="Y9" s="321" t="s">
        <v>9</v>
      </c>
      <c r="Z9" s="354"/>
      <c r="AA9" s="321"/>
      <c r="AB9" s="321"/>
      <c r="AC9" s="321"/>
      <c r="AD9" s="352"/>
      <c r="AE9" s="353"/>
      <c r="AF9" s="352"/>
      <c r="AG9" s="352"/>
      <c r="AH9" s="352"/>
      <c r="AI9" s="352"/>
      <c r="AJ9" s="352"/>
      <c r="AK9" s="352"/>
      <c r="AL9" s="352"/>
      <c r="AM9" s="352"/>
      <c r="AN9" s="352"/>
      <c r="AO9" s="352"/>
      <c r="AP9" s="321" t="s">
        <v>418</v>
      </c>
      <c r="AQ9" s="352"/>
      <c r="AR9" s="321" t="s">
        <v>9</v>
      </c>
      <c r="AS9" s="352"/>
      <c r="AT9" s="352"/>
      <c r="AU9" s="352"/>
      <c r="AV9" s="352"/>
      <c r="AW9" s="353"/>
      <c r="AX9" s="352"/>
      <c r="AY9" s="352"/>
      <c r="AZ9" s="352"/>
      <c r="BA9" s="354"/>
      <c r="BB9" s="354"/>
      <c r="BC9" s="354"/>
      <c r="BD9" s="354"/>
      <c r="BE9" s="354"/>
      <c r="BF9" s="352"/>
      <c r="BG9" s="352"/>
      <c r="BH9" s="353"/>
      <c r="BI9" s="354"/>
      <c r="BJ9" s="354"/>
    </row>
    <row r="10" spans="1:62" s="191" customFormat="1">
      <c r="A10" s="531" t="str">
        <f>'1-συμβολαια'!A10</f>
        <v>;;;???</v>
      </c>
      <c r="B10" s="532" t="str">
        <f>'1-συμβολαια'!B10</f>
        <v>;;;???</v>
      </c>
      <c r="C10" s="319" t="str">
        <f>'1-συμβολαια'!C10</f>
        <v>δωρεάς πρότασης 2ου  ΑΠΟΔΟΧΗ</v>
      </c>
      <c r="D10" s="302" t="str">
        <f>'4-πολλυπρ'!D10</f>
        <v>;;;???</v>
      </c>
      <c r="E10" s="302" t="str">
        <f>'4-πολλυπρ'!I10</f>
        <v>;;;???</v>
      </c>
      <c r="F10" s="302">
        <v>1</v>
      </c>
      <c r="G10" s="311">
        <f t="shared" si="0"/>
        <v>1100</v>
      </c>
      <c r="H10" s="302">
        <f t="shared" si="1"/>
        <v>2200</v>
      </c>
      <c r="I10" s="302">
        <f t="shared" si="2"/>
        <v>3300</v>
      </c>
      <c r="J10" s="323" t="s">
        <v>159</v>
      </c>
      <c r="K10" s="323" t="s">
        <v>160</v>
      </c>
      <c r="L10" s="302">
        <v>2000</v>
      </c>
      <c r="M10" s="302">
        <v>2000</v>
      </c>
      <c r="N10" s="302">
        <v>3200</v>
      </c>
      <c r="O10" s="302"/>
      <c r="P10" s="302">
        <f t="shared" si="3"/>
        <v>4000</v>
      </c>
      <c r="Q10" s="302"/>
      <c r="R10" s="302"/>
      <c r="S10" s="272"/>
      <c r="T10" s="272"/>
      <c r="U10" s="353"/>
      <c r="V10" s="352"/>
      <c r="W10" s="321" t="s">
        <v>418</v>
      </c>
      <c r="X10" s="321"/>
      <c r="Y10" s="321" t="s">
        <v>9</v>
      </c>
      <c r="Z10" s="354"/>
      <c r="AA10" s="321"/>
      <c r="AB10" s="321"/>
      <c r="AC10" s="321"/>
      <c r="AD10" s="352"/>
      <c r="AE10" s="353"/>
      <c r="AF10" s="352"/>
      <c r="AG10" s="352"/>
      <c r="AH10" s="352"/>
      <c r="AI10" s="352"/>
      <c r="AJ10" s="352"/>
      <c r="AK10" s="352"/>
      <c r="AL10" s="352"/>
      <c r="AM10" s="352"/>
      <c r="AN10" s="352"/>
      <c r="AO10" s="352"/>
      <c r="AP10" s="321" t="s">
        <v>418</v>
      </c>
      <c r="AQ10" s="352"/>
      <c r="AR10" s="321" t="s">
        <v>9</v>
      </c>
      <c r="AS10" s="352"/>
      <c r="AT10" s="352"/>
      <c r="AU10" s="352"/>
      <c r="AV10" s="352"/>
      <c r="AW10" s="353"/>
      <c r="AX10" s="352"/>
      <c r="AY10" s="352"/>
      <c r="AZ10" s="352"/>
      <c r="BA10" s="354"/>
      <c r="BB10" s="354"/>
      <c r="BC10" s="354"/>
      <c r="BD10" s="354"/>
      <c r="BE10" s="354"/>
      <c r="BF10" s="352"/>
      <c r="BG10" s="352"/>
      <c r="BH10" s="353"/>
      <c r="BI10" s="354"/>
      <c r="BJ10" s="354"/>
    </row>
    <row r="11" spans="1:62" s="191" customFormat="1">
      <c r="A11" s="352" t="str">
        <f>'1-συμβολαια'!A11</f>
        <v>;;;???</v>
      </c>
      <c r="B11" s="532" t="str">
        <f>'1-συμβολαια'!B11</f>
        <v>;;;???</v>
      </c>
      <c r="C11" s="319" t="str">
        <f>'1-συμβολαια'!C11</f>
        <v>δωρεάς πρότασης  3ου  ΑΠΟΔΟΧΗ</v>
      </c>
      <c r="D11" s="272" t="str">
        <f>'4-πολλυπρ'!D11</f>
        <v>;;;???</v>
      </c>
      <c r="E11" s="272" t="str">
        <f>'4-πολλυπρ'!I11</f>
        <v>;;;???</v>
      </c>
      <c r="F11" s="272">
        <v>1</v>
      </c>
      <c r="G11" s="601">
        <f t="shared" si="0"/>
        <v>1100</v>
      </c>
      <c r="H11" s="272">
        <f t="shared" si="1"/>
        <v>2200</v>
      </c>
      <c r="I11" s="272">
        <f t="shared" si="2"/>
        <v>3300</v>
      </c>
      <c r="J11" s="658" t="s">
        <v>159</v>
      </c>
      <c r="K11" s="658" t="s">
        <v>160</v>
      </c>
      <c r="L11" s="272"/>
      <c r="M11" s="272"/>
      <c r="N11" s="272">
        <v>3200</v>
      </c>
      <c r="O11" s="272"/>
      <c r="P11" s="272">
        <f t="shared" si="3"/>
        <v>0</v>
      </c>
      <c r="Q11" s="272"/>
      <c r="R11" s="272"/>
      <c r="S11" s="272"/>
      <c r="T11" s="272"/>
      <c r="U11" s="353"/>
      <c r="V11" s="352"/>
      <c r="W11" s="321" t="s">
        <v>418</v>
      </c>
      <c r="X11" s="321"/>
      <c r="Y11" s="321" t="s">
        <v>9</v>
      </c>
      <c r="Z11" s="354"/>
      <c r="AA11" s="321"/>
      <c r="AB11" s="321"/>
      <c r="AC11" s="321"/>
      <c r="AD11" s="352"/>
      <c r="AE11" s="353"/>
      <c r="AF11" s="352"/>
      <c r="AG11" s="352"/>
      <c r="AH11" s="352"/>
      <c r="AI11" s="352"/>
      <c r="AJ11" s="352"/>
      <c r="AK11" s="352"/>
      <c r="AL11" s="352"/>
      <c r="AM11" s="352"/>
      <c r="AN11" s="352"/>
      <c r="AO11" s="352"/>
      <c r="AP11" s="321" t="s">
        <v>418</v>
      </c>
      <c r="AQ11" s="352"/>
      <c r="AR11" s="321" t="s">
        <v>9</v>
      </c>
      <c r="AS11" s="352"/>
      <c r="AT11" s="352"/>
      <c r="AU11" s="352"/>
      <c r="AV11" s="352"/>
      <c r="AW11" s="353"/>
      <c r="AX11" s="352"/>
      <c r="AY11" s="352"/>
      <c r="AZ11" s="352"/>
      <c r="BA11" s="354"/>
      <c r="BB11" s="354"/>
      <c r="BC11" s="354"/>
      <c r="BD11" s="354"/>
      <c r="BE11" s="354"/>
      <c r="BF11" s="352"/>
      <c r="BG11" s="352"/>
      <c r="BH11" s="353"/>
      <c r="BI11" s="354"/>
      <c r="BJ11" s="354"/>
    </row>
    <row r="12" spans="1:62" s="191" customFormat="1" ht="12" thickBot="1">
      <c r="A12" s="533">
        <f>'1-συμβολαια'!A12</f>
        <v>552</v>
      </c>
      <c r="B12" s="532">
        <f>'1-συμβολαια'!B12</f>
        <v>36384</v>
      </c>
      <c r="C12" s="535" t="str">
        <f>'1-συμβολαια'!C12</f>
        <v>πληρεξούσιο</v>
      </c>
      <c r="D12" s="416" t="str">
        <f>'4-πολλυπρ'!D12</f>
        <v>;;;???</v>
      </c>
      <c r="E12" s="416" t="str">
        <f>'4-πολλυπρ'!I12</f>
        <v>;;;???</v>
      </c>
      <c r="F12" s="416"/>
      <c r="G12" s="536"/>
      <c r="H12" s="416"/>
      <c r="I12" s="416"/>
      <c r="J12" s="537"/>
      <c r="K12" s="537"/>
      <c r="L12" s="416"/>
      <c r="M12" s="416"/>
      <c r="N12" s="416"/>
      <c r="O12" s="416"/>
      <c r="P12" s="416">
        <f t="shared" si="3"/>
        <v>0</v>
      </c>
      <c r="Q12" s="416"/>
      <c r="R12" s="416"/>
      <c r="S12" s="416"/>
      <c r="T12" s="272"/>
      <c r="U12" s="353"/>
      <c r="V12" s="352"/>
      <c r="W12" s="321" t="s">
        <v>418</v>
      </c>
      <c r="X12" s="321"/>
      <c r="Y12" s="321" t="s">
        <v>9</v>
      </c>
      <c r="Z12" s="354"/>
      <c r="AA12" s="321"/>
      <c r="AB12" s="321"/>
      <c r="AC12" s="321"/>
      <c r="AD12" s="352"/>
      <c r="AE12" s="353"/>
      <c r="AF12" s="352"/>
      <c r="AG12" s="352"/>
      <c r="AH12" s="352"/>
      <c r="AI12" s="352"/>
      <c r="AJ12" s="352"/>
      <c r="AK12" s="352"/>
      <c r="AL12" s="352"/>
      <c r="AM12" s="352"/>
      <c r="AN12" s="352"/>
      <c r="AO12" s="352"/>
      <c r="AP12" s="321" t="s">
        <v>418</v>
      </c>
      <c r="AQ12" s="352"/>
      <c r="AR12" s="321" t="s">
        <v>9</v>
      </c>
      <c r="AS12" s="352"/>
      <c r="AT12" s="352"/>
      <c r="AU12" s="352"/>
      <c r="AV12" s="352"/>
      <c r="AW12" s="353"/>
      <c r="AX12" s="352"/>
      <c r="AY12" s="352"/>
      <c r="AZ12" s="352"/>
      <c r="BA12" s="354"/>
      <c r="BB12" s="354"/>
      <c r="BC12" s="354"/>
      <c r="BD12" s="354"/>
      <c r="BE12" s="354"/>
      <c r="BF12" s="352"/>
      <c r="BG12" s="352"/>
      <c r="BH12" s="353"/>
      <c r="BI12" s="354"/>
      <c r="BJ12" s="354"/>
    </row>
    <row r="13" spans="1:62" s="191" customFormat="1">
      <c r="A13" s="661">
        <f>'1-συμβολαια'!A13</f>
        <v>564</v>
      </c>
      <c r="B13" s="652">
        <f>'1-συμβολαια'!B13</f>
        <v>36388</v>
      </c>
      <c r="C13" s="653" t="str">
        <f>'1-συμβολαια'!C13</f>
        <v>γονική</v>
      </c>
      <c r="D13" s="654" t="str">
        <f>'4-πολλυπρ'!D13</f>
        <v>;;;???</v>
      </c>
      <c r="E13" s="654" t="str">
        <f>'4-πολλυπρ'!I13</f>
        <v>;;;???</v>
      </c>
      <c r="F13" s="302">
        <v>2</v>
      </c>
      <c r="G13" s="311">
        <f t="shared" si="0"/>
        <v>2200</v>
      </c>
      <c r="H13" s="302">
        <f>2*1100</f>
        <v>2200</v>
      </c>
      <c r="I13" s="302">
        <f t="shared" si="2"/>
        <v>4400</v>
      </c>
      <c r="J13" s="323" t="s">
        <v>159</v>
      </c>
      <c r="K13" s="323" t="s">
        <v>160</v>
      </c>
      <c r="L13" s="302">
        <v>2000</v>
      </c>
      <c r="M13" s="302">
        <v>2000</v>
      </c>
      <c r="N13" s="302">
        <v>3200</v>
      </c>
      <c r="O13" s="302"/>
      <c r="P13" s="302">
        <f t="shared" si="3"/>
        <v>4000</v>
      </c>
      <c r="Q13" s="302"/>
      <c r="R13" s="302"/>
      <c r="S13" s="302"/>
      <c r="T13" s="272"/>
      <c r="U13" s="353"/>
      <c r="V13" s="352"/>
      <c r="W13" s="321" t="s">
        <v>418</v>
      </c>
      <c r="X13" s="321"/>
      <c r="Y13" s="321" t="s">
        <v>9</v>
      </c>
      <c r="Z13" s="354"/>
      <c r="AA13" s="321"/>
      <c r="AB13" s="321"/>
      <c r="AC13" s="321"/>
      <c r="AD13" s="352"/>
      <c r="AE13" s="353"/>
      <c r="AF13" s="352"/>
      <c r="AG13" s="352"/>
      <c r="AH13" s="352"/>
      <c r="AI13" s="352"/>
      <c r="AJ13" s="352"/>
      <c r="AK13" s="352"/>
      <c r="AL13" s="352"/>
      <c r="AM13" s="352"/>
      <c r="AN13" s="352"/>
      <c r="AO13" s="352"/>
      <c r="AP13" s="321" t="s">
        <v>418</v>
      </c>
      <c r="AQ13" s="352"/>
      <c r="AR13" s="321" t="s">
        <v>9</v>
      </c>
      <c r="AS13" s="352"/>
      <c r="AT13" s="352"/>
      <c r="AU13" s="352"/>
      <c r="AV13" s="352"/>
      <c r="AW13" s="353"/>
      <c r="AX13" s="352"/>
      <c r="AY13" s="352"/>
      <c r="AZ13" s="352"/>
      <c r="BA13" s="354"/>
      <c r="BB13" s="354"/>
      <c r="BC13" s="354"/>
      <c r="BD13" s="354"/>
      <c r="BE13" s="354"/>
      <c r="BF13" s="352"/>
      <c r="BG13" s="352"/>
      <c r="BH13" s="353"/>
      <c r="BI13" s="354"/>
      <c r="BJ13" s="354"/>
    </row>
    <row r="14" spans="1:62" s="191" customFormat="1">
      <c r="A14" s="538">
        <f>'1-συμβολαια'!A14</f>
        <v>0</v>
      </c>
      <c r="B14" s="532"/>
      <c r="C14" s="319" t="str">
        <f>'1-συμβολαια'!C14</f>
        <v>χρησικτησία αγροτεμαχίων = 1912 πατρός ΔΩΡΕΑ άτυπος</v>
      </c>
      <c r="D14" s="302" t="str">
        <f>'4-πολλυπρ'!D14</f>
        <v>πατήρ</v>
      </c>
      <c r="E14" s="302" t="str">
        <f>'4-πολλυπρ'!I14</f>
        <v>;;;???</v>
      </c>
      <c r="F14" s="272"/>
      <c r="G14" s="601"/>
      <c r="H14" s="272"/>
      <c r="I14" s="272"/>
      <c r="J14" s="658"/>
      <c r="K14" s="658"/>
      <c r="L14" s="272"/>
      <c r="M14" s="272"/>
      <c r="N14" s="272"/>
      <c r="O14" s="272"/>
      <c r="P14" s="272">
        <f t="shared" si="3"/>
        <v>0</v>
      </c>
      <c r="Q14" s="272"/>
      <c r="R14" s="272"/>
      <c r="S14" s="272"/>
      <c r="T14" s="272"/>
      <c r="U14" s="353"/>
      <c r="V14" s="352"/>
      <c r="W14" s="321" t="s">
        <v>418</v>
      </c>
      <c r="X14" s="321"/>
      <c r="Y14" s="321" t="s">
        <v>9</v>
      </c>
      <c r="Z14" s="354"/>
      <c r="AA14" s="321"/>
      <c r="AB14" s="321"/>
      <c r="AC14" s="321"/>
      <c r="AD14" s="352"/>
      <c r="AE14" s="353"/>
      <c r="AF14" s="352"/>
      <c r="AG14" s="352"/>
      <c r="AH14" s="352"/>
      <c r="AI14" s="352"/>
      <c r="AJ14" s="352"/>
      <c r="AK14" s="352"/>
      <c r="AL14" s="352"/>
      <c r="AM14" s="352"/>
      <c r="AN14" s="352"/>
      <c r="AO14" s="352"/>
      <c r="AP14" s="321" t="s">
        <v>418</v>
      </c>
      <c r="AQ14" s="352"/>
      <c r="AR14" s="321" t="s">
        <v>9</v>
      </c>
      <c r="AS14" s="352"/>
      <c r="AT14" s="352"/>
      <c r="AU14" s="352"/>
      <c r="AV14" s="352"/>
      <c r="AW14" s="353"/>
      <c r="AX14" s="352"/>
      <c r="AY14" s="352"/>
      <c r="AZ14" s="352"/>
      <c r="BA14" s="354"/>
      <c r="BB14" s="354"/>
      <c r="BC14" s="354"/>
      <c r="BD14" s="354"/>
      <c r="BE14" s="354"/>
      <c r="BF14" s="352"/>
      <c r="BG14" s="352"/>
      <c r="BH14" s="353"/>
      <c r="BI14" s="354"/>
      <c r="BJ14" s="354"/>
    </row>
    <row r="15" spans="1:62" s="191" customFormat="1">
      <c r="A15" s="539">
        <f>'1-συμβολαια'!A15</f>
        <v>0</v>
      </c>
      <c r="B15" s="353"/>
      <c r="C15" s="319" t="str">
        <f>'1-συμβολαια'!C15</f>
        <v>χρησικτησία αγροτεμαχίων = 1920 ΔΙΑΝΟΜΗ άτυπος</v>
      </c>
      <c r="D15" s="272" t="str">
        <f>'4-πολλυπρ'!D15</f>
        <v>πατήρ</v>
      </c>
      <c r="E15" s="272">
        <f>'4-πολλυπρ'!I15</f>
        <v>0</v>
      </c>
      <c r="F15" s="272">
        <v>2</v>
      </c>
      <c r="G15" s="601">
        <f t="shared" si="0"/>
        <v>2200</v>
      </c>
      <c r="H15" s="272">
        <f t="shared" si="1"/>
        <v>2200</v>
      </c>
      <c r="I15" s="272">
        <f t="shared" si="2"/>
        <v>4400</v>
      </c>
      <c r="J15" s="658" t="s">
        <v>159</v>
      </c>
      <c r="K15" s="658" t="s">
        <v>160</v>
      </c>
      <c r="L15" s="272"/>
      <c r="M15" s="272"/>
      <c r="N15" s="272">
        <v>3200</v>
      </c>
      <c r="O15" s="272"/>
      <c r="P15" s="272">
        <f t="shared" ref="P15:P16" si="6">L15+M15</f>
        <v>0</v>
      </c>
      <c r="Q15" s="272"/>
      <c r="R15" s="272"/>
      <c r="S15" s="272"/>
      <c r="T15" s="272"/>
      <c r="U15" s="353"/>
      <c r="V15" s="352"/>
      <c r="W15" s="321" t="s">
        <v>418</v>
      </c>
      <c r="X15" s="321"/>
      <c r="Y15" s="321" t="s">
        <v>9</v>
      </c>
      <c r="Z15" s="354"/>
      <c r="AA15" s="321"/>
      <c r="AB15" s="321"/>
      <c r="AC15" s="321"/>
      <c r="AD15" s="352"/>
      <c r="AE15" s="353"/>
      <c r="AF15" s="352"/>
      <c r="AG15" s="352"/>
      <c r="AH15" s="352"/>
      <c r="AI15" s="352"/>
      <c r="AJ15" s="352"/>
      <c r="AK15" s="352"/>
      <c r="AL15" s="352"/>
      <c r="AM15" s="352"/>
      <c r="AN15" s="352"/>
      <c r="AO15" s="352"/>
      <c r="AP15" s="321" t="s">
        <v>418</v>
      </c>
      <c r="AQ15" s="352"/>
      <c r="AR15" s="321" t="s">
        <v>9</v>
      </c>
      <c r="AS15" s="352"/>
      <c r="AT15" s="352"/>
      <c r="AU15" s="352"/>
      <c r="AV15" s="352"/>
      <c r="AW15" s="353"/>
      <c r="AX15" s="352"/>
      <c r="AY15" s="352"/>
      <c r="AZ15" s="352"/>
      <c r="BA15" s="354"/>
      <c r="BB15" s="354"/>
      <c r="BC15" s="354"/>
      <c r="BD15" s="354"/>
      <c r="BE15" s="354"/>
      <c r="BF15" s="352"/>
      <c r="BG15" s="352"/>
      <c r="BH15" s="353"/>
      <c r="BI15" s="354"/>
      <c r="BJ15" s="354"/>
    </row>
    <row r="16" spans="1:62" s="191" customFormat="1" ht="12" thickBot="1">
      <c r="A16" s="540">
        <f>'1-συμβολαια'!A16</f>
        <v>0</v>
      </c>
      <c r="B16" s="534"/>
      <c r="C16" s="535" t="str">
        <f>'1-συμβολαια'!C16</f>
        <v>εξισορρόπηση διαφοράς διανεμομένων μεριδίων</v>
      </c>
      <c r="D16" s="416" t="str">
        <f>'4-πολλυπρ'!D16</f>
        <v>πατήρ</v>
      </c>
      <c r="E16" s="416">
        <f>'4-πολλυπρ'!I16</f>
        <v>0</v>
      </c>
      <c r="F16" s="272"/>
      <c r="G16" s="601"/>
      <c r="H16" s="272"/>
      <c r="I16" s="272"/>
      <c r="J16" s="658"/>
      <c r="K16" s="658"/>
      <c r="L16" s="272"/>
      <c r="M16" s="272"/>
      <c r="N16" s="272"/>
      <c r="O16" s="272"/>
      <c r="P16" s="272">
        <f t="shared" si="6"/>
        <v>0</v>
      </c>
      <c r="Q16" s="272"/>
      <c r="R16" s="272"/>
      <c r="S16" s="272"/>
      <c r="T16" s="272"/>
      <c r="U16" s="353"/>
      <c r="V16" s="352"/>
      <c r="W16" s="321" t="s">
        <v>418</v>
      </c>
      <c r="X16" s="321"/>
      <c r="Y16" s="321" t="s">
        <v>9</v>
      </c>
      <c r="Z16" s="354"/>
      <c r="AA16" s="321"/>
      <c r="AB16" s="321"/>
      <c r="AC16" s="321"/>
      <c r="AD16" s="352"/>
      <c r="AE16" s="353"/>
      <c r="AF16" s="352"/>
      <c r="AG16" s="352"/>
      <c r="AH16" s="352"/>
      <c r="AI16" s="352"/>
      <c r="AJ16" s="352"/>
      <c r="AK16" s="352"/>
      <c r="AL16" s="352"/>
      <c r="AM16" s="352"/>
      <c r="AN16" s="352"/>
      <c r="AO16" s="352"/>
      <c r="AP16" s="321" t="s">
        <v>418</v>
      </c>
      <c r="AQ16" s="352"/>
      <c r="AR16" s="321" t="s">
        <v>9</v>
      </c>
      <c r="AS16" s="352"/>
      <c r="AT16" s="352"/>
      <c r="AU16" s="352"/>
      <c r="AV16" s="352"/>
      <c r="AW16" s="353"/>
      <c r="AX16" s="352"/>
      <c r="AY16" s="352"/>
      <c r="AZ16" s="352"/>
      <c r="BA16" s="354"/>
      <c r="BB16" s="354"/>
      <c r="BC16" s="354"/>
      <c r="BD16" s="354"/>
      <c r="BE16" s="354"/>
      <c r="BF16" s="352"/>
      <c r="BG16" s="352"/>
      <c r="BH16" s="353"/>
      <c r="BI16" s="354"/>
      <c r="BJ16" s="354"/>
    </row>
    <row r="17" spans="1:62">
      <c r="A17" s="815" t="s">
        <v>35</v>
      </c>
      <c r="B17" s="816"/>
      <c r="C17" s="816"/>
      <c r="D17" s="816"/>
      <c r="E17" s="817"/>
      <c r="F17" s="655">
        <f>SUM(F3:F16)</f>
        <v>12</v>
      </c>
      <c r="G17" s="655">
        <f>SUM(G3:G16)</f>
        <v>13200</v>
      </c>
      <c r="H17" s="655">
        <f>SUM(H3:H16)</f>
        <v>15400</v>
      </c>
      <c r="I17" s="655">
        <f>SUM(I3:I16)</f>
        <v>28600</v>
      </c>
      <c r="J17" s="655"/>
      <c r="K17" s="655"/>
      <c r="L17" s="655">
        <f t="shared" ref="L17:S17" si="7">SUM(L3:L16)</f>
        <v>6000</v>
      </c>
      <c r="M17" s="655">
        <f t="shared" si="7"/>
        <v>6000</v>
      </c>
      <c r="N17" s="655">
        <f t="shared" si="7"/>
        <v>22400</v>
      </c>
      <c r="O17" s="655">
        <f t="shared" si="7"/>
        <v>0</v>
      </c>
      <c r="P17" s="655">
        <f t="shared" si="7"/>
        <v>12000</v>
      </c>
      <c r="Q17" s="656">
        <f t="shared" si="7"/>
        <v>0</v>
      </c>
      <c r="R17" s="656">
        <f t="shared" si="7"/>
        <v>0</v>
      </c>
      <c r="S17" s="656">
        <f t="shared" si="7"/>
        <v>0</v>
      </c>
      <c r="T17" s="656"/>
      <c r="U17" s="657"/>
      <c r="V17" s="68">
        <f>SUM(V3:V16)</f>
        <v>0</v>
      </c>
      <c r="W17" s="68"/>
      <c r="X17" s="68">
        <f>SUM(X3:X16)</f>
        <v>0</v>
      </c>
      <c r="Y17" s="68"/>
      <c r="Z17" s="68">
        <f>SUM(Z3:Z16)</f>
        <v>0</v>
      </c>
      <c r="AA17" s="68">
        <f>SUM(AA3:AA16)</f>
        <v>0</v>
      </c>
      <c r="AB17" s="68">
        <f>SUM(AB3:AB16)</f>
        <v>0</v>
      </c>
      <c r="AC17" s="68">
        <f>SUM(AC3:AC16)</f>
        <v>0</v>
      </c>
      <c r="AD17" s="68">
        <f>SUM(AD3:AD16)</f>
        <v>0</v>
      </c>
      <c r="AE17" s="133"/>
      <c r="AF17" s="68"/>
      <c r="AG17" s="68"/>
      <c r="AH17" s="68"/>
      <c r="AI17" s="68"/>
      <c r="AJ17" s="72">
        <f>SUM(AJ3:AJ16)</f>
        <v>0</v>
      </c>
      <c r="AK17" s="72">
        <f>SUM(AK3:AK16)</f>
        <v>0</v>
      </c>
      <c r="AL17" s="72"/>
      <c r="AM17" s="68">
        <f>SUM(AM3:AM16)</f>
        <v>0</v>
      </c>
      <c r="AN17" s="68">
        <f>SUM(AN3:AN16)</f>
        <v>0</v>
      </c>
      <c r="AO17" s="68">
        <f>SUM(AO3:AO16)</f>
        <v>0</v>
      </c>
      <c r="AP17" s="68"/>
      <c r="AQ17" s="68">
        <f t="shared" ref="AQ17:BE17" si="8">SUM(AQ3:AQ16)</f>
        <v>0</v>
      </c>
      <c r="AR17" s="68">
        <f t="shared" si="8"/>
        <v>0</v>
      </c>
      <c r="AS17" s="68">
        <f t="shared" si="8"/>
        <v>0</v>
      </c>
      <c r="AT17" s="68">
        <f t="shared" si="8"/>
        <v>0</v>
      </c>
      <c r="AU17" s="68">
        <f t="shared" si="8"/>
        <v>0</v>
      </c>
      <c r="AV17" s="68">
        <f t="shared" si="8"/>
        <v>0</v>
      </c>
      <c r="AW17" s="68">
        <f t="shared" si="8"/>
        <v>0</v>
      </c>
      <c r="AX17" s="68">
        <f t="shared" si="8"/>
        <v>0</v>
      </c>
      <c r="AY17" s="68">
        <f t="shared" si="8"/>
        <v>0</v>
      </c>
      <c r="AZ17" s="68">
        <f t="shared" si="8"/>
        <v>0</v>
      </c>
      <c r="BA17" s="68">
        <f t="shared" si="8"/>
        <v>0</v>
      </c>
      <c r="BB17" s="68">
        <f t="shared" si="8"/>
        <v>0</v>
      </c>
      <c r="BC17" s="68">
        <f t="shared" si="8"/>
        <v>0</v>
      </c>
      <c r="BD17" s="68">
        <f t="shared" si="8"/>
        <v>0</v>
      </c>
      <c r="BE17" s="68">
        <f t="shared" si="8"/>
        <v>0</v>
      </c>
      <c r="BF17" s="68"/>
      <c r="BG17" s="68"/>
      <c r="BH17" s="68"/>
      <c r="BI17" s="68"/>
      <c r="BJ17" s="68"/>
    </row>
    <row r="19" spans="1:62">
      <c r="H19" s="136"/>
      <c r="I19" s="136"/>
      <c r="J19" s="136"/>
      <c r="K19" s="136"/>
      <c r="L19" s="136" t="s">
        <v>419</v>
      </c>
      <c r="M19" s="114"/>
      <c r="N19" s="114"/>
      <c r="O19" s="114"/>
      <c r="T19" s="177" t="s">
        <v>162</v>
      </c>
      <c r="AA19" s="2"/>
      <c r="AC19" s="114" t="s">
        <v>100</v>
      </c>
      <c r="AJ19" s="223" t="s">
        <v>101</v>
      </c>
    </row>
    <row r="20" spans="1:62">
      <c r="C20" s="91"/>
      <c r="D20" s="78" t="s">
        <v>580</v>
      </c>
      <c r="G20" s="3"/>
      <c r="H20" s="3"/>
      <c r="I20" s="3"/>
      <c r="J20" s="153" t="s">
        <v>155</v>
      </c>
      <c r="K20" s="116"/>
      <c r="M20" s="136" t="s">
        <v>419</v>
      </c>
      <c r="N20" s="3"/>
      <c r="O20" s="3"/>
      <c r="P20" s="3"/>
      <c r="Q20" s="153" t="s">
        <v>163</v>
      </c>
      <c r="T20" s="9"/>
    </row>
    <row r="21" spans="1:62">
      <c r="C21" s="91"/>
      <c r="D21" s="78" t="s">
        <v>538</v>
      </c>
      <c r="F21" s="115"/>
      <c r="G21" s="3"/>
      <c r="H21" s="3"/>
      <c r="I21" s="3"/>
      <c r="J21" s="116" t="s">
        <v>156</v>
      </c>
      <c r="K21" s="116"/>
      <c r="M21" s="3"/>
      <c r="N21" s="3"/>
      <c r="O21" s="3"/>
      <c r="P21" s="3"/>
      <c r="R21" s="116" t="s">
        <v>164</v>
      </c>
      <c r="T21" s="9"/>
    </row>
    <row r="22" spans="1:62">
      <c r="C22" s="91"/>
      <c r="D22" s="78" t="s">
        <v>557</v>
      </c>
      <c r="E22" s="8"/>
      <c r="F22" s="8"/>
      <c r="J22" s="116"/>
      <c r="K22" s="153" t="s">
        <v>157</v>
      </c>
      <c r="N22" s="147" t="s">
        <v>432</v>
      </c>
      <c r="O22" s="147"/>
      <c r="T22" s="9"/>
    </row>
    <row r="23" spans="1:62">
      <c r="C23" s="91"/>
      <c r="D23" s="78"/>
      <c r="E23" s="8"/>
      <c r="F23" s="8"/>
      <c r="G23" s="8"/>
      <c r="K23" s="116" t="s">
        <v>158</v>
      </c>
      <c r="T23" s="9"/>
    </row>
    <row r="24" spans="1:62">
      <c r="C24" s="91"/>
      <c r="D24" s="78" t="s">
        <v>581</v>
      </c>
      <c r="E24" s="8"/>
      <c r="F24" s="8"/>
      <c r="G24" s="8"/>
      <c r="T24" s="9"/>
      <c r="V24" s="28"/>
      <c r="W24" s="28"/>
    </row>
    <row r="25" spans="1:62">
      <c r="C25" s="91"/>
      <c r="D25" s="78" t="s">
        <v>537</v>
      </c>
      <c r="E25" s="8"/>
      <c r="F25" s="8"/>
      <c r="G25" s="8"/>
      <c r="T25" s="9"/>
      <c r="V25" s="28"/>
      <c r="W25" s="28"/>
    </row>
    <row r="26" spans="1:62">
      <c r="C26" s="91"/>
      <c r="D26" s="78" t="s">
        <v>535</v>
      </c>
      <c r="E26" s="8"/>
      <c r="F26" s="8"/>
      <c r="G26" s="8"/>
      <c r="T26" s="9"/>
      <c r="V26" s="28"/>
      <c r="W26" s="28"/>
    </row>
    <row r="27" spans="1:62">
      <c r="C27" s="91"/>
      <c r="D27" s="78"/>
      <c r="E27" s="8"/>
      <c r="F27" s="8"/>
      <c r="G27" s="8"/>
      <c r="V27" s="28"/>
      <c r="W27" s="28"/>
    </row>
    <row r="28" spans="1:62">
      <c r="C28" s="91"/>
      <c r="D28" s="78" t="s">
        <v>582</v>
      </c>
      <c r="E28" s="8"/>
      <c r="F28" s="8"/>
      <c r="G28" s="8"/>
      <c r="V28" s="28"/>
      <c r="W28" s="28"/>
    </row>
    <row r="29" spans="1:62">
      <c r="C29" s="91"/>
      <c r="D29" s="78" t="s">
        <v>537</v>
      </c>
      <c r="E29" s="8"/>
      <c r="F29" s="8"/>
      <c r="G29" s="8"/>
      <c r="Q29" s="2"/>
      <c r="R29" s="2"/>
      <c r="S29" s="2"/>
      <c r="T29" s="2"/>
      <c r="V29" s="28"/>
      <c r="W29" s="28"/>
    </row>
    <row r="30" spans="1:62">
      <c r="C30" s="91"/>
      <c r="D30" s="78" t="s">
        <v>535</v>
      </c>
      <c r="E30" s="8"/>
      <c r="F30" s="8"/>
      <c r="G30" s="8"/>
      <c r="V30" s="28"/>
      <c r="W30" s="28"/>
    </row>
    <row r="31" spans="1:62">
      <c r="C31" s="91"/>
      <c r="D31" s="78"/>
      <c r="E31" s="8"/>
      <c r="F31" s="8"/>
      <c r="G31" s="8"/>
      <c r="H31" s="8"/>
      <c r="I31" s="8"/>
      <c r="J31" s="82"/>
      <c r="V31" s="28"/>
      <c r="W31" s="28"/>
    </row>
    <row r="32" spans="1:62">
      <c r="C32" s="91"/>
      <c r="D32" s="78" t="s">
        <v>583</v>
      </c>
      <c r="E32" s="8"/>
      <c r="F32" s="8"/>
      <c r="G32" s="8"/>
      <c r="H32" s="8"/>
      <c r="I32" s="8"/>
      <c r="J32" s="82"/>
      <c r="V32" s="28"/>
      <c r="W32" s="28"/>
    </row>
    <row r="33" spans="3:23">
      <c r="C33" s="91"/>
      <c r="D33" s="78" t="s">
        <v>538</v>
      </c>
      <c r="E33" s="8"/>
      <c r="F33" s="8"/>
      <c r="G33" s="8"/>
      <c r="H33" s="8"/>
      <c r="I33" s="8"/>
      <c r="J33" s="82"/>
      <c r="V33" s="28"/>
      <c r="W33" s="28"/>
    </row>
    <row r="34" spans="3:23">
      <c r="C34" s="91"/>
      <c r="D34" s="78" t="s">
        <v>535</v>
      </c>
      <c r="E34" s="8"/>
      <c r="F34" s="8"/>
      <c r="G34" s="8"/>
      <c r="H34" s="8"/>
      <c r="I34" s="8"/>
      <c r="J34" s="82"/>
      <c r="V34" s="28"/>
      <c r="W34" s="28"/>
    </row>
    <row r="35" spans="3:23">
      <c r="C35" s="91"/>
      <c r="D35" s="78"/>
      <c r="E35" s="8"/>
      <c r="F35" s="8"/>
      <c r="G35" s="8"/>
      <c r="H35" s="8"/>
      <c r="I35" s="8"/>
      <c r="J35" s="82"/>
      <c r="V35" s="28"/>
      <c r="W35" s="28"/>
    </row>
    <row r="36" spans="3:23">
      <c r="C36" s="91"/>
      <c r="D36" s="78" t="s">
        <v>584</v>
      </c>
      <c r="E36" s="8"/>
      <c r="F36" s="8"/>
      <c r="G36" s="8"/>
      <c r="H36" s="8"/>
      <c r="I36" s="8"/>
      <c r="J36" s="82"/>
      <c r="V36" s="28"/>
      <c r="W36" s="28"/>
    </row>
    <row r="37" spans="3:23">
      <c r="C37" s="91"/>
      <c r="D37" s="78" t="s">
        <v>538</v>
      </c>
      <c r="E37" s="8"/>
      <c r="F37" s="8"/>
      <c r="G37" s="8"/>
      <c r="H37" s="58"/>
      <c r="I37" s="8"/>
      <c r="J37" s="82"/>
    </row>
    <row r="38" spans="3:23">
      <c r="C38" s="91"/>
      <c r="D38" s="78" t="s">
        <v>535</v>
      </c>
      <c r="E38" s="8"/>
      <c r="F38" s="8"/>
      <c r="G38" s="8"/>
      <c r="H38" s="58"/>
      <c r="I38" s="8"/>
    </row>
    <row r="39" spans="3:23">
      <c r="C39" s="91"/>
      <c r="D39" s="8"/>
      <c r="E39" s="8"/>
      <c r="F39" s="8"/>
      <c r="G39" s="8"/>
      <c r="H39" s="58"/>
      <c r="I39" s="8"/>
    </row>
    <row r="40" spans="3:23">
      <c r="C40" s="91"/>
      <c r="D40" s="78" t="s">
        <v>585</v>
      </c>
      <c r="E40" s="8"/>
      <c r="F40" s="8"/>
      <c r="G40" s="8"/>
      <c r="H40" s="58"/>
    </row>
    <row r="41" spans="3:23">
      <c r="C41" s="3"/>
      <c r="D41" s="78" t="s">
        <v>538</v>
      </c>
      <c r="E41" s="8"/>
      <c r="F41" s="8"/>
      <c r="G41" s="8"/>
      <c r="H41" s="8"/>
    </row>
    <row r="42" spans="3:23">
      <c r="C42" s="3"/>
      <c r="D42" s="78" t="s">
        <v>535</v>
      </c>
      <c r="E42" s="8"/>
      <c r="F42" s="8"/>
      <c r="G42" s="8"/>
    </row>
    <row r="43" spans="3:23">
      <c r="C43" s="300"/>
      <c r="D43" s="8"/>
      <c r="E43" s="8"/>
      <c r="F43" s="8"/>
      <c r="G43" s="8"/>
    </row>
    <row r="44" spans="3:23">
      <c r="C44" s="3"/>
      <c r="D44" s="8"/>
      <c r="E44" s="8"/>
      <c r="F44" s="8"/>
      <c r="G44" s="8"/>
    </row>
    <row r="45" spans="3:23">
      <c r="C45" s="3" t="s">
        <v>587</v>
      </c>
      <c r="D45" s="78" t="s">
        <v>586</v>
      </c>
      <c r="E45" s="8"/>
      <c r="F45" s="8"/>
      <c r="G45" s="8"/>
    </row>
    <row r="46" spans="3:23">
      <c r="C46" s="3" t="s">
        <v>588</v>
      </c>
      <c r="D46" s="78" t="s">
        <v>537</v>
      </c>
      <c r="E46" s="8"/>
      <c r="F46" s="8"/>
    </row>
    <row r="47" spans="3:23">
      <c r="C47" s="3"/>
      <c r="D47" s="78" t="s">
        <v>535</v>
      </c>
      <c r="E47" s="8"/>
      <c r="F47" s="8"/>
    </row>
    <row r="48" spans="3:23">
      <c r="C48" s="3"/>
      <c r="D48" s="8"/>
    </row>
    <row r="49" spans="3:4">
      <c r="C49" s="91"/>
      <c r="D49" s="8"/>
    </row>
    <row r="50" spans="3:4">
      <c r="C50" s="91"/>
      <c r="D50" s="8"/>
    </row>
    <row r="51" spans="3:4">
      <c r="C51" s="91"/>
      <c r="D51" s="8"/>
    </row>
    <row r="52" spans="3:4">
      <c r="C52" s="91"/>
      <c r="D52" s="8"/>
    </row>
    <row r="53" spans="3:4">
      <c r="C53" s="91"/>
    </row>
    <row r="54" spans="3:4">
      <c r="C54" s="91"/>
    </row>
    <row r="55" spans="3:4">
      <c r="C55" s="91"/>
    </row>
    <row r="56" spans="3:4">
      <c r="C56" s="91"/>
    </row>
    <row r="57" spans="3:4">
      <c r="C57" s="91"/>
    </row>
    <row r="58" spans="3:4">
      <c r="C58" s="91"/>
    </row>
    <row r="59" spans="3:4">
      <c r="C59" s="91"/>
    </row>
    <row r="60" spans="3:4">
      <c r="C60" s="91"/>
    </row>
    <row r="61" spans="3:4">
      <c r="C61" s="91"/>
    </row>
    <row r="62" spans="3:4">
      <c r="C62" s="91"/>
    </row>
    <row r="63" spans="3:4">
      <c r="C63" s="91"/>
    </row>
    <row r="64" spans="3:4">
      <c r="C64" s="91"/>
    </row>
    <row r="65" spans="3:3">
      <c r="C65" s="91"/>
    </row>
    <row r="66" spans="3:3">
      <c r="C66" s="91"/>
    </row>
    <row r="67" spans="3:3">
      <c r="C67" s="91"/>
    </row>
    <row r="68" spans="3:3">
      <c r="C68" s="91"/>
    </row>
    <row r="69" spans="3:3">
      <c r="C69" s="91"/>
    </row>
    <row r="70" spans="3:3">
      <c r="C70" s="91"/>
    </row>
    <row r="71" spans="3:3">
      <c r="C71" s="91"/>
    </row>
    <row r="72" spans="3:3">
      <c r="C72" s="91"/>
    </row>
    <row r="73" spans="3:3">
      <c r="C73" s="91"/>
    </row>
    <row r="74" spans="3:3">
      <c r="C74" s="91"/>
    </row>
    <row r="75" spans="3:3">
      <c r="C75" s="91"/>
    </row>
    <row r="76" spans="3:3">
      <c r="C76" s="91"/>
    </row>
    <row r="77" spans="3:3">
      <c r="C77" s="91"/>
    </row>
    <row r="78" spans="3:3">
      <c r="C78" s="91"/>
    </row>
    <row r="79" spans="3:3">
      <c r="C79" s="91"/>
    </row>
    <row r="80" spans="3:3">
      <c r="C80" s="91"/>
    </row>
    <row r="81" spans="3:3">
      <c r="C81" s="91"/>
    </row>
    <row r="82" spans="3:3">
      <c r="C82" s="91"/>
    </row>
    <row r="83" spans="3:3">
      <c r="C83" s="91"/>
    </row>
    <row r="84" spans="3:3">
      <c r="C84" s="91"/>
    </row>
    <row r="85" spans="3:3">
      <c r="C85" s="91"/>
    </row>
    <row r="86" spans="3:3">
      <c r="C86" s="91"/>
    </row>
    <row r="87" spans="3:3">
      <c r="C87" s="91"/>
    </row>
    <row r="88" spans="3:3">
      <c r="C88" s="91"/>
    </row>
    <row r="89" spans="3:3">
      <c r="C89" s="91"/>
    </row>
    <row r="90" spans="3:3">
      <c r="C90" s="91"/>
    </row>
    <row r="91" spans="3:3">
      <c r="C91" s="91"/>
    </row>
    <row r="92" spans="3:3">
      <c r="C92" s="91"/>
    </row>
    <row r="93" spans="3:3">
      <c r="C93" s="91"/>
    </row>
    <row r="94" spans="3:3">
      <c r="C94" s="91"/>
    </row>
    <row r="95" spans="3:3">
      <c r="C95" s="91"/>
    </row>
    <row r="96" spans="3:3">
      <c r="C96" s="91"/>
    </row>
    <row r="97" spans="3:3">
      <c r="C97" s="91"/>
    </row>
    <row r="98" spans="3:3">
      <c r="C98" s="91"/>
    </row>
    <row r="99" spans="3:3">
      <c r="C99" s="91"/>
    </row>
    <row r="100" spans="3:3">
      <c r="C100" s="91"/>
    </row>
    <row r="101" spans="3:3">
      <c r="C101" s="91"/>
    </row>
    <row r="102" spans="3:3">
      <c r="C102" s="91"/>
    </row>
    <row r="103" spans="3:3">
      <c r="C103" s="91"/>
    </row>
    <row r="104" spans="3:3">
      <c r="C104" s="91"/>
    </row>
    <row r="105" spans="3:3">
      <c r="C105" s="91"/>
    </row>
    <row r="106" spans="3:3">
      <c r="C106" s="91"/>
    </row>
    <row r="107" spans="3:3">
      <c r="C107" s="91"/>
    </row>
    <row r="108" spans="3:3">
      <c r="C108" s="91"/>
    </row>
    <row r="109" spans="3:3">
      <c r="C109" s="91"/>
    </row>
    <row r="110" spans="3:3">
      <c r="C110" s="91"/>
    </row>
    <row r="111" spans="3:3">
      <c r="C111" s="91"/>
    </row>
  </sheetData>
  <mergeCells count="15">
    <mergeCell ref="A17:E17"/>
    <mergeCell ref="A1:E1"/>
    <mergeCell ref="AE1:AM1"/>
    <mergeCell ref="F1:R1"/>
    <mergeCell ref="S1:S2"/>
    <mergeCell ref="AC2:AD2"/>
    <mergeCell ref="AL2:AM2"/>
    <mergeCell ref="J2:K2"/>
    <mergeCell ref="T1:T2"/>
    <mergeCell ref="AN1:AW1"/>
    <mergeCell ref="AX1:BE1"/>
    <mergeCell ref="BF1:BJ1"/>
    <mergeCell ref="U1:AD1"/>
    <mergeCell ref="BI2:BJ2"/>
    <mergeCell ref="AV2:AW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133"/>
  <sheetViews>
    <sheetView workbookViewId="0">
      <pane ySplit="2" topLeftCell="A3" activePane="bottomLeft" state="frozen"/>
      <selection pane="bottomLeft" activeCell="C19" sqref="C19:D46"/>
    </sheetView>
  </sheetViews>
  <sheetFormatPr defaultRowHeight="12.75"/>
  <cols>
    <col min="1" max="1" width="10.5703125" style="383" bestFit="1" customWidth="1"/>
    <col min="2" max="2" width="10.5703125" style="383" customWidth="1"/>
    <col min="3" max="3" width="81.5703125" style="384" bestFit="1" customWidth="1"/>
    <col min="4" max="4" width="7.42578125" style="380" customWidth="1"/>
    <col min="5" max="5" width="7.28515625" style="380" customWidth="1"/>
    <col min="6" max="6" width="9.42578125" style="385" bestFit="1" customWidth="1"/>
    <col min="7" max="7" width="7.42578125" style="385" customWidth="1"/>
    <col min="8" max="8" width="6.42578125" style="385" customWidth="1"/>
    <col min="9" max="9" width="6.140625" style="385" customWidth="1"/>
    <col min="10" max="10" width="9.28515625" style="385" customWidth="1"/>
    <col min="11" max="11" width="9.85546875" style="385" customWidth="1"/>
    <col min="12" max="12" width="8.85546875" style="385" customWidth="1"/>
    <col min="13" max="13" width="10.42578125" style="385" customWidth="1"/>
    <col min="14" max="14" width="3.85546875" style="385" customWidth="1"/>
    <col min="15" max="15" width="6" style="385" customWidth="1"/>
    <col min="16" max="16" width="11" style="385" customWidth="1"/>
    <col min="17" max="17" width="9.7109375" style="385" customWidth="1"/>
    <col min="18" max="18" width="9.5703125" style="385" customWidth="1"/>
    <col min="19" max="19" width="8.85546875" style="385" customWidth="1"/>
    <col min="20" max="20" width="10.42578125" style="385" customWidth="1"/>
    <col min="21" max="21" width="10.5703125" style="385" customWidth="1"/>
    <col min="22" max="22" width="12" style="385" customWidth="1"/>
    <col min="23" max="24" width="7.42578125" style="387" customWidth="1"/>
    <col min="25" max="25" width="11.42578125" style="387" bestFit="1" customWidth="1"/>
    <col min="26" max="26" width="29.85546875" style="387" customWidth="1"/>
    <col min="27" max="16384" width="9.140625" style="380"/>
  </cols>
  <sheetData>
    <row r="1" spans="1:26" s="373" customFormat="1" ht="15.75" customHeight="1">
      <c r="A1" s="834" t="s">
        <v>31</v>
      </c>
      <c r="B1" s="835"/>
      <c r="C1" s="835"/>
      <c r="D1" s="835"/>
      <c r="E1" s="836"/>
      <c r="F1" s="840" t="s">
        <v>167</v>
      </c>
      <c r="G1" s="841"/>
      <c r="H1" s="841"/>
      <c r="I1" s="841"/>
      <c r="J1" s="829" t="s">
        <v>161</v>
      </c>
      <c r="K1" s="829"/>
      <c r="L1" s="829"/>
      <c r="M1" s="829"/>
      <c r="N1" s="829"/>
      <c r="O1" s="829"/>
      <c r="P1" s="829"/>
      <c r="Q1" s="829"/>
      <c r="R1" s="829"/>
      <c r="S1" s="829"/>
      <c r="T1" s="829"/>
      <c r="U1" s="829"/>
      <c r="V1" s="829"/>
      <c r="W1" s="830" t="s">
        <v>29</v>
      </c>
      <c r="X1" s="831"/>
      <c r="Y1" s="831"/>
      <c r="Z1" s="831"/>
    </row>
    <row r="2" spans="1:26" s="373" customFormat="1" ht="39" thickBot="1">
      <c r="A2" s="374" t="s">
        <v>19</v>
      </c>
      <c r="B2" s="374"/>
      <c r="C2" s="375" t="s">
        <v>0</v>
      </c>
      <c r="D2" s="376" t="s">
        <v>11</v>
      </c>
      <c r="E2" s="377" t="s">
        <v>12</v>
      </c>
      <c r="F2" s="378" t="s">
        <v>420</v>
      </c>
      <c r="G2" s="842" t="s">
        <v>29</v>
      </c>
      <c r="H2" s="843"/>
      <c r="I2" s="844"/>
      <c r="J2" s="378" t="s">
        <v>89</v>
      </c>
      <c r="K2" s="376" t="s">
        <v>90</v>
      </c>
      <c r="L2" s="376" t="s">
        <v>92</v>
      </c>
      <c r="M2" s="376" t="s">
        <v>236</v>
      </c>
      <c r="N2" s="376"/>
      <c r="O2" s="376" t="s">
        <v>237</v>
      </c>
      <c r="P2" s="376" t="s">
        <v>527</v>
      </c>
      <c r="Q2" s="376" t="s">
        <v>36</v>
      </c>
      <c r="R2" s="376" t="s">
        <v>533</v>
      </c>
      <c r="S2" s="376"/>
      <c r="T2" s="376" t="s">
        <v>530</v>
      </c>
      <c r="U2" s="376" t="s">
        <v>529</v>
      </c>
      <c r="V2" s="376" t="s">
        <v>47</v>
      </c>
      <c r="W2" s="832"/>
      <c r="X2" s="833"/>
      <c r="Y2" s="833"/>
      <c r="Z2" s="833"/>
    </row>
    <row r="3" spans="1:26" s="379" customFormat="1" ht="13.5" thickBot="1">
      <c r="A3" s="551">
        <f>'1-συμβολαια'!A3</f>
        <v>111</v>
      </c>
      <c r="B3" s="552">
        <f>'1-συμβολαια'!B3</f>
        <v>36101</v>
      </c>
      <c r="C3" s="553" t="str">
        <f>'1-συμβολαια'!C3</f>
        <v>πληρεξύσιο</v>
      </c>
      <c r="D3" s="554" t="str">
        <f>'4-πολλυπρ'!D3</f>
        <v>;;;???</v>
      </c>
      <c r="E3" s="554" t="str">
        <f>'4-πολλυπρ'!I3</f>
        <v>;;;???</v>
      </c>
      <c r="F3" s="554"/>
      <c r="G3" s="663"/>
      <c r="H3" s="663"/>
      <c r="I3" s="664"/>
      <c r="J3" s="554"/>
      <c r="K3" s="554"/>
      <c r="L3" s="554"/>
      <c r="M3" s="554"/>
      <c r="N3" s="554"/>
      <c r="O3" s="554"/>
      <c r="P3" s="554"/>
      <c r="Q3" s="554"/>
      <c r="R3" s="554"/>
      <c r="S3" s="554"/>
      <c r="T3" s="554"/>
      <c r="U3" s="554"/>
      <c r="V3" s="554">
        <f t="shared" ref="V3" si="0">SUM(J3:U3)-L3</f>
        <v>0</v>
      </c>
      <c r="W3" s="400"/>
      <c r="X3" s="400"/>
      <c r="Y3" s="401"/>
      <c r="Z3" s="402"/>
    </row>
    <row r="4" spans="1:26" s="379" customFormat="1">
      <c r="A4" s="548">
        <f>'1-συμβολαια'!A4</f>
        <v>113</v>
      </c>
      <c r="B4" s="543">
        <f>'1-συμβολαια'!B4</f>
        <v>36102</v>
      </c>
      <c r="C4" s="395" t="str">
        <f>'1-συμβολαια'!C4</f>
        <v>δωρεάς ΠΡΟΤΑΣΗ [1/2 αγροτεμάχιο ;;;??? [το ανατολικό] Θεολόγος -Ποτός -'';;;???'' 2.798μ2</v>
      </c>
      <c r="D4" s="397" t="str">
        <f>'4-πολλυπρ'!D4</f>
        <v>;;;???</v>
      </c>
      <c r="E4" s="397" t="str">
        <f>'4-πολλυπρ'!I4</f>
        <v>;;;???</v>
      </c>
      <c r="F4" s="397">
        <v>2200</v>
      </c>
      <c r="G4" s="398" t="s">
        <v>168</v>
      </c>
      <c r="H4" s="398" t="s">
        <v>169</v>
      </c>
      <c r="I4" s="399"/>
      <c r="J4" s="397">
        <v>2000</v>
      </c>
      <c r="K4" s="397">
        <v>2000</v>
      </c>
      <c r="L4" s="397">
        <v>605</v>
      </c>
      <c r="M4" s="397">
        <f>5*1100</f>
        <v>5500</v>
      </c>
      <c r="N4" s="397"/>
      <c r="O4" s="397"/>
      <c r="P4" s="397"/>
      <c r="Q4" s="397"/>
      <c r="R4" s="397"/>
      <c r="S4" s="397"/>
      <c r="T4" s="397">
        <f>3*500</f>
        <v>1500</v>
      </c>
      <c r="U4" s="397">
        <f>(2*2+2*5)*1100</f>
        <v>15400</v>
      </c>
      <c r="V4" s="397">
        <f t="shared" ref="V4:V14" si="1">SUM(J4:U4)-L4</f>
        <v>26400</v>
      </c>
      <c r="W4" s="400"/>
      <c r="X4" s="400"/>
      <c r="Y4" s="401"/>
      <c r="Z4" s="402"/>
    </row>
    <row r="5" spans="1:26" s="379" customFormat="1">
      <c r="A5" s="549">
        <f>'1-συμβολαια'!A5</f>
        <v>0</v>
      </c>
      <c r="B5" s="437"/>
      <c r="C5" s="395" t="str">
        <f>'1-συμβολαια'!C5</f>
        <v>χρησικτησία αγροτεμαχίου = 1984 ΑΝΑΔΑΣΜΟΣ</v>
      </c>
      <c r="D5" s="396" t="str">
        <f>'4-πολλυπρ'!D5</f>
        <v>;;;???</v>
      </c>
      <c r="E5" s="396">
        <f>'4-πολλυπρ'!I5</f>
        <v>0</v>
      </c>
      <c r="F5" s="397">
        <v>2200</v>
      </c>
      <c r="G5" s="398" t="s">
        <v>168</v>
      </c>
      <c r="H5" s="398" t="s">
        <v>169</v>
      </c>
      <c r="I5" s="399"/>
      <c r="J5" s="397"/>
      <c r="K5" s="397"/>
      <c r="L5" s="397">
        <v>605</v>
      </c>
      <c r="M5" s="397">
        <f t="shared" ref="M5:M9" si="2">5*1100</f>
        <v>5500</v>
      </c>
      <c r="N5" s="397"/>
      <c r="O5" s="397"/>
      <c r="P5" s="397"/>
      <c r="Q5" s="397"/>
      <c r="R5" s="397"/>
      <c r="S5" s="397"/>
      <c r="T5" s="397">
        <f t="shared" ref="T5:T9" si="3">3*500</f>
        <v>1500</v>
      </c>
      <c r="U5" s="397">
        <f t="shared" ref="U5:U9" si="4">(2*2+2*5)*1100</f>
        <v>15400</v>
      </c>
      <c r="V5" s="397">
        <f t="shared" si="1"/>
        <v>22400</v>
      </c>
      <c r="W5" s="400"/>
      <c r="X5" s="400"/>
      <c r="Y5" s="401"/>
      <c r="Z5" s="402"/>
    </row>
    <row r="6" spans="1:26" s="379" customFormat="1">
      <c r="A6" s="549">
        <f>'1-συμβολαια'!A6</f>
        <v>0</v>
      </c>
      <c r="B6" s="437"/>
      <c r="C6" s="395" t="str">
        <f>'1-συμβολαια'!C6</f>
        <v>διανομή [= ισομερής ΑΛΛΑ βάσει ΦΜΑ της Δ.Ο.Υ (3ου &amp; ;;;???}</v>
      </c>
      <c r="D6" s="396" t="str">
        <f>'4-πολλυπρ'!D6</f>
        <v>;;;???</v>
      </c>
      <c r="E6" s="396">
        <f>'4-πολλυπρ'!I6</f>
        <v>0</v>
      </c>
      <c r="F6" s="397">
        <v>2200</v>
      </c>
      <c r="G6" s="398" t="s">
        <v>168</v>
      </c>
      <c r="H6" s="398" t="s">
        <v>169</v>
      </c>
      <c r="I6" s="399"/>
      <c r="J6" s="397"/>
      <c r="K6" s="397"/>
      <c r="L6" s="397">
        <v>605</v>
      </c>
      <c r="M6" s="397">
        <f t="shared" si="2"/>
        <v>5500</v>
      </c>
      <c r="N6" s="397"/>
      <c r="O6" s="397"/>
      <c r="P6" s="397"/>
      <c r="Q6" s="397"/>
      <c r="R6" s="397"/>
      <c r="S6" s="397"/>
      <c r="T6" s="397">
        <f t="shared" si="3"/>
        <v>1500</v>
      </c>
      <c r="U6" s="397">
        <f t="shared" si="4"/>
        <v>15400</v>
      </c>
      <c r="V6" s="397">
        <f t="shared" si="1"/>
        <v>22400</v>
      </c>
      <c r="W6" s="400"/>
      <c r="X6" s="400"/>
      <c r="Y6" s="401"/>
      <c r="Z6" s="402"/>
    </row>
    <row r="7" spans="1:26" s="379" customFormat="1" ht="13.5" thickBot="1">
      <c r="A7" s="550">
        <f>'1-συμβολαια'!A7</f>
        <v>0</v>
      </c>
      <c r="B7" s="545"/>
      <c r="C7" s="546" t="str">
        <f>'1-συμβολαια'!C7</f>
        <v>εξισορρόπηση διαφοράς διανεμομένων μεριδίων</v>
      </c>
      <c r="D7" s="547" t="str">
        <f>'4-πολλυπρ'!D7</f>
        <v>;;;???</v>
      </c>
      <c r="E7" s="547">
        <f>'4-πολλυπρ'!I7</f>
        <v>0</v>
      </c>
      <c r="F7" s="547"/>
      <c r="G7" s="668"/>
      <c r="H7" s="668"/>
      <c r="I7" s="669"/>
      <c r="J7" s="547"/>
      <c r="K7" s="547"/>
      <c r="L7" s="547"/>
      <c r="M7" s="547"/>
      <c r="N7" s="547"/>
      <c r="O7" s="547"/>
      <c r="P7" s="547"/>
      <c r="Q7" s="547"/>
      <c r="R7" s="547"/>
      <c r="S7" s="547"/>
      <c r="T7" s="547"/>
      <c r="U7" s="547"/>
      <c r="V7" s="547">
        <f t="shared" si="1"/>
        <v>0</v>
      </c>
      <c r="W7" s="400"/>
      <c r="X7" s="400"/>
      <c r="Y7" s="401"/>
      <c r="Z7" s="402"/>
    </row>
    <row r="8" spans="1:26" s="379" customFormat="1">
      <c r="A8" s="666">
        <f>'1-συμβολαια'!A8</f>
        <v>114</v>
      </c>
      <c r="B8" s="543">
        <f>'1-συμβολαια'!B8</f>
        <v>36102</v>
      </c>
      <c r="C8" s="395" t="str">
        <f>'1-συμβολαια'!C8</f>
        <v>δωρεάς ΠΡΟΤΑΣΗ [αγροτεμάχιο Θεολόγος -'';;;???'' 2.000μ2</v>
      </c>
      <c r="D8" s="397" t="str">
        <f>'4-πολλυπρ'!D8</f>
        <v>;;;???</v>
      </c>
      <c r="E8" s="397" t="str">
        <f>'4-πολλυπρ'!I8</f>
        <v>;;;???</v>
      </c>
      <c r="F8" s="397">
        <v>2200</v>
      </c>
      <c r="G8" s="398" t="s">
        <v>168</v>
      </c>
      <c r="H8" s="398" t="s">
        <v>169</v>
      </c>
      <c r="I8" s="399"/>
      <c r="J8" s="397"/>
      <c r="K8" s="397"/>
      <c r="L8" s="397">
        <v>605</v>
      </c>
      <c r="M8" s="397">
        <f t="shared" si="2"/>
        <v>5500</v>
      </c>
      <c r="N8" s="397"/>
      <c r="O8" s="397"/>
      <c r="P8" s="397"/>
      <c r="Q8" s="397"/>
      <c r="R8" s="397"/>
      <c r="S8" s="397"/>
      <c r="T8" s="397">
        <f t="shared" si="3"/>
        <v>1500</v>
      </c>
      <c r="U8" s="397">
        <f t="shared" si="4"/>
        <v>15400</v>
      </c>
      <c r="V8" s="397">
        <f t="shared" si="1"/>
        <v>22400</v>
      </c>
      <c r="W8" s="400"/>
      <c r="X8" s="400"/>
      <c r="Y8" s="401"/>
      <c r="Z8" s="402"/>
    </row>
    <row r="9" spans="1:26" s="379" customFormat="1" ht="13.5" thickBot="1">
      <c r="A9" s="667">
        <f>'1-συμβολαια'!A9</f>
        <v>0</v>
      </c>
      <c r="B9" s="545"/>
      <c r="C9" s="546" t="str">
        <f>'1-συμβολαια'!C9</f>
        <v>χρησικτησία αγροτεμαχίου = 1910 πατρός ΔΩΡΕΑ άτυπος</v>
      </c>
      <c r="D9" s="547" t="str">
        <f>'4-πολλυπρ'!D9</f>
        <v>;;;???</v>
      </c>
      <c r="E9" s="547">
        <f>'4-πολλυπρ'!I9</f>
        <v>0</v>
      </c>
      <c r="F9" s="547">
        <v>2200</v>
      </c>
      <c r="G9" s="668" t="s">
        <v>168</v>
      </c>
      <c r="H9" s="668" t="s">
        <v>169</v>
      </c>
      <c r="I9" s="669"/>
      <c r="J9" s="547"/>
      <c r="K9" s="547"/>
      <c r="L9" s="547">
        <v>605</v>
      </c>
      <c r="M9" s="547">
        <f t="shared" si="2"/>
        <v>5500</v>
      </c>
      <c r="N9" s="547"/>
      <c r="O9" s="547"/>
      <c r="P9" s="547"/>
      <c r="Q9" s="547"/>
      <c r="R9" s="547"/>
      <c r="S9" s="547"/>
      <c r="T9" s="547">
        <f t="shared" si="3"/>
        <v>1500</v>
      </c>
      <c r="U9" s="547">
        <f t="shared" si="4"/>
        <v>15400</v>
      </c>
      <c r="V9" s="547">
        <f t="shared" si="1"/>
        <v>22400</v>
      </c>
      <c r="W9" s="400"/>
      <c r="X9" s="400"/>
      <c r="Y9" s="401"/>
      <c r="Z9" s="402"/>
    </row>
    <row r="10" spans="1:26" s="379" customFormat="1">
      <c r="A10" s="542" t="str">
        <f>'1-συμβολαια'!A10</f>
        <v>;;;???</v>
      </c>
      <c r="B10" s="437" t="str">
        <f>'1-συμβολαια'!B10</f>
        <v>;;;???</v>
      </c>
      <c r="C10" s="395" t="str">
        <f>'1-συμβολαια'!C10</f>
        <v>δωρεάς πρότασης 2ου  ΑΠΟΔΟΧΗ</v>
      </c>
      <c r="D10" s="397" t="str">
        <f>'4-πολλυπρ'!D10</f>
        <v>;;;???</v>
      </c>
      <c r="E10" s="397" t="str">
        <f>'4-πολλυπρ'!I10</f>
        <v>;;;???</v>
      </c>
      <c r="F10" s="397"/>
      <c r="G10" s="398"/>
      <c r="H10" s="398"/>
      <c r="I10" s="399"/>
      <c r="J10" s="397"/>
      <c r="K10" s="397"/>
      <c r="L10" s="397"/>
      <c r="M10" s="397"/>
      <c r="N10" s="397"/>
      <c r="O10" s="397"/>
      <c r="P10" s="397"/>
      <c r="Q10" s="397"/>
      <c r="R10" s="397"/>
      <c r="S10" s="397"/>
      <c r="T10" s="397"/>
      <c r="U10" s="397"/>
      <c r="V10" s="397">
        <f t="shared" si="1"/>
        <v>0</v>
      </c>
      <c r="W10" s="400"/>
      <c r="X10" s="400"/>
      <c r="Y10" s="401"/>
      <c r="Z10" s="402"/>
    </row>
    <row r="11" spans="1:26" s="379" customFormat="1">
      <c r="A11" s="436" t="str">
        <f>'1-συμβολαια'!A11</f>
        <v>;;;???</v>
      </c>
      <c r="B11" s="437" t="str">
        <f>'1-συμβολαια'!B11</f>
        <v>;;;???</v>
      </c>
      <c r="C11" s="665" t="str">
        <f>'1-συμβολαια'!C11</f>
        <v>δωρεάς πρότασης  3ου  ΑΠΟΔΟΧΗ</v>
      </c>
      <c r="D11" s="396" t="str">
        <f>'4-πολλυπρ'!D11</f>
        <v>;;;???</v>
      </c>
      <c r="E11" s="396" t="str">
        <f>'4-πολλυπρ'!I11</f>
        <v>;;;???</v>
      </c>
      <c r="F11" s="397"/>
      <c r="G11" s="398"/>
      <c r="H11" s="398"/>
      <c r="I11" s="399"/>
      <c r="J11" s="397"/>
      <c r="K11" s="397"/>
      <c r="L11" s="397"/>
      <c r="M11" s="397"/>
      <c r="N11" s="397"/>
      <c r="O11" s="397"/>
      <c r="P11" s="397"/>
      <c r="Q11" s="397"/>
      <c r="R11" s="397"/>
      <c r="S11" s="397"/>
      <c r="T11" s="397"/>
      <c r="U11" s="397"/>
      <c r="V11" s="397">
        <f t="shared" si="1"/>
        <v>0</v>
      </c>
      <c r="W11" s="400"/>
      <c r="X11" s="400"/>
      <c r="Y11" s="401"/>
      <c r="Z11" s="402"/>
    </row>
    <row r="12" spans="1:26" s="379" customFormat="1" ht="13.5" thickBot="1">
      <c r="A12" s="544">
        <f>'1-συμβολαια'!A12</f>
        <v>552</v>
      </c>
      <c r="B12" s="545">
        <f>'1-συμβολαια'!B12</f>
        <v>36384</v>
      </c>
      <c r="C12" s="546" t="str">
        <f>'1-συμβολαια'!C12</f>
        <v>πληρεξούσιο</v>
      </c>
      <c r="D12" s="547" t="str">
        <f>'4-πολλυπρ'!D12</f>
        <v>;;;???</v>
      </c>
      <c r="E12" s="547" t="str">
        <f>'4-πολλυπρ'!I12</f>
        <v>;;;???</v>
      </c>
      <c r="F12" s="547"/>
      <c r="G12" s="668"/>
      <c r="H12" s="668"/>
      <c r="I12" s="669"/>
      <c r="J12" s="547"/>
      <c r="K12" s="547"/>
      <c r="L12" s="547"/>
      <c r="M12" s="547"/>
      <c r="N12" s="547"/>
      <c r="O12" s="547"/>
      <c r="P12" s="547"/>
      <c r="Q12" s="547"/>
      <c r="R12" s="547"/>
      <c r="S12" s="547"/>
      <c r="T12" s="547"/>
      <c r="U12" s="547"/>
      <c r="V12" s="547">
        <f t="shared" si="1"/>
        <v>0</v>
      </c>
      <c r="W12" s="400"/>
      <c r="X12" s="400"/>
      <c r="Y12" s="401"/>
      <c r="Z12" s="402"/>
    </row>
    <row r="13" spans="1:26" s="379" customFormat="1">
      <c r="A13" s="548">
        <f>'1-συμβολαια'!A13</f>
        <v>564</v>
      </c>
      <c r="B13" s="543">
        <f>'1-συμβολαια'!B13</f>
        <v>36388</v>
      </c>
      <c r="C13" s="395" t="str">
        <f>'1-συμβολαια'!C13</f>
        <v>γονική</v>
      </c>
      <c r="D13" s="397" t="str">
        <f>'4-πολλυπρ'!D13</f>
        <v>;;;???</v>
      </c>
      <c r="E13" s="397" t="str">
        <f>'4-πολλυπρ'!I13</f>
        <v>;;;???</v>
      </c>
      <c r="F13" s="397">
        <v>2200</v>
      </c>
      <c r="G13" s="398" t="s">
        <v>168</v>
      </c>
      <c r="H13" s="398" t="s">
        <v>169</v>
      </c>
      <c r="I13" s="399"/>
      <c r="J13" s="397">
        <v>2000</v>
      </c>
      <c r="K13" s="397">
        <v>2000</v>
      </c>
      <c r="L13" s="397">
        <v>605</v>
      </c>
      <c r="M13" s="397">
        <f>2*5*1100</f>
        <v>11000</v>
      </c>
      <c r="N13" s="397"/>
      <c r="O13" s="397"/>
      <c r="P13" s="397"/>
      <c r="Q13" s="397"/>
      <c r="R13" s="397"/>
      <c r="S13" s="397"/>
      <c r="T13" s="397">
        <f>2*3*500</f>
        <v>3000</v>
      </c>
      <c r="U13" s="397">
        <f>(2*2+4*5)*1100</f>
        <v>26400</v>
      </c>
      <c r="V13" s="397">
        <f t="shared" si="1"/>
        <v>44400</v>
      </c>
      <c r="W13" s="400"/>
      <c r="X13" s="400"/>
      <c r="Y13" s="401"/>
      <c r="Z13" s="402"/>
    </row>
    <row r="14" spans="1:26" s="379" customFormat="1">
      <c r="A14" s="549">
        <f>'1-συμβολαια'!A14</f>
        <v>0</v>
      </c>
      <c r="B14" s="437"/>
      <c r="C14" s="665" t="str">
        <f>'1-συμβολαια'!C14</f>
        <v>χρησικτησία αγροτεμαχίων = 1912 πατρός ΔΩΡΕΑ άτυπος</v>
      </c>
      <c r="D14" s="396" t="str">
        <f>'4-πολλυπρ'!D14</f>
        <v>πατήρ</v>
      </c>
      <c r="E14" s="396" t="str">
        <f>'4-πολλυπρ'!I14</f>
        <v>;;;???</v>
      </c>
      <c r="F14" s="397">
        <v>2200</v>
      </c>
      <c r="G14" s="398" t="s">
        <v>168</v>
      </c>
      <c r="H14" s="398" t="s">
        <v>169</v>
      </c>
      <c r="I14" s="399"/>
      <c r="J14" s="397"/>
      <c r="K14" s="397"/>
      <c r="L14" s="397">
        <v>605</v>
      </c>
      <c r="M14" s="397">
        <f t="shared" ref="M14:M15" si="5">2*5*1100</f>
        <v>11000</v>
      </c>
      <c r="N14" s="397"/>
      <c r="O14" s="397"/>
      <c r="P14" s="397"/>
      <c r="Q14" s="397"/>
      <c r="R14" s="397"/>
      <c r="S14" s="397"/>
      <c r="T14" s="397">
        <f t="shared" ref="T14:T15" si="6">2*3*500</f>
        <v>3000</v>
      </c>
      <c r="U14" s="397">
        <f t="shared" ref="U14:U15" si="7">(2*2+4*5)*1100</f>
        <v>26400</v>
      </c>
      <c r="V14" s="397">
        <f t="shared" si="1"/>
        <v>40400</v>
      </c>
      <c r="W14" s="400"/>
      <c r="X14" s="400"/>
      <c r="Y14" s="401"/>
      <c r="Z14" s="402"/>
    </row>
    <row r="15" spans="1:26" s="379" customFormat="1">
      <c r="A15" s="549">
        <f>'1-συμβολαια'!A15</f>
        <v>0</v>
      </c>
      <c r="B15" s="437"/>
      <c r="C15" s="395" t="str">
        <f>'1-συμβολαια'!C15</f>
        <v>χρησικτησία αγροτεμαχίων = 1920 ΔΙΑΝΟΜΗ άτυπος</v>
      </c>
      <c r="D15" s="396" t="str">
        <f>'4-πολλυπρ'!D15</f>
        <v>πατήρ</v>
      </c>
      <c r="E15" s="396">
        <f>'4-πολλυπρ'!I15</f>
        <v>0</v>
      </c>
      <c r="F15" s="397">
        <v>2200</v>
      </c>
      <c r="G15" s="398" t="s">
        <v>168</v>
      </c>
      <c r="H15" s="398" t="s">
        <v>169</v>
      </c>
      <c r="I15" s="399"/>
      <c r="J15" s="397"/>
      <c r="K15" s="397"/>
      <c r="L15" s="397">
        <v>605</v>
      </c>
      <c r="M15" s="397">
        <f t="shared" si="5"/>
        <v>11000</v>
      </c>
      <c r="N15" s="397"/>
      <c r="O15" s="397"/>
      <c r="P15" s="397"/>
      <c r="Q15" s="397"/>
      <c r="R15" s="397"/>
      <c r="S15" s="397"/>
      <c r="T15" s="397">
        <f t="shared" si="6"/>
        <v>3000</v>
      </c>
      <c r="U15" s="397">
        <f t="shared" si="7"/>
        <v>26400</v>
      </c>
      <c r="V15" s="397">
        <f t="shared" ref="V15:V16" si="8">SUM(J15:U15)-L15</f>
        <v>40400</v>
      </c>
      <c r="W15" s="400"/>
      <c r="X15" s="400"/>
      <c r="Y15" s="401"/>
      <c r="Z15" s="402"/>
    </row>
    <row r="16" spans="1:26" s="379" customFormat="1" ht="13.5" thickBot="1">
      <c r="A16" s="550">
        <f>'1-συμβολαια'!A16</f>
        <v>0</v>
      </c>
      <c r="B16" s="545"/>
      <c r="C16" s="546" t="str">
        <f>'1-συμβολαια'!C16</f>
        <v>εξισορρόπηση διαφοράς διανεμομένων μεριδίων</v>
      </c>
      <c r="D16" s="547" t="str">
        <f>'4-πολλυπρ'!D16</f>
        <v>πατήρ</v>
      </c>
      <c r="E16" s="547">
        <f>'4-πολλυπρ'!I16</f>
        <v>0</v>
      </c>
      <c r="F16" s="547"/>
      <c r="G16" s="668"/>
      <c r="H16" s="668"/>
      <c r="I16" s="669"/>
      <c r="J16" s="547"/>
      <c r="K16" s="547"/>
      <c r="L16" s="547"/>
      <c r="M16" s="547"/>
      <c r="N16" s="547"/>
      <c r="O16" s="547"/>
      <c r="P16" s="547"/>
      <c r="Q16" s="547"/>
      <c r="R16" s="547"/>
      <c r="S16" s="547"/>
      <c r="T16" s="547"/>
      <c r="U16" s="547"/>
      <c r="V16" s="547">
        <f t="shared" si="8"/>
        <v>0</v>
      </c>
      <c r="W16" s="400"/>
      <c r="X16" s="400"/>
      <c r="Y16" s="401"/>
      <c r="Z16" s="402"/>
    </row>
    <row r="17" spans="1:26">
      <c r="A17" s="837" t="s">
        <v>35</v>
      </c>
      <c r="B17" s="838"/>
      <c r="C17" s="838"/>
      <c r="D17" s="838"/>
      <c r="E17" s="839"/>
      <c r="F17" s="670">
        <f>SUM(F3:F16)</f>
        <v>17600</v>
      </c>
      <c r="G17" s="671"/>
      <c r="H17" s="671"/>
      <c r="I17" s="671"/>
      <c r="J17" s="670">
        <f>SUM(J3:J16)</f>
        <v>4000</v>
      </c>
      <c r="K17" s="670">
        <f>SUM(K3:K16)</f>
        <v>4000</v>
      </c>
      <c r="L17" s="670">
        <f>SUM(L3:L16)</f>
        <v>4840</v>
      </c>
      <c r="M17" s="670">
        <f>SUM(M3:M16)</f>
        <v>60500</v>
      </c>
      <c r="N17" s="670"/>
      <c r="O17" s="670">
        <f t="shared" ref="O17:W17" si="9">SUM(O3:O16)</f>
        <v>0</v>
      </c>
      <c r="P17" s="670">
        <f t="shared" si="9"/>
        <v>0</v>
      </c>
      <c r="Q17" s="670">
        <f t="shared" si="9"/>
        <v>0</v>
      </c>
      <c r="R17" s="670">
        <f t="shared" si="9"/>
        <v>0</v>
      </c>
      <c r="S17" s="670">
        <f t="shared" si="9"/>
        <v>0</v>
      </c>
      <c r="T17" s="670">
        <f t="shared" si="9"/>
        <v>16500</v>
      </c>
      <c r="U17" s="670">
        <f t="shared" si="9"/>
        <v>156200</v>
      </c>
      <c r="V17" s="670">
        <f t="shared" si="9"/>
        <v>241200</v>
      </c>
      <c r="W17" s="381">
        <f t="shared" si="9"/>
        <v>0</v>
      </c>
      <c r="X17" s="382"/>
      <c r="Y17" s="380"/>
      <c r="Z17" s="380"/>
    </row>
    <row r="19" spans="1:26" ht="15.75" customHeight="1">
      <c r="C19" s="91"/>
      <c r="D19" s="78" t="s">
        <v>580</v>
      </c>
      <c r="J19" s="386" t="s">
        <v>419</v>
      </c>
      <c r="M19" s="386" t="s">
        <v>421</v>
      </c>
      <c r="X19" s="388"/>
      <c r="Y19" s="389"/>
      <c r="Z19" s="388"/>
    </row>
    <row r="20" spans="1:26">
      <c r="C20" s="91"/>
      <c r="D20" s="78" t="s">
        <v>538</v>
      </c>
      <c r="G20" s="390" t="s">
        <v>165</v>
      </c>
      <c r="H20" s="391"/>
      <c r="I20" s="387"/>
      <c r="M20" s="392" t="s">
        <v>207</v>
      </c>
      <c r="X20" s="385"/>
    </row>
    <row r="21" spans="1:26">
      <c r="C21" s="91"/>
      <c r="D21" s="78" t="s">
        <v>557</v>
      </c>
      <c r="G21" s="387"/>
      <c r="H21" s="391" t="s">
        <v>166</v>
      </c>
      <c r="N21" s="393"/>
      <c r="W21" s="385"/>
      <c r="X21" s="385"/>
    </row>
    <row r="22" spans="1:26">
      <c r="C22" s="91"/>
      <c r="D22" s="78"/>
      <c r="E22" s="8"/>
      <c r="O22" s="403" t="s">
        <v>208</v>
      </c>
      <c r="W22" s="385"/>
      <c r="X22" s="385"/>
    </row>
    <row r="23" spans="1:26">
      <c r="B23" s="8"/>
      <c r="C23" s="91"/>
      <c r="D23" s="78" t="s">
        <v>581</v>
      </c>
      <c r="E23" s="8"/>
      <c r="F23" s="8"/>
      <c r="G23" s="8"/>
      <c r="P23" s="394" t="s">
        <v>526</v>
      </c>
      <c r="W23" s="385"/>
      <c r="X23" s="385"/>
    </row>
    <row r="24" spans="1:26">
      <c r="B24" s="8"/>
      <c r="C24" s="91"/>
      <c r="D24" s="78" t="s">
        <v>537</v>
      </c>
      <c r="E24" s="8"/>
      <c r="F24" s="8"/>
      <c r="G24" s="8"/>
      <c r="Q24" s="394" t="s">
        <v>525</v>
      </c>
    </row>
    <row r="25" spans="1:26">
      <c r="B25" s="8"/>
      <c r="C25" s="91"/>
      <c r="D25" s="78" t="s">
        <v>535</v>
      </c>
      <c r="E25" s="8"/>
      <c r="F25" s="8"/>
      <c r="G25" s="8"/>
      <c r="R25" s="394" t="s">
        <v>532</v>
      </c>
    </row>
    <row r="26" spans="1:26">
      <c r="B26" s="8"/>
      <c r="C26" s="91"/>
      <c r="D26" s="78"/>
      <c r="E26" s="8"/>
      <c r="F26" s="8"/>
      <c r="G26" s="8"/>
      <c r="T26" s="385" t="s">
        <v>531</v>
      </c>
    </row>
    <row r="27" spans="1:26">
      <c r="B27" s="8"/>
      <c r="C27" s="91"/>
      <c r="D27" s="78" t="s">
        <v>582</v>
      </c>
      <c r="E27" s="8"/>
      <c r="F27" s="8"/>
      <c r="G27" s="8"/>
      <c r="U27" s="385" t="s">
        <v>528</v>
      </c>
    </row>
    <row r="28" spans="1:26">
      <c r="B28" s="8"/>
      <c r="C28" s="91"/>
      <c r="D28" s="78" t="s">
        <v>537</v>
      </c>
      <c r="E28" s="8"/>
      <c r="F28" s="8"/>
      <c r="G28" s="8"/>
    </row>
    <row r="29" spans="1:26">
      <c r="B29" s="8"/>
      <c r="C29" s="91"/>
      <c r="D29" s="78" t="s">
        <v>535</v>
      </c>
      <c r="E29" s="8"/>
      <c r="F29" s="8"/>
      <c r="G29" s="8"/>
    </row>
    <row r="30" spans="1:26">
      <c r="B30" s="8"/>
      <c r="C30" s="91"/>
      <c r="D30" s="78"/>
      <c r="E30" s="8"/>
      <c r="F30" s="8"/>
      <c r="G30" s="8"/>
    </row>
    <row r="31" spans="1:26">
      <c r="B31" s="8"/>
      <c r="C31" s="91"/>
      <c r="D31" s="78" t="s">
        <v>583</v>
      </c>
      <c r="E31" s="8"/>
      <c r="F31" s="8"/>
      <c r="G31" s="8"/>
    </row>
    <row r="32" spans="1:26">
      <c r="B32" s="8"/>
      <c r="C32" s="91"/>
      <c r="D32" s="78" t="s">
        <v>538</v>
      </c>
      <c r="E32" s="8"/>
      <c r="F32" s="8"/>
      <c r="G32" s="8"/>
    </row>
    <row r="33" spans="2:7">
      <c r="B33" s="8"/>
      <c r="C33" s="91"/>
      <c r="D33" s="78" t="s">
        <v>535</v>
      </c>
      <c r="E33" s="8"/>
      <c r="F33" s="8"/>
      <c r="G33" s="8"/>
    </row>
    <row r="34" spans="2:7">
      <c r="B34" s="8"/>
      <c r="C34" s="91"/>
      <c r="D34" s="78"/>
      <c r="E34" s="8"/>
      <c r="F34" s="8"/>
      <c r="G34" s="8"/>
    </row>
    <row r="35" spans="2:7">
      <c r="B35" s="8"/>
      <c r="C35" s="91"/>
      <c r="D35" s="78" t="s">
        <v>584</v>
      </c>
      <c r="E35" s="8"/>
      <c r="F35" s="8"/>
      <c r="G35" s="8"/>
    </row>
    <row r="36" spans="2:7">
      <c r="B36" s="8"/>
      <c r="C36" s="91"/>
      <c r="D36" s="78" t="s">
        <v>538</v>
      </c>
      <c r="E36" s="8"/>
      <c r="F36" s="8"/>
      <c r="G36" s="8"/>
    </row>
    <row r="37" spans="2:7">
      <c r="B37" s="8"/>
      <c r="C37" s="91"/>
      <c r="D37" s="78" t="s">
        <v>535</v>
      </c>
      <c r="E37" s="8"/>
      <c r="F37" s="8"/>
      <c r="G37" s="8"/>
    </row>
    <row r="38" spans="2:7">
      <c r="B38" s="8"/>
      <c r="C38" s="91"/>
      <c r="D38" s="8"/>
      <c r="E38" s="8"/>
      <c r="F38" s="8"/>
      <c r="G38" s="8"/>
    </row>
    <row r="39" spans="2:7">
      <c r="B39" s="8"/>
      <c r="C39" s="91"/>
      <c r="D39" s="78" t="s">
        <v>585</v>
      </c>
      <c r="E39" s="8"/>
      <c r="F39" s="8"/>
      <c r="G39" s="8"/>
    </row>
    <row r="40" spans="2:7">
      <c r="B40" s="8"/>
      <c r="C40" s="3"/>
      <c r="D40" s="78" t="s">
        <v>538</v>
      </c>
      <c r="E40" s="8"/>
      <c r="F40" s="8"/>
      <c r="G40" s="8"/>
    </row>
    <row r="41" spans="2:7">
      <c r="B41" s="8"/>
      <c r="C41" s="3"/>
      <c r="D41" s="78" t="s">
        <v>535</v>
      </c>
      <c r="E41" s="8"/>
      <c r="F41" s="8"/>
      <c r="G41" s="8"/>
    </row>
    <row r="42" spans="2:7">
      <c r="B42" s="8"/>
      <c r="C42" s="300"/>
      <c r="D42" s="8"/>
      <c r="E42" s="8"/>
      <c r="F42" s="8"/>
      <c r="G42" s="8"/>
    </row>
    <row r="43" spans="2:7">
      <c r="B43" s="8"/>
      <c r="C43" s="3"/>
      <c r="D43" s="8"/>
      <c r="E43" s="8"/>
      <c r="F43" s="8"/>
      <c r="G43" s="8"/>
    </row>
    <row r="44" spans="2:7">
      <c r="B44" s="8"/>
      <c r="C44" s="3" t="s">
        <v>587</v>
      </c>
      <c r="D44" s="78" t="s">
        <v>586</v>
      </c>
      <c r="E44" s="8"/>
      <c r="F44" s="8"/>
      <c r="G44" s="8"/>
    </row>
    <row r="45" spans="2:7">
      <c r="B45" s="8"/>
      <c r="C45" s="3" t="s">
        <v>588</v>
      </c>
      <c r="D45" s="78" t="s">
        <v>537</v>
      </c>
      <c r="E45" s="8"/>
      <c r="F45" s="8"/>
      <c r="G45" s="8"/>
    </row>
    <row r="46" spans="2:7">
      <c r="B46" s="8"/>
      <c r="C46" s="3"/>
      <c r="D46" s="78" t="s">
        <v>535</v>
      </c>
      <c r="E46" s="8"/>
      <c r="F46" s="8"/>
      <c r="G46" s="2"/>
    </row>
    <row r="47" spans="2:7">
      <c r="B47" s="8"/>
      <c r="C47" s="91"/>
      <c r="D47" s="3"/>
      <c r="E47" s="8"/>
      <c r="F47" s="8"/>
      <c r="G47" s="2"/>
    </row>
    <row r="48" spans="2:7">
      <c r="C48" s="3"/>
      <c r="D48" s="3"/>
      <c r="E48" s="3"/>
    </row>
    <row r="49" spans="3:3">
      <c r="C49" s="3"/>
    </row>
    <row r="50" spans="3:3">
      <c r="C50" s="3"/>
    </row>
    <row r="51" spans="3:3">
      <c r="C51" s="3"/>
    </row>
    <row r="52" spans="3:3">
      <c r="C52" s="3"/>
    </row>
    <row r="53" spans="3:3">
      <c r="C53" s="3"/>
    </row>
    <row r="54" spans="3:3">
      <c r="C54" s="3"/>
    </row>
    <row r="55" spans="3:3">
      <c r="C55" s="3"/>
    </row>
    <row r="56" spans="3:3">
      <c r="C56" s="3"/>
    </row>
    <row r="57" spans="3:3">
      <c r="C57" s="3"/>
    </row>
    <row r="58" spans="3:3">
      <c r="C58" s="3"/>
    </row>
    <row r="59" spans="3:3">
      <c r="C59" s="3"/>
    </row>
    <row r="60" spans="3:3">
      <c r="C60" s="91"/>
    </row>
    <row r="61" spans="3:3">
      <c r="C61" s="91"/>
    </row>
    <row r="62" spans="3:3">
      <c r="C62" s="3"/>
    </row>
    <row r="63" spans="3:3">
      <c r="C63" s="3"/>
    </row>
    <row r="64" spans="3:3">
      <c r="C64" s="3"/>
    </row>
    <row r="65" spans="3:3">
      <c r="C65" s="3"/>
    </row>
    <row r="66" spans="3:3">
      <c r="C66" s="3"/>
    </row>
    <row r="67" spans="3:3">
      <c r="C67" s="3"/>
    </row>
    <row r="68" spans="3:3">
      <c r="C68" s="3"/>
    </row>
    <row r="69" spans="3:3">
      <c r="C69" s="3"/>
    </row>
    <row r="70" spans="3:3">
      <c r="C70" s="3"/>
    </row>
    <row r="71" spans="3:3">
      <c r="C71" s="3"/>
    </row>
    <row r="72" spans="3:3">
      <c r="C72" s="3"/>
    </row>
    <row r="73" spans="3:3">
      <c r="C73" s="3"/>
    </row>
    <row r="74" spans="3:3">
      <c r="C74" s="3"/>
    </row>
    <row r="75" spans="3:3">
      <c r="C75" s="3"/>
    </row>
    <row r="76" spans="3:3">
      <c r="C76" s="3"/>
    </row>
    <row r="77" spans="3:3">
      <c r="C77" s="3"/>
    </row>
    <row r="78" spans="3:3">
      <c r="C78" s="3"/>
    </row>
    <row r="79" spans="3:3">
      <c r="C79" s="3"/>
    </row>
    <row r="80" spans="3:3">
      <c r="C80" s="3"/>
    </row>
    <row r="81" spans="3:3">
      <c r="C81" s="3"/>
    </row>
    <row r="82" spans="3:3">
      <c r="C82" s="3"/>
    </row>
    <row r="83" spans="3:3">
      <c r="C83" s="3"/>
    </row>
    <row r="84" spans="3:3">
      <c r="C84" s="3"/>
    </row>
    <row r="85" spans="3:3">
      <c r="C85" s="9"/>
    </row>
    <row r="86" spans="3:3">
      <c r="C86" s="300"/>
    </row>
    <row r="87" spans="3:3">
      <c r="C87" s="300"/>
    </row>
    <row r="88" spans="3:3">
      <c r="C88" s="300"/>
    </row>
    <row r="89" spans="3:3">
      <c r="C89" s="9"/>
    </row>
    <row r="90" spans="3:3">
      <c r="C90" s="300"/>
    </row>
    <row r="91" spans="3:3">
      <c r="C91" s="3"/>
    </row>
    <row r="92" spans="3:3">
      <c r="C92" s="3"/>
    </row>
    <row r="93" spans="3:3">
      <c r="C93" s="3"/>
    </row>
    <row r="94" spans="3:3">
      <c r="C94" s="3"/>
    </row>
    <row r="95" spans="3:3">
      <c r="C95" s="3"/>
    </row>
    <row r="96" spans="3:3">
      <c r="C96" s="3"/>
    </row>
    <row r="97" spans="3:3">
      <c r="C97" s="3"/>
    </row>
    <row r="98" spans="3:3">
      <c r="C98" s="3"/>
    </row>
    <row r="99" spans="3:3">
      <c r="C99" s="3"/>
    </row>
    <row r="100" spans="3:3">
      <c r="C100" s="3"/>
    </row>
    <row r="101" spans="3:3">
      <c r="C101" s="3"/>
    </row>
    <row r="102" spans="3:3">
      <c r="C102" s="3"/>
    </row>
    <row r="103" spans="3:3">
      <c r="C103" s="3"/>
    </row>
    <row r="104" spans="3:3">
      <c r="C104" s="3"/>
    </row>
    <row r="105" spans="3:3">
      <c r="C105" s="3"/>
    </row>
    <row r="106" spans="3:3">
      <c r="C106" s="3"/>
    </row>
    <row r="107" spans="3:3">
      <c r="C107" s="3"/>
    </row>
    <row r="108" spans="3:3">
      <c r="C108" s="3"/>
    </row>
    <row r="109" spans="3:3">
      <c r="C109" s="3"/>
    </row>
    <row r="110" spans="3:3">
      <c r="C110" s="3"/>
    </row>
    <row r="111" spans="3:3">
      <c r="C111" s="3"/>
    </row>
    <row r="112" spans="3:3">
      <c r="C112" s="3"/>
    </row>
    <row r="113" spans="3:3">
      <c r="C113" s="3"/>
    </row>
    <row r="114" spans="3:3">
      <c r="C114" s="3"/>
    </row>
    <row r="115" spans="3:3">
      <c r="C115" s="3"/>
    </row>
    <row r="116" spans="3:3">
      <c r="C116" s="3"/>
    </row>
    <row r="117" spans="3:3">
      <c r="C117" s="3"/>
    </row>
    <row r="118" spans="3:3">
      <c r="C118" s="3"/>
    </row>
    <row r="119" spans="3:3">
      <c r="C119" s="3"/>
    </row>
    <row r="120" spans="3:3">
      <c r="C120" s="3"/>
    </row>
    <row r="121" spans="3:3">
      <c r="C121" s="3"/>
    </row>
    <row r="122" spans="3:3">
      <c r="C122" s="3"/>
    </row>
    <row r="123" spans="3:3">
      <c r="C123" s="3"/>
    </row>
    <row r="124" spans="3:3">
      <c r="C124" s="3"/>
    </row>
    <row r="125" spans="3:3">
      <c r="C125" s="3"/>
    </row>
    <row r="126" spans="3:3">
      <c r="C126" s="3"/>
    </row>
    <row r="127" spans="3:3">
      <c r="C127" s="3"/>
    </row>
    <row r="128" spans="3:3">
      <c r="C128" s="3"/>
    </row>
    <row r="129" spans="3:3">
      <c r="C129" s="3"/>
    </row>
    <row r="130" spans="3:3">
      <c r="C130" s="3"/>
    </row>
    <row r="131" spans="3:3">
      <c r="C131" s="3"/>
    </row>
    <row r="132" spans="3:3">
      <c r="C132" s="3"/>
    </row>
    <row r="133" spans="3:3">
      <c r="C133" s="3"/>
    </row>
  </sheetData>
  <mergeCells count="6">
    <mergeCell ref="J1:V1"/>
    <mergeCell ref="W1:Z2"/>
    <mergeCell ref="A1:E1"/>
    <mergeCell ref="A17:E17"/>
    <mergeCell ref="F1:I1"/>
    <mergeCell ref="G2:I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42"/>
  <sheetViews>
    <sheetView topLeftCell="H1" workbookViewId="0">
      <pane ySplit="2" topLeftCell="A3" activePane="bottomLeft" state="frozen"/>
      <selection pane="bottomLeft" activeCell="J38" sqref="J38"/>
    </sheetView>
  </sheetViews>
  <sheetFormatPr defaultRowHeight="11.25"/>
  <cols>
    <col min="1" max="1" width="7.28515625" style="8" bestFit="1" customWidth="1"/>
    <col min="2" max="2" width="67.7109375" style="3" bestFit="1" customWidth="1"/>
    <col min="3" max="3" width="11.140625" style="3" bestFit="1" customWidth="1"/>
    <col min="4" max="4" width="9" style="8" customWidth="1"/>
    <col min="5" max="5" width="10" style="3" customWidth="1"/>
    <col min="6" max="6" width="9.140625" style="3" customWidth="1"/>
    <col min="7" max="7" width="10.28515625" style="3" customWidth="1"/>
    <col min="8" max="12" width="9.140625" style="3" customWidth="1"/>
    <col min="13" max="13" width="9.85546875" style="8" customWidth="1"/>
    <col min="14" max="14" width="10.5703125" style="3" customWidth="1"/>
    <col min="15" max="21" width="9.140625" style="3" customWidth="1"/>
    <col min="22" max="22" width="13.140625" style="3" customWidth="1"/>
    <col min="23" max="23" width="9.85546875" style="3" customWidth="1"/>
    <col min="24" max="29" width="9.140625" style="3" customWidth="1"/>
    <col min="30" max="30" width="5.28515625" style="3" customWidth="1"/>
    <col min="31" max="31" width="11.140625" style="8" bestFit="1" customWidth="1"/>
    <col min="32" max="32" width="9.28515625" style="8" bestFit="1" customWidth="1"/>
    <col min="33" max="33" width="11.140625" style="8" bestFit="1" customWidth="1"/>
    <col min="34" max="34" width="11.85546875" style="3" customWidth="1"/>
    <col min="35" max="16384" width="9.140625" style="3"/>
  </cols>
  <sheetData>
    <row r="1" spans="1:38" ht="15.75">
      <c r="A1" s="848" t="s">
        <v>327</v>
      </c>
      <c r="B1" s="849"/>
      <c r="C1" s="849"/>
      <c r="D1" s="849"/>
      <c r="E1" s="849"/>
      <c r="F1" s="849"/>
      <c r="G1" s="849"/>
      <c r="H1" s="849"/>
      <c r="I1" s="849"/>
      <c r="J1" s="849"/>
      <c r="K1" s="849"/>
      <c r="L1" s="849"/>
      <c r="M1" s="849"/>
      <c r="N1" s="849"/>
      <c r="O1" s="849"/>
      <c r="P1" s="849"/>
      <c r="Q1" s="849"/>
      <c r="R1" s="849"/>
      <c r="S1" s="849"/>
      <c r="T1" s="849"/>
      <c r="U1" s="849"/>
      <c r="V1" s="849"/>
      <c r="W1" s="849"/>
      <c r="X1" s="849"/>
      <c r="Y1" s="849"/>
      <c r="Z1" s="849"/>
      <c r="AA1" s="849"/>
      <c r="AB1" s="849"/>
      <c r="AC1" s="849"/>
      <c r="AD1" s="849"/>
      <c r="AE1" s="850" t="s">
        <v>47</v>
      </c>
      <c r="AF1" s="852" t="s">
        <v>9</v>
      </c>
      <c r="AG1" s="854" t="s">
        <v>33</v>
      </c>
      <c r="AH1" s="856" t="s">
        <v>337</v>
      </c>
      <c r="AI1" s="858" t="s">
        <v>85</v>
      </c>
      <c r="AJ1" s="859"/>
      <c r="AK1" s="859"/>
      <c r="AL1" s="860"/>
    </row>
    <row r="2" spans="1:38" ht="12" thickBot="1">
      <c r="A2" s="369"/>
      <c r="B2" s="196" t="s">
        <v>336</v>
      </c>
      <c r="C2" s="196" t="s">
        <v>86</v>
      </c>
      <c r="D2" s="370" t="s">
        <v>328</v>
      </c>
      <c r="E2" s="172" t="s">
        <v>31</v>
      </c>
      <c r="F2" s="172" t="s">
        <v>329</v>
      </c>
      <c r="G2" s="172" t="s">
        <v>330</v>
      </c>
      <c r="H2" s="172" t="s">
        <v>331</v>
      </c>
      <c r="I2" s="172" t="s">
        <v>332</v>
      </c>
      <c r="J2" s="172" t="s">
        <v>333</v>
      </c>
      <c r="K2" s="813" t="s">
        <v>29</v>
      </c>
      <c r="L2" s="814"/>
      <c r="M2" s="459" t="s">
        <v>334</v>
      </c>
      <c r="N2" s="182" t="s">
        <v>31</v>
      </c>
      <c r="O2" s="182" t="s">
        <v>329</v>
      </c>
      <c r="P2" s="182" t="s">
        <v>330</v>
      </c>
      <c r="Q2" s="182" t="s">
        <v>331</v>
      </c>
      <c r="R2" s="182" t="s">
        <v>332</v>
      </c>
      <c r="S2" s="182" t="s">
        <v>333</v>
      </c>
      <c r="T2" s="823" t="s">
        <v>29</v>
      </c>
      <c r="U2" s="824"/>
      <c r="V2" s="172" t="s">
        <v>335</v>
      </c>
      <c r="W2" s="172" t="s">
        <v>31</v>
      </c>
      <c r="X2" s="172" t="s">
        <v>329</v>
      </c>
      <c r="Y2" s="172" t="s">
        <v>330</v>
      </c>
      <c r="Z2" s="172" t="s">
        <v>331</v>
      </c>
      <c r="AA2" s="172" t="s">
        <v>332</v>
      </c>
      <c r="AB2" s="172" t="s">
        <v>333</v>
      </c>
      <c r="AC2" s="813" t="s">
        <v>29</v>
      </c>
      <c r="AD2" s="814"/>
      <c r="AE2" s="851"/>
      <c r="AF2" s="853"/>
      <c r="AG2" s="855"/>
      <c r="AH2" s="857"/>
      <c r="AI2" s="861"/>
      <c r="AJ2" s="862"/>
      <c r="AK2" s="862"/>
      <c r="AL2" s="863"/>
    </row>
    <row r="3" spans="1:38" s="5" customFormat="1" ht="12" thickBot="1">
      <c r="A3" s="418">
        <f>'1-συμβολαια'!A3</f>
        <v>111</v>
      </c>
      <c r="B3" s="473" t="str">
        <f>'1-συμβολαια'!C3</f>
        <v>πληρεξύσιο</v>
      </c>
      <c r="C3" s="424">
        <f>'1-συμβολαια'!D3</f>
        <v>0</v>
      </c>
      <c r="D3" s="418"/>
      <c r="E3" s="473"/>
      <c r="F3" s="473"/>
      <c r="G3" s="473"/>
      <c r="H3" s="473"/>
      <c r="I3" s="473"/>
      <c r="J3" s="473"/>
      <c r="K3" s="473"/>
      <c r="L3" s="473"/>
      <c r="M3" s="418">
        <f t="shared" ref="M3" si="0">C3*0.65%</f>
        <v>0</v>
      </c>
      <c r="N3" s="473"/>
      <c r="O3" s="473"/>
      <c r="P3" s="473"/>
      <c r="Q3" s="473"/>
      <c r="R3" s="473"/>
      <c r="S3" s="473"/>
      <c r="T3" s="473"/>
      <c r="U3" s="473"/>
      <c r="V3" s="505">
        <f t="shared" ref="V3" si="1">C3*0.125%</f>
        <v>0</v>
      </c>
      <c r="W3" s="473"/>
      <c r="X3" s="473"/>
      <c r="Y3" s="473"/>
      <c r="Z3" s="473"/>
      <c r="AA3" s="473"/>
      <c r="AB3" s="473"/>
      <c r="AC3" s="473"/>
      <c r="AD3" s="473"/>
      <c r="AE3" s="583">
        <f t="shared" ref="AE3" si="2">D3+M3+V3</f>
        <v>0</v>
      </c>
      <c r="AF3" s="583"/>
      <c r="AG3" s="583">
        <f t="shared" ref="AG3" si="3">AE3-AF3</f>
        <v>0</v>
      </c>
      <c r="AH3" s="74"/>
      <c r="AI3" s="74"/>
      <c r="AJ3" s="74"/>
      <c r="AK3" s="74"/>
      <c r="AL3" s="74"/>
    </row>
    <row r="4" spans="1:38" s="5" customFormat="1">
      <c r="A4" s="499">
        <f>'1-συμβολαια'!A4</f>
        <v>113</v>
      </c>
      <c r="B4" s="470" t="str">
        <f>'1-συμβολαια'!C4</f>
        <v>δωρεάς ΠΡΟΤΑΣΗ [1/2 αγροτεμάχιο ;;;??? [το ανατολικό] Θεολόγος -Ποτός -'';;;???'' 2.798μ2</v>
      </c>
      <c r="C4" s="324">
        <f>'1-συμβολαια'!D4</f>
        <v>2400000</v>
      </c>
      <c r="D4" s="274"/>
      <c r="E4" s="470"/>
      <c r="F4" s="470"/>
      <c r="G4" s="470"/>
      <c r="H4" s="470"/>
      <c r="I4" s="470"/>
      <c r="J4" s="470"/>
      <c r="K4" s="470"/>
      <c r="L4" s="470"/>
      <c r="M4" s="274">
        <f t="shared" ref="M4:M15" si="4">C4*0.65%</f>
        <v>15600.000000000002</v>
      </c>
      <c r="N4" s="470"/>
      <c r="O4" s="470"/>
      <c r="P4" s="470"/>
      <c r="Q4" s="470"/>
      <c r="R4" s="470"/>
      <c r="S4" s="470"/>
      <c r="T4" s="470"/>
      <c r="U4" s="470"/>
      <c r="V4" s="504">
        <f t="shared" ref="V4:V15" si="5">C4*0.125%</f>
        <v>3000</v>
      </c>
      <c r="W4" s="470"/>
      <c r="X4" s="470"/>
      <c r="Y4" s="470"/>
      <c r="Z4" s="470"/>
      <c r="AA4" s="470"/>
      <c r="AB4" s="470"/>
      <c r="AC4" s="470"/>
      <c r="AD4" s="470"/>
      <c r="AE4" s="274">
        <f t="shared" ref="AE4:AE16" si="6">D4+M4+V4</f>
        <v>18600</v>
      </c>
      <c r="AF4" s="274">
        <v>18476</v>
      </c>
      <c r="AG4" s="274">
        <f t="shared" ref="AG4:AG16" si="7">AE4-AF4</f>
        <v>124</v>
      </c>
      <c r="AH4" s="74"/>
      <c r="AI4" s="74"/>
      <c r="AJ4" s="74"/>
      <c r="AK4" s="74"/>
      <c r="AL4" s="74"/>
    </row>
    <row r="5" spans="1:38" s="5" customFormat="1">
      <c r="A5" s="500">
        <f>'1-συμβολαια'!A5</f>
        <v>0</v>
      </c>
      <c r="B5" s="74" t="str">
        <f>'1-συμβολαια'!C5</f>
        <v>χρησικτησία αγροτεμαχίου = 1984 ΑΝΑΔΑΣΜΟΣ</v>
      </c>
      <c r="C5" s="422">
        <f>'1-συμβολαια'!D5</f>
        <v>222222</v>
      </c>
      <c r="D5" s="278"/>
      <c r="E5" s="74"/>
      <c r="F5" s="74"/>
      <c r="G5" s="74"/>
      <c r="H5" s="74"/>
      <c r="I5" s="74"/>
      <c r="J5" s="74"/>
      <c r="K5" s="74"/>
      <c r="L5" s="74"/>
      <c r="M5" s="278">
        <f t="shared" si="4"/>
        <v>1444.4430000000002</v>
      </c>
      <c r="N5" s="74"/>
      <c r="O5" s="74"/>
      <c r="P5" s="74"/>
      <c r="Q5" s="74"/>
      <c r="R5" s="74"/>
      <c r="S5" s="74"/>
      <c r="T5" s="74"/>
      <c r="U5" s="74"/>
      <c r="V5" s="368">
        <f t="shared" si="5"/>
        <v>277.77750000000003</v>
      </c>
      <c r="W5" s="74"/>
      <c r="X5" s="74"/>
      <c r="Y5" s="74"/>
      <c r="Z5" s="74"/>
      <c r="AA5" s="74"/>
      <c r="AB5" s="74"/>
      <c r="AC5" s="74"/>
      <c r="AD5" s="74"/>
      <c r="AE5" s="274">
        <f t="shared" si="6"/>
        <v>1722.2205000000004</v>
      </c>
      <c r="AF5" s="274"/>
      <c r="AG5" s="274">
        <f t="shared" si="7"/>
        <v>1722.2205000000004</v>
      </c>
      <c r="AH5" s="74"/>
      <c r="AI5" s="74"/>
      <c r="AJ5" s="74"/>
      <c r="AK5" s="74"/>
      <c r="AL5" s="74"/>
    </row>
    <row r="6" spans="1:38" s="5" customFormat="1">
      <c r="A6" s="500">
        <f>'1-συμβολαια'!A6</f>
        <v>0</v>
      </c>
      <c r="B6" s="74" t="str">
        <f>'1-συμβολαια'!C6</f>
        <v>διανομή [= ισομερής ΑΛΛΑ βάσει ΦΜΑ της Δ.Ο.Υ (3ου &amp; ;;;???}</v>
      </c>
      <c r="C6" s="422">
        <f>'1-συμβολαια'!D6</f>
        <v>2987306</v>
      </c>
      <c r="D6" s="278"/>
      <c r="E6" s="74"/>
      <c r="F6" s="74"/>
      <c r="G6" s="74"/>
      <c r="H6" s="74"/>
      <c r="I6" s="74"/>
      <c r="J6" s="74"/>
      <c r="K6" s="74"/>
      <c r="L6" s="74"/>
      <c r="M6" s="278"/>
      <c r="N6" s="74"/>
      <c r="O6" s="74"/>
      <c r="P6" s="74"/>
      <c r="Q6" s="74"/>
      <c r="R6" s="74"/>
      <c r="S6" s="74"/>
      <c r="T6" s="74"/>
      <c r="U6" s="74"/>
      <c r="V6" s="368"/>
      <c r="W6" s="74"/>
      <c r="X6" s="74"/>
      <c r="Y6" s="74"/>
      <c r="Z6" s="74"/>
      <c r="AA6" s="74"/>
      <c r="AB6" s="74"/>
      <c r="AC6" s="74"/>
      <c r="AD6" s="74"/>
      <c r="AE6" s="278">
        <f t="shared" si="6"/>
        <v>0</v>
      </c>
      <c r="AF6" s="278"/>
      <c r="AG6" s="278">
        <f t="shared" si="7"/>
        <v>0</v>
      </c>
      <c r="AH6" s="74"/>
      <c r="AI6" s="74"/>
      <c r="AJ6" s="74"/>
      <c r="AK6" s="74"/>
      <c r="AL6" s="74"/>
    </row>
    <row r="7" spans="1:38" s="5" customFormat="1" ht="12" thickBot="1">
      <c r="A7" s="501">
        <f>'1-συμβολαια'!A7</f>
        <v>0</v>
      </c>
      <c r="B7" s="473" t="str">
        <f>'1-συμβολαια'!C7</f>
        <v>εξισορρόπηση διαφοράς διανεμομένων μεριδίων</v>
      </c>
      <c r="C7" s="424">
        <f>'1-συμβολαια'!D7</f>
        <v>906347</v>
      </c>
      <c r="D7" s="418">
        <f>C7*1.3%</f>
        <v>11782.511</v>
      </c>
      <c r="E7" s="473"/>
      <c r="F7" s="473"/>
      <c r="G7" s="473"/>
      <c r="H7" s="473"/>
      <c r="I7" s="473"/>
      <c r="J7" s="473"/>
      <c r="K7" s="473"/>
      <c r="L7" s="473"/>
      <c r="M7" s="418"/>
      <c r="N7" s="473"/>
      <c r="O7" s="473"/>
      <c r="P7" s="473"/>
      <c r="Q7" s="473"/>
      <c r="R7" s="473"/>
      <c r="S7" s="473"/>
      <c r="T7" s="473"/>
      <c r="U7" s="473"/>
      <c r="V7" s="505"/>
      <c r="W7" s="473"/>
      <c r="X7" s="473"/>
      <c r="Y7" s="473"/>
      <c r="Z7" s="473"/>
      <c r="AA7" s="473"/>
      <c r="AB7" s="473"/>
      <c r="AC7" s="473"/>
      <c r="AD7" s="473"/>
      <c r="AE7" s="418">
        <f t="shared" si="6"/>
        <v>11782.511</v>
      </c>
      <c r="AF7" s="418"/>
      <c r="AG7" s="418">
        <f t="shared" si="7"/>
        <v>11782.511</v>
      </c>
      <c r="AH7" s="473"/>
      <c r="AI7" s="473"/>
      <c r="AJ7" s="473"/>
      <c r="AK7" s="473"/>
      <c r="AL7" s="74"/>
    </row>
    <row r="8" spans="1:38" s="5" customFormat="1">
      <c r="A8" s="595">
        <f>'1-συμβολαια'!A8</f>
        <v>114</v>
      </c>
      <c r="B8" s="470" t="str">
        <f>'1-συμβολαια'!C8</f>
        <v>δωρεάς ΠΡΟΤΑΣΗ [αγροτεμάχιο Θεολόγος -'';;;???'' 2.000μ2</v>
      </c>
      <c r="C8" s="324">
        <f>'1-συμβολαια'!D8</f>
        <v>400000</v>
      </c>
      <c r="D8" s="274"/>
      <c r="E8" s="470"/>
      <c r="F8" s="470"/>
      <c r="G8" s="470"/>
      <c r="H8" s="470"/>
      <c r="I8" s="470"/>
      <c r="J8" s="470"/>
      <c r="K8" s="470"/>
      <c r="L8" s="470"/>
      <c r="M8" s="274">
        <f t="shared" si="4"/>
        <v>2600.0000000000005</v>
      </c>
      <c r="N8" s="470"/>
      <c r="O8" s="470"/>
      <c r="P8" s="470"/>
      <c r="Q8" s="470"/>
      <c r="R8" s="470"/>
      <c r="S8" s="470"/>
      <c r="T8" s="470"/>
      <c r="U8" s="470"/>
      <c r="V8" s="504">
        <f t="shared" si="5"/>
        <v>500</v>
      </c>
      <c r="W8" s="470"/>
      <c r="X8" s="470"/>
      <c r="Y8" s="470"/>
      <c r="Z8" s="470"/>
      <c r="AA8" s="470"/>
      <c r="AB8" s="470"/>
      <c r="AC8" s="470"/>
      <c r="AD8" s="470"/>
      <c r="AE8" s="274">
        <f t="shared" si="6"/>
        <v>3100.0000000000005</v>
      </c>
      <c r="AF8" s="274">
        <v>3100</v>
      </c>
      <c r="AG8" s="274">
        <f t="shared" si="7"/>
        <v>0</v>
      </c>
      <c r="AH8" s="470"/>
      <c r="AI8" s="470"/>
      <c r="AJ8" s="470"/>
      <c r="AK8" s="470"/>
      <c r="AL8" s="74"/>
    </row>
    <row r="9" spans="1:38" s="5" customFormat="1" ht="12" thickBot="1">
      <c r="A9" s="596">
        <f>'1-συμβολαια'!A9</f>
        <v>0</v>
      </c>
      <c r="B9" s="473" t="str">
        <f>'1-συμβολαια'!C9</f>
        <v>χρησικτησία αγροτεμαχίου = 1910 πατρός ΔΩΡΕΑ άτυπος</v>
      </c>
      <c r="C9" s="424">
        <f>'1-συμβολαια'!D9</f>
        <v>333333</v>
      </c>
      <c r="D9" s="418"/>
      <c r="E9" s="473"/>
      <c r="F9" s="473"/>
      <c r="G9" s="473"/>
      <c r="H9" s="473"/>
      <c r="I9" s="473"/>
      <c r="J9" s="473"/>
      <c r="K9" s="473"/>
      <c r="L9" s="473"/>
      <c r="M9" s="418">
        <f t="shared" si="4"/>
        <v>2166.6645000000003</v>
      </c>
      <c r="N9" s="473"/>
      <c r="O9" s="473"/>
      <c r="P9" s="473"/>
      <c r="Q9" s="473"/>
      <c r="R9" s="473"/>
      <c r="S9" s="473"/>
      <c r="T9" s="473"/>
      <c r="U9" s="473"/>
      <c r="V9" s="505">
        <f t="shared" si="5"/>
        <v>416.66624999999999</v>
      </c>
      <c r="W9" s="473"/>
      <c r="X9" s="473"/>
      <c r="Y9" s="473"/>
      <c r="Z9" s="473"/>
      <c r="AA9" s="473"/>
      <c r="AB9" s="473"/>
      <c r="AC9" s="473"/>
      <c r="AD9" s="473"/>
      <c r="AE9" s="418">
        <f t="shared" si="6"/>
        <v>2583.3307500000001</v>
      </c>
      <c r="AF9" s="418"/>
      <c r="AG9" s="418">
        <f t="shared" si="7"/>
        <v>2583.3307500000001</v>
      </c>
      <c r="AH9" s="473"/>
      <c r="AI9" s="473"/>
      <c r="AJ9" s="473"/>
      <c r="AK9" s="473"/>
      <c r="AL9" s="473"/>
    </row>
    <row r="10" spans="1:38" s="5" customFormat="1">
      <c r="A10" s="274" t="str">
        <f>'1-συμβολαια'!A10</f>
        <v>;;;???</v>
      </c>
      <c r="B10" s="470" t="str">
        <f>'1-συμβολαια'!C10</f>
        <v>δωρεάς πρότασης 2ου  ΑΠΟΔΟΧΗ</v>
      </c>
      <c r="C10" s="324">
        <f>'1-συμβολαια'!D10</f>
        <v>0</v>
      </c>
      <c r="D10" s="274"/>
      <c r="E10" s="470"/>
      <c r="F10" s="470"/>
      <c r="G10" s="470"/>
      <c r="H10" s="470"/>
      <c r="I10" s="470"/>
      <c r="J10" s="470"/>
      <c r="K10" s="470"/>
      <c r="L10" s="470"/>
      <c r="M10" s="274">
        <f t="shared" si="4"/>
        <v>0</v>
      </c>
      <c r="N10" s="470"/>
      <c r="O10" s="470"/>
      <c r="P10" s="470"/>
      <c r="Q10" s="470"/>
      <c r="R10" s="470"/>
      <c r="S10" s="470"/>
      <c r="T10" s="470"/>
      <c r="U10" s="470"/>
      <c r="V10" s="504">
        <f t="shared" si="5"/>
        <v>0</v>
      </c>
      <c r="W10" s="470"/>
      <c r="X10" s="470"/>
      <c r="Y10" s="470"/>
      <c r="Z10" s="470"/>
      <c r="AA10" s="470"/>
      <c r="AB10" s="470"/>
      <c r="AC10" s="470"/>
      <c r="AD10" s="470"/>
      <c r="AE10" s="274">
        <f t="shared" si="6"/>
        <v>0</v>
      </c>
      <c r="AF10" s="274"/>
      <c r="AG10" s="274">
        <f t="shared" si="7"/>
        <v>0</v>
      </c>
      <c r="AH10" s="470"/>
      <c r="AI10" s="470"/>
      <c r="AJ10" s="470"/>
      <c r="AK10" s="470"/>
      <c r="AL10" s="470"/>
    </row>
    <row r="11" spans="1:38" s="5" customFormat="1">
      <c r="A11" s="278" t="str">
        <f>'1-συμβολαια'!A11</f>
        <v>;;;???</v>
      </c>
      <c r="B11" s="74" t="str">
        <f>'1-συμβολαια'!C11</f>
        <v>δωρεάς πρότασης  3ου  ΑΠΟΔΟΧΗ</v>
      </c>
      <c r="C11" s="422">
        <f>'1-συμβολαια'!D11</f>
        <v>0</v>
      </c>
      <c r="D11" s="278"/>
      <c r="E11" s="278"/>
      <c r="F11" s="278"/>
      <c r="G11" s="278"/>
      <c r="H11" s="278"/>
      <c r="I11" s="278"/>
      <c r="J11" s="278"/>
      <c r="K11" s="278"/>
      <c r="L11" s="278"/>
      <c r="M11" s="278">
        <f t="shared" si="4"/>
        <v>0</v>
      </c>
      <c r="N11" s="278"/>
      <c r="O11" s="278"/>
      <c r="P11" s="278"/>
      <c r="Q11" s="278"/>
      <c r="R11" s="278"/>
      <c r="S11" s="278"/>
      <c r="T11" s="278"/>
      <c r="U11" s="278"/>
      <c r="V11" s="278">
        <f t="shared" si="5"/>
        <v>0</v>
      </c>
      <c r="W11" s="278"/>
      <c r="X11" s="278"/>
      <c r="Y11" s="278"/>
      <c r="Z11" s="278"/>
      <c r="AA11" s="278"/>
      <c r="AB11" s="278"/>
      <c r="AC11" s="278"/>
      <c r="AD11" s="278"/>
      <c r="AE11" s="278">
        <f t="shared" si="6"/>
        <v>0</v>
      </c>
      <c r="AF11" s="278"/>
      <c r="AG11" s="278">
        <f t="shared" si="7"/>
        <v>0</v>
      </c>
      <c r="AH11" s="74"/>
      <c r="AI11" s="74"/>
      <c r="AJ11" s="74"/>
      <c r="AK11" s="74"/>
      <c r="AL11" s="74"/>
    </row>
    <row r="12" spans="1:38" s="5" customFormat="1" ht="12" thickBot="1">
      <c r="A12" s="418">
        <f>'1-συμβολαια'!A12</f>
        <v>552</v>
      </c>
      <c r="B12" s="473" t="str">
        <f>'1-συμβολαια'!C12</f>
        <v>πληρεξούσιο</v>
      </c>
      <c r="C12" s="424">
        <f>'1-συμβολαια'!D12</f>
        <v>0</v>
      </c>
      <c r="D12" s="418"/>
      <c r="E12" s="418"/>
      <c r="F12" s="418"/>
      <c r="G12" s="418"/>
      <c r="H12" s="418"/>
      <c r="I12" s="418"/>
      <c r="J12" s="418"/>
      <c r="K12" s="418"/>
      <c r="L12" s="418"/>
      <c r="M12" s="418">
        <f t="shared" si="4"/>
        <v>0</v>
      </c>
      <c r="N12" s="418"/>
      <c r="O12" s="418"/>
      <c r="P12" s="418"/>
      <c r="Q12" s="418"/>
      <c r="R12" s="418"/>
      <c r="S12" s="418"/>
      <c r="T12" s="418"/>
      <c r="U12" s="418"/>
      <c r="V12" s="418">
        <f t="shared" si="5"/>
        <v>0</v>
      </c>
      <c r="W12" s="418"/>
      <c r="X12" s="418"/>
      <c r="Y12" s="418"/>
      <c r="Z12" s="418"/>
      <c r="AA12" s="418"/>
      <c r="AB12" s="418"/>
      <c r="AC12" s="418"/>
      <c r="AD12" s="418"/>
      <c r="AE12" s="418">
        <f t="shared" si="6"/>
        <v>0</v>
      </c>
      <c r="AF12" s="418"/>
      <c r="AG12" s="418">
        <f t="shared" si="7"/>
        <v>0</v>
      </c>
      <c r="AH12" s="473"/>
      <c r="AI12" s="473"/>
      <c r="AJ12" s="473"/>
      <c r="AK12" s="473"/>
      <c r="AL12" s="74"/>
    </row>
    <row r="13" spans="1:38" s="5" customFormat="1">
      <c r="A13" s="499">
        <f>'1-συμβολαια'!A13</f>
        <v>564</v>
      </c>
      <c r="B13" s="470" t="str">
        <f>'1-συμβολαια'!C13</f>
        <v>γονική</v>
      </c>
      <c r="C13" s="324">
        <f>'1-συμβολαια'!D13</f>
        <v>3450000</v>
      </c>
      <c r="D13" s="274"/>
      <c r="E13" s="274"/>
      <c r="F13" s="274"/>
      <c r="G13" s="274"/>
      <c r="H13" s="274"/>
      <c r="I13" s="274"/>
      <c r="J13" s="274"/>
      <c r="K13" s="274"/>
      <c r="L13" s="274"/>
      <c r="M13" s="274">
        <f t="shared" si="4"/>
        <v>22425.000000000004</v>
      </c>
      <c r="N13" s="274"/>
      <c r="O13" s="274"/>
      <c r="P13" s="274"/>
      <c r="Q13" s="274"/>
      <c r="R13" s="274"/>
      <c r="S13" s="274"/>
      <c r="T13" s="274"/>
      <c r="U13" s="274"/>
      <c r="V13" s="274">
        <f t="shared" si="5"/>
        <v>4312.5</v>
      </c>
      <c r="W13" s="274"/>
      <c r="X13" s="274"/>
      <c r="Y13" s="274"/>
      <c r="Z13" s="274"/>
      <c r="AA13" s="274"/>
      <c r="AB13" s="274"/>
      <c r="AC13" s="274"/>
      <c r="AD13" s="274"/>
      <c r="AE13" s="274">
        <f t="shared" si="6"/>
        <v>26737.500000000004</v>
      </c>
      <c r="AF13" s="274">
        <v>24710</v>
      </c>
      <c r="AG13" s="274">
        <f t="shared" si="7"/>
        <v>2027.5000000000036</v>
      </c>
      <c r="AH13" s="470"/>
      <c r="AI13" s="470"/>
      <c r="AJ13" s="470"/>
      <c r="AK13" s="470"/>
      <c r="AL13" s="74"/>
    </row>
    <row r="14" spans="1:38" s="5" customFormat="1">
      <c r="A14" s="500">
        <f>'1-συμβολαια'!A14</f>
        <v>0</v>
      </c>
      <c r="B14" s="74" t="str">
        <f>'1-συμβολαια'!C14</f>
        <v>χρησικτησία αγροτεμαχίων = 1912 πατρός ΔΩΡΕΑ άτυπος</v>
      </c>
      <c r="C14" s="422">
        <f>'1-συμβολαια'!D14</f>
        <v>3333333</v>
      </c>
      <c r="D14" s="278"/>
      <c r="E14" s="278"/>
      <c r="F14" s="278"/>
      <c r="G14" s="278"/>
      <c r="H14" s="278"/>
      <c r="I14" s="278"/>
      <c r="J14" s="278"/>
      <c r="K14" s="278"/>
      <c r="L14" s="278"/>
      <c r="M14" s="278">
        <f t="shared" si="4"/>
        <v>21666.664500000003</v>
      </c>
      <c r="N14" s="278"/>
      <c r="O14" s="278"/>
      <c r="P14" s="278"/>
      <c r="Q14" s="278"/>
      <c r="R14" s="278"/>
      <c r="S14" s="278"/>
      <c r="T14" s="278"/>
      <c r="U14" s="278"/>
      <c r="V14" s="278">
        <f t="shared" si="5"/>
        <v>4166.6662500000002</v>
      </c>
      <c r="W14" s="278"/>
      <c r="X14" s="278"/>
      <c r="Y14" s="278"/>
      <c r="Z14" s="278"/>
      <c r="AA14" s="278"/>
      <c r="AB14" s="278"/>
      <c r="AC14" s="278"/>
      <c r="AD14" s="278"/>
      <c r="AE14" s="278">
        <f t="shared" si="6"/>
        <v>25833.330750000001</v>
      </c>
      <c r="AF14" s="278"/>
      <c r="AG14" s="278">
        <f t="shared" si="7"/>
        <v>25833.330750000001</v>
      </c>
      <c r="AH14" s="74"/>
      <c r="AI14" s="74"/>
      <c r="AJ14" s="74"/>
      <c r="AK14" s="74"/>
      <c r="AL14" s="74"/>
    </row>
    <row r="15" spans="1:38" s="5" customFormat="1">
      <c r="A15" s="500">
        <f>'1-συμβολαια'!A15</f>
        <v>0</v>
      </c>
      <c r="B15" s="74" t="str">
        <f>'1-συμβολαια'!C15</f>
        <v>χρησικτησία αγροτεμαχίων = 1920 ΔΙΑΝΟΜΗ άτυπος</v>
      </c>
      <c r="C15" s="422">
        <f>'1-συμβολαια'!D15</f>
        <v>3450000</v>
      </c>
      <c r="D15" s="278"/>
      <c r="E15" s="278"/>
      <c r="F15" s="278"/>
      <c r="G15" s="278"/>
      <c r="H15" s="278"/>
      <c r="I15" s="278"/>
      <c r="J15" s="278"/>
      <c r="K15" s="278"/>
      <c r="L15" s="278"/>
      <c r="M15" s="278">
        <f t="shared" si="4"/>
        <v>22425.000000000004</v>
      </c>
      <c r="N15" s="278"/>
      <c r="O15" s="278"/>
      <c r="P15" s="278"/>
      <c r="Q15" s="278"/>
      <c r="R15" s="278"/>
      <c r="S15" s="278"/>
      <c r="T15" s="278"/>
      <c r="U15" s="278"/>
      <c r="V15" s="278">
        <f t="shared" si="5"/>
        <v>4312.5</v>
      </c>
      <c r="W15" s="278"/>
      <c r="X15" s="278"/>
      <c r="Y15" s="278"/>
      <c r="Z15" s="278"/>
      <c r="AA15" s="278"/>
      <c r="AB15" s="278"/>
      <c r="AC15" s="278"/>
      <c r="AD15" s="278"/>
      <c r="AE15" s="278">
        <f t="shared" si="6"/>
        <v>26737.500000000004</v>
      </c>
      <c r="AF15" s="278"/>
      <c r="AG15" s="278">
        <f t="shared" si="7"/>
        <v>26737.500000000004</v>
      </c>
      <c r="AH15" s="74"/>
      <c r="AI15" s="74"/>
      <c r="AJ15" s="74"/>
      <c r="AK15" s="74"/>
      <c r="AL15" s="74"/>
    </row>
    <row r="16" spans="1:38" s="5" customFormat="1" ht="12" thickBot="1">
      <c r="A16" s="501">
        <f>'1-συμβολαια'!A16</f>
        <v>0</v>
      </c>
      <c r="B16" s="473" t="str">
        <f>'1-συμβολαια'!C16</f>
        <v>εξισορρόπηση διαφοράς διανεμομένων μεριδίων</v>
      </c>
      <c r="C16" s="424">
        <f>'1-συμβολαια'!D16</f>
        <v>111111</v>
      </c>
      <c r="D16" s="418">
        <f>C16*1.3%</f>
        <v>1444.4430000000002</v>
      </c>
      <c r="E16" s="418"/>
      <c r="F16" s="418"/>
      <c r="G16" s="418"/>
      <c r="H16" s="418"/>
      <c r="I16" s="418"/>
      <c r="J16" s="418"/>
      <c r="K16" s="418"/>
      <c r="L16" s="418"/>
      <c r="M16" s="418"/>
      <c r="N16" s="418"/>
      <c r="O16" s="418"/>
      <c r="P16" s="418"/>
      <c r="Q16" s="418"/>
      <c r="R16" s="418"/>
      <c r="S16" s="418"/>
      <c r="T16" s="418"/>
      <c r="U16" s="418"/>
      <c r="V16" s="418"/>
      <c r="W16" s="418"/>
      <c r="X16" s="418"/>
      <c r="Y16" s="418"/>
      <c r="Z16" s="418"/>
      <c r="AA16" s="418"/>
      <c r="AB16" s="418"/>
      <c r="AC16" s="418"/>
      <c r="AD16" s="418"/>
      <c r="AE16" s="418">
        <f t="shared" si="6"/>
        <v>1444.4430000000002</v>
      </c>
      <c r="AF16" s="418"/>
      <c r="AG16" s="418">
        <f t="shared" si="7"/>
        <v>1444.4430000000002</v>
      </c>
      <c r="AH16" s="473"/>
      <c r="AI16" s="473"/>
      <c r="AJ16" s="473"/>
      <c r="AK16" s="473"/>
      <c r="AL16" s="473"/>
    </row>
    <row r="17" spans="1:38">
      <c r="A17" s="845" t="str">
        <f>'1-συμβολαια'!A17</f>
        <v>σύνολο</v>
      </c>
      <c r="B17" s="846"/>
      <c r="C17" s="847"/>
      <c r="D17" s="469">
        <f>SUM(D3:D16)</f>
        <v>13226.954000000002</v>
      </c>
      <c r="E17" s="678"/>
      <c r="F17" s="678"/>
      <c r="G17" s="678"/>
      <c r="H17" s="678"/>
      <c r="I17" s="678"/>
      <c r="J17" s="678"/>
      <c r="K17" s="678"/>
      <c r="L17" s="678"/>
      <c r="M17" s="469">
        <f>SUM(M3:M16)</f>
        <v>88327.772000000012</v>
      </c>
      <c r="N17" s="678"/>
      <c r="O17" s="678"/>
      <c r="P17" s="678"/>
      <c r="Q17" s="678"/>
      <c r="R17" s="678"/>
      <c r="S17" s="678"/>
      <c r="T17" s="678"/>
      <c r="U17" s="678"/>
      <c r="V17" s="679">
        <f>SUM(V3:V16)</f>
        <v>16986.11</v>
      </c>
      <c r="W17" s="679"/>
      <c r="X17" s="679"/>
      <c r="Y17" s="679"/>
      <c r="Z17" s="679"/>
      <c r="AA17" s="679"/>
      <c r="AB17" s="679"/>
      <c r="AC17" s="679"/>
      <c r="AD17" s="679"/>
      <c r="AE17" s="469">
        <f>SUM(AE3:AE16)</f>
        <v>118540.83600000001</v>
      </c>
      <c r="AF17" s="469">
        <f>SUM(AF3:AF16)</f>
        <v>46286</v>
      </c>
      <c r="AG17" s="469">
        <f>SUM(AG3:AG16)</f>
        <v>72254.83600000001</v>
      </c>
      <c r="AH17" s="678">
        <f>SUM(AH3:AH16)</f>
        <v>0</v>
      </c>
      <c r="AI17" s="678"/>
      <c r="AJ17" s="678"/>
      <c r="AK17" s="678"/>
      <c r="AL17" s="678"/>
    </row>
    <row r="19" spans="1:38">
      <c r="E19" s="2"/>
      <c r="F19" s="2"/>
      <c r="G19" s="2"/>
      <c r="H19" s="162" t="s">
        <v>338</v>
      </c>
      <c r="I19" s="2"/>
      <c r="J19" s="2"/>
      <c r="K19" s="2"/>
      <c r="L19" s="2"/>
      <c r="N19" s="2"/>
      <c r="O19" s="2"/>
      <c r="P19" s="2"/>
      <c r="Q19" s="162" t="s">
        <v>338</v>
      </c>
      <c r="R19" s="2"/>
      <c r="S19" s="2"/>
      <c r="T19" s="2"/>
      <c r="U19" s="2"/>
      <c r="V19" s="2"/>
      <c r="W19" s="2"/>
      <c r="X19" s="2"/>
      <c r="Y19" s="2"/>
      <c r="Z19" s="162" t="s">
        <v>338</v>
      </c>
      <c r="AA19" s="2"/>
      <c r="AB19" s="2"/>
      <c r="AC19" s="2"/>
      <c r="AD19" s="2"/>
    </row>
    <row r="20" spans="1:38">
      <c r="E20" s="2"/>
      <c r="F20" s="197" t="s">
        <v>339</v>
      </c>
      <c r="G20" s="197"/>
      <c r="H20" s="197"/>
      <c r="I20" s="197"/>
      <c r="J20" s="197"/>
      <c r="K20" s="197"/>
      <c r="L20" s="197"/>
      <c r="M20" s="197"/>
      <c r="N20" s="197"/>
      <c r="O20" s="197" t="s">
        <v>339</v>
      </c>
      <c r="P20" s="2"/>
      <c r="Q20" s="2"/>
      <c r="R20" s="2"/>
      <c r="S20" s="2"/>
      <c r="T20" s="2"/>
      <c r="U20" s="2"/>
      <c r="V20" s="2"/>
      <c r="W20" s="2"/>
      <c r="X20" s="197" t="s">
        <v>339</v>
      </c>
      <c r="Y20" s="2"/>
      <c r="Z20" s="2"/>
      <c r="AA20" s="2"/>
      <c r="AB20" s="2"/>
      <c r="AC20" s="2"/>
      <c r="AD20" s="2"/>
    </row>
    <row r="21" spans="1:38">
      <c r="E21" s="2"/>
      <c r="F21" s="2"/>
      <c r="G21" s="2"/>
      <c r="H21" s="2"/>
      <c r="I21" s="4"/>
      <c r="J21" s="166" t="s">
        <v>340</v>
      </c>
      <c r="K21" s="162"/>
      <c r="L21" s="2"/>
      <c r="N21" s="2"/>
      <c r="O21" s="2"/>
      <c r="P21" s="2"/>
      <c r="Q21" s="4"/>
      <c r="R21" s="166" t="s">
        <v>341</v>
      </c>
      <c r="S21" s="166"/>
      <c r="T21" s="166"/>
      <c r="U21" s="166"/>
      <c r="V21" s="4"/>
      <c r="W21" s="4"/>
      <c r="X21" s="4"/>
      <c r="Y21" s="4"/>
      <c r="Z21" s="4"/>
      <c r="AA21" s="166" t="s">
        <v>341</v>
      </c>
      <c r="AB21" s="166"/>
      <c r="AC21" s="166"/>
      <c r="AD21" s="162"/>
      <c r="AF21" s="2"/>
    </row>
    <row r="22" spans="1:38">
      <c r="E22" s="2"/>
      <c r="F22" s="2"/>
      <c r="G22" s="8"/>
      <c r="H22" s="2"/>
      <c r="I22" s="166" t="s">
        <v>341</v>
      </c>
      <c r="J22" s="4"/>
      <c r="K22" s="2"/>
      <c r="L22" s="2"/>
      <c r="N22" s="2"/>
      <c r="O22" s="2"/>
      <c r="P22" s="2"/>
      <c r="Q22" s="4"/>
      <c r="R22" s="4"/>
      <c r="S22" s="166" t="s">
        <v>340</v>
      </c>
      <c r="T22" s="166"/>
      <c r="U22" s="4"/>
      <c r="V22" s="4"/>
      <c r="W22" s="4"/>
      <c r="X22" s="4"/>
      <c r="Y22" s="4"/>
      <c r="Z22" s="4"/>
      <c r="AA22" s="4"/>
      <c r="AB22" s="166" t="s">
        <v>340</v>
      </c>
      <c r="AC22" s="166"/>
      <c r="AD22" s="2"/>
      <c r="AF22" s="2"/>
    </row>
    <row r="23" spans="1:38">
      <c r="E23" s="2"/>
      <c r="F23" s="2"/>
      <c r="G23" s="8"/>
      <c r="H23" s="2"/>
      <c r="I23" s="4"/>
      <c r="J23" s="4"/>
      <c r="K23" s="2"/>
      <c r="L23" s="2"/>
      <c r="N23" s="2"/>
      <c r="O23" s="2"/>
      <c r="P23" s="2"/>
      <c r="Q23" s="4"/>
      <c r="R23" s="4"/>
      <c r="S23" s="4"/>
      <c r="T23" s="4"/>
      <c r="U23" s="4"/>
      <c r="V23" s="2"/>
      <c r="W23" s="4"/>
      <c r="X23" s="4"/>
      <c r="Y23" s="4"/>
      <c r="Z23" s="4"/>
      <c r="AA23" s="4"/>
      <c r="AB23" s="4"/>
      <c r="AC23" s="4"/>
      <c r="AD23" s="2"/>
      <c r="AF23" s="2"/>
    </row>
    <row r="24" spans="1:38">
      <c r="E24" s="198" t="s">
        <v>342</v>
      </c>
      <c r="F24" s="2"/>
      <c r="G24" s="2"/>
      <c r="H24" s="2"/>
      <c r="I24" s="2"/>
      <c r="J24" s="2"/>
      <c r="K24" s="2"/>
      <c r="L24" s="2"/>
      <c r="N24" s="2"/>
      <c r="O24" s="2"/>
      <c r="P24" s="2"/>
      <c r="Q24" s="199" t="s">
        <v>343</v>
      </c>
      <c r="R24" s="2"/>
      <c r="S24" s="2"/>
      <c r="T24" s="2"/>
      <c r="U24" s="2"/>
      <c r="V24" s="2"/>
      <c r="W24" s="2"/>
      <c r="X24" s="2"/>
      <c r="Y24" s="2"/>
      <c r="Z24" s="200" t="s">
        <v>344</v>
      </c>
      <c r="AA24" s="2"/>
      <c r="AB24" s="2"/>
      <c r="AC24" s="2"/>
      <c r="AD24" s="2"/>
      <c r="AF24" s="2"/>
    </row>
    <row r="25" spans="1:38">
      <c r="E25" s="201" t="s">
        <v>345</v>
      </c>
      <c r="F25" s="2"/>
      <c r="G25" s="2"/>
      <c r="H25" s="2"/>
      <c r="I25" s="2"/>
      <c r="J25" s="2"/>
      <c r="K25" s="2"/>
      <c r="L25" s="2"/>
      <c r="N25" s="2"/>
      <c r="O25" s="162"/>
      <c r="P25" s="162"/>
      <c r="Q25" s="162"/>
      <c r="R25" s="162"/>
      <c r="S25" s="202" t="s">
        <v>346</v>
      </c>
      <c r="T25" s="162"/>
      <c r="U25" s="162"/>
      <c r="V25" s="162"/>
      <c r="W25" s="2"/>
      <c r="X25" s="2"/>
      <c r="Y25" s="2"/>
      <c r="Z25" s="2"/>
      <c r="AA25" s="203" t="s">
        <v>347</v>
      </c>
      <c r="AB25" s="2"/>
      <c r="AC25" s="2"/>
      <c r="AD25" s="2"/>
      <c r="AF25" s="2"/>
      <c r="AG25" s="2"/>
    </row>
    <row r="26" spans="1:38">
      <c r="E26" s="2"/>
      <c r="F26" s="201" t="s">
        <v>348</v>
      </c>
      <c r="G26" s="2"/>
      <c r="H26" s="2"/>
      <c r="I26" s="2"/>
      <c r="J26" s="2"/>
      <c r="K26" s="2"/>
      <c r="L26" s="2"/>
      <c r="N26" s="2"/>
      <c r="O26" s="2"/>
      <c r="P26" s="2"/>
      <c r="Q26" s="2"/>
      <c r="R26" s="2"/>
      <c r="S26" s="204" t="s">
        <v>349</v>
      </c>
      <c r="T26" s="2"/>
      <c r="U26" s="2"/>
      <c r="V26" s="2"/>
      <c r="W26" s="2"/>
      <c r="X26" s="2"/>
      <c r="Y26" s="2"/>
      <c r="Z26" s="2"/>
      <c r="AA26" s="2"/>
      <c r="AB26" s="204" t="s">
        <v>349</v>
      </c>
      <c r="AC26" s="2"/>
      <c r="AD26" s="2"/>
      <c r="AF26" s="2"/>
    </row>
    <row r="27" spans="1:38">
      <c r="E27" s="2"/>
      <c r="F27" s="2"/>
      <c r="G27" s="2"/>
      <c r="H27" s="2"/>
      <c r="I27" s="2"/>
      <c r="J27" s="2"/>
      <c r="K27" s="2"/>
      <c r="L27" s="2"/>
      <c r="N27" s="2"/>
      <c r="O27" s="2"/>
      <c r="P27" s="162"/>
      <c r="Q27" s="162"/>
      <c r="R27" s="162"/>
      <c r="S27" s="162"/>
      <c r="T27" s="162"/>
      <c r="U27" s="162"/>
      <c r="V27" s="162"/>
      <c r="W27" s="162"/>
      <c r="X27" s="162"/>
      <c r="Y27" s="2"/>
      <c r="Z27" s="2"/>
      <c r="AA27" s="2"/>
      <c r="AB27" s="202" t="s">
        <v>346</v>
      </c>
      <c r="AC27" s="2"/>
      <c r="AD27" s="2"/>
      <c r="AF27" s="2"/>
    </row>
    <row r="28" spans="1:38">
      <c r="E28" s="2"/>
      <c r="F28" s="2"/>
      <c r="G28" s="2"/>
      <c r="H28" s="2"/>
      <c r="I28" s="2"/>
      <c r="J28" s="2"/>
      <c r="K28" s="2"/>
      <c r="L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F28" s="2"/>
    </row>
    <row r="29" spans="1:38">
      <c r="AF29" s="2"/>
    </row>
    <row r="30" spans="1:38">
      <c r="AF30" s="2"/>
    </row>
    <row r="31" spans="1:38">
      <c r="AF31" s="2"/>
    </row>
    <row r="32" spans="1:38">
      <c r="B32" s="300"/>
      <c r="F32" s="8"/>
      <c r="G32" s="8"/>
      <c r="H32" s="8"/>
      <c r="I32" s="8"/>
      <c r="AF32" s="2"/>
    </row>
    <row r="33" spans="2:32">
      <c r="F33" s="8"/>
      <c r="G33" s="8"/>
      <c r="H33" s="8"/>
      <c r="I33" s="8"/>
      <c r="AF33" s="2"/>
    </row>
    <row r="34" spans="2:32">
      <c r="F34" s="8"/>
      <c r="G34" s="8"/>
      <c r="H34" s="8"/>
      <c r="I34" s="8"/>
      <c r="AF34" s="2"/>
    </row>
    <row r="35" spans="2:32">
      <c r="F35" s="8"/>
      <c r="G35" s="8"/>
      <c r="H35" s="8"/>
      <c r="I35" s="8"/>
      <c r="AF35" s="2"/>
    </row>
    <row r="36" spans="2:32">
      <c r="F36" s="8"/>
      <c r="G36" s="8"/>
      <c r="H36" s="8"/>
      <c r="I36" s="8"/>
      <c r="AF36" s="2"/>
    </row>
    <row r="37" spans="2:32">
      <c r="F37" s="8"/>
      <c r="G37" s="8"/>
      <c r="H37" s="8"/>
      <c r="I37" s="8"/>
      <c r="AF37" s="2"/>
    </row>
    <row r="38" spans="2:32">
      <c r="B38" s="300"/>
      <c r="F38" s="58"/>
      <c r="G38" s="58"/>
      <c r="H38" s="8"/>
      <c r="I38" s="8"/>
      <c r="AF38" s="2"/>
    </row>
    <row r="39" spans="2:32">
      <c r="F39" s="58"/>
      <c r="G39" s="58"/>
      <c r="H39" s="8"/>
      <c r="I39" s="8"/>
      <c r="AF39" s="2"/>
    </row>
    <row r="40" spans="2:32">
      <c r="F40" s="58"/>
      <c r="G40" s="58"/>
      <c r="H40" s="8"/>
      <c r="I40" s="8"/>
    </row>
    <row r="41" spans="2:32">
      <c r="F41" s="58"/>
      <c r="G41" s="58"/>
      <c r="H41" s="8"/>
      <c r="I41" s="2"/>
    </row>
    <row r="42" spans="2:32">
      <c r="F42" s="8"/>
      <c r="G42" s="8"/>
      <c r="H42" s="8"/>
      <c r="I42" s="2"/>
    </row>
  </sheetData>
  <mergeCells count="10">
    <mergeCell ref="AH1:AH2"/>
    <mergeCell ref="AI1:AL2"/>
    <mergeCell ref="K2:L2"/>
    <mergeCell ref="T2:U2"/>
    <mergeCell ref="AC2:AD2"/>
    <mergeCell ref="A17:C17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2026-03-04T18:26:11Z</dcterms:modified>
</cp:coreProperties>
</file>