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 activeTab="1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L19" i="5"/>
  <c r="AF26"/>
  <c r="AE26"/>
  <c r="AF30"/>
  <c r="AE30"/>
  <c r="AI25"/>
  <c r="AI26"/>
  <c r="AI27"/>
  <c r="AI28"/>
  <c r="AI29"/>
  <c r="AI30"/>
  <c r="AI31"/>
  <c r="AI32"/>
  <c r="AI33"/>
  <c r="AI34"/>
  <c r="AI35"/>
  <c r="AI36"/>
  <c r="AI37"/>
  <c r="AI38"/>
  <c r="AI39"/>
  <c r="AI24"/>
  <c r="AI3"/>
  <c r="AH26" l="1"/>
  <c r="AH30"/>
  <c r="W19"/>
  <c r="J19"/>
  <c r="K19"/>
  <c r="N19"/>
  <c r="O19"/>
  <c r="P19"/>
  <c r="B4" l="1"/>
  <c r="B6"/>
  <c r="B10"/>
  <c r="B11"/>
  <c r="B12"/>
  <c r="B13"/>
  <c r="B14"/>
  <c r="B15"/>
  <c r="B16"/>
  <c r="B17"/>
  <c r="B18"/>
  <c r="C18" i="2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R18" i="10"/>
  <c r="P18" s="1"/>
  <c r="L18"/>
  <c r="J18"/>
  <c r="H18"/>
  <c r="G18"/>
  <c r="E18"/>
  <c r="C18"/>
  <c r="A18"/>
  <c r="R17"/>
  <c r="P17" s="1"/>
  <c r="L17"/>
  <c r="J17"/>
  <c r="H17"/>
  <c r="G17"/>
  <c r="E17"/>
  <c r="C17"/>
  <c r="A17"/>
  <c r="R16"/>
  <c r="P16" s="1"/>
  <c r="L16"/>
  <c r="J16"/>
  <c r="H16"/>
  <c r="G16"/>
  <c r="E16"/>
  <c r="C16"/>
  <c r="A16"/>
  <c r="R15"/>
  <c r="P15" s="1"/>
  <c r="L15"/>
  <c r="J15"/>
  <c r="H15"/>
  <c r="G15"/>
  <c r="E15"/>
  <c r="C15"/>
  <c r="A15"/>
  <c r="R14"/>
  <c r="P14" s="1"/>
  <c r="L14"/>
  <c r="J14"/>
  <c r="H14"/>
  <c r="G14"/>
  <c r="E14"/>
  <c r="C14"/>
  <c r="A14"/>
  <c r="R13"/>
  <c r="P13" s="1"/>
  <c r="L13"/>
  <c r="J13"/>
  <c r="H13"/>
  <c r="G13"/>
  <c r="E13"/>
  <c r="C13"/>
  <c r="A13"/>
  <c r="R12"/>
  <c r="P12" s="1"/>
  <c r="L12"/>
  <c r="J12"/>
  <c r="H12"/>
  <c r="G12"/>
  <c r="E12"/>
  <c r="C12"/>
  <c r="A12"/>
  <c r="R11"/>
  <c r="P11" s="1"/>
  <c r="L11"/>
  <c r="J11"/>
  <c r="H11"/>
  <c r="G11"/>
  <c r="E11"/>
  <c r="C11"/>
  <c r="A11"/>
  <c r="R10"/>
  <c r="P10" s="1"/>
  <c r="L10"/>
  <c r="J10"/>
  <c r="H10"/>
  <c r="G10"/>
  <c r="E10"/>
  <c r="C10"/>
  <c r="A10"/>
  <c r="R9"/>
  <c r="P9" s="1"/>
  <c r="L9"/>
  <c r="J9"/>
  <c r="H9"/>
  <c r="G9"/>
  <c r="E9"/>
  <c r="C9"/>
  <c r="A9"/>
  <c r="R8"/>
  <c r="P8"/>
  <c r="L8"/>
  <c r="J8"/>
  <c r="H8"/>
  <c r="G8"/>
  <c r="E8"/>
  <c r="C8"/>
  <c r="A8"/>
  <c r="R7"/>
  <c r="P7" s="1"/>
  <c r="L7"/>
  <c r="J7"/>
  <c r="H7"/>
  <c r="G7"/>
  <c r="E7"/>
  <c r="C7"/>
  <c r="A7"/>
  <c r="R6"/>
  <c r="P6" s="1"/>
  <c r="L6"/>
  <c r="J6"/>
  <c r="H6"/>
  <c r="G6"/>
  <c r="E6"/>
  <c r="C6"/>
  <c r="A6"/>
  <c r="A5" i="22"/>
  <c r="A6"/>
  <c r="A7"/>
  <c r="A8"/>
  <c r="A9"/>
  <c r="A10"/>
  <c r="A11"/>
  <c r="A12"/>
  <c r="A13"/>
  <c r="A14"/>
  <c r="A15"/>
  <c r="A16"/>
  <c r="A17"/>
  <c r="A18"/>
  <c r="A5" i="8"/>
  <c r="A6"/>
  <c r="A7"/>
  <c r="A8"/>
  <c r="A9"/>
  <c r="A10"/>
  <c r="A11"/>
  <c r="A12"/>
  <c r="A13"/>
  <c r="A14"/>
  <c r="A15"/>
  <c r="A16"/>
  <c r="A17"/>
  <c r="A18"/>
  <c r="U5" i="9"/>
  <c r="U6"/>
  <c r="U7"/>
  <c r="U8"/>
  <c r="U9"/>
  <c r="U10"/>
  <c r="U11"/>
  <c r="U12"/>
  <c r="U13"/>
  <c r="U14"/>
  <c r="U15"/>
  <c r="U16"/>
  <c r="U17"/>
  <c r="U18"/>
  <c r="T5"/>
  <c r="T6"/>
  <c r="T7"/>
  <c r="T8"/>
  <c r="T9"/>
  <c r="T10"/>
  <c r="T11"/>
  <c r="T12"/>
  <c r="T13"/>
  <c r="T14"/>
  <c r="T15"/>
  <c r="T16"/>
  <c r="T17"/>
  <c r="T18"/>
  <c r="S5"/>
  <c r="S6"/>
  <c r="S7"/>
  <c r="S8"/>
  <c r="S9"/>
  <c r="S10"/>
  <c r="S11"/>
  <c r="S12"/>
  <c r="S13"/>
  <c r="S14"/>
  <c r="S15"/>
  <c r="S16"/>
  <c r="S17"/>
  <c r="S18"/>
  <c r="Q8"/>
  <c r="Q11"/>
  <c r="Q16"/>
  <c r="Q17"/>
  <c r="BA11" i="24"/>
  <c r="BA6"/>
  <c r="BA4"/>
  <c r="AY11"/>
  <c r="AY6"/>
  <c r="AY4"/>
  <c r="AG4"/>
  <c r="AG6"/>
  <c r="AG11"/>
  <c r="AA6"/>
  <c r="Z6"/>
  <c r="Y15"/>
  <c r="Y14"/>
  <c r="Y13"/>
  <c r="Y12"/>
  <c r="Y11"/>
  <c r="Y4"/>
  <c r="T11"/>
  <c r="K15"/>
  <c r="K14"/>
  <c r="K13"/>
  <c r="K12"/>
  <c r="K11"/>
  <c r="B18"/>
  <c r="B17"/>
  <c r="B16"/>
  <c r="B15"/>
  <c r="B14"/>
  <c r="B13"/>
  <c r="B12"/>
  <c r="B11"/>
  <c r="B10"/>
  <c r="B6"/>
  <c r="B4"/>
  <c r="B3"/>
  <c r="K4"/>
  <c r="B18" i="23"/>
  <c r="A18"/>
  <c r="B17"/>
  <c r="A17"/>
  <c r="B16"/>
  <c r="A16"/>
  <c r="B15"/>
  <c r="A15"/>
  <c r="B14"/>
  <c r="A14"/>
  <c r="B13"/>
  <c r="A13"/>
  <c r="B12"/>
  <c r="A12"/>
  <c r="B11"/>
  <c r="A11"/>
  <c r="B10"/>
  <c r="A10"/>
  <c r="D9"/>
  <c r="B9"/>
  <c r="A9"/>
  <c r="D8"/>
  <c r="B8"/>
  <c r="A8"/>
  <c r="D7"/>
  <c r="B7"/>
  <c r="A7"/>
  <c r="B6"/>
  <c r="A6"/>
  <c r="C18" i="15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A4" i="27"/>
  <c r="A6"/>
  <c r="A10"/>
  <c r="A11"/>
  <c r="A12"/>
  <c r="A13"/>
  <c r="A14"/>
  <c r="A15"/>
  <c r="A16"/>
  <c r="A17"/>
  <c r="A18"/>
  <c r="I18"/>
  <c r="D18"/>
  <c r="C18"/>
  <c r="B18"/>
  <c r="I17"/>
  <c r="G17"/>
  <c r="F17"/>
  <c r="E17"/>
  <c r="D17"/>
  <c r="C17"/>
  <c r="B17"/>
  <c r="I16"/>
  <c r="G16"/>
  <c r="F16"/>
  <c r="E16"/>
  <c r="D16"/>
  <c r="C16"/>
  <c r="B16"/>
  <c r="I15"/>
  <c r="E15"/>
  <c r="D15"/>
  <c r="C15"/>
  <c r="B15"/>
  <c r="I14"/>
  <c r="E14"/>
  <c r="D14"/>
  <c r="C14"/>
  <c r="B14"/>
  <c r="I13"/>
  <c r="E13"/>
  <c r="D13"/>
  <c r="C13"/>
  <c r="B13"/>
  <c r="I12"/>
  <c r="E12"/>
  <c r="D12"/>
  <c r="C12"/>
  <c r="B12"/>
  <c r="I11"/>
  <c r="G11"/>
  <c r="F11"/>
  <c r="E11"/>
  <c r="D11"/>
  <c r="C11"/>
  <c r="B11"/>
  <c r="I10"/>
  <c r="D10"/>
  <c r="C10"/>
  <c r="B10"/>
  <c r="I9"/>
  <c r="G9"/>
  <c r="F9"/>
  <c r="D9"/>
  <c r="C9"/>
  <c r="I8"/>
  <c r="G8"/>
  <c r="F8"/>
  <c r="E8"/>
  <c r="D8"/>
  <c r="C8"/>
  <c r="I7"/>
  <c r="E7"/>
  <c r="D7"/>
  <c r="C7"/>
  <c r="I6"/>
  <c r="D6"/>
  <c r="C6"/>
  <c r="B6"/>
  <c r="V11" i="20"/>
  <c r="U13"/>
  <c r="U14"/>
  <c r="U15"/>
  <c r="U12"/>
  <c r="U11"/>
  <c r="U8"/>
  <c r="U6"/>
  <c r="U16"/>
  <c r="U17"/>
  <c r="U4"/>
  <c r="T12"/>
  <c r="T13"/>
  <c r="T14"/>
  <c r="T15"/>
  <c r="T16"/>
  <c r="T17"/>
  <c r="T11"/>
  <c r="T6"/>
  <c r="T8"/>
  <c r="T4"/>
  <c r="Q15"/>
  <c r="Q14"/>
  <c r="Q13"/>
  <c r="Q12"/>
  <c r="Q11"/>
  <c r="R15"/>
  <c r="R14"/>
  <c r="R13"/>
  <c r="R12"/>
  <c r="R11"/>
  <c r="R8"/>
  <c r="Q8"/>
  <c r="R6"/>
  <c r="Q6"/>
  <c r="P8"/>
  <c r="P6"/>
  <c r="M17"/>
  <c r="M16"/>
  <c r="M15"/>
  <c r="M14"/>
  <c r="M13"/>
  <c r="M12"/>
  <c r="M11"/>
  <c r="M4"/>
  <c r="K11"/>
  <c r="J11"/>
  <c r="F15"/>
  <c r="F14"/>
  <c r="B4"/>
  <c r="B6"/>
  <c r="B10"/>
  <c r="B11"/>
  <c r="B12"/>
  <c r="B13"/>
  <c r="B14"/>
  <c r="B15"/>
  <c r="B16"/>
  <c r="B17"/>
  <c r="B18"/>
  <c r="B3"/>
  <c r="N15" i="4"/>
  <c r="N14"/>
  <c r="F15"/>
  <c r="F14"/>
  <c r="B4"/>
  <c r="B6"/>
  <c r="B10"/>
  <c r="B11"/>
  <c r="B12"/>
  <c r="B13"/>
  <c r="B14"/>
  <c r="B15"/>
  <c r="B16"/>
  <c r="B17"/>
  <c r="B18"/>
  <c r="B3"/>
  <c r="AF4" i="5"/>
  <c r="U4" s="1"/>
  <c r="AF12"/>
  <c r="U12" s="1"/>
  <c r="AF13"/>
  <c r="U13" s="1"/>
  <c r="AF14"/>
  <c r="U14" s="1"/>
  <c r="AF15"/>
  <c r="U15" s="1"/>
  <c r="B11" i="9"/>
  <c r="B12"/>
  <c r="B13"/>
  <c r="B14"/>
  <c r="B15"/>
  <c r="B16"/>
  <c r="B17"/>
  <c r="B18"/>
  <c r="B10"/>
  <c r="B6"/>
  <c r="B4"/>
  <c r="R148" i="1"/>
  <c r="P4"/>
  <c r="P5"/>
  <c r="P6"/>
  <c r="P7"/>
  <c r="P8"/>
  <c r="P9"/>
  <c r="P10"/>
  <c r="P11"/>
  <c r="P12"/>
  <c r="P13"/>
  <c r="P14"/>
  <c r="P15"/>
  <c r="P16"/>
  <c r="P17"/>
  <c r="P18"/>
  <c r="D120" i="16"/>
  <c r="D115"/>
  <c r="P192" i="1"/>
  <c r="O192"/>
  <c r="N192"/>
  <c r="M192"/>
  <c r="K192"/>
  <c r="J192"/>
  <c r="I192"/>
  <c r="I193" s="1"/>
  <c r="R189"/>
  <c r="G18" i="12"/>
  <c r="G17"/>
  <c r="P179" i="1"/>
  <c r="O179"/>
  <c r="N179"/>
  <c r="M179"/>
  <c r="K179"/>
  <c r="J179"/>
  <c r="I179"/>
  <c r="I180" s="1"/>
  <c r="R176"/>
  <c r="G16" i="12"/>
  <c r="P165" i="1"/>
  <c r="O165"/>
  <c r="N165"/>
  <c r="M165"/>
  <c r="K165"/>
  <c r="J165"/>
  <c r="I165"/>
  <c r="I166" s="1"/>
  <c r="R162"/>
  <c r="I147"/>
  <c r="I151" s="1"/>
  <c r="I152" s="1"/>
  <c r="G15" i="12"/>
  <c r="P151" i="1"/>
  <c r="O151"/>
  <c r="N151"/>
  <c r="M151"/>
  <c r="K151"/>
  <c r="J151"/>
  <c r="R132"/>
  <c r="R133"/>
  <c r="I133"/>
  <c r="I137" s="1"/>
  <c r="I138" s="1"/>
  <c r="G14" i="12"/>
  <c r="P137" i="1"/>
  <c r="O137"/>
  <c r="N137"/>
  <c r="M137"/>
  <c r="K137"/>
  <c r="J137"/>
  <c r="I118"/>
  <c r="I122" s="1"/>
  <c r="I123" s="1"/>
  <c r="G13" i="12"/>
  <c r="P122" i="1"/>
  <c r="O122"/>
  <c r="N122"/>
  <c r="M122"/>
  <c r="K122"/>
  <c r="J122"/>
  <c r="R119"/>
  <c r="R105"/>
  <c r="I104"/>
  <c r="G12" i="12"/>
  <c r="P108" i="1"/>
  <c r="O108"/>
  <c r="N108"/>
  <c r="M108"/>
  <c r="K108"/>
  <c r="J108"/>
  <c r="I108"/>
  <c r="I109" s="1"/>
  <c r="N5" i="9"/>
  <c r="N6"/>
  <c r="N7"/>
  <c r="N8"/>
  <c r="N9"/>
  <c r="N10"/>
  <c r="N11"/>
  <c r="N12"/>
  <c r="N13"/>
  <c r="N14"/>
  <c r="N15"/>
  <c r="N16"/>
  <c r="N17"/>
  <c r="N18"/>
  <c r="G11" i="12"/>
  <c r="P94" i="1"/>
  <c r="O94"/>
  <c r="N94"/>
  <c r="M94"/>
  <c r="K94"/>
  <c r="J94"/>
  <c r="I94"/>
  <c r="I95" s="1"/>
  <c r="G10" i="12"/>
  <c r="P81" i="1"/>
  <c r="O81"/>
  <c r="N81"/>
  <c r="M81"/>
  <c r="K81"/>
  <c r="J81"/>
  <c r="I81"/>
  <c r="I82" s="1"/>
  <c r="G6" i="12"/>
  <c r="P67" i="1"/>
  <c r="O67"/>
  <c r="N67"/>
  <c r="M67"/>
  <c r="K67"/>
  <c r="J67"/>
  <c r="I67"/>
  <c r="I68" s="1"/>
  <c r="R134" l="1"/>
  <c r="Q192"/>
  <c r="Q179"/>
  <c r="Q165"/>
  <c r="Q151"/>
  <c r="Q137"/>
  <c r="Q122"/>
  <c r="Q108"/>
  <c r="Q94"/>
  <c r="Q81"/>
  <c r="Q67"/>
  <c r="J6"/>
  <c r="J7"/>
  <c r="J8"/>
  <c r="J9"/>
  <c r="J10"/>
  <c r="J11"/>
  <c r="J12"/>
  <c r="J13"/>
  <c r="J14"/>
  <c r="J15"/>
  <c r="J16"/>
  <c r="J17"/>
  <c r="J18"/>
  <c r="BY18" i="24"/>
  <c r="BS18"/>
  <c r="BH18"/>
  <c r="AX18"/>
  <c r="AH18"/>
  <c r="J18"/>
  <c r="H18"/>
  <c r="C18"/>
  <c r="A18"/>
  <c r="BY17"/>
  <c r="BS17"/>
  <c r="BH17"/>
  <c r="AH17"/>
  <c r="J17"/>
  <c r="H17"/>
  <c r="C17"/>
  <c r="A17"/>
  <c r="BY16"/>
  <c r="BS16"/>
  <c r="BH16"/>
  <c r="AH16"/>
  <c r="J16"/>
  <c r="H16"/>
  <c r="C16"/>
  <c r="A16"/>
  <c r="BY15"/>
  <c r="BS15"/>
  <c r="BH15"/>
  <c r="BD15"/>
  <c r="AX15"/>
  <c r="AH15"/>
  <c r="J15"/>
  <c r="H15"/>
  <c r="C15"/>
  <c r="A15"/>
  <c r="BY14"/>
  <c r="BS14"/>
  <c r="BH14"/>
  <c r="AH14"/>
  <c r="J14"/>
  <c r="H14"/>
  <c r="G14"/>
  <c r="C14"/>
  <c r="A14"/>
  <c r="BY13"/>
  <c r="BS13"/>
  <c r="BH13"/>
  <c r="BD13"/>
  <c r="AX13"/>
  <c r="AH13"/>
  <c r="J13"/>
  <c r="H13"/>
  <c r="G13"/>
  <c r="C13"/>
  <c r="A13"/>
  <c r="BY12"/>
  <c r="BS12"/>
  <c r="BG12"/>
  <c r="BH12" s="1"/>
  <c r="AH12"/>
  <c r="J12"/>
  <c r="H12"/>
  <c r="G12"/>
  <c r="C12"/>
  <c r="A12"/>
  <c r="BY11"/>
  <c r="BS11"/>
  <c r="BH11"/>
  <c r="BD11"/>
  <c r="AH11"/>
  <c r="J11"/>
  <c r="H11"/>
  <c r="C11"/>
  <c r="A11"/>
  <c r="BY10"/>
  <c r="BS10"/>
  <c r="BH10"/>
  <c r="AH10"/>
  <c r="J10"/>
  <c r="H10"/>
  <c r="C10"/>
  <c r="A10"/>
  <c r="BY9"/>
  <c r="BS9"/>
  <c r="BH9"/>
  <c r="BD9"/>
  <c r="AX9"/>
  <c r="AH9"/>
  <c r="J9"/>
  <c r="H9"/>
  <c r="C9"/>
  <c r="A9"/>
  <c r="BY8"/>
  <c r="BS8"/>
  <c r="BH8"/>
  <c r="AH8"/>
  <c r="J8"/>
  <c r="H8"/>
  <c r="F8"/>
  <c r="C8"/>
  <c r="A8"/>
  <c r="BY7"/>
  <c r="BS7"/>
  <c r="BG7"/>
  <c r="BH7" s="1"/>
  <c r="BD7"/>
  <c r="AX7"/>
  <c r="AH7"/>
  <c r="J7"/>
  <c r="H7"/>
  <c r="C7"/>
  <c r="A7"/>
  <c r="BY6"/>
  <c r="BS6"/>
  <c r="BH6"/>
  <c r="T6"/>
  <c r="AH6" s="1"/>
  <c r="J6"/>
  <c r="H6"/>
  <c r="C6"/>
  <c r="A6"/>
  <c r="BY5"/>
  <c r="BS5"/>
  <c r="BH5"/>
  <c r="BD5"/>
  <c r="AH5"/>
  <c r="J5"/>
  <c r="H5"/>
  <c r="C5"/>
  <c r="A5"/>
  <c r="BY4"/>
  <c r="BS4"/>
  <c r="BG4"/>
  <c r="BH4" s="1"/>
  <c r="AH4"/>
  <c r="T4"/>
  <c r="J4"/>
  <c r="H4"/>
  <c r="C4"/>
  <c r="A4"/>
  <c r="E18" i="20"/>
  <c r="D18"/>
  <c r="C18"/>
  <c r="A18"/>
  <c r="W17"/>
  <c r="I17" i="24" s="1"/>
  <c r="E17" i="20"/>
  <c r="D17"/>
  <c r="C17"/>
  <c r="A17"/>
  <c r="E16"/>
  <c r="D16"/>
  <c r="C16"/>
  <c r="A16"/>
  <c r="E15"/>
  <c r="D15"/>
  <c r="C15"/>
  <c r="A15"/>
  <c r="E14"/>
  <c r="D14"/>
  <c r="C14"/>
  <c r="A14"/>
  <c r="W13"/>
  <c r="I13" i="24" s="1"/>
  <c r="E13" i="20"/>
  <c r="D13"/>
  <c r="C13"/>
  <c r="A13"/>
  <c r="E12"/>
  <c r="D12"/>
  <c r="C12"/>
  <c r="A12"/>
  <c r="E11"/>
  <c r="D11"/>
  <c r="C11"/>
  <c r="A11"/>
  <c r="E10"/>
  <c r="D10"/>
  <c r="C10"/>
  <c r="A10"/>
  <c r="W9"/>
  <c r="I9" i="24" s="1"/>
  <c r="E9" i="20"/>
  <c r="D9"/>
  <c r="C9"/>
  <c r="A9"/>
  <c r="E8"/>
  <c r="D8"/>
  <c r="C8"/>
  <c r="A8"/>
  <c r="E7"/>
  <c r="D7"/>
  <c r="C7"/>
  <c r="A7"/>
  <c r="E6"/>
  <c r="D6"/>
  <c r="C6"/>
  <c r="A6"/>
  <c r="W5"/>
  <c r="I5" i="24" s="1"/>
  <c r="E5" i="20"/>
  <c r="D5"/>
  <c r="C5"/>
  <c r="A5"/>
  <c r="E4"/>
  <c r="D4"/>
  <c r="C4"/>
  <c r="A4"/>
  <c r="P18" i="4"/>
  <c r="F18" i="24" s="1"/>
  <c r="G18"/>
  <c r="H18" i="4"/>
  <c r="G18"/>
  <c r="E18"/>
  <c r="D18"/>
  <c r="C18"/>
  <c r="A18"/>
  <c r="P17"/>
  <c r="F17" i="24" s="1"/>
  <c r="G17"/>
  <c r="H17" i="4"/>
  <c r="G17"/>
  <c r="E17"/>
  <c r="D17"/>
  <c r="C17"/>
  <c r="A17"/>
  <c r="P16"/>
  <c r="F16" i="24" s="1"/>
  <c r="G16"/>
  <c r="H16" i="4"/>
  <c r="G16"/>
  <c r="I16" s="1"/>
  <c r="I16" i="1" s="1"/>
  <c r="E16" i="4"/>
  <c r="D16"/>
  <c r="C16"/>
  <c r="A16"/>
  <c r="P15"/>
  <c r="F15" i="24" s="1"/>
  <c r="G15"/>
  <c r="H15" i="4"/>
  <c r="G15"/>
  <c r="I15" s="1"/>
  <c r="I15" i="1" s="1"/>
  <c r="E15" i="4"/>
  <c r="D15"/>
  <c r="C15"/>
  <c r="A15"/>
  <c r="P14"/>
  <c r="F14" i="24" s="1"/>
  <c r="H14" i="4"/>
  <c r="G14"/>
  <c r="I14" s="1"/>
  <c r="I14" i="1" s="1"/>
  <c r="E14" i="4"/>
  <c r="D14"/>
  <c r="C14"/>
  <c r="A14"/>
  <c r="P13"/>
  <c r="F13" i="24" s="1"/>
  <c r="H13" i="4"/>
  <c r="G13"/>
  <c r="I13" s="1"/>
  <c r="I13" i="1" s="1"/>
  <c r="E13" i="4"/>
  <c r="D13"/>
  <c r="C13"/>
  <c r="A13"/>
  <c r="P12"/>
  <c r="F12" i="24" s="1"/>
  <c r="H12" i="4"/>
  <c r="G12"/>
  <c r="I12" s="1"/>
  <c r="I12" i="1" s="1"/>
  <c r="E12" i="4"/>
  <c r="D12"/>
  <c r="C12"/>
  <c r="A12"/>
  <c r="P11"/>
  <c r="F11" i="24" s="1"/>
  <c r="G11"/>
  <c r="H11" i="4"/>
  <c r="G11"/>
  <c r="E11"/>
  <c r="D11"/>
  <c r="C11"/>
  <c r="A11"/>
  <c r="P10"/>
  <c r="F10" i="24" s="1"/>
  <c r="G10"/>
  <c r="E10" i="4"/>
  <c r="D10"/>
  <c r="C10"/>
  <c r="A10"/>
  <c r="P9"/>
  <c r="F9" i="24" s="1"/>
  <c r="G9"/>
  <c r="E9" i="4"/>
  <c r="D9"/>
  <c r="C9"/>
  <c r="A9"/>
  <c r="P8"/>
  <c r="G8" i="24"/>
  <c r="H8" i="4"/>
  <c r="G8"/>
  <c r="E8"/>
  <c r="D8"/>
  <c r="C8"/>
  <c r="A8"/>
  <c r="P7"/>
  <c r="F7" i="24" s="1"/>
  <c r="G7"/>
  <c r="E7" i="4"/>
  <c r="D7"/>
  <c r="C7"/>
  <c r="A7"/>
  <c r="P6"/>
  <c r="F6" i="24" s="1"/>
  <c r="G6"/>
  <c r="H6" i="4"/>
  <c r="G6"/>
  <c r="E6"/>
  <c r="D6"/>
  <c r="C6"/>
  <c r="A6"/>
  <c r="P5"/>
  <c r="F5" i="24" s="1"/>
  <c r="G5"/>
  <c r="E5" i="4"/>
  <c r="D5"/>
  <c r="C5"/>
  <c r="A5"/>
  <c r="P4"/>
  <c r="F4" i="24" s="1"/>
  <c r="G4"/>
  <c r="H4" i="4"/>
  <c r="G4"/>
  <c r="E4"/>
  <c r="D4"/>
  <c r="C4"/>
  <c r="A4"/>
  <c r="AI18" i="5"/>
  <c r="E18"/>
  <c r="D18"/>
  <c r="C18"/>
  <c r="A18"/>
  <c r="AI17"/>
  <c r="E17"/>
  <c r="D17"/>
  <c r="C17"/>
  <c r="A17"/>
  <c r="AI16"/>
  <c r="E16"/>
  <c r="D16"/>
  <c r="C16"/>
  <c r="A16"/>
  <c r="AI15"/>
  <c r="E15"/>
  <c r="D15"/>
  <c r="C15"/>
  <c r="A15"/>
  <c r="AI14"/>
  <c r="E14"/>
  <c r="D14"/>
  <c r="C14"/>
  <c r="A14"/>
  <c r="AI13"/>
  <c r="E13"/>
  <c r="D13"/>
  <c r="C13"/>
  <c r="A13"/>
  <c r="AI12"/>
  <c r="E12"/>
  <c r="D12"/>
  <c r="C12"/>
  <c r="A12"/>
  <c r="AI11"/>
  <c r="E11"/>
  <c r="D11"/>
  <c r="C11"/>
  <c r="A11"/>
  <c r="AI10"/>
  <c r="E10"/>
  <c r="D10"/>
  <c r="C10"/>
  <c r="A10"/>
  <c r="AI9"/>
  <c r="E9"/>
  <c r="D9"/>
  <c r="C9"/>
  <c r="A9"/>
  <c r="AI8"/>
  <c r="E8"/>
  <c r="D8"/>
  <c r="C8"/>
  <c r="A8"/>
  <c r="AI7"/>
  <c r="E7"/>
  <c r="D7"/>
  <c r="C7"/>
  <c r="A7"/>
  <c r="AI6"/>
  <c r="E6"/>
  <c r="D6"/>
  <c r="C6"/>
  <c r="A6"/>
  <c r="B18" i="17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D18" i="9"/>
  <c r="C18"/>
  <c r="A18"/>
  <c r="D17"/>
  <c r="C17"/>
  <c r="A17"/>
  <c r="D16"/>
  <c r="C16"/>
  <c r="A16"/>
  <c r="D15"/>
  <c r="C15"/>
  <c r="A15"/>
  <c r="D14"/>
  <c r="C14"/>
  <c r="A14"/>
  <c r="D13"/>
  <c r="C13"/>
  <c r="A13"/>
  <c r="D12"/>
  <c r="C12"/>
  <c r="A12"/>
  <c r="D11"/>
  <c r="C11"/>
  <c r="A11"/>
  <c r="D10"/>
  <c r="C10"/>
  <c r="A10"/>
  <c r="K9"/>
  <c r="D9"/>
  <c r="C9"/>
  <c r="A9"/>
  <c r="K8"/>
  <c r="D8"/>
  <c r="C8"/>
  <c r="A8"/>
  <c r="D7"/>
  <c r="C7"/>
  <c r="A7"/>
  <c r="D6"/>
  <c r="C6"/>
  <c r="A6"/>
  <c r="D5"/>
  <c r="C5"/>
  <c r="A5"/>
  <c r="AI22" i="5" l="1"/>
  <c r="BD16" i="24"/>
  <c r="AX17"/>
  <c r="BD10"/>
  <c r="AX11"/>
  <c r="BD17"/>
  <c r="BD12"/>
  <c r="AX5"/>
  <c r="AX4"/>
  <c r="BD18"/>
  <c r="BD4"/>
  <c r="AX6"/>
  <c r="AX8"/>
  <c r="AX14"/>
  <c r="BD6"/>
  <c r="BD8"/>
  <c r="AX10"/>
  <c r="AX12"/>
  <c r="BD14"/>
  <c r="AX16"/>
  <c r="W18" i="20"/>
  <c r="I18" i="24" s="1"/>
  <c r="W15" i="20"/>
  <c r="I15" i="24" s="1"/>
  <c r="W4" i="20"/>
  <c r="I4" i="24" s="1"/>
  <c r="W8" i="20"/>
  <c r="I8" i="24" s="1"/>
  <c r="W12" i="20"/>
  <c r="I12" i="24" s="1"/>
  <c r="W16" i="20"/>
  <c r="I16" i="24" s="1"/>
  <c r="W6" i="20"/>
  <c r="I6" i="24" s="1"/>
  <c r="W10" i="20"/>
  <c r="I10" i="24" s="1"/>
  <c r="W14" i="20"/>
  <c r="I14" i="24" s="1"/>
  <c r="W7" i="20"/>
  <c r="I7" i="24" s="1"/>
  <c r="W11" i="20"/>
  <c r="I11" i="24" s="1"/>
  <c r="I4" i="4"/>
  <c r="I6"/>
  <c r="I6" i="1" s="1"/>
  <c r="I7"/>
  <c r="I8" i="4"/>
  <c r="I8" i="1" s="1"/>
  <c r="I9"/>
  <c r="I17" i="4"/>
  <c r="I17" i="1" s="1"/>
  <c r="I10"/>
  <c r="I11" i="4"/>
  <c r="I11" i="1" s="1"/>
  <c r="I18" i="4"/>
  <c r="I18" i="1" s="1"/>
  <c r="S52"/>
  <c r="AF18" i="26"/>
  <c r="AF18" i="5" s="1"/>
  <c r="U18" s="1"/>
  <c r="C18" i="26"/>
  <c r="D18" s="1"/>
  <c r="E18" i="27" s="1"/>
  <c r="B18" i="26"/>
  <c r="A18"/>
  <c r="AF17"/>
  <c r="AF17" i="5" s="1"/>
  <c r="U17" s="1"/>
  <c r="C17" i="26"/>
  <c r="B17"/>
  <c r="A17"/>
  <c r="AF16"/>
  <c r="AF16" i="5" s="1"/>
  <c r="U16" s="1"/>
  <c r="C16" i="26"/>
  <c r="B16"/>
  <c r="A16"/>
  <c r="C15"/>
  <c r="B15"/>
  <c r="A15"/>
  <c r="C14"/>
  <c r="B14"/>
  <c r="A14"/>
  <c r="C13"/>
  <c r="M13" s="1"/>
  <c r="F13" i="27" s="1"/>
  <c r="B13" i="26"/>
  <c r="A13"/>
  <c r="C12"/>
  <c r="B12"/>
  <c r="A12"/>
  <c r="AF11"/>
  <c r="AF11" i="5" s="1"/>
  <c r="U11" s="1"/>
  <c r="C11" i="26"/>
  <c r="B11"/>
  <c r="A11"/>
  <c r="AF10"/>
  <c r="AF10" i="5" s="1"/>
  <c r="C10" i="26"/>
  <c r="D10" s="1"/>
  <c r="E10" i="27" s="1"/>
  <c r="B10" i="26"/>
  <c r="A10"/>
  <c r="AF9"/>
  <c r="AF9" i="5" s="1"/>
  <c r="C9" i="26"/>
  <c r="D9" s="1"/>
  <c r="E9" i="27" s="1"/>
  <c r="B9" i="26"/>
  <c r="AF8"/>
  <c r="AF8" i="5" s="1"/>
  <c r="C8" i="26"/>
  <c r="B8"/>
  <c r="AF7"/>
  <c r="AF7" i="5" s="1"/>
  <c r="C7" i="26"/>
  <c r="M7" s="1"/>
  <c r="F7" i="27" s="1"/>
  <c r="B7" i="26"/>
  <c r="AF6"/>
  <c r="AF6" i="5" s="1"/>
  <c r="C6" i="26"/>
  <c r="D6" s="1"/>
  <c r="E6" i="27" s="1"/>
  <c r="B6" i="26"/>
  <c r="A6"/>
  <c r="AF5"/>
  <c r="AF5" i="5" s="1"/>
  <c r="C5" i="26"/>
  <c r="M5" s="1"/>
  <c r="B5"/>
  <c r="C4"/>
  <c r="M4" s="1"/>
  <c r="B4"/>
  <c r="A4"/>
  <c r="G4" i="12"/>
  <c r="P53" i="1"/>
  <c r="O53"/>
  <c r="N53"/>
  <c r="M53"/>
  <c r="K53"/>
  <c r="J53"/>
  <c r="I53"/>
  <c r="I54" s="1"/>
  <c r="V5" i="26" l="1"/>
  <c r="AE5" s="1"/>
  <c r="AG5" s="1"/>
  <c r="Q5" i="9" s="1"/>
  <c r="V6" i="26"/>
  <c r="G6" i="27" s="1"/>
  <c r="M6" i="26"/>
  <c r="M18"/>
  <c r="F18" i="27" s="1"/>
  <c r="V4" i="26"/>
  <c r="AE4" s="1"/>
  <c r="AG4" s="1"/>
  <c r="M15"/>
  <c r="V15"/>
  <c r="G15" i="27" s="1"/>
  <c r="M10" i="26"/>
  <c r="F10" i="27" s="1"/>
  <c r="V18" i="26"/>
  <c r="M14"/>
  <c r="V7"/>
  <c r="AE9"/>
  <c r="AG9" s="1"/>
  <c r="Q9" i="9" s="1"/>
  <c r="AE16" i="26"/>
  <c r="AG16" s="1"/>
  <c r="V12"/>
  <c r="G12" i="27" s="1"/>
  <c r="V13" i="26"/>
  <c r="M12"/>
  <c r="F12" i="27" s="1"/>
  <c r="V14" i="26"/>
  <c r="G14" i="27" s="1"/>
  <c r="V10" i="26"/>
  <c r="AE8"/>
  <c r="AE11"/>
  <c r="AG11" s="1"/>
  <c r="Q53" i="1"/>
  <c r="M18" i="13"/>
  <c r="I18"/>
  <c r="C18"/>
  <c r="F18" s="1"/>
  <c r="G18" s="1"/>
  <c r="B18"/>
  <c r="A18"/>
  <c r="M17"/>
  <c r="I17"/>
  <c r="C17"/>
  <c r="F17" s="1"/>
  <c r="G17" s="1"/>
  <c r="B17"/>
  <c r="A17"/>
  <c r="M16"/>
  <c r="I16"/>
  <c r="C16"/>
  <c r="F16" s="1"/>
  <c r="G16" s="1"/>
  <c r="B16"/>
  <c r="A16"/>
  <c r="M15"/>
  <c r="I15"/>
  <c r="C15"/>
  <c r="F15" s="1"/>
  <c r="G15" s="1"/>
  <c r="B15"/>
  <c r="A15"/>
  <c r="M14"/>
  <c r="I14"/>
  <c r="C14"/>
  <c r="F14" s="1"/>
  <c r="G14" s="1"/>
  <c r="B14"/>
  <c r="A14"/>
  <c r="M13"/>
  <c r="I13"/>
  <c r="C13"/>
  <c r="F13" s="1"/>
  <c r="G13" s="1"/>
  <c r="B13"/>
  <c r="A13"/>
  <c r="M12"/>
  <c r="I12"/>
  <c r="C12"/>
  <c r="F12" s="1"/>
  <c r="G12" s="1"/>
  <c r="B12"/>
  <c r="A12"/>
  <c r="M11"/>
  <c r="I11"/>
  <c r="C11"/>
  <c r="F11" s="1"/>
  <c r="G11" s="1"/>
  <c r="B11"/>
  <c r="A11"/>
  <c r="M10"/>
  <c r="I10"/>
  <c r="C10"/>
  <c r="F10" s="1"/>
  <c r="G10" s="1"/>
  <c r="B10"/>
  <c r="A10"/>
  <c r="M9"/>
  <c r="I9"/>
  <c r="C9"/>
  <c r="F9" s="1"/>
  <c r="G9" s="1"/>
  <c r="B9"/>
  <c r="A9"/>
  <c r="M8"/>
  <c r="I8"/>
  <c r="C8"/>
  <c r="F8" s="1"/>
  <c r="G8" s="1"/>
  <c r="B8"/>
  <c r="A8"/>
  <c r="M7"/>
  <c r="I7"/>
  <c r="C7"/>
  <c r="F7" s="1"/>
  <c r="G7" s="1"/>
  <c r="B7"/>
  <c r="A7"/>
  <c r="M6"/>
  <c r="I6"/>
  <c r="C6"/>
  <c r="F6" s="1"/>
  <c r="G6" s="1"/>
  <c r="B6"/>
  <c r="A6"/>
  <c r="M5"/>
  <c r="I5"/>
  <c r="C5"/>
  <c r="F5" s="1"/>
  <c r="G5" s="1"/>
  <c r="B5"/>
  <c r="A5"/>
  <c r="AN18" i="16"/>
  <c r="D18" i="24" s="1"/>
  <c r="AM18" i="16"/>
  <c r="E18" i="24" s="1"/>
  <c r="CA18" s="1"/>
  <c r="E18" i="16"/>
  <c r="I18" s="1"/>
  <c r="D18"/>
  <c r="H18" s="1"/>
  <c r="C18"/>
  <c r="B18"/>
  <c r="A18"/>
  <c r="AN17"/>
  <c r="D17" i="24" s="1"/>
  <c r="AM17" i="16"/>
  <c r="E17" i="24" s="1"/>
  <c r="CA17" s="1"/>
  <c r="E17" i="16"/>
  <c r="I17" s="1"/>
  <c r="D17"/>
  <c r="H17" s="1"/>
  <c r="J17" s="1"/>
  <c r="C17"/>
  <c r="B17"/>
  <c r="A17"/>
  <c r="AN16"/>
  <c r="D16" i="24" s="1"/>
  <c r="AM16" i="16"/>
  <c r="E16" i="24" s="1"/>
  <c r="CA16" s="1"/>
  <c r="E16" i="16"/>
  <c r="I16" s="1"/>
  <c r="P16" s="1"/>
  <c r="N16" s="1"/>
  <c r="D16"/>
  <c r="H16" s="1"/>
  <c r="D110" s="1"/>
  <c r="C16"/>
  <c r="B16"/>
  <c r="A16"/>
  <c r="AN15"/>
  <c r="D15" i="24" s="1"/>
  <c r="AM15" i="16"/>
  <c r="E15" i="24" s="1"/>
  <c r="CA15" s="1"/>
  <c r="E15" i="16"/>
  <c r="I15" s="1"/>
  <c r="D15"/>
  <c r="H15" s="1"/>
  <c r="D96" s="1"/>
  <c r="C15"/>
  <c r="B15"/>
  <c r="A15"/>
  <c r="AN14"/>
  <c r="D14" i="24" s="1"/>
  <c r="AM14" i="16"/>
  <c r="E14" i="24" s="1"/>
  <c r="CA14" s="1"/>
  <c r="E14" i="16"/>
  <c r="I14" s="1"/>
  <c r="D14"/>
  <c r="H14" s="1"/>
  <c r="D82" s="1"/>
  <c r="C14"/>
  <c r="B14"/>
  <c r="A14"/>
  <c r="AN13"/>
  <c r="D13" i="24" s="1"/>
  <c r="AM13" i="16"/>
  <c r="E13" i="24" s="1"/>
  <c r="CA13" s="1"/>
  <c r="H13" i="16"/>
  <c r="E13"/>
  <c r="I13" s="1"/>
  <c r="D13"/>
  <c r="C13"/>
  <c r="B13"/>
  <c r="A13"/>
  <c r="AN12"/>
  <c r="D12" i="24" s="1"/>
  <c r="AM12" i="16"/>
  <c r="E12" i="24" s="1"/>
  <c r="CA12" s="1"/>
  <c r="I12" i="16"/>
  <c r="P12" s="1"/>
  <c r="N12" s="1"/>
  <c r="E12"/>
  <c r="D12"/>
  <c r="H12" s="1"/>
  <c r="D54" s="1"/>
  <c r="C12"/>
  <c r="B12"/>
  <c r="A12"/>
  <c r="AN11"/>
  <c r="D11" i="24" s="1"/>
  <c r="AM11" i="16"/>
  <c r="E11" i="24" s="1"/>
  <c r="CA11" s="1"/>
  <c r="E11" i="16"/>
  <c r="I11" s="1"/>
  <c r="D11"/>
  <c r="H11" s="1"/>
  <c r="D41" s="1"/>
  <c r="C11"/>
  <c r="B11"/>
  <c r="A11"/>
  <c r="AN10"/>
  <c r="D10" i="24" s="1"/>
  <c r="AM10" i="16"/>
  <c r="E10" i="24" s="1"/>
  <c r="CA10" s="1"/>
  <c r="H10" i="16"/>
  <c r="D37" s="1"/>
  <c r="E10"/>
  <c r="I10" s="1"/>
  <c r="D10"/>
  <c r="C10"/>
  <c r="B10"/>
  <c r="A10"/>
  <c r="AN9"/>
  <c r="D9" i="24" s="1"/>
  <c r="AM9" i="16"/>
  <c r="E9" i="24" s="1"/>
  <c r="CA9" s="1"/>
  <c r="I9" i="16"/>
  <c r="E9"/>
  <c r="D9"/>
  <c r="H9" s="1"/>
  <c r="J9" s="1"/>
  <c r="C9"/>
  <c r="B9"/>
  <c r="A9"/>
  <c r="AN8"/>
  <c r="D8" i="24" s="1"/>
  <c r="BZ8" s="1"/>
  <c r="AM8" i="16"/>
  <c r="E8" i="24" s="1"/>
  <c r="CA8" s="1"/>
  <c r="I8" i="16"/>
  <c r="P8" s="1"/>
  <c r="N8" s="1"/>
  <c r="E8"/>
  <c r="D8"/>
  <c r="H8" s="1"/>
  <c r="C8"/>
  <c r="B8"/>
  <c r="A8"/>
  <c r="AN7"/>
  <c r="D7" i="24" s="1"/>
  <c r="BZ7" s="1"/>
  <c r="AM7" i="16"/>
  <c r="E7" i="24" s="1"/>
  <c r="CA7" s="1"/>
  <c r="E7" i="16"/>
  <c r="I7" s="1"/>
  <c r="D7"/>
  <c r="H7" s="1"/>
  <c r="C7"/>
  <c r="B7"/>
  <c r="A7"/>
  <c r="AN6"/>
  <c r="D6" i="24" s="1"/>
  <c r="AM6" i="16"/>
  <c r="E6" i="24" s="1"/>
  <c r="CA6" s="1"/>
  <c r="H6" i="16"/>
  <c r="D33" s="1"/>
  <c r="E6"/>
  <c r="I6" s="1"/>
  <c r="D6"/>
  <c r="C6"/>
  <c r="B6"/>
  <c r="A6"/>
  <c r="AN5"/>
  <c r="D5" i="24" s="1"/>
  <c r="AM5" i="16"/>
  <c r="E5" i="24" s="1"/>
  <c r="CA5" s="1"/>
  <c r="I5" i="16"/>
  <c r="E5"/>
  <c r="D5"/>
  <c r="H5" s="1"/>
  <c r="J5" s="1"/>
  <c r="C5"/>
  <c r="B5"/>
  <c r="A5"/>
  <c r="F18" i="12"/>
  <c r="P18" i="14" s="1"/>
  <c r="G18" i="1" s="1"/>
  <c r="C18" i="12"/>
  <c r="B18"/>
  <c r="A18"/>
  <c r="F17"/>
  <c r="C17"/>
  <c r="B17"/>
  <c r="A17"/>
  <c r="F16"/>
  <c r="C16"/>
  <c r="B16"/>
  <c r="A16"/>
  <c r="F15"/>
  <c r="C15"/>
  <c r="B15"/>
  <c r="A15"/>
  <c r="F14"/>
  <c r="C14"/>
  <c r="B14"/>
  <c r="A14"/>
  <c r="F13"/>
  <c r="C13"/>
  <c r="B13"/>
  <c r="A13"/>
  <c r="F12"/>
  <c r="C12"/>
  <c r="B12"/>
  <c r="A12"/>
  <c r="F11"/>
  <c r="C11"/>
  <c r="B11"/>
  <c r="A11"/>
  <c r="F10"/>
  <c r="C10"/>
  <c r="B10"/>
  <c r="A10"/>
  <c r="F9"/>
  <c r="P9" i="14" s="1"/>
  <c r="G9" i="1" s="1"/>
  <c r="C9" i="12"/>
  <c r="B9"/>
  <c r="A9"/>
  <c r="F8"/>
  <c r="C8"/>
  <c r="B8"/>
  <c r="A8"/>
  <c r="F7"/>
  <c r="C7"/>
  <c r="B7"/>
  <c r="A7"/>
  <c r="F6"/>
  <c r="C6"/>
  <c r="B6"/>
  <c r="A6"/>
  <c r="C17" i="25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B18" i="14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N18" i="1"/>
  <c r="K18" i="9" s="1"/>
  <c r="N17" i="1"/>
  <c r="K17" i="9" s="1"/>
  <c r="N16" i="1"/>
  <c r="K16" i="9" s="1"/>
  <c r="N15" i="1"/>
  <c r="K15" i="9" s="1"/>
  <c r="N14" i="1"/>
  <c r="K14" i="9" s="1"/>
  <c r="N13" i="1"/>
  <c r="K13" i="9" s="1"/>
  <c r="N12" i="1"/>
  <c r="K12" i="9" s="1"/>
  <c r="N11" i="1"/>
  <c r="K11" i="9" s="1"/>
  <c r="N10" i="1"/>
  <c r="K10" i="9" s="1"/>
  <c r="N6" i="1"/>
  <c r="J5"/>
  <c r="I5"/>
  <c r="B3" i="9"/>
  <c r="BQ19" i="24"/>
  <c r="S19"/>
  <c r="U19"/>
  <c r="V19"/>
  <c r="W19"/>
  <c r="X19"/>
  <c r="Y19"/>
  <c r="AD40" i="5"/>
  <c r="AE14" i="26" l="1"/>
  <c r="AG14" s="1"/>
  <c r="Q14" i="9" s="1"/>
  <c r="F14" i="27"/>
  <c r="AE6" i="26"/>
  <c r="AG6" s="1"/>
  <c r="Q6" i="9" s="1"/>
  <c r="F6" i="27"/>
  <c r="AE18" i="26"/>
  <c r="AG18" s="1"/>
  <c r="Q18" i="9" s="1"/>
  <c r="G18" i="27"/>
  <c r="AE10" i="26"/>
  <c r="AG10" s="1"/>
  <c r="Q10" i="9" s="1"/>
  <c r="G10" i="27"/>
  <c r="AE15" i="26"/>
  <c r="AG15" s="1"/>
  <c r="Q15" i="9" s="1"/>
  <c r="F15" i="27"/>
  <c r="AE13" i="26"/>
  <c r="AG13" s="1"/>
  <c r="Q13" i="9" s="1"/>
  <c r="G13" i="27"/>
  <c r="AE7" i="26"/>
  <c r="AG7" s="1"/>
  <c r="Q7" i="9" s="1"/>
  <c r="G7" i="27"/>
  <c r="H7" i="17"/>
  <c r="H8"/>
  <c r="R8" i="5" s="1"/>
  <c r="BZ14" i="24"/>
  <c r="BZ18"/>
  <c r="G8" i="5"/>
  <c r="G9"/>
  <c r="G10"/>
  <c r="BZ15" i="24"/>
  <c r="G11" i="5"/>
  <c r="G13"/>
  <c r="G14"/>
  <c r="G15"/>
  <c r="G16"/>
  <c r="BZ11" i="24"/>
  <c r="G12" i="5"/>
  <c r="G17"/>
  <c r="AG8" i="26"/>
  <c r="CB7" i="24"/>
  <c r="CB8"/>
  <c r="T8" i="5"/>
  <c r="BZ5" i="24"/>
  <c r="BZ6"/>
  <c r="BZ9"/>
  <c r="BZ10"/>
  <c r="BZ16"/>
  <c r="BZ12"/>
  <c r="BZ13"/>
  <c r="BZ17"/>
  <c r="J13" i="16"/>
  <c r="D68"/>
  <c r="F18" i="1"/>
  <c r="F6"/>
  <c r="P6" i="14"/>
  <c r="G6" i="1" s="1"/>
  <c r="F7"/>
  <c r="P7" i="14"/>
  <c r="F8" i="1"/>
  <c r="P8" i="14"/>
  <c r="G8" i="1" s="1"/>
  <c r="F10"/>
  <c r="P10" i="14"/>
  <c r="G10" i="1" s="1"/>
  <c r="F11"/>
  <c r="P11" i="14"/>
  <c r="G11" i="1" s="1"/>
  <c r="F12"/>
  <c r="P12" i="14"/>
  <c r="G12" i="1" s="1"/>
  <c r="F13"/>
  <c r="P13" i="14"/>
  <c r="G13" i="1" s="1"/>
  <c r="F14"/>
  <c r="P14" i="14"/>
  <c r="G14" i="1" s="1"/>
  <c r="F15"/>
  <c r="P15" i="14"/>
  <c r="G15" i="1" s="1"/>
  <c r="F16"/>
  <c r="P16" i="14"/>
  <c r="G16" i="1" s="1"/>
  <c r="F17"/>
  <c r="P17" i="14"/>
  <c r="G17" i="1" s="1"/>
  <c r="F9"/>
  <c r="AE12" i="26"/>
  <c r="AG12" s="1"/>
  <c r="Q12" i="9" s="1"/>
  <c r="I10" i="5"/>
  <c r="I9"/>
  <c r="AE17" i="26"/>
  <c r="AG17" s="1"/>
  <c r="I16" i="5"/>
  <c r="I11"/>
  <c r="K8" i="13"/>
  <c r="J8"/>
  <c r="K12"/>
  <c r="J12"/>
  <c r="K16"/>
  <c r="J16"/>
  <c r="K5"/>
  <c r="J5"/>
  <c r="K7"/>
  <c r="J7"/>
  <c r="K9"/>
  <c r="J9"/>
  <c r="K11"/>
  <c r="J11"/>
  <c r="K15"/>
  <c r="J15"/>
  <c r="K17"/>
  <c r="J17"/>
  <c r="K6"/>
  <c r="J6"/>
  <c r="K10"/>
  <c r="J10"/>
  <c r="K14"/>
  <c r="J14"/>
  <c r="K18"/>
  <c r="J18"/>
  <c r="K13"/>
  <c r="J13"/>
  <c r="H5"/>
  <c r="H6"/>
  <c r="H7"/>
  <c r="H8"/>
  <c r="H9"/>
  <c r="H10"/>
  <c r="H11"/>
  <c r="H12"/>
  <c r="H13"/>
  <c r="H14"/>
  <c r="H15"/>
  <c r="H16"/>
  <c r="H17"/>
  <c r="H18"/>
  <c r="K8" i="16"/>
  <c r="J8"/>
  <c r="O8" s="1"/>
  <c r="Q8" s="1"/>
  <c r="L8"/>
  <c r="K12"/>
  <c r="J12"/>
  <c r="L12"/>
  <c r="K16"/>
  <c r="J16"/>
  <c r="L16"/>
  <c r="P6"/>
  <c r="N6" s="1"/>
  <c r="P7"/>
  <c r="N7" s="1"/>
  <c r="P10"/>
  <c r="N10" s="1"/>
  <c r="P11"/>
  <c r="N11" s="1"/>
  <c r="P14"/>
  <c r="N14" s="1"/>
  <c r="P15"/>
  <c r="N15" s="1"/>
  <c r="P18"/>
  <c r="N18" s="1"/>
  <c r="L7"/>
  <c r="J7"/>
  <c r="K7"/>
  <c r="L11"/>
  <c r="J11"/>
  <c r="K11"/>
  <c r="L15"/>
  <c r="J15"/>
  <c r="K15"/>
  <c r="L18"/>
  <c r="L5"/>
  <c r="P5"/>
  <c r="N5" s="1"/>
  <c r="K6"/>
  <c r="P9"/>
  <c r="N9" s="1"/>
  <c r="L17"/>
  <c r="K5"/>
  <c r="J6"/>
  <c r="K9"/>
  <c r="O9" s="1"/>
  <c r="J10"/>
  <c r="K13"/>
  <c r="J14"/>
  <c r="K17"/>
  <c r="J18"/>
  <c r="L6"/>
  <c r="L10"/>
  <c r="L14"/>
  <c r="L9"/>
  <c r="K10"/>
  <c r="L13"/>
  <c r="P13"/>
  <c r="N13" s="1"/>
  <c r="K14"/>
  <c r="P17"/>
  <c r="N17" s="1"/>
  <c r="K18"/>
  <c r="AI40" i="5"/>
  <c r="I13" l="1"/>
  <c r="I6"/>
  <c r="W13" i="27"/>
  <c r="H13"/>
  <c r="Y10"/>
  <c r="K10"/>
  <c r="Y11"/>
  <c r="K11"/>
  <c r="K16"/>
  <c r="Y16"/>
  <c r="W14"/>
  <c r="H14"/>
  <c r="W6"/>
  <c r="H6"/>
  <c r="J17"/>
  <c r="X17"/>
  <c r="X7"/>
  <c r="J7"/>
  <c r="X16"/>
  <c r="J16"/>
  <c r="W15"/>
  <c r="H15"/>
  <c r="W11"/>
  <c r="H11"/>
  <c r="W7"/>
  <c r="H7"/>
  <c r="K13"/>
  <c r="Y13"/>
  <c r="Y14"/>
  <c r="K14"/>
  <c r="K6"/>
  <c r="Y6"/>
  <c r="Y15"/>
  <c r="K15"/>
  <c r="K9"/>
  <c r="Y9"/>
  <c r="K12"/>
  <c r="Y12"/>
  <c r="I14" i="5"/>
  <c r="I18"/>
  <c r="I15"/>
  <c r="W17" i="27"/>
  <c r="H17"/>
  <c r="W9"/>
  <c r="H9"/>
  <c r="Y18"/>
  <c r="K18"/>
  <c r="K17"/>
  <c r="Y17"/>
  <c r="K7"/>
  <c r="Y7"/>
  <c r="K8"/>
  <c r="Y8"/>
  <c r="W18"/>
  <c r="H18"/>
  <c r="W10"/>
  <c r="H10"/>
  <c r="J18"/>
  <c r="X18"/>
  <c r="J10"/>
  <c r="X10"/>
  <c r="X11"/>
  <c r="J11"/>
  <c r="X8"/>
  <c r="J8"/>
  <c r="W16"/>
  <c r="H16"/>
  <c r="W12"/>
  <c r="H12"/>
  <c r="W8"/>
  <c r="H8"/>
  <c r="X13"/>
  <c r="J13"/>
  <c r="J14"/>
  <c r="X14"/>
  <c r="J6"/>
  <c r="X6"/>
  <c r="X15"/>
  <c r="J15"/>
  <c r="X9"/>
  <c r="J9"/>
  <c r="X12"/>
  <c r="J12"/>
  <c r="I7" i="5"/>
  <c r="T13"/>
  <c r="H13" i="17"/>
  <c r="R13" i="5" s="1"/>
  <c r="H9" i="17"/>
  <c r="R9" i="5" s="1"/>
  <c r="T15"/>
  <c r="H15" i="17"/>
  <c r="R15" i="5" s="1"/>
  <c r="T18"/>
  <c r="H18" i="17"/>
  <c r="R18" i="5" s="1"/>
  <c r="T17"/>
  <c r="H17" i="17"/>
  <c r="R17" i="5" s="1"/>
  <c r="T10"/>
  <c r="H10" i="17"/>
  <c r="R10" i="5" s="1"/>
  <c r="T16"/>
  <c r="H16" i="17"/>
  <c r="R16" i="5" s="1"/>
  <c r="CB5" i="24"/>
  <c r="H5" i="17"/>
  <c r="T11" i="5"/>
  <c r="H11" i="17"/>
  <c r="R11" i="5" s="1"/>
  <c r="T12"/>
  <c r="H12" i="17"/>
  <c r="R12" i="5" s="1"/>
  <c r="H6" i="17"/>
  <c r="T14" i="5"/>
  <c r="H14" i="17"/>
  <c r="R14" i="5" s="1"/>
  <c r="I8"/>
  <c r="CB15" i="24"/>
  <c r="CB18"/>
  <c r="CB14"/>
  <c r="G18" i="5"/>
  <c r="CB11" i="24"/>
  <c r="I12" i="5"/>
  <c r="CB9" i="24"/>
  <c r="T9" i="5"/>
  <c r="CB12" i="24"/>
  <c r="CB10"/>
  <c r="CB13"/>
  <c r="CB16"/>
  <c r="CB17"/>
  <c r="CB6"/>
  <c r="O5" i="16"/>
  <c r="O14"/>
  <c r="O6"/>
  <c r="M6" s="1"/>
  <c r="H6" i="1" s="1"/>
  <c r="O7" i="16"/>
  <c r="O17"/>
  <c r="N6" i="13"/>
  <c r="L6" s="1"/>
  <c r="E6" i="1" s="1"/>
  <c r="O16" i="16"/>
  <c r="O15"/>
  <c r="Q15" s="1"/>
  <c r="Q14"/>
  <c r="O13"/>
  <c r="M13" s="1"/>
  <c r="H13" i="1" s="1"/>
  <c r="O12" i="16"/>
  <c r="Q12" s="1"/>
  <c r="O11"/>
  <c r="Q11" s="1"/>
  <c r="M8"/>
  <c r="H8" i="1" s="1"/>
  <c r="N18" i="13"/>
  <c r="N10"/>
  <c r="L10" s="1"/>
  <c r="E10" i="1" s="1"/>
  <c r="I17" i="5"/>
  <c r="N7" i="13"/>
  <c r="N17"/>
  <c r="N13"/>
  <c r="N9"/>
  <c r="N5"/>
  <c r="N14"/>
  <c r="N15"/>
  <c r="N11"/>
  <c r="N16"/>
  <c r="N12"/>
  <c r="N8"/>
  <c r="M9" i="16"/>
  <c r="H9" i="1" s="1"/>
  <c r="Q9" i="16"/>
  <c r="Q17"/>
  <c r="M17"/>
  <c r="H17" i="1" s="1"/>
  <c r="Q5" i="16"/>
  <c r="M5"/>
  <c r="H5" i="1" s="1"/>
  <c r="M14" i="16"/>
  <c r="H14" i="1" s="1"/>
  <c r="O18" i="16"/>
  <c r="O10"/>
  <c r="AI4" i="5"/>
  <c r="AI21" s="1"/>
  <c r="AI5"/>
  <c r="B3"/>
  <c r="E3"/>
  <c r="D3"/>
  <c r="C3"/>
  <c r="A3"/>
  <c r="BY3" i="24"/>
  <c r="BH3"/>
  <c r="J3"/>
  <c r="H3"/>
  <c r="C3"/>
  <c r="A3"/>
  <c r="B3" i="23"/>
  <c r="A3"/>
  <c r="C3" i="15"/>
  <c r="B3"/>
  <c r="A3"/>
  <c r="D3" i="27"/>
  <c r="C3"/>
  <c r="B3"/>
  <c r="A3"/>
  <c r="E3" i="20"/>
  <c r="D3"/>
  <c r="C3"/>
  <c r="A3"/>
  <c r="G3" i="24"/>
  <c r="P3" i="4"/>
  <c r="F3" i="24" s="1"/>
  <c r="E3" i="4"/>
  <c r="D3"/>
  <c r="C3"/>
  <c r="A3"/>
  <c r="AH3" i="24" l="1"/>
  <c r="T19"/>
  <c r="BS3"/>
  <c r="BR19"/>
  <c r="Q6" i="16"/>
  <c r="Q7"/>
  <c r="M7"/>
  <c r="H7" i="1" s="1"/>
  <c r="M12" i="16"/>
  <c r="H12" i="1" s="1"/>
  <c r="Q13" i="16"/>
  <c r="L5" i="13"/>
  <c r="E5" i="1" s="1"/>
  <c r="L5" i="9"/>
  <c r="P5" s="1"/>
  <c r="D5" i="17"/>
  <c r="L10" i="9"/>
  <c r="P10" s="1"/>
  <c r="L6"/>
  <c r="P6" s="1"/>
  <c r="D6" i="17"/>
  <c r="Q16" i="16"/>
  <c r="M16"/>
  <c r="H16" i="1" s="1"/>
  <c r="M15" i="16"/>
  <c r="H15" i="1" s="1"/>
  <c r="M11" i="16"/>
  <c r="H11" i="1" s="1"/>
  <c r="D10" i="17"/>
  <c r="L18" i="13"/>
  <c r="E18" i="1" s="1"/>
  <c r="D18" i="17"/>
  <c r="L18" i="9"/>
  <c r="P18" s="1"/>
  <c r="L7" i="13"/>
  <c r="E7" i="1" s="1"/>
  <c r="D7" i="17"/>
  <c r="L7" i="9"/>
  <c r="P7" s="1"/>
  <c r="L8" i="13"/>
  <c r="E8" i="1" s="1"/>
  <c r="L8" s="1"/>
  <c r="C8" i="23" s="1"/>
  <c r="E8" s="1"/>
  <c r="D8" i="17"/>
  <c r="L8" i="9"/>
  <c r="P8" s="1"/>
  <c r="L14" i="13"/>
  <c r="E14" i="1" s="1"/>
  <c r="L14" s="1"/>
  <c r="D14" i="17"/>
  <c r="L14" i="9"/>
  <c r="P14" s="1"/>
  <c r="L9" i="13"/>
  <c r="E9" i="1" s="1"/>
  <c r="L9" s="1"/>
  <c r="C9" i="23" s="1"/>
  <c r="E9" s="1"/>
  <c r="D9" i="17"/>
  <c r="L9" i="9"/>
  <c r="P9" s="1"/>
  <c r="L15" i="13"/>
  <c r="E15" i="1" s="1"/>
  <c r="D15" i="17"/>
  <c r="L15" i="9"/>
  <c r="P15" s="1"/>
  <c r="L16" i="13"/>
  <c r="E16" i="1" s="1"/>
  <c r="L16" i="9"/>
  <c r="P16" s="1"/>
  <c r="D16" i="17"/>
  <c r="L11" i="13"/>
  <c r="E11" i="1" s="1"/>
  <c r="D11" i="17"/>
  <c r="L11" i="9"/>
  <c r="P11" s="1"/>
  <c r="L17" i="13"/>
  <c r="E17" i="1" s="1"/>
  <c r="L17" s="1"/>
  <c r="L17" i="9"/>
  <c r="P17" s="1"/>
  <c r="D17" i="17"/>
  <c r="L12" i="13"/>
  <c r="E12" i="1" s="1"/>
  <c r="L12" i="9"/>
  <c r="P12" s="1"/>
  <c r="D12" i="17"/>
  <c r="L13" i="13"/>
  <c r="E13" i="1" s="1"/>
  <c r="L13" s="1"/>
  <c r="L13" i="9"/>
  <c r="P13" s="1"/>
  <c r="D13" i="17"/>
  <c r="Q10" i="16"/>
  <c r="M10"/>
  <c r="H10" i="1" s="1"/>
  <c r="L10" s="1"/>
  <c r="Q18" i="16"/>
  <c r="M18"/>
  <c r="H18" i="1" s="1"/>
  <c r="W3" i="20"/>
  <c r="I3" i="24" s="1"/>
  <c r="BD3"/>
  <c r="AX3"/>
  <c r="N3" i="9"/>
  <c r="N4"/>
  <c r="N4" i="1" s="1"/>
  <c r="K5" i="9"/>
  <c r="K6"/>
  <c r="D3"/>
  <c r="C3"/>
  <c r="A3"/>
  <c r="B3" i="17"/>
  <c r="A3"/>
  <c r="P3" i="1"/>
  <c r="M3" i="13"/>
  <c r="I3"/>
  <c r="I3" i="27" s="1"/>
  <c r="C3" i="13"/>
  <c r="F3" s="1"/>
  <c r="G3" s="1"/>
  <c r="B3"/>
  <c r="A3"/>
  <c r="AF3" i="26"/>
  <c r="AF3" i="5" s="1"/>
  <c r="C3" i="26"/>
  <c r="B3"/>
  <c r="A3"/>
  <c r="AN3" i="16"/>
  <c r="D3" i="24" s="1"/>
  <c r="AM3" i="16"/>
  <c r="E3" i="24" s="1"/>
  <c r="CA3" s="1"/>
  <c r="E3" i="16"/>
  <c r="I3" s="1"/>
  <c r="D3"/>
  <c r="H3" s="1"/>
  <c r="D25" s="1"/>
  <c r="C3"/>
  <c r="B3"/>
  <c r="A3"/>
  <c r="C2" i="25"/>
  <c r="B2"/>
  <c r="A2"/>
  <c r="G3" i="12"/>
  <c r="F3"/>
  <c r="C3"/>
  <c r="B3"/>
  <c r="A3"/>
  <c r="P39" i="1"/>
  <c r="O39"/>
  <c r="N39"/>
  <c r="M39"/>
  <c r="K39"/>
  <c r="J39"/>
  <c r="I39"/>
  <c r="I40" s="1"/>
  <c r="AE14" i="5" l="1"/>
  <c r="AE10"/>
  <c r="AG10" s="1"/>
  <c r="AE13"/>
  <c r="C17" i="17"/>
  <c r="E17" s="1"/>
  <c r="G17" s="1"/>
  <c r="R17" i="9" s="1"/>
  <c r="AE17" i="5"/>
  <c r="AG17" s="1"/>
  <c r="C9" i="17"/>
  <c r="E9" s="1"/>
  <c r="G9" s="1"/>
  <c r="R9" i="9" s="1"/>
  <c r="AE9" i="5"/>
  <c r="AG9" s="1"/>
  <c r="O14" i="1"/>
  <c r="O14" i="9" s="1"/>
  <c r="AG14" i="5"/>
  <c r="C13" i="17"/>
  <c r="E13" s="1"/>
  <c r="G13" s="1"/>
  <c r="R13" i="9" s="1"/>
  <c r="AG13" i="5"/>
  <c r="C8" i="17"/>
  <c r="E8" s="1"/>
  <c r="G8" s="1"/>
  <c r="R8" i="9" s="1"/>
  <c r="AE8" i="5"/>
  <c r="AG8" s="1"/>
  <c r="L12" i="1"/>
  <c r="AE12" i="5" s="1"/>
  <c r="O17" i="1"/>
  <c r="O17" i="9" s="1"/>
  <c r="F13" i="5"/>
  <c r="H13" s="1"/>
  <c r="F11"/>
  <c r="H11" s="1"/>
  <c r="F14"/>
  <c r="H14" s="1"/>
  <c r="F12"/>
  <c r="H12" s="1"/>
  <c r="F8"/>
  <c r="H8" s="1"/>
  <c r="L18" i="1"/>
  <c r="F16" i="5"/>
  <c r="H16" s="1"/>
  <c r="F10"/>
  <c r="H10" s="1"/>
  <c r="F17"/>
  <c r="H17" s="1"/>
  <c r="F15"/>
  <c r="H15" s="1"/>
  <c r="F7"/>
  <c r="F6"/>
  <c r="F9"/>
  <c r="H9" s="1"/>
  <c r="F18"/>
  <c r="H18" s="1"/>
  <c r="O12" i="1"/>
  <c r="O12" i="9" s="1"/>
  <c r="D3" i="26"/>
  <c r="E3" i="27" s="1"/>
  <c r="M3" i="26"/>
  <c r="F3" i="27" s="1"/>
  <c r="V3" i="26"/>
  <c r="G3" i="27" s="1"/>
  <c r="O9" i="1"/>
  <c r="O9" i="9" s="1"/>
  <c r="L16" i="1"/>
  <c r="L15"/>
  <c r="L11"/>
  <c r="O10"/>
  <c r="O10" i="9" s="1"/>
  <c r="C10" i="17"/>
  <c r="E10" s="1"/>
  <c r="G10" s="1"/>
  <c r="R10" i="9" s="1"/>
  <c r="O8" i="1"/>
  <c r="O8" i="9" s="1"/>
  <c r="C14" i="17"/>
  <c r="E14" s="1"/>
  <c r="G14" s="1"/>
  <c r="R14" i="9" s="1"/>
  <c r="O13" i="1"/>
  <c r="O13" i="9" s="1"/>
  <c r="N3" i="1"/>
  <c r="BZ3" i="24"/>
  <c r="CB3" s="1"/>
  <c r="S3" i="9"/>
  <c r="G3" i="5" s="1"/>
  <c r="K3" i="13"/>
  <c r="J3"/>
  <c r="H3"/>
  <c r="P3" i="16"/>
  <c r="N3" s="1"/>
  <c r="L3"/>
  <c r="K3"/>
  <c r="J3"/>
  <c r="Q39" i="1"/>
  <c r="X8" i="5" l="1"/>
  <c r="X14"/>
  <c r="AA13"/>
  <c r="X9"/>
  <c r="X17"/>
  <c r="Q8"/>
  <c r="S8" s="1"/>
  <c r="Q9"/>
  <c r="S9" s="1"/>
  <c r="Q14"/>
  <c r="S14" s="1"/>
  <c r="Q13"/>
  <c r="S13" s="1"/>
  <c r="Q17"/>
  <c r="S17" s="1"/>
  <c r="Q10"/>
  <c r="S10" s="1"/>
  <c r="AE16"/>
  <c r="AG16" s="1"/>
  <c r="AE15"/>
  <c r="AG15" s="1"/>
  <c r="AE18"/>
  <c r="AG18" s="1"/>
  <c r="C11" i="17"/>
  <c r="E11" s="1"/>
  <c r="G11" s="1"/>
  <c r="R11" i="9" s="1"/>
  <c r="AE11" i="5"/>
  <c r="AG11" s="1"/>
  <c r="C12" i="17"/>
  <c r="E12" s="1"/>
  <c r="G12" s="1"/>
  <c r="R12" i="9" s="1"/>
  <c r="AG12" i="5"/>
  <c r="Z12"/>
  <c r="Z14"/>
  <c r="C18" i="17"/>
  <c r="E18" s="1"/>
  <c r="G18" s="1"/>
  <c r="R18" i="9" s="1"/>
  <c r="O18" i="1"/>
  <c r="Z17" i="5"/>
  <c r="Z9"/>
  <c r="Z8"/>
  <c r="Z10"/>
  <c r="Z13"/>
  <c r="AE3" i="26"/>
  <c r="AG3" s="1"/>
  <c r="Q3" i="9" s="1"/>
  <c r="AA9" i="5"/>
  <c r="C16" i="17"/>
  <c r="E16" s="1"/>
  <c r="G16" s="1"/>
  <c r="R16" i="9" s="1"/>
  <c r="O16" i="1"/>
  <c r="O16" i="9" s="1"/>
  <c r="C15" i="17"/>
  <c r="E15" s="1"/>
  <c r="G15" s="1"/>
  <c r="R15" i="9" s="1"/>
  <c r="O15" i="1"/>
  <c r="O15" i="9" s="1"/>
  <c r="X13" i="5"/>
  <c r="AA14"/>
  <c r="AA17"/>
  <c r="O11" i="1"/>
  <c r="O11" i="9" s="1"/>
  <c r="AA10" i="5"/>
  <c r="X10"/>
  <c r="AA8"/>
  <c r="X3" i="27"/>
  <c r="J3"/>
  <c r="W3"/>
  <c r="H3"/>
  <c r="Y3"/>
  <c r="K3"/>
  <c r="N3" i="13"/>
  <c r="O3" i="16"/>
  <c r="J4" i="1"/>
  <c r="J3"/>
  <c r="I3"/>
  <c r="B3" i="14"/>
  <c r="A3"/>
  <c r="Q19" i="20"/>
  <c r="R19"/>
  <c r="S19"/>
  <c r="T19"/>
  <c r="U19"/>
  <c r="V19"/>
  <c r="BT19" i="24"/>
  <c r="BU19"/>
  <c r="BV19"/>
  <c r="BW19"/>
  <c r="BX19"/>
  <c r="AA34" i="5" l="1"/>
  <c r="AC34" s="1"/>
  <c r="AA30"/>
  <c r="AC30" s="1"/>
  <c r="AA38"/>
  <c r="AC38" s="1"/>
  <c r="AA31"/>
  <c r="AC31" s="1"/>
  <c r="AA35"/>
  <c r="AC35" s="1"/>
  <c r="X16"/>
  <c r="AA12"/>
  <c r="AA29"/>
  <c r="AC29" s="1"/>
  <c r="I3"/>
  <c r="X18"/>
  <c r="AA18"/>
  <c r="AA16"/>
  <c r="AA15"/>
  <c r="X15"/>
  <c r="Q12"/>
  <c r="S12" s="1"/>
  <c r="AA33" s="1"/>
  <c r="AC33" s="1"/>
  <c r="Q15"/>
  <c r="S15" s="1"/>
  <c r="Q18"/>
  <c r="S18" s="1"/>
  <c r="Q16"/>
  <c r="S16" s="1"/>
  <c r="Q11"/>
  <c r="S11" s="1"/>
  <c r="O18" i="9"/>
  <c r="Z18" i="5" s="1"/>
  <c r="X12"/>
  <c r="Z11"/>
  <c r="Z15"/>
  <c r="Z16"/>
  <c r="X11"/>
  <c r="AA11"/>
  <c r="BY19" i="24"/>
  <c r="H3" i="17"/>
  <c r="U3" i="9" s="1"/>
  <c r="R3" i="5" s="1"/>
  <c r="T3" i="9"/>
  <c r="T3" i="5" s="1"/>
  <c r="L3" i="13"/>
  <c r="E3" i="1" s="1"/>
  <c r="L3" i="9"/>
  <c r="P3" s="1"/>
  <c r="F3" i="5" s="1"/>
  <c r="H3" s="1"/>
  <c r="D3" i="17"/>
  <c r="Q3" i="16"/>
  <c r="M3"/>
  <c r="H3" i="1" s="1"/>
  <c r="AA36" i="5" l="1"/>
  <c r="AC36" s="1"/>
  <c r="AA39"/>
  <c r="AC39" s="1"/>
  <c r="AA37"/>
  <c r="AC37" s="1"/>
  <c r="AA32"/>
  <c r="AC32" s="1"/>
  <c r="I4" i="1"/>
  <c r="F4" i="12"/>
  <c r="F5"/>
  <c r="I4" i="13"/>
  <c r="F4" i="1" l="1"/>
  <c r="F5"/>
  <c r="P5" i="14"/>
  <c r="G5" i="1" s="1"/>
  <c r="F3"/>
  <c r="P3" i="14"/>
  <c r="G3" i="1" s="1"/>
  <c r="L3" l="1"/>
  <c r="C3" i="17" l="1"/>
  <c r="E3" s="1"/>
  <c r="AE3" i="5"/>
  <c r="AG3" s="1"/>
  <c r="G3" i="17" l="1"/>
  <c r="R3" i="9" s="1"/>
  <c r="Q3" i="5" s="1"/>
  <c r="S3" s="1"/>
  <c r="AA3"/>
  <c r="X3"/>
  <c r="Z19" i="9"/>
  <c r="O19" i="4"/>
  <c r="R19" i="24"/>
  <c r="Q19" l="1"/>
  <c r="AN4" i="16"/>
  <c r="D4" i="24" s="1"/>
  <c r="AM4" i="16"/>
  <c r="E4" i="24" s="1"/>
  <c r="CA4" s="1"/>
  <c r="BZ4" l="1"/>
  <c r="CB4" s="1"/>
  <c r="P19"/>
  <c r="AT19"/>
  <c r="AU19"/>
  <c r="T19" i="23"/>
  <c r="X19" i="9"/>
  <c r="Y19"/>
  <c r="AA19"/>
  <c r="AB19"/>
  <c r="V19" i="5" l="1"/>
  <c r="AD19" i="16" l="1"/>
  <c r="AE19"/>
  <c r="AF19"/>
  <c r="AH19"/>
  <c r="AI19"/>
  <c r="AL19"/>
  <c r="AM19"/>
  <c r="M19" i="9"/>
  <c r="D19" i="15" l="1"/>
  <c r="E19"/>
  <c r="F19"/>
  <c r="G19" l="1"/>
  <c r="AD19" i="5" l="1"/>
  <c r="AB19"/>
  <c r="E5" l="1"/>
  <c r="D5"/>
  <c r="C5"/>
  <c r="A5"/>
  <c r="E4"/>
  <c r="D4"/>
  <c r="C4"/>
  <c r="A4"/>
  <c r="AI19" l="1"/>
  <c r="C5" i="28" l="1"/>
  <c r="B5"/>
  <c r="A5"/>
  <c r="C4"/>
  <c r="B4"/>
  <c r="A4"/>
  <c r="C3"/>
  <c r="B3"/>
  <c r="A3"/>
  <c r="S19" i="10"/>
  <c r="Q19" l="1"/>
  <c r="O19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9" l="1"/>
  <c r="A4" i="22"/>
  <c r="A3"/>
  <c r="A4" i="8"/>
  <c r="A3"/>
  <c r="W19" i="9" l="1"/>
  <c r="V19"/>
  <c r="J19" l="1"/>
  <c r="I19"/>
  <c r="H19"/>
  <c r="G19"/>
  <c r="F19"/>
  <c r="E19"/>
  <c r="D4" l="1"/>
  <c r="C4"/>
  <c r="A4"/>
  <c r="BP19" i="24" l="1"/>
  <c r="BO19"/>
  <c r="BN19"/>
  <c r="BM19"/>
  <c r="BL19"/>
  <c r="BK19"/>
  <c r="BJ19"/>
  <c r="BI19"/>
  <c r="BG19"/>
  <c r="BF19"/>
  <c r="BE19"/>
  <c r="BC19"/>
  <c r="BB19"/>
  <c r="BA19"/>
  <c r="AZ19"/>
  <c r="AY19"/>
  <c r="AW19"/>
  <c r="AS19"/>
  <c r="AR19"/>
  <c r="AQ19"/>
  <c r="AP19"/>
  <c r="AO19"/>
  <c r="AN19"/>
  <c r="AM19"/>
  <c r="AL19"/>
  <c r="AK19"/>
  <c r="AJ19"/>
  <c r="AG19"/>
  <c r="AF19"/>
  <c r="AE19"/>
  <c r="AD19"/>
  <c r="AC19"/>
  <c r="AB19"/>
  <c r="AA19"/>
  <c r="Z19"/>
  <c r="O19"/>
  <c r="N19"/>
  <c r="M19"/>
  <c r="L19"/>
  <c r="K19"/>
  <c r="BD19"/>
  <c r="C28" i="23"/>
  <c r="S19"/>
  <c r="R19"/>
  <c r="Q19"/>
  <c r="P19"/>
  <c r="O19"/>
  <c r="N19"/>
  <c r="M19"/>
  <c r="L19"/>
  <c r="K19"/>
  <c r="J19"/>
  <c r="I19"/>
  <c r="S4" i="9" l="1"/>
  <c r="G4" i="5" s="1"/>
  <c r="G6"/>
  <c r="H6" s="1"/>
  <c r="BH19" i="24"/>
  <c r="BS19"/>
  <c r="AX19"/>
  <c r="AH19"/>
  <c r="H19"/>
  <c r="G19" s="1"/>
  <c r="E19"/>
  <c r="J19"/>
  <c r="CA19" l="1"/>
  <c r="G5" i="5" l="1"/>
  <c r="B5" i="23"/>
  <c r="A5"/>
  <c r="B4"/>
  <c r="A4"/>
  <c r="H19" i="15"/>
  <c r="S19" i="9" s="1"/>
  <c r="G7" i="5" l="1"/>
  <c r="H7" s="1"/>
  <c r="C5" i="15"/>
  <c r="B5"/>
  <c r="A5"/>
  <c r="C4"/>
  <c r="B4"/>
  <c r="A4"/>
  <c r="F19" i="17"/>
  <c r="G19" i="5" l="1"/>
  <c r="B4" i="17"/>
  <c r="A4"/>
  <c r="A19" i="27" l="1"/>
  <c r="D5"/>
  <c r="C5"/>
  <c r="D4"/>
  <c r="C4"/>
  <c r="B4"/>
  <c r="AH19" i="26"/>
  <c r="A19"/>
  <c r="G4" i="27" l="1"/>
  <c r="G5"/>
  <c r="E5"/>
  <c r="E4"/>
  <c r="F5"/>
  <c r="X19" i="20"/>
  <c r="P19"/>
  <c r="O19"/>
  <c r="N19"/>
  <c r="M19"/>
  <c r="L19"/>
  <c r="K19"/>
  <c r="J19"/>
  <c r="F19"/>
  <c r="BJ19" i="4"/>
  <c r="BI19"/>
  <c r="BH19"/>
  <c r="BG19"/>
  <c r="BF19"/>
  <c r="BE19"/>
  <c r="BD19"/>
  <c r="BC19"/>
  <c r="BB19"/>
  <c r="BA19"/>
  <c r="AZ19"/>
  <c r="AY19"/>
  <c r="AX19"/>
  <c r="AW19"/>
  <c r="AV19"/>
  <c r="AU19"/>
  <c r="AT19"/>
  <c r="AS19"/>
  <c r="AR19"/>
  <c r="AQ19"/>
  <c r="AO19"/>
  <c r="AN19"/>
  <c r="AM19"/>
  <c r="AK19"/>
  <c r="AJ19"/>
  <c r="AI19"/>
  <c r="AH19"/>
  <c r="AG19"/>
  <c r="AF19"/>
  <c r="AE19"/>
  <c r="AD19"/>
  <c r="AC19"/>
  <c r="AB19"/>
  <c r="AA19"/>
  <c r="Z19"/>
  <c r="X19"/>
  <c r="S19"/>
  <c r="R19"/>
  <c r="Q19"/>
  <c r="N19"/>
  <c r="M19"/>
  <c r="L19"/>
  <c r="H19"/>
  <c r="G19"/>
  <c r="F19"/>
  <c r="Q4" i="9" l="1"/>
  <c r="F4" i="27"/>
  <c r="I19" i="24"/>
  <c r="W19" i="20"/>
  <c r="F19" i="24"/>
  <c r="P19" i="4"/>
  <c r="I19"/>
  <c r="AC19" i="16"/>
  <c r="AB19"/>
  <c r="AA19"/>
  <c r="Z19"/>
  <c r="Y19"/>
  <c r="X19"/>
  <c r="W19"/>
  <c r="V19"/>
  <c r="U19"/>
  <c r="S19"/>
  <c r="R19"/>
  <c r="I4" i="5" l="1"/>
  <c r="I5"/>
  <c r="D19" i="26"/>
  <c r="M19"/>
  <c r="E4" i="16" l="1"/>
  <c r="I4" s="1"/>
  <c r="D4"/>
  <c r="H4" s="1"/>
  <c r="D29" s="1"/>
  <c r="C4"/>
  <c r="B4"/>
  <c r="A4"/>
  <c r="B4" i="14"/>
  <c r="A4"/>
  <c r="G19" i="12"/>
  <c r="H4" i="17" l="1"/>
  <c r="U4" i="9" s="1"/>
  <c r="R4" i="5" s="1"/>
  <c r="AN19" i="16"/>
  <c r="T19"/>
  <c r="L4"/>
  <c r="J4"/>
  <c r="K4"/>
  <c r="T6" i="5" l="1"/>
  <c r="T4" i="9"/>
  <c r="O4" i="16"/>
  <c r="M4" s="1"/>
  <c r="H4" i="1" s="1"/>
  <c r="J19" i="16"/>
  <c r="P4"/>
  <c r="L19"/>
  <c r="K19"/>
  <c r="I19"/>
  <c r="D19" i="24"/>
  <c r="H19" i="16"/>
  <c r="C5" i="12"/>
  <c r="B5"/>
  <c r="A5"/>
  <c r="C4"/>
  <c r="B4"/>
  <c r="A4"/>
  <c r="F19"/>
  <c r="R5" i="5" l="1"/>
  <c r="R6"/>
  <c r="CB19" i="24"/>
  <c r="Q4" i="16"/>
  <c r="R4" i="10" s="1"/>
  <c r="R5"/>
  <c r="R3"/>
  <c r="P19" i="16"/>
  <c r="O19"/>
  <c r="N4"/>
  <c r="BZ19" i="24"/>
  <c r="E19" i="13"/>
  <c r="D19"/>
  <c r="N19" i="16" l="1"/>
  <c r="Q19"/>
  <c r="R19" i="10"/>
  <c r="M19" i="16"/>
  <c r="T7" i="5" l="1"/>
  <c r="T19" i="9"/>
  <c r="M4" i="13"/>
  <c r="C4"/>
  <c r="F4" s="1"/>
  <c r="B4"/>
  <c r="A4"/>
  <c r="D18" i="25"/>
  <c r="A18"/>
  <c r="C3"/>
  <c r="B3"/>
  <c r="A3"/>
  <c r="M19" i="1"/>
  <c r="AF19" i="5" s="1"/>
  <c r="K19" i="1"/>
  <c r="P4" i="14" l="1"/>
  <c r="G4" i="1" s="1"/>
  <c r="G4" i="13"/>
  <c r="H4"/>
  <c r="F19" i="1" l="1"/>
  <c r="I19" l="1"/>
  <c r="J19"/>
  <c r="T4" i="5" l="1"/>
  <c r="T5"/>
  <c r="H19" i="17" l="1"/>
  <c r="R7" i="5" s="1"/>
  <c r="U19" i="9" l="1"/>
  <c r="R19" i="5" l="1"/>
  <c r="H19" i="1"/>
  <c r="M19" i="13" l="1"/>
  <c r="AF19" i="26"/>
  <c r="P19" i="14" l="1"/>
  <c r="G7" i="1"/>
  <c r="K5" i="27"/>
  <c r="Y5"/>
  <c r="T19" i="5"/>
  <c r="E19" i="27"/>
  <c r="F19"/>
  <c r="J4" i="13"/>
  <c r="K4"/>
  <c r="I4" i="27"/>
  <c r="F19" i="13"/>
  <c r="I5" i="27"/>
  <c r="G19" i="13"/>
  <c r="G19" i="1" l="1"/>
  <c r="AB40" i="5"/>
  <c r="K4" i="27"/>
  <c r="Y4"/>
  <c r="W4"/>
  <c r="J5"/>
  <c r="X5"/>
  <c r="J4"/>
  <c r="X4"/>
  <c r="W5"/>
  <c r="H4"/>
  <c r="N4" i="13"/>
  <c r="D4" i="17" s="1"/>
  <c r="AG19" i="26"/>
  <c r="H5" i="27"/>
  <c r="I19" i="13"/>
  <c r="J19"/>
  <c r="AE19" i="26"/>
  <c r="K19" i="13"/>
  <c r="H19"/>
  <c r="G19" i="27"/>
  <c r="Q19" i="9" l="1"/>
  <c r="I19" i="5"/>
  <c r="L5" i="1"/>
  <c r="AE5" i="5" s="1"/>
  <c r="L4" i="13"/>
  <c r="L4" i="9"/>
  <c r="J19" i="27"/>
  <c r="O3" i="1"/>
  <c r="O3" i="9" s="1"/>
  <c r="Z3" i="5" s="1"/>
  <c r="L6" i="1"/>
  <c r="AE6" i="5" s="1"/>
  <c r="K19" i="27"/>
  <c r="I19"/>
  <c r="N19" i="13"/>
  <c r="H19" i="27"/>
  <c r="AA24" i="5" l="1"/>
  <c r="AC24" s="1"/>
  <c r="D19" i="17"/>
  <c r="O6" i="1"/>
  <c r="O6" i="9" s="1"/>
  <c r="AG6" i="5"/>
  <c r="C6" i="17"/>
  <c r="E6" s="1"/>
  <c r="G6" s="1"/>
  <c r="R6" i="9" s="1"/>
  <c r="O5" i="1"/>
  <c r="O5" i="9" s="1"/>
  <c r="C5" i="17"/>
  <c r="E5" s="1"/>
  <c r="G5" s="1"/>
  <c r="R5" i="9" s="1"/>
  <c r="E4" i="1"/>
  <c r="L4" s="1"/>
  <c r="AE4" i="5" s="1"/>
  <c r="C5" i="23"/>
  <c r="F5" i="5"/>
  <c r="H5" s="1"/>
  <c r="P4" i="9"/>
  <c r="F4" i="5" s="1"/>
  <c r="H4" s="1"/>
  <c r="L19" i="9"/>
  <c r="L19" i="13"/>
  <c r="L7" i="1" s="1"/>
  <c r="AE7" i="5" l="1"/>
  <c r="AG7" s="1"/>
  <c r="C7" i="23"/>
  <c r="E7" s="1"/>
  <c r="Z6" i="5"/>
  <c r="AA6"/>
  <c r="X6"/>
  <c r="C7" i="17"/>
  <c r="E7" s="1"/>
  <c r="G7" s="1"/>
  <c r="R7" i="9" s="1"/>
  <c r="Q6" i="5"/>
  <c r="S6" s="1"/>
  <c r="AA27" s="1"/>
  <c r="AC27" s="1"/>
  <c r="Q5"/>
  <c r="S5" s="1"/>
  <c r="O4" i="1"/>
  <c r="O4" i="9" s="1"/>
  <c r="Z4" i="5" s="1"/>
  <c r="C4" i="17"/>
  <c r="E4" s="1"/>
  <c r="P3" i="10"/>
  <c r="K4" i="9"/>
  <c r="P4" i="10" s="1"/>
  <c r="D5" i="23"/>
  <c r="E5" s="1"/>
  <c r="P5" i="10"/>
  <c r="Z5" i="5"/>
  <c r="P19" i="9"/>
  <c r="E19" i="1"/>
  <c r="L19"/>
  <c r="AA26" i="5" l="1"/>
  <c r="F19"/>
  <c r="AA7"/>
  <c r="X7"/>
  <c r="G4" i="17"/>
  <c r="R4" i="9" s="1"/>
  <c r="Q4" i="5" s="1"/>
  <c r="S4" s="1"/>
  <c r="AA25" s="1"/>
  <c r="AG4"/>
  <c r="C19" i="17"/>
  <c r="AG5" i="5"/>
  <c r="H19"/>
  <c r="D19" i="23"/>
  <c r="E19" i="17" l="1"/>
  <c r="AC26" i="5"/>
  <c r="AC25"/>
  <c r="X4"/>
  <c r="AA4"/>
  <c r="AA5"/>
  <c r="X5"/>
  <c r="N19" i="9"/>
  <c r="G19" i="17"/>
  <c r="Q7" i="5" s="1"/>
  <c r="S7" s="1"/>
  <c r="P19" i="10"/>
  <c r="E19" i="23"/>
  <c r="C19"/>
  <c r="K7" i="9" l="1"/>
  <c r="N19" i="1"/>
  <c r="O7"/>
  <c r="O7" i="9" s="1"/>
  <c r="R19"/>
  <c r="K19" l="1"/>
  <c r="AE19" i="5"/>
  <c r="O19" i="1"/>
  <c r="S19" i="5"/>
  <c r="Q19"/>
  <c r="U19"/>
  <c r="AC19"/>
  <c r="X19" l="1"/>
  <c r="AA19"/>
  <c r="AG19"/>
  <c r="O19" i="9"/>
  <c r="Z7" i="5"/>
  <c r="Z19" l="1"/>
  <c r="AA28"/>
  <c r="AA40" l="1"/>
  <c r="AC28"/>
  <c r="AC40" s="1"/>
</calcChain>
</file>

<file path=xl/sharedStrings.xml><?xml version="1.0" encoding="utf-8"?>
<sst xmlns="http://schemas.openxmlformats.org/spreadsheetml/2006/main" count="1917" uniqueCount="627">
  <si>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</si>
  <si>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</si>
  <si>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</si>
  <si>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</si>
  <si>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</si>
  <si>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</si>
  <si>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</si>
  <si>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</si>
  <si>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</si>
  <si>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</si>
  <si>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</si>
  <si>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</si>
  <si>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</si>
  <si>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</si>
  <si>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</si>
  <si>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</si>
  <si>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</si>
  <si>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</si>
  <si>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</si>
  <si>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</si>
  <si>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</si>
  <si>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</si>
  <si>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</si>
  <si>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</si>
  <si>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</si>
  <si>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</si>
  <si>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</si>
  <si>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</si>
  <si>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</si>
  <si>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</si>
  <si>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</si>
  <si>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</si>
  <si>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</si>
  <si>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</si>
  <si>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</si>
  <si>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</si>
  <si>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</si>
  <si>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</si>
  <si>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</si>
  <si>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</si>
  <si>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</si>
  <si>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</si>
  <si>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</si>
  <si>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</si>
  <si>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</si>
  <si>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</si>
  <si>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</si>
  <si>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</si>
  <si>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</si>
  <si>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</si>
  <si>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</si>
  <si>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</si>
  <si>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</si>
  <si>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</si>
  <si>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</si>
  <si>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</si>
  <si>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</si>
  <si>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</si>
  <si>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</si>
  <si>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</si>
  <si>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</si>
  <si>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</si>
  <si>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</si>
  <si>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</si>
  <si>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</si>
  <si>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</si>
  <si>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</si>
  <si>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</si>
  <si>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</si>
  <si>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</si>
  <si>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</si>
  <si>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</si>
  <si>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</si>
  <si>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</si>
  <si>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</si>
  <si>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</si>
  <si>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</si>
  <si>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</si>
  <si>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</si>
  <si>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</si>
  <si>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</si>
  <si>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</si>
  <si>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</si>
  <si>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</si>
  <si>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</si>
  <si>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</si>
  <si>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</si>
  <si>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</si>
  <si>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</si>
  <si>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</si>
  <si>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</si>
  <si>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</si>
  <si>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</si>
  <si>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</si>
  <si>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</si>
  <si>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</si>
  <si>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</si>
  <si>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</si>
  <si>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</si>
  <si>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</si>
  <si>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</si>
  <si>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</si>
  <si>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</si>
  <si>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</si>
  <si>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</si>
  <si>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</si>
  <si>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</si>
  <si>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</si>
  <si>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</si>
  <si>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</si>
  <si>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</si>
  <si>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</si>
  <si>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</si>
  <si>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</si>
  <si>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</si>
  <si>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</si>
  <si>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</si>
  <si>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</si>
  <si>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</si>
  <si>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</si>
  <si>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</si>
  <si>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</si>
  <si>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</si>
  <si>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</si>
  <si>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</si>
  <si>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</si>
  <si>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</si>
  <si>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</si>
  <si>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</si>
  <si>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</si>
  <si>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</si>
  <si>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</si>
  <si>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</si>
  <si>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</si>
  <si>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</si>
  <si>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</si>
  <si>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</si>
  <si>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</si>
  <si>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</si>
  <si>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</si>
  <si>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</si>
  <si>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</si>
  <si>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</si>
  <si>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</si>
  <si>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</si>
  <si>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</si>
  <si>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</si>
  <si>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</si>
  <si>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</si>
  <si>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</si>
  <si>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</si>
  <si>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</si>
  <si>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</si>
  <si>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</si>
  <si>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</si>
  <si>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</si>
  <si>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</si>
  <si>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</si>
  <si>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</si>
  <si>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</si>
  <si>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</si>
  <si>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</si>
  <si>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</si>
  <si>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</si>
  <si>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</si>
  <si>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</si>
  <si>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</si>
  <si>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</si>
  <si>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</si>
  <si>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</si>
  <si>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</si>
  <si>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</si>
  <si>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</si>
  <si>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</si>
  <si>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</si>
  <si>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</si>
  <si>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</si>
  <si>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</si>
  <si>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</si>
  <si>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</si>
  <si>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</si>
  <si>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</si>
  <si>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</si>
  <si>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</si>
  <si>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</si>
  <si>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</si>
  <si>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</si>
  <si>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</si>
  <si>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</si>
  <si>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</si>
  <si>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</si>
  <si>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</si>
  <si>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</si>
  <si>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</si>
  <si>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</si>
  <si>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</si>
  <si>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</si>
  <si>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</si>
  <si>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</si>
  <si>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</si>
  <si>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</si>
  <si>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</si>
  <si>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</si>
  <si>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</si>
  <si>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</si>
  <si>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</si>
  <si>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</si>
  <si>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</si>
  <si>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</si>
  <si>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</si>
  <si>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</si>
  <si>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</si>
  <si>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</si>
  <si>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</si>
  <si>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</si>
  <si>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</si>
  <si>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</si>
  <si>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</si>
  <si>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</si>
  <si>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</si>
  <si>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</si>
  <si>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</si>
  <si>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</si>
  <si>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</si>
  <si>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</si>
  <si>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</si>
  <si>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</si>
  <si>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</si>
  <si>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</si>
  <si>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</si>
  <si>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</si>
  <si>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</si>
  <si>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</si>
  <si>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</si>
  <si>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</si>
  <si>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</si>
  <si>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</si>
  <si>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</si>
  <si>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</si>
  <si>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</si>
  <si>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</si>
  <si>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</si>
  <si>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</si>
  <si>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</si>
  <si>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</si>
  <si>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</si>
  <si>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</si>
  <si>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</si>
  <si>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</si>
  <si>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</si>
  <si>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</si>
  <si>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</si>
  <si>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</si>
  <si>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</si>
  <si>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</si>
  <si>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</si>
  <si>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</si>
  <si>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</si>
  <si>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</si>
  <si>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</si>
  <si>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</si>
  <si>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</si>
  <si>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</si>
  <si>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</si>
  <si>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</si>
  <si>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</si>
  <si>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</si>
  <si>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</si>
  <si>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</si>
  <si>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</si>
  <si>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</si>
  <si>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</si>
  <si>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</si>
  <si>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</si>
  <si>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</si>
  <si>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</si>
  <si>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</si>
  <si>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</si>
  <si>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</si>
  <si>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</si>
  <si>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</si>
  <si>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</si>
  <si>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</si>
  <si>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</si>
  <si>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</si>
  <si>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</si>
  <si>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</si>
  <si>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</si>
  <si>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</si>
  <si>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</si>
  <si>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</si>
  <si>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</si>
  <si>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</si>
  <si>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</si>
  <si>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</si>
  <si>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</si>
  <si>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</si>
  <si>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</si>
  <si>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</si>
  <si>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</si>
  <si>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</si>
  <si>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</si>
  <si>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</si>
  <si>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</si>
  <si>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</si>
  <si>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</si>
  <si>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</si>
  <si>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</si>
  <si>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</si>
  <si>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</si>
  <si>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</si>
  <si>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</si>
  <si>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</si>
  <si>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</si>
  <si>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</si>
  <si>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</si>
  <si>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</si>
  <si>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</si>
  <si>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</si>
  <si>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</si>
  <si>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</si>
  <si>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</si>
  <si>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</si>
  <si>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</si>
  <si>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</si>
  <si>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</si>
  <si>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</si>
  <si>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</si>
  <si>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</si>
  <si>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</si>
  <si>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</si>
  <si>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</si>
  <si>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</si>
  <si>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</si>
  <si>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</si>
  <si>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</si>
  <si>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</si>
  <si>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</si>
  <si>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</si>
  <si>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</si>
  <si>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</si>
  <si>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</si>
  <si>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</si>
  <si>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</si>
  <si>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</si>
  <si>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</si>
  <si>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</si>
  <si>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</si>
  <si>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</si>
  <si>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</si>
  <si>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</si>
  <si>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</si>
  <si>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</si>
  <si>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</si>
  <si>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</si>
  <si>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</si>
  <si>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</si>
  <si>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</si>
  <si>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</si>
  <si>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</si>
  <si>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</si>
  <si>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</si>
  <si>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</si>
  <si>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</si>
  <si>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</si>
  <si>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</si>
  <si>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</si>
  <si>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</si>
  <si>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</si>
  <si>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</si>
  <si>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</si>
  <si>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</si>
  <si>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</si>
  <si>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</si>
  <si>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</si>
  <si>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</si>
  <si>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</si>
  <si>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</si>
  <si>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</si>
  <si>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</si>
  <si>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</si>
  <si>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</si>
  <si>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</si>
  <si>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</si>
  <si>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</si>
  <si>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</si>
  <si>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</si>
  <si>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</si>
  <si>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</si>
  <si>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</si>
  <si>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</si>
  <si>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</si>
  <si>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</si>
  <si>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</si>
  <si>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</si>
  <si>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</si>
  <si>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</si>
  <si>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</si>
  <si>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</si>
  <si>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</si>
  <si>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</si>
  <si>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</si>
  <si>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</si>
  <si>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</si>
  <si>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</si>
  <si>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</si>
  <si>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</si>
  <si>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</si>
  <si>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</si>
  <si>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</si>
  <si>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</si>
  <si>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</si>
  <si>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</si>
  <si>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</si>
  <si>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</si>
  <si>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</si>
  <si>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</si>
  <si>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</si>
  <si>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</si>
  <si>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</si>
  <si>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</si>
  <si>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</si>
  <si>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</si>
  <si>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</si>
  <si>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</si>
  <si>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</si>
  <si>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</si>
  <si>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</si>
  <si>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</si>
  <si>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</si>
  <si>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</si>
  <si>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</si>
  <si>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</si>
  <si>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</si>
  <si>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</si>
  <si>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</si>
  <si>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</si>
  <si>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</si>
  <si>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</si>
  <si>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</si>
  <si>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</si>
  <si>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</si>
  <si>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</si>
  <si>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</si>
  <si>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</si>
  <si>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</si>
  <si>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</si>
  <si>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</si>
  <si>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</si>
  <si>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</si>
  <si>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</si>
  <si>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</si>
  <si>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</si>
  <si>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</si>
  <si>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</si>
  <si>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</si>
  <si>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</si>
  <si>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</si>
  <si>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</si>
  <si>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</si>
  <si>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</si>
  <si>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</si>
  <si>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</si>
  <si>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</si>
  <si>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</si>
  <si>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</si>
  <si>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</si>
  <si>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</si>
  <si>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</si>
  <si>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</si>
  <si>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</si>
  <si>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</si>
  <si>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</si>
  <si>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</si>
  <si>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</si>
  <si>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</si>
  <si>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</si>
  <si>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</si>
  <si>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</si>
  <si>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</si>
  <si>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</si>
  <si>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</si>
  <si>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</si>
  <si>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αντίγραφα = 5€</t>
  </si>
  <si>
    <t>10 ή 25</t>
  </si>
  <si>
    <t>δικαιώματα επί μεταγραφής = 10</t>
  </si>
  <si>
    <t>10/φύλο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</si>
  <si>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</si>
  <si>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</si>
  <si>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</si>
  <si>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</si>
  <si>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</si>
  <si>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</si>
  <si>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</si>
  <si>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</si>
  <si>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</si>
  <si>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</si>
  <si>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</si>
  <si>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</si>
  <si>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</si>
  <si>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</si>
  <si>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</si>
  <si>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</si>
  <si>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</si>
  <si>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</si>
  <si>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</si>
  <si>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</si>
  <si>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</si>
  <si>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 xml:space="preserve">8 έως 80 </t>
  </si>
  <si>
    <t xml:space="preserve">4 έως 40 </t>
  </si>
  <si>
    <t>4 έως 80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</si>
  <si>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</si>
  <si>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</si>
  <si>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</si>
  <si>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</si>
  <si>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</si>
  <si>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</si>
  <si>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</si>
  <si>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</si>
  <si>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</si>
  <si>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προς Υποθηκοφυλακείο = στο ΑΡΧΕΙΟ</t>
  </si>
  <si>
    <t>94α</t>
  </si>
  <si>
    <t>94β</t>
  </si>
  <si>
    <t>94γ</t>
  </si>
  <si>
    <t>94δ</t>
  </si>
  <si>
    <t>94ε</t>
  </si>
  <si>
    <t>συνολο</t>
  </si>
  <si>
    <t>ντιΜιΧο - ΦΠΑ</t>
  </si>
  <si>
    <t>*93θ* = σφραγίδα -υπογραφή εγγράφου συμβολαίου  (π.χ. τοπογραφικό</t>
  </si>
  <si>
    <t>94α = αίτηση</t>
  </si>
  <si>
    <t>94β = περίληψη</t>
  </si>
  <si>
    <t>94γ = συμβόλαιο</t>
  </si>
  <si>
    <t>κλπ</t>
  </si>
  <si>
    <t>94δ = χαρτόσημα</t>
  </si>
  <si>
    <t>καβαλα</t>
  </si>
  <si>
    <t>71ι</t>
  </si>
  <si>
    <t>**71ι** = δήμος = δόμησης ΟΡΟΙ</t>
  </si>
  <si>
    <t>ψυχανάλυση</t>
  </si>
  <si>
    <t>βάσει ΑΓΑΠΕ</t>
  </si>
  <si>
    <t>???</t>
  </si>
  <si>
    <t>ΒΑΣΕΙ zηλ</t>
  </si>
  <si>
    <t>65δ</t>
  </si>
  <si>
    <t>73β</t>
  </si>
  <si>
    <t>*73β* = Νομαρχία - τοπογραφική</t>
  </si>
  <si>
    <t>καβάλα</t>
  </si>
  <si>
    <t>ΚΑΒΑΛΑ</t>
  </si>
  <si>
    <t>ζημία</t>
  </si>
  <si>
    <t>καθεστως ΤΟΓΚΑΣ</t>
  </si>
  <si>
    <t>αν ΌΧΙ σε καθεστώς ΤΟΓΚΑΣ</t>
  </si>
  <si>
    <t>ΦΠΑ = 16%</t>
  </si>
  <si>
    <t>πληρεξούσιο</t>
  </si>
  <si>
    <t>δωρεά</t>
  </si>
  <si>
    <t>χρησικτησία = 1961 πατρός ΔΩΡΕΑ άτυπος</t>
  </si>
  <si>
    <t>αγοραπωλησία</t>
  </si>
  <si>
    <t>γονική</t>
  </si>
  <si>
    <t>σύσταση δουλείας</t>
  </si>
  <si>
    <t>ΔΕΝ έχω</t>
  </si>
  <si>
    <t>χρήσης ακινήτου ΚΑΝΟΝΙΣΜΟΣ</t>
  </si>
  <si>
    <t>σημειώσεις = απλήρωτο</t>
  </si>
  <si>
    <t>φ3</t>
  </si>
  <si>
    <t>1 σε 1</t>
  </si>
  <si>
    <t>Δ.Ο.Υ. -φορΧρησικτ = 343,28</t>
  </si>
  <si>
    <t>γονική [αγροτεμάχιο Θεολόγος -''βαλανίδια'' 16.832,18μ2</t>
  </si>
  <si>
    <t>3+1</t>
  </si>
  <si>
    <t>πατήρ</t>
  </si>
  <si>
    <t>φπα</t>
  </si>
  <si>
    <t>!!!!!</t>
  </si>
  <si>
    <t>σημειωσεις</t>
  </si>
  <si>
    <t>οκ</t>
  </si>
  <si>
    <t>χρησικτησία οικοπέδου &amp; οικήματος = 1950 πατρός ΚΛΗΡΟΝΟΜΙΑ άτυπη</t>
  </si>
  <si>
    <t>χρησικτησία οικοπέδου &amp; οικήματος = 1950 ΔΙΑΝΟΜΗ άτυπη</t>
  </si>
  <si>
    <t>κληρονομιάς ΑΠΟΔΟΧΗ [οικόπεδο 226μ2 ΜΕ 2όροφο οιίκημα 150μ2 &amp; αποθήκη 15μ2 Θεολόγος</t>
  </si>
  <si>
    <t>διανομή οικόπεδο 226μ2 Θεολόγος</t>
  </si>
  <si>
    <t>1] = 2όροφο οιίκημα 150μ2 &amp; αποθήκη 15μ2 [Δ.Ο.Υ. = 6.629,40</t>
  </si>
  <si>
    <t>2] = οικία ισόγειος 70μ2 &amp; αποθήκη 15μ2 [Δ.Ο.Υ. = 4.767,48</t>
  </si>
  <si>
    <t xml:space="preserve">εξισορόπηση διαφοράς διανεμομένων </t>
  </si>
  <si>
    <t>3-0,5</t>
  </si>
  <si>
    <t>μαντεψιά</t>
  </si>
  <si>
    <t>φ5</t>
  </si>
  <si>
    <t xml:space="preserve">ΜΕ οικοδομή 2όροφη 200μ2 </t>
  </si>
  <si>
    <t>ΜΕ αποθήκη 20,20μ2</t>
  </si>
  <si>
    <t>ΜΕ αποθήκη 23,10μ2</t>
  </si>
  <si>
    <t xml:space="preserve">ΜΕ οικοδομή 2όροφη 73,90μ2 </t>
  </si>
  <si>
    <t xml:space="preserve">ΜΕ οικοδομή 35,51μ2 </t>
  </si>
  <si>
    <t xml:space="preserve">ΜΕ οικοδομή  23,60μ2 </t>
  </si>
  <si>
    <t xml:space="preserve">ΜΕ κατάστημα 34,60μ2 </t>
  </si>
  <si>
    <t xml:space="preserve">ΜΕ κατάστημα 22,94μ2 </t>
  </si>
  <si>
    <t xml:space="preserve">ΜΕ αποθήκη 6,78μ2 </t>
  </si>
  <si>
    <t xml:space="preserve">ΜΕ αποθήκη 7,52μ2 </t>
  </si>
  <si>
    <t xml:space="preserve">ΜΕ αποθήκη 14,40μ2 </t>
  </si>
  <si>
    <t>δωρεα</t>
  </si>
  <si>
    <t>φ8</t>
  </si>
  <si>
    <t>φ9</t>
  </si>
  <si>
    <t>1 σε 2</t>
  </si>
  <si>
    <t>φ7</t>
  </si>
  <si>
    <t>οι 3</t>
  </si>
  <si>
    <t>0,5+1</t>
  </si>
  <si>
    <t>φ4</t>
  </si>
  <si>
    <t>Δ.Ο.Υ. = ντιΜιΧο</t>
  </si>
  <si>
    <t>καθεστώς</t>
  </si>
  <si>
    <t>καθεστώς πληρωμής από ΑΓΑΠΕ</t>
  </si>
  <si>
    <t>τα ΔΕΝ έχω τα θεωρούμε πως εξοφληθήκανε στις 24/05/2022</t>
  </si>
  <si>
    <t>ΑΜΕΣΑ</t>
  </si>
  <si>
    <t>6έτη &amp; 5μήνες</t>
  </si>
  <si>
    <t>9έτη &amp; 1μήνα</t>
  </si>
  <si>
    <t>10ο</t>
  </si>
  <si>
    <t>11ο</t>
  </si>
  <si>
    <t>12ο</t>
  </si>
  <si>
    <t>13ο</t>
  </si>
  <si>
    <t>14ο</t>
  </si>
  <si>
    <t>15ο</t>
  </si>
  <si>
    <t>16ο</t>
  </si>
  <si>
    <t>17ο</t>
  </si>
  <si>
    <t>18ο</t>
  </si>
  <si>
    <t>19ο</t>
  </si>
  <si>
    <t>20ο</t>
  </si>
  <si>
    <t>21ο</t>
  </si>
  <si>
    <t>1/12 του 1/3 αγροτεμάχιο Θεολόγος -'';;;???'' 2.483,24μ2</t>
  </si>
  <si>
    <t>2] 1/3 αγροτεμάχιο Θεολόγος -'';;;????'' 170,08μ2</t>
  </si>
  <si>
    <t>2] 1/6 αγροτεμάχιο Θεολόγος -'';;;????'' 170,08μ2</t>
  </si>
  <si>
    <t>1] 1/3 αγροτεμάχιο Θεολόγος -'';;;???'' 2.483,24μ2</t>
  </si>
  <si>
    <t>1] 1/6 αγροτεμάχιο Θεολόγος -'';;;???'' 2.483,24μ2</t>
  </si>
  <si>
    <t>;;;???κ</t>
  </si>
  <si>
    <t>5ο</t>
  </si>
  <si>
    <t>219-14</t>
  </si>
  <si>
    <t>;;;???</t>
  </si>
  <si>
    <t>αγρόκτημα Θεολόγος -'';;;???''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</si>
</sst>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indexed="8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258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6" fillId="0" borderId="0" applyFont="0" applyFill="0" applyBorder="0" applyAlignment="0" applyProtection="0"/>
  </cellStyleXfs>
  <cellXfs count="932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0" fontId="26" fillId="0" borderId="0" xfId="0" applyFont="1" applyFill="1" applyAlignment="1">
      <alignment wrapText="1"/>
    </xf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0" fillId="0" borderId="10" xfId="0" applyBorder="1" applyAlignment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3" borderId="17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0" borderId="0" xfId="1" applyFont="1" applyFill="1" applyAlignme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164" fontId="21" fillId="3" borderId="0" xfId="1" applyNumberFormat="1" applyFont="1" applyFill="1"/>
    <xf numFmtId="0" fontId="21" fillId="3" borderId="0" xfId="0" applyFont="1" applyFill="1"/>
    <xf numFmtId="9" fontId="21" fillId="3" borderId="0" xfId="1" applyNumberFormat="1" applyFont="1" applyFill="1"/>
    <xf numFmtId="0" fontId="2" fillId="3" borderId="0" xfId="0" applyFont="1" applyFill="1"/>
    <xf numFmtId="3" fontId="21" fillId="3" borderId="0" xfId="0" applyNumberFormat="1" applyFont="1" applyFill="1"/>
    <xf numFmtId="9" fontId="21" fillId="0" borderId="0" xfId="1" applyNumberFormat="1" applyFont="1" applyFill="1"/>
    <xf numFmtId="43" fontId="27" fillId="6" borderId="0" xfId="1" applyFont="1" applyFill="1" applyAlignment="1"/>
    <xf numFmtId="43" fontId="28" fillId="5" borderId="0" xfId="1" applyFont="1" applyFill="1" applyAlignment="1"/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0" fontId="35" fillId="0" borderId="0" xfId="0" applyFont="1" applyFill="1"/>
    <xf numFmtId="43" fontId="40" fillId="0" borderId="14" xfId="1" applyFont="1" applyFill="1" applyBorder="1"/>
    <xf numFmtId="43" fontId="35" fillId="0" borderId="14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right" vertical="center"/>
    </xf>
    <xf numFmtId="0" fontId="23" fillId="0" borderId="1" xfId="1" applyNumberFormat="1" applyFont="1" applyFill="1" applyBorder="1" applyAlignment="1">
      <alignment horizontal="left" vertical="center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164" fontId="20" fillId="0" borderId="14" xfId="1" applyNumberFormat="1" applyFont="1" applyBorder="1"/>
    <xf numFmtId="164" fontId="20" fillId="2" borderId="9" xfId="1" applyNumberFormat="1" applyFont="1" applyFill="1" applyBorder="1" applyAlignment="1">
      <alignment horizontal="center" vertical="center" wrapText="1"/>
    </xf>
    <xf numFmtId="164" fontId="20" fillId="4" borderId="9" xfId="1" applyNumberFormat="1" applyFont="1" applyFill="1" applyBorder="1" applyAlignment="1">
      <alignment horizontal="center" vertical="center" wrapText="1"/>
    </xf>
    <xf numFmtId="43" fontId="21" fillId="12" borderId="14" xfId="1" applyFont="1" applyFill="1" applyBorder="1"/>
    <xf numFmtId="164" fontId="20" fillId="0" borderId="9" xfId="1" applyNumberFormat="1" applyFont="1" applyBorder="1" applyAlignment="1">
      <alignment horizontal="center" vertical="center" wrapText="1"/>
    </xf>
    <xf numFmtId="164" fontId="27" fillId="6" borderId="0" xfId="1" applyNumberFormat="1" applyFont="1" applyFill="1"/>
    <xf numFmtId="0" fontId="42" fillId="0" borderId="14" xfId="0" applyFont="1" applyFill="1" applyBorder="1"/>
    <xf numFmtId="164" fontId="23" fillId="0" borderId="1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0" fontId="21" fillId="2" borderId="0" xfId="0" applyFont="1" applyFill="1"/>
    <xf numFmtId="0" fontId="21" fillId="2" borderId="0" xfId="0" applyFont="1" applyFill="1" applyAlignment="1">
      <alignment horizontal="center"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20" fillId="6" borderId="10" xfId="1" applyFont="1" applyFill="1" applyBorder="1" applyAlignment="1">
      <alignment vertical="center" wrapText="1"/>
    </xf>
    <xf numFmtId="43" fontId="20" fillId="5" borderId="19" xfId="1" applyFont="1" applyFill="1" applyBorder="1" applyAlignment="1">
      <alignment vertical="center" wrapText="1"/>
    </xf>
    <xf numFmtId="43" fontId="18" fillId="0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43" fontId="21" fillId="0" borderId="9" xfId="1" applyFont="1" applyFill="1" applyBorder="1"/>
    <xf numFmtId="0" fontId="21" fillId="0" borderId="9" xfId="0" applyFont="1" applyFill="1" applyBorder="1"/>
    <xf numFmtId="14" fontId="18" fillId="0" borderId="1" xfId="1" applyNumberFormat="1" applyFont="1" applyFill="1" applyBorder="1" applyAlignment="1">
      <alignment vertical="center"/>
    </xf>
    <xf numFmtId="43" fontId="21" fillId="0" borderId="0" xfId="1" applyFont="1" applyAlignment="1">
      <alignment horizontal="right"/>
    </xf>
    <xf numFmtId="43" fontId="17" fillId="0" borderId="9" xfId="1" applyFont="1" applyFill="1" applyBorder="1" applyAlignment="1">
      <alignment horizontal="right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0" fontId="21" fillId="0" borderId="14" xfId="0" applyFont="1" applyBorder="1"/>
    <xf numFmtId="43" fontId="21" fillId="0" borderId="14" xfId="1" applyFont="1" applyBorder="1"/>
    <xf numFmtId="164" fontId="17" fillId="0" borderId="14" xfId="1" applyNumberFormat="1" applyFont="1" applyFill="1" applyBorder="1"/>
    <xf numFmtId="164" fontId="18" fillId="0" borderId="9" xfId="1" applyNumberFormat="1" applyFont="1" applyFill="1" applyBorder="1"/>
    <xf numFmtId="0" fontId="48" fillId="0" borderId="1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0" fontId="21" fillId="2" borderId="14" xfId="0" applyFont="1" applyFill="1" applyBorder="1"/>
    <xf numFmtId="0" fontId="21" fillId="2" borderId="9" xfId="0" applyFont="1" applyFill="1" applyBorder="1"/>
    <xf numFmtId="0" fontId="21" fillId="0" borderId="14" xfId="0" applyFont="1" applyFill="1" applyBorder="1" applyAlignment="1">
      <alignment horizontal="center" wrapText="1"/>
    </xf>
    <xf numFmtId="43" fontId="21" fillId="3" borderId="0" xfId="0" applyNumberFormat="1" applyFont="1" applyFill="1"/>
    <xf numFmtId="164" fontId="36" fillId="8" borderId="1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left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36" fillId="8" borderId="9" xfId="1" applyNumberFormat="1" applyFont="1" applyFill="1" applyBorder="1" applyAlignment="1">
      <alignment horizontal="center" vertical="center"/>
    </xf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43" fontId="18" fillId="12" borderId="14" xfId="1" applyFont="1" applyFill="1" applyBorder="1"/>
    <xf numFmtId="43" fontId="20" fillId="12" borderId="13" xfId="1" applyFont="1" applyFill="1" applyBorder="1" applyAlignment="1">
      <alignment horizontal="right"/>
    </xf>
    <xf numFmtId="165" fontId="42" fillId="0" borderId="14" xfId="1" applyNumberFormat="1" applyFont="1" applyFill="1" applyBorder="1" applyAlignment="1">
      <alignment horizontal="center" wrapText="1"/>
    </xf>
    <xf numFmtId="0" fontId="20" fillId="0" borderId="0" xfId="0" applyFont="1" applyFill="1" applyAlignment="1">
      <alignment wrapText="1"/>
    </xf>
    <xf numFmtId="43" fontId="34" fillId="0" borderId="0" xfId="1" applyFont="1" applyFill="1" applyAlignment="1"/>
    <xf numFmtId="0" fontId="40" fillId="0" borderId="14" xfId="0" applyFont="1" applyFill="1" applyBorder="1" applyAlignment="1">
      <alignment horizontal="left"/>
    </xf>
    <xf numFmtId="164" fontId="39" fillId="8" borderId="2" xfId="1" applyNumberFormat="1" applyFont="1" applyFill="1" applyBorder="1" applyAlignment="1">
      <alignment horizontal="center" vertical="center"/>
    </xf>
    <xf numFmtId="43" fontId="40" fillId="4" borderId="14" xfId="1" applyFont="1" applyFill="1" applyBorder="1" applyAlignment="1">
      <alignment horizontal="center" vertical="center"/>
    </xf>
    <xf numFmtId="43" fontId="40" fillId="4" borderId="1" xfId="1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4" xfId="0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64" fontId="21" fillId="0" borderId="9" xfId="1" applyNumberFormat="1" applyFont="1" applyFill="1" applyBorder="1"/>
    <xf numFmtId="43" fontId="21" fillId="4" borderId="10" xfId="1" applyFont="1" applyFill="1" applyBorder="1" applyAlignment="1">
      <alignment horizontal="center" vertical="center" wrapText="1"/>
    </xf>
    <xf numFmtId="14" fontId="42" fillId="0" borderId="1" xfId="0" applyNumberFormat="1" applyFont="1" applyBorder="1"/>
    <xf numFmtId="43" fontId="21" fillId="3" borderId="14" xfId="1" applyFont="1" applyFill="1" applyBorder="1"/>
    <xf numFmtId="43" fontId="18" fillId="0" borderId="1" xfId="1" applyFont="1" applyFill="1" applyBorder="1" applyAlignment="1">
      <alignment horizontal="center" wrapText="1"/>
    </xf>
    <xf numFmtId="43" fontId="19" fillId="0" borderId="1" xfId="1" applyFont="1" applyFill="1" applyBorder="1"/>
    <xf numFmtId="43" fontId="19" fillId="0" borderId="14" xfId="1" applyFont="1" applyBorder="1"/>
    <xf numFmtId="43" fontId="19" fillId="0" borderId="14" xfId="1" applyFont="1" applyFill="1" applyBorder="1" applyAlignment="1"/>
    <xf numFmtId="164" fontId="36" fillId="0" borderId="18" xfId="1" applyNumberFormat="1" applyFont="1" applyFill="1" applyBorder="1" applyAlignment="1">
      <alignment horizontal="center" vertical="center"/>
    </xf>
    <xf numFmtId="164" fontId="36" fillId="0" borderId="2" xfId="1" applyNumberFormat="1" applyFont="1" applyFill="1" applyBorder="1" applyAlignment="1">
      <alignment horizontal="center" vertical="center"/>
    </xf>
    <xf numFmtId="43" fontId="28" fillId="0" borderId="14" xfId="1" applyFont="1" applyFill="1" applyBorder="1" applyAlignment="1"/>
    <xf numFmtId="43" fontId="21" fillId="4" borderId="1" xfId="1" applyFont="1" applyFill="1" applyBorder="1"/>
    <xf numFmtId="164" fontId="23" fillId="0" borderId="2" xfId="1" applyNumberFormat="1" applyFont="1" applyFill="1" applyBorder="1" applyAlignment="1">
      <alignment horizontal="center" vertical="center"/>
    </xf>
    <xf numFmtId="43" fontId="21" fillId="0" borderId="1" xfId="1" applyFont="1" applyFill="1" applyBorder="1" applyAlignment="1">
      <alignment horizontal="left" vertical="center"/>
    </xf>
    <xf numFmtId="43" fontId="21" fillId="0" borderId="1" xfId="1" applyFont="1" applyFill="1" applyBorder="1" applyAlignment="1">
      <alignment horizontal="right" vertical="center"/>
    </xf>
    <xf numFmtId="0" fontId="42" fillId="0" borderId="1" xfId="0" applyFont="1" applyBorder="1"/>
    <xf numFmtId="0" fontId="42" fillId="0" borderId="1" xfId="0" applyFont="1" applyBorder="1" applyAlignment="1">
      <alignment horizontal="center"/>
    </xf>
    <xf numFmtId="14" fontId="18" fillId="0" borderId="14" xfId="1" applyNumberFormat="1" applyFont="1" applyFill="1" applyBorder="1" applyAlignment="1">
      <alignment vertical="center"/>
    </xf>
    <xf numFmtId="0" fontId="18" fillId="0" borderId="14" xfId="0" applyFont="1" applyFill="1" applyBorder="1"/>
    <xf numFmtId="14" fontId="18" fillId="0" borderId="34" xfId="1" applyNumberFormat="1" applyFont="1" applyFill="1" applyBorder="1" applyAlignment="1">
      <alignment vertical="center"/>
    </xf>
    <xf numFmtId="0" fontId="18" fillId="0" borderId="34" xfId="0" applyFont="1" applyFill="1" applyBorder="1"/>
    <xf numFmtId="43" fontId="18" fillId="0" borderId="34" xfId="1" applyFont="1" applyFill="1" applyBorder="1"/>
    <xf numFmtId="43" fontId="18" fillId="0" borderId="34" xfId="1" applyFont="1" applyFill="1" applyBorder="1" applyAlignment="1">
      <alignment horizontal="right" vertical="center"/>
    </xf>
    <xf numFmtId="0" fontId="48" fillId="0" borderId="14" xfId="0" applyFont="1" applyFill="1" applyBorder="1" applyAlignment="1">
      <alignment horizontal="left"/>
    </xf>
    <xf numFmtId="164" fontId="36" fillId="0" borderId="35" xfId="1" applyNumberFormat="1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left"/>
    </xf>
    <xf numFmtId="164" fontId="17" fillId="0" borderId="34" xfId="1" applyNumberFormat="1" applyFont="1" applyFill="1" applyBorder="1"/>
    <xf numFmtId="164" fontId="18" fillId="0" borderId="34" xfId="1" applyNumberFormat="1" applyFont="1" applyFill="1" applyBorder="1"/>
    <xf numFmtId="43" fontId="17" fillId="0" borderId="34" xfId="1" applyFont="1" applyFill="1" applyBorder="1" applyAlignment="1">
      <alignment horizontal="right" vertical="center"/>
    </xf>
    <xf numFmtId="0" fontId="36" fillId="0" borderId="36" xfId="1" applyNumberFormat="1" applyFont="1" applyFill="1" applyBorder="1" applyAlignment="1">
      <alignment horizontal="left" vertical="center"/>
    </xf>
    <xf numFmtId="43" fontId="36" fillId="0" borderId="36" xfId="1" applyFont="1" applyFill="1" applyBorder="1" applyAlignment="1">
      <alignment horizontal="center" vertical="center"/>
    </xf>
    <xf numFmtId="164" fontId="36" fillId="0" borderId="34" xfId="1" applyNumberFormat="1" applyFont="1" applyFill="1" applyBorder="1" applyAlignment="1">
      <alignment horizontal="center" vertical="center"/>
    </xf>
    <xf numFmtId="164" fontId="23" fillId="0" borderId="18" xfId="1" applyNumberFormat="1" applyFont="1" applyFill="1" applyBorder="1" applyAlignment="1">
      <alignment horizontal="center" vertical="center"/>
    </xf>
    <xf numFmtId="43" fontId="21" fillId="0" borderId="0" xfId="1" applyFont="1" applyAlignment="1">
      <alignment horizontal="center"/>
    </xf>
    <xf numFmtId="43" fontId="21" fillId="0" borderId="0" xfId="0" applyNumberFormat="1" applyFont="1"/>
    <xf numFmtId="164" fontId="23" fillId="0" borderId="35" xfId="1" applyNumberFormat="1" applyFont="1" applyFill="1" applyBorder="1" applyAlignment="1">
      <alignment horizontal="center" vertical="center"/>
    </xf>
    <xf numFmtId="0" fontId="18" fillId="0" borderId="34" xfId="0" applyFont="1" applyFill="1" applyBorder="1" applyAlignment="1">
      <alignment horizontal="left"/>
    </xf>
    <xf numFmtId="164" fontId="23" fillId="0" borderId="34" xfId="1" applyNumberFormat="1" applyFont="1" applyFill="1" applyBorder="1" applyAlignment="1">
      <alignment horizontal="center" vertical="center"/>
    </xf>
    <xf numFmtId="164" fontId="23" fillId="0" borderId="34" xfId="1" applyNumberFormat="1" applyFont="1" applyFill="1" applyBorder="1" applyAlignment="1">
      <alignment horizontal="center" vertical="center" wrapText="1"/>
    </xf>
    <xf numFmtId="164" fontId="23" fillId="5" borderId="34" xfId="1" applyNumberFormat="1" applyFont="1" applyFill="1" applyBorder="1" applyAlignment="1">
      <alignment horizontal="center" vertical="center" wrapText="1"/>
    </xf>
    <xf numFmtId="43" fontId="18" fillId="5" borderId="37" xfId="1" applyFont="1" applyFill="1" applyBorder="1" applyAlignment="1">
      <alignment horizontal="right" vertical="center"/>
    </xf>
    <xf numFmtId="43" fontId="18" fillId="0" borderId="37" xfId="1" applyFont="1" applyFill="1" applyBorder="1" applyAlignment="1">
      <alignment horizontal="right" vertical="center"/>
    </xf>
    <xf numFmtId="164" fontId="21" fillId="0" borderId="10" xfId="1" applyNumberFormat="1" applyFont="1" applyFill="1" applyBorder="1"/>
    <xf numFmtId="0" fontId="21" fillId="0" borderId="10" xfId="0" applyFont="1" applyBorder="1"/>
    <xf numFmtId="43" fontId="21" fillId="0" borderId="10" xfId="1" applyFont="1" applyBorder="1"/>
    <xf numFmtId="43" fontId="21" fillId="0" borderId="9" xfId="1" applyFont="1" applyBorder="1"/>
    <xf numFmtId="43" fontId="21" fillId="0" borderId="34" xfId="1" applyFont="1" applyFill="1" applyBorder="1"/>
    <xf numFmtId="164" fontId="18" fillId="0" borderId="0" xfId="1" applyNumberFormat="1" applyFont="1" applyFill="1" applyAlignment="1">
      <alignment horizontal="center" wrapText="1"/>
    </xf>
    <xf numFmtId="164" fontId="21" fillId="0" borderId="0" xfId="1" applyNumberFormat="1" applyFont="1" applyFill="1" applyAlignment="1">
      <alignment horizontal="center" wrapText="1"/>
    </xf>
    <xf numFmtId="14" fontId="18" fillId="0" borderId="14" xfId="0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vertical="center"/>
    </xf>
    <xf numFmtId="0" fontId="18" fillId="0" borderId="9" xfId="0" applyFont="1" applyFill="1" applyBorder="1"/>
    <xf numFmtId="164" fontId="36" fillId="2" borderId="18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0" fontId="48" fillId="0" borderId="9" xfId="0" applyFont="1" applyFill="1" applyBorder="1" applyAlignment="1">
      <alignment horizontal="left"/>
    </xf>
    <xf numFmtId="164" fontId="17" fillId="0" borderId="9" xfId="1" applyNumberFormat="1" applyFont="1" applyFill="1" applyBorder="1"/>
    <xf numFmtId="164" fontId="23" fillId="2" borderId="18" xfId="1" applyNumberFormat="1" applyFont="1" applyFill="1" applyBorder="1" applyAlignment="1">
      <alignment horizontal="center" vertical="center"/>
    </xf>
    <xf numFmtId="164" fontId="23" fillId="2" borderId="8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right" vertical="center"/>
    </xf>
    <xf numFmtId="43" fontId="42" fillId="0" borderId="0" xfId="1" applyFont="1" applyAlignment="1">
      <alignment horizontal="center"/>
    </xf>
    <xf numFmtId="43" fontId="21" fillId="5" borderId="0" xfId="1" applyFont="1" applyFill="1"/>
    <xf numFmtId="43" fontId="21" fillId="0" borderId="15" xfId="1" applyFont="1" applyFill="1" applyBorder="1"/>
    <xf numFmtId="43" fontId="21" fillId="6" borderId="0" xfId="1" applyFont="1" applyFill="1" applyAlignment="1">
      <alignment horizontal="center"/>
    </xf>
    <xf numFmtId="164" fontId="21" fillId="2" borderId="14" xfId="1" applyNumberFormat="1" applyFont="1" applyFill="1" applyBorder="1"/>
    <xf numFmtId="14" fontId="21" fillId="0" borderId="14" xfId="0" applyNumberFormat="1" applyFont="1" applyBorder="1"/>
    <xf numFmtId="164" fontId="21" fillId="2" borderId="9" xfId="1" applyNumberFormat="1" applyFont="1" applyFill="1" applyBorder="1"/>
    <xf numFmtId="0" fontId="21" fillId="0" borderId="34" xfId="0" applyFont="1" applyFill="1" applyBorder="1"/>
    <xf numFmtId="43" fontId="18" fillId="0" borderId="15" xfId="1" applyFont="1" applyFill="1" applyBorder="1"/>
    <xf numFmtId="14" fontId="23" fillId="0" borderId="34" xfId="1" applyNumberFormat="1" applyFont="1" applyFill="1" applyBorder="1" applyAlignment="1">
      <alignment horizontal="center" vertical="center"/>
    </xf>
    <xf numFmtId="0" fontId="23" fillId="0" borderId="34" xfId="1" applyNumberFormat="1" applyFont="1" applyFill="1" applyBorder="1" applyAlignment="1">
      <alignment horizontal="left" vertical="center"/>
    </xf>
    <xf numFmtId="43" fontId="23" fillId="0" borderId="34" xfId="1" applyFont="1" applyFill="1" applyBorder="1" applyAlignment="1">
      <alignment horizontal="right" vertical="center"/>
    </xf>
    <xf numFmtId="0" fontId="36" fillId="0" borderId="34" xfId="1" applyNumberFormat="1" applyFont="1" applyFill="1" applyBorder="1" applyAlignment="1">
      <alignment horizontal="left" vertical="center"/>
    </xf>
    <xf numFmtId="164" fontId="36" fillId="2" borderId="14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164" fontId="21" fillId="0" borderId="14" xfId="1" applyNumberFormat="1" applyFont="1" applyFill="1" applyBorder="1" applyAlignment="1">
      <alignment wrapText="1"/>
    </xf>
    <xf numFmtId="164" fontId="23" fillId="8" borderId="18" xfId="1" applyNumberFormat="1" applyFont="1" applyFill="1" applyBorder="1" applyAlignment="1">
      <alignment horizontal="center" vertical="center"/>
    </xf>
    <xf numFmtId="164" fontId="21" fillId="8" borderId="2" xfId="1" applyNumberFormat="1" applyFont="1" applyFill="1" applyBorder="1" applyAlignment="1">
      <alignment horizontal="center" vertic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8" xfId="1" applyNumberFormat="1" applyFont="1" applyFill="1" applyBorder="1" applyAlignment="1">
      <alignment horizontal="center" vertical="center"/>
    </xf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43" fontId="21" fillId="4" borderId="9" xfId="1" applyFont="1" applyFill="1" applyBorder="1"/>
    <xf numFmtId="0" fontId="21" fillId="0" borderId="0" xfId="0" applyFont="1" applyAlignment="1">
      <alignment horizontal="right"/>
    </xf>
    <xf numFmtId="0" fontId="21" fillId="8" borderId="14" xfId="0" applyFont="1" applyFill="1" applyBorder="1"/>
    <xf numFmtId="0" fontId="21" fillId="8" borderId="9" xfId="0" applyFont="1" applyFill="1" applyBorder="1"/>
    <xf numFmtId="164" fontId="23" fillId="8" borderId="2" xfId="1" applyNumberFormat="1" applyFont="1" applyFill="1" applyBorder="1" applyAlignment="1">
      <alignment horizontal="center" vertical="center"/>
    </xf>
    <xf numFmtId="164" fontId="23" fillId="8" borderId="8" xfId="1" applyNumberFormat="1" applyFont="1" applyFill="1" applyBorder="1" applyAlignment="1">
      <alignment horizontal="center" vertical="center"/>
    </xf>
    <xf numFmtId="43" fontId="21" fillId="4" borderId="0" xfId="1" applyFont="1" applyFill="1"/>
    <xf numFmtId="164" fontId="23" fillId="8" borderId="1" xfId="1" applyNumberFormat="1" applyFont="1" applyFill="1" applyBorder="1" applyAlignment="1">
      <alignment horizontal="center" vertical="center"/>
    </xf>
    <xf numFmtId="164" fontId="23" fillId="2" borderId="14" xfId="1" applyNumberFormat="1" applyFont="1" applyFill="1" applyBorder="1" applyAlignment="1">
      <alignment horizontal="center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14" fontId="23" fillId="0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3" fillId="0" borderId="9" xfId="1" applyFont="1" applyFill="1" applyBorder="1" applyAlignment="1">
      <alignment horizontal="right" vertical="center"/>
    </xf>
    <xf numFmtId="164" fontId="23" fillId="8" borderId="9" xfId="1" applyNumberFormat="1" applyFont="1" applyFill="1" applyBorder="1" applyAlignment="1">
      <alignment horizontal="center" vertical="center"/>
    </xf>
    <xf numFmtId="164" fontId="23" fillId="5" borderId="6" xfId="1" applyNumberFormat="1" applyFont="1" applyFill="1" applyBorder="1" applyAlignment="1">
      <alignment horizontal="center" vertical="center" wrapText="1"/>
    </xf>
    <xf numFmtId="43" fontId="18" fillId="0" borderId="6" xfId="1" applyFont="1" applyFill="1" applyBorder="1" applyAlignment="1">
      <alignment horizontal="right" vertical="center"/>
    </xf>
    <xf numFmtId="43" fontId="18" fillId="5" borderId="6" xfId="1" applyFont="1" applyFill="1" applyBorder="1" applyAlignment="1">
      <alignment horizontal="right" vertical="center"/>
    </xf>
    <xf numFmtId="43" fontId="21" fillId="3" borderId="0" xfId="1" applyFont="1" applyFill="1" applyAlignment="1">
      <alignment horizontal="right"/>
    </xf>
    <xf numFmtId="0" fontId="21" fillId="6" borderId="0" xfId="0" applyFont="1" applyFill="1"/>
    <xf numFmtId="43" fontId="18" fillId="3" borderId="0" xfId="1" applyFont="1" applyFill="1"/>
    <xf numFmtId="164" fontId="23" fillId="5" borderId="1" xfId="1" applyNumberFormat="1" applyFont="1" applyFill="1" applyBorder="1" applyAlignment="1">
      <alignment horizontal="center" vertical="center" wrapText="1"/>
    </xf>
    <xf numFmtId="43" fontId="18" fillId="5" borderId="3" xfId="1" applyFont="1" applyFill="1" applyBorder="1" applyAlignment="1">
      <alignment horizontal="right" vertical="center"/>
    </xf>
    <xf numFmtId="43" fontId="17" fillId="0" borderId="4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center" wrapText="1"/>
    </xf>
    <xf numFmtId="43" fontId="42" fillId="12" borderId="0" xfId="1" applyFont="1" applyFill="1" applyAlignment="1"/>
    <xf numFmtId="43" fontId="18" fillId="0" borderId="34" xfId="1" applyFont="1" applyFill="1" applyBorder="1" applyAlignment="1">
      <alignment horizontal="center" wrapText="1"/>
    </xf>
    <xf numFmtId="43" fontId="18" fillId="12" borderId="34" xfId="1" applyFont="1" applyFill="1" applyBorder="1" applyAlignment="1">
      <alignment horizontal="center" wrapText="1"/>
    </xf>
    <xf numFmtId="0" fontId="21" fillId="0" borderId="34" xfId="0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43" fontId="18" fillId="12" borderId="9" xfId="1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21" fillId="2" borderId="14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4" fontId="21" fillId="0" borderId="14" xfId="1" applyNumberFormat="1" applyFont="1" applyFill="1" applyBorder="1" applyAlignment="1">
      <alignment wrapText="1"/>
    </xf>
    <xf numFmtId="164" fontId="21" fillId="0" borderId="34" xfId="1" applyNumberFormat="1" applyFont="1" applyFill="1" applyBorder="1" applyAlignment="1">
      <alignment wrapText="1"/>
    </xf>
    <xf numFmtId="14" fontId="21" fillId="0" borderId="34" xfId="1" applyNumberFormat="1" applyFont="1" applyFill="1" applyBorder="1" applyAlignment="1">
      <alignment wrapText="1"/>
    </xf>
    <xf numFmtId="0" fontId="21" fillId="0" borderId="34" xfId="1" applyNumberFormat="1" applyFont="1" applyFill="1" applyBorder="1" applyAlignment="1">
      <alignment horizontal="left" wrapText="1"/>
    </xf>
    <xf numFmtId="164" fontId="21" fillId="2" borderId="9" xfId="1" applyNumberFormat="1" applyFont="1" applyFill="1" applyBorder="1" applyAlignment="1">
      <alignment wrapText="1"/>
    </xf>
    <xf numFmtId="14" fontId="21" fillId="0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21" fillId="8" borderId="9" xfId="1" applyNumberFormat="1" applyFont="1" applyFill="1" applyBorder="1" applyAlignment="1">
      <alignment wrapText="1"/>
    </xf>
    <xf numFmtId="164" fontId="42" fillId="0" borderId="9" xfId="1" applyNumberFormat="1" applyFont="1" applyFill="1" applyBorder="1"/>
    <xf numFmtId="43" fontId="42" fillId="0" borderId="9" xfId="1" applyFont="1" applyFill="1" applyBorder="1"/>
    <xf numFmtId="164" fontId="42" fillId="0" borderId="34" xfId="1" applyNumberFormat="1" applyFont="1" applyFill="1" applyBorder="1"/>
    <xf numFmtId="43" fontId="42" fillId="0" borderId="34" xfId="1" applyFont="1" applyFill="1" applyBorder="1"/>
    <xf numFmtId="14" fontId="21" fillId="0" borderId="10" xfId="1" applyNumberFormat="1" applyFont="1" applyFill="1" applyBorder="1" applyAlignment="1">
      <alignment wrapText="1"/>
    </xf>
    <xf numFmtId="14" fontId="21" fillId="0" borderId="6" xfId="1" applyNumberFormat="1" applyFont="1" applyFill="1" applyBorder="1" applyAlignment="1">
      <alignment wrapText="1"/>
    </xf>
    <xf numFmtId="14" fontId="21" fillId="0" borderId="4" xfId="1" applyNumberFormat="1" applyFont="1" applyFill="1" applyBorder="1" applyAlignment="1">
      <alignment wrapText="1"/>
    </xf>
    <xf numFmtId="0" fontId="50" fillId="0" borderId="0" xfId="0" applyFont="1" applyAlignment="1">
      <alignment horizontal="center"/>
    </xf>
    <xf numFmtId="14" fontId="21" fillId="7" borderId="14" xfId="0" applyNumberFormat="1" applyFont="1" applyFill="1" applyBorder="1"/>
    <xf numFmtId="164" fontId="39" fillId="0" borderId="18" xfId="1" applyNumberFormat="1" applyFont="1" applyFill="1" applyBorder="1" applyAlignment="1">
      <alignment horizontal="center" vertical="center"/>
    </xf>
    <xf numFmtId="164" fontId="39" fillId="0" borderId="2" xfId="1" applyNumberFormat="1" applyFont="1" applyFill="1" applyBorder="1" applyAlignment="1">
      <alignment horizontal="center" vertical="center"/>
    </xf>
    <xf numFmtId="164" fontId="39" fillId="2" borderId="2" xfId="1" applyNumberFormat="1" applyFont="1" applyFill="1" applyBorder="1" applyAlignment="1">
      <alignment horizontal="center" vertical="center"/>
    </xf>
    <xf numFmtId="0" fontId="49" fillId="0" borderId="14" xfId="1" applyNumberFormat="1" applyFont="1" applyFill="1" applyBorder="1" applyAlignment="1">
      <alignment horizontal="left" vertical="center"/>
    </xf>
    <xf numFmtId="0" fontId="12" fillId="0" borderId="34" xfId="0" applyFont="1" applyFill="1" applyBorder="1" applyAlignment="1">
      <alignment horizontal="center" wrapText="1"/>
    </xf>
    <xf numFmtId="164" fontId="8" fillId="0" borderId="34" xfId="1" applyNumberFormat="1" applyFont="1" applyFill="1" applyBorder="1" applyAlignment="1">
      <alignment horizontal="center" wrapText="1"/>
    </xf>
    <xf numFmtId="0" fontId="7" fillId="0" borderId="34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43" fontId="21" fillId="0" borderId="34" xfId="1" applyFont="1" applyFill="1" applyBorder="1" applyAlignment="1">
      <alignment horizontal="center" wrapText="1"/>
    </xf>
    <xf numFmtId="164" fontId="21" fillId="0" borderId="34" xfId="0" applyNumberFormat="1" applyFont="1" applyFill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0" fillId="0" borderId="38" xfId="1" applyNumberFormat="1" applyFont="1" applyBorder="1" applyAlignment="1">
      <alignment horizontal="center" vertical="center" wrapText="1"/>
    </xf>
    <xf numFmtId="164" fontId="20" fillId="0" borderId="31" xfId="1" applyNumberFormat="1" applyFont="1" applyBorder="1" applyAlignment="1">
      <alignment horizontal="center" vertical="center" wrapText="1"/>
    </xf>
    <xf numFmtId="14" fontId="23" fillId="0" borderId="10" xfId="1" applyNumberFormat="1" applyFont="1" applyFill="1" applyBorder="1" applyAlignment="1">
      <alignment horizontal="center" vertical="center"/>
    </xf>
    <xf numFmtId="14" fontId="23" fillId="0" borderId="6" xfId="1" applyNumberFormat="1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14" fontId="23" fillId="0" borderId="1" xfId="1" applyNumberFormat="1" applyFont="1" applyFill="1" applyBorder="1" applyAlignment="1">
      <alignment horizontal="center" vertical="center"/>
    </xf>
    <xf numFmtId="43" fontId="21" fillId="0" borderId="10" xfId="1" applyFont="1" applyFill="1" applyBorder="1" applyAlignment="1">
      <alignment horizontal="center" wrapText="1"/>
    </xf>
    <xf numFmtId="164" fontId="21" fillId="0" borderId="10" xfId="1" applyNumberFormat="1" applyFont="1" applyFill="1" applyBorder="1" applyAlignment="1">
      <alignment horizontal="center" wrapText="1"/>
    </xf>
    <xf numFmtId="43" fontId="21" fillId="0" borderId="10" xfId="0" applyNumberFormat="1" applyFont="1" applyFill="1" applyBorder="1" applyAlignment="1">
      <alignment horizontal="center" wrapText="1"/>
    </xf>
    <xf numFmtId="43" fontId="21" fillId="0" borderId="10" xfId="0" applyNumberFormat="1" applyFont="1" applyFill="1" applyBorder="1"/>
    <xf numFmtId="164" fontId="21" fillId="0" borderId="9" xfId="1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/>
    <xf numFmtId="164" fontId="21" fillId="0" borderId="15" xfId="1" applyNumberFormat="1" applyFont="1" applyFill="1" applyBorder="1"/>
    <xf numFmtId="164" fontId="21" fillId="0" borderId="19" xfId="1" applyNumberFormat="1" applyFont="1" applyFill="1" applyBorder="1"/>
    <xf numFmtId="164" fontId="51" fillId="0" borderId="10" xfId="44257" applyNumberFormat="1" applyFont="1" applyFill="1" applyBorder="1" applyAlignment="1">
      <alignment horizontal="center" vertical="center" wrapText="1"/>
    </xf>
    <xf numFmtId="164" fontId="51" fillId="13" borderId="10" xfId="1" applyNumberFormat="1" applyFont="1" applyFill="1" applyBorder="1" applyAlignment="1">
      <alignment horizontal="center" vertical="center" wrapText="1"/>
    </xf>
    <xf numFmtId="164" fontId="51" fillId="13" borderId="10" xfId="44257" applyNumberFormat="1" applyFont="1" applyFill="1" applyBorder="1" applyAlignment="1">
      <alignment horizontal="center" vertical="center" wrapText="1"/>
    </xf>
    <xf numFmtId="0" fontId="0" fillId="4" borderId="10" xfId="0" applyFill="1" applyBorder="1" applyAlignment="1"/>
    <xf numFmtId="14" fontId="18" fillId="0" borderId="34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0" fontId="50" fillId="0" borderId="0" xfId="1" applyNumberFormat="1" applyFont="1"/>
    <xf numFmtId="0" fontId="42" fillId="0" borderId="14" xfId="0" applyFont="1" applyBorder="1" applyAlignment="1">
      <alignment horizontal="center"/>
    </xf>
    <xf numFmtId="0" fontId="21" fillId="0" borderId="34" xfId="0" applyFont="1" applyBorder="1"/>
    <xf numFmtId="164" fontId="21" fillId="0" borderId="34" xfId="1" applyNumberFormat="1" applyFont="1" applyFill="1" applyBorder="1"/>
    <xf numFmtId="43" fontId="21" fillId="3" borderId="34" xfId="1" applyFont="1" applyFill="1" applyBorder="1"/>
    <xf numFmtId="43" fontId="21" fillId="12" borderId="34" xfId="1" applyFont="1" applyFill="1" applyBorder="1"/>
    <xf numFmtId="43" fontId="20" fillId="9" borderId="14" xfId="1" applyFont="1" applyFill="1" applyBorder="1"/>
    <xf numFmtId="164" fontId="20" fillId="9" borderId="14" xfId="1" applyNumberFormat="1" applyFont="1" applyFill="1" applyBorder="1"/>
    <xf numFmtId="14" fontId="21" fillId="0" borderId="34" xfId="0" applyNumberFormat="1" applyFont="1" applyFill="1" applyBorder="1"/>
    <xf numFmtId="164" fontId="21" fillId="0" borderId="34" xfId="1" applyNumberFormat="1" applyFont="1" applyFill="1" applyBorder="1" applyAlignment="1">
      <alignment horizontal="center"/>
    </xf>
    <xf numFmtId="43" fontId="21" fillId="3" borderId="9" xfId="1" applyFont="1" applyFill="1" applyBorder="1"/>
    <xf numFmtId="43" fontId="21" fillId="12" borderId="9" xfId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18" fillId="0" borderId="10" xfId="1" applyNumberFormat="1" applyFont="1" applyFill="1" applyBorder="1"/>
    <xf numFmtId="164" fontId="18" fillId="0" borderId="6" xfId="1" applyNumberFormat="1" applyFont="1" applyFill="1" applyBorder="1"/>
    <xf numFmtId="164" fontId="18" fillId="0" borderId="4" xfId="1" applyNumberFormat="1" applyFont="1" applyFill="1" applyBorder="1"/>
    <xf numFmtId="164" fontId="18" fillId="0" borderId="19" xfId="1" applyNumberFormat="1" applyFont="1" applyFill="1" applyBorder="1"/>
    <xf numFmtId="43" fontId="21" fillId="7" borderId="0" xfId="1" applyFont="1" applyFill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2" borderId="22" xfId="1" applyNumberFormat="1" applyFont="1" applyFill="1" applyBorder="1" applyAlignment="1">
      <alignment horizontal="right"/>
    </xf>
    <xf numFmtId="164" fontId="21" fillId="2" borderId="23" xfId="1" applyNumberFormat="1" applyFont="1" applyFill="1" applyBorder="1" applyAlignment="1">
      <alignment horizontal="right"/>
    </xf>
    <xf numFmtId="164" fontId="21" fillId="2" borderId="24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8" fillId="2" borderId="22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right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43" fontId="20" fillId="2" borderId="23" xfId="1" applyFont="1" applyFill="1" applyBorder="1" applyAlignment="1">
      <alignment horizontal="right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2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7" borderId="15" xfId="1" applyFont="1" applyFill="1" applyBorder="1" applyAlignment="1">
      <alignment horizontal="center" vertical="center" wrapText="1"/>
    </xf>
    <xf numFmtId="43" fontId="26" fillId="7" borderId="10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5" borderId="20" xfId="1" applyFont="1" applyFill="1" applyBorder="1" applyAlignment="1">
      <alignment horizontal="center" vertical="center" wrapText="1"/>
    </xf>
    <xf numFmtId="43" fontId="20" fillId="5" borderId="0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/>
    </xf>
    <xf numFmtId="43" fontId="20" fillId="6" borderId="23" xfId="1" applyFont="1" applyFill="1" applyBorder="1" applyAlignment="1">
      <alignment horizontal="center" vertical="center"/>
    </xf>
    <xf numFmtId="43" fontId="20" fillId="6" borderId="24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6" borderId="15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43" fontId="34" fillId="7" borderId="0" xfId="1" applyFont="1" applyFill="1" applyAlignment="1">
      <alignment horizontal="center"/>
    </xf>
    <xf numFmtId="43" fontId="26" fillId="4" borderId="1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164" fontId="20" fillId="5" borderId="25" xfId="1" applyNumberFormat="1" applyFont="1" applyFill="1" applyBorder="1" applyAlignment="1">
      <alignment horizontal="center" vertical="center" wrapText="1"/>
    </xf>
    <xf numFmtId="164" fontId="20" fillId="5" borderId="28" xfId="1" applyNumberFormat="1" applyFont="1" applyFill="1" applyBorder="1" applyAlignment="1">
      <alignment horizontal="center" vertical="center" wrapText="1"/>
    </xf>
    <xf numFmtId="164" fontId="20" fillId="5" borderId="29" xfId="1" applyNumberFormat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37" fillId="4" borderId="3" xfId="1" applyFont="1" applyFill="1" applyBorder="1" applyAlignment="1">
      <alignment horizontal="center" vertical="center" wrapText="1"/>
    </xf>
    <xf numFmtId="43" fontId="37" fillId="4" borderId="13" xfId="1" applyFont="1" applyFill="1" applyBorder="1" applyAlignment="1">
      <alignment horizontal="center" vertical="center" wrapText="1"/>
    </xf>
    <xf numFmtId="14" fontId="29" fillId="6" borderId="19" xfId="0" applyNumberFormat="1" applyFont="1" applyFill="1" applyBorder="1" applyAlignment="1">
      <alignment horizontal="center" textRotation="18" wrapText="1"/>
    </xf>
    <xf numFmtId="14" fontId="29" fillId="6" borderId="10" xfId="0" applyNumberFormat="1" applyFont="1" applyFill="1" applyBorder="1" applyAlignment="1">
      <alignment horizontal="center" textRotation="18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4" borderId="15" xfId="1" applyFont="1" applyFill="1" applyBorder="1" applyAlignment="1">
      <alignment horizontal="center" vertical="center" wrapText="1"/>
    </xf>
    <xf numFmtId="43" fontId="30" fillId="4" borderId="10" xfId="1" applyFont="1" applyFill="1" applyBorder="1" applyAlignment="1">
      <alignment horizontal="center" vertical="center" wrapText="1"/>
    </xf>
    <xf numFmtId="43" fontId="20" fillId="5" borderId="15" xfId="1" applyFont="1" applyFill="1" applyBorder="1" applyAlignment="1">
      <alignment horizontal="center" vertical="center" wrapText="1"/>
    </xf>
    <xf numFmtId="43" fontId="20" fillId="5" borderId="10" xfId="1" applyFont="1" applyFill="1" applyBorder="1" applyAlignment="1">
      <alignment horizontal="center" vertical="center" wrapText="1"/>
    </xf>
  </cellXfs>
  <cellStyles count="44258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7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95"/>
  <sheetViews>
    <sheetView workbookViewId="0">
      <pane ySplit="2" topLeftCell="A3" activePane="bottomLeft" state="frozen"/>
      <selection pane="bottomLeft" activeCell="C35" sqref="C35"/>
    </sheetView>
  </sheetViews>
  <sheetFormatPr defaultRowHeight="11.25"/>
  <cols>
    <col min="1" max="1" width="9.28515625" style="8" customWidth="1"/>
    <col min="2" max="2" width="9" style="134" customWidth="1"/>
    <col min="3" max="3" width="69.42578125" style="3" bestFit="1" customWidth="1"/>
    <col min="4" max="6" width="11.140625" style="2" bestFit="1" customWidth="1"/>
    <col min="7" max="7" width="9.425781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85546875" style="2" customWidth="1"/>
    <col min="17" max="17" width="10.140625" style="3" customWidth="1"/>
    <col min="18" max="18" width="8.710937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638" t="s">
        <v>1</v>
      </c>
      <c r="B1" s="640" t="s">
        <v>2</v>
      </c>
      <c r="C1" s="642" t="s">
        <v>0</v>
      </c>
      <c r="D1" s="644" t="s">
        <v>63</v>
      </c>
      <c r="E1" s="646" t="s">
        <v>84</v>
      </c>
      <c r="F1" s="647"/>
      <c r="G1" s="647"/>
      <c r="H1" s="647"/>
      <c r="I1" s="647"/>
      <c r="J1" s="647"/>
      <c r="K1" s="647"/>
      <c r="L1" s="634" t="s">
        <v>372</v>
      </c>
      <c r="M1" s="634"/>
      <c r="N1" s="632" t="s">
        <v>64</v>
      </c>
      <c r="O1" s="633"/>
      <c r="P1" s="635" t="s">
        <v>29</v>
      </c>
      <c r="Q1" s="636"/>
      <c r="R1" s="636"/>
      <c r="S1" s="636"/>
      <c r="T1" s="636"/>
      <c r="U1" s="636"/>
      <c r="V1" s="636"/>
      <c r="W1" s="636"/>
      <c r="X1" s="636"/>
      <c r="Y1" s="637"/>
    </row>
    <row r="2" spans="1:25" ht="12" thickBot="1">
      <c r="A2" s="639"/>
      <c r="B2" s="641"/>
      <c r="C2" s="643"/>
      <c r="D2" s="645"/>
      <c r="E2" s="88" t="s">
        <v>93</v>
      </c>
      <c r="F2" s="88" t="s">
        <v>3</v>
      </c>
      <c r="G2" s="88" t="s">
        <v>145</v>
      </c>
      <c r="H2" s="88" t="s">
        <v>94</v>
      </c>
      <c r="I2" s="88" t="s">
        <v>95</v>
      </c>
      <c r="J2" s="88" t="s">
        <v>96</v>
      </c>
      <c r="K2" s="98" t="s">
        <v>143</v>
      </c>
      <c r="L2" s="64" t="s">
        <v>23</v>
      </c>
      <c r="M2" s="152" t="s">
        <v>70</v>
      </c>
      <c r="N2" s="144" t="s">
        <v>23</v>
      </c>
      <c r="O2" s="97" t="s">
        <v>144</v>
      </c>
      <c r="P2" s="375">
        <v>1</v>
      </c>
      <c r="Q2" s="153" t="s">
        <v>228</v>
      </c>
      <c r="R2" s="153" t="s">
        <v>229</v>
      </c>
      <c r="S2" s="153" t="s">
        <v>230</v>
      </c>
      <c r="T2" s="153" t="s">
        <v>231</v>
      </c>
      <c r="U2" s="153" t="s">
        <v>379</v>
      </c>
      <c r="V2" s="153" t="s">
        <v>380</v>
      </c>
      <c r="W2" s="153"/>
      <c r="X2" s="153"/>
      <c r="Y2" s="154"/>
    </row>
    <row r="3" spans="1:25" s="5" customFormat="1" ht="12" thickBot="1">
      <c r="A3" s="474" t="s">
        <v>605</v>
      </c>
      <c r="B3" s="456">
        <v>40785</v>
      </c>
      <c r="C3" s="457" t="s">
        <v>550</v>
      </c>
      <c r="D3" s="458"/>
      <c r="E3" s="459">
        <f>'2-δικαιώμ'!L3</f>
        <v>17.8</v>
      </c>
      <c r="F3" s="459">
        <f>'3-φύλλα2α'!F3</f>
        <v>12</v>
      </c>
      <c r="G3" s="459">
        <f>'4-πολλυπρ'!P3</f>
        <v>0</v>
      </c>
      <c r="H3" s="458">
        <f>'5-αντίγρ'!M3</f>
        <v>13.35</v>
      </c>
      <c r="I3" s="458">
        <f>'6-μεταγρ'!I3</f>
        <v>0</v>
      </c>
      <c r="J3" s="458">
        <f>'7-προςΔΟΥ'!F3</f>
        <v>0</v>
      </c>
      <c r="K3" s="458"/>
      <c r="L3" s="459">
        <f t="shared" ref="L3:L4" si="0">E3+F3+G3+H3+I3+J3+K3</f>
        <v>43.15</v>
      </c>
      <c r="M3" s="459">
        <v>36.200000000000003</v>
      </c>
      <c r="N3" s="483">
        <f>M3-P3-'14-βιβλΕσ'!M3-'14-βιβλΕσ'!N3</f>
        <v>30.3</v>
      </c>
      <c r="O3" s="483">
        <f t="shared" ref="O3:O18" si="1">L3-N3</f>
        <v>12.849999999999998</v>
      </c>
      <c r="P3" s="347">
        <f>'1β-ΤΑΧΔΙΚκλπ'!D2</f>
        <v>0.5</v>
      </c>
      <c r="Q3" s="372"/>
      <c r="R3" s="372"/>
      <c r="S3" s="372"/>
      <c r="T3" s="372"/>
      <c r="U3" s="372"/>
      <c r="V3" s="372"/>
      <c r="W3" s="372"/>
      <c r="X3" s="348"/>
      <c r="Y3" s="348"/>
    </row>
    <row r="4" spans="1:25" s="5" customFormat="1">
      <c r="A4" s="533" t="s">
        <v>606</v>
      </c>
      <c r="B4" s="454">
        <v>40812</v>
      </c>
      <c r="C4" s="455" t="s">
        <v>562</v>
      </c>
      <c r="D4" s="316">
        <v>4165.96</v>
      </c>
      <c r="E4" s="311">
        <f>'2-δικαιώμ'!L4</f>
        <v>53.210660000000004</v>
      </c>
      <c r="F4" s="311">
        <f>'3-φύλλα2α'!F4</f>
        <v>24</v>
      </c>
      <c r="G4" s="311">
        <f>'4-πολλυπρ'!P4</f>
        <v>0</v>
      </c>
      <c r="H4" s="316">
        <f>'5-αντίγρ'!M4</f>
        <v>44.5</v>
      </c>
      <c r="I4" s="316">
        <f>'6-μεταγρ'!I4</f>
        <v>60</v>
      </c>
      <c r="J4" s="316">
        <f>'7-προςΔΟΥ'!F4</f>
        <v>20</v>
      </c>
      <c r="K4" s="316"/>
      <c r="L4" s="311">
        <f t="shared" si="0"/>
        <v>201.71066000000002</v>
      </c>
      <c r="M4" s="311">
        <v>32.42</v>
      </c>
      <c r="N4" s="312">
        <f>M4-P4-'14-βιβλΕσ'!M4-'14-βιβλΕσ'!N4</f>
        <v>0.90000000000000213</v>
      </c>
      <c r="O4" s="312">
        <f t="shared" si="1"/>
        <v>200.81066000000001</v>
      </c>
      <c r="P4" s="347">
        <f>'1β-ΤΑΧΔΙΚκλπ'!D3</f>
        <v>3</v>
      </c>
      <c r="Q4" s="313"/>
      <c r="R4" s="313"/>
      <c r="S4" s="313"/>
      <c r="T4" s="313"/>
      <c r="U4" s="313"/>
      <c r="V4" s="313"/>
      <c r="W4" s="313"/>
      <c r="X4" s="74"/>
      <c r="Y4" s="74"/>
    </row>
    <row r="5" spans="1:25" s="5" customFormat="1" ht="12" thickBot="1">
      <c r="A5" s="535"/>
      <c r="B5" s="487"/>
      <c r="C5" s="488" t="s">
        <v>552</v>
      </c>
      <c r="D5" s="388">
        <v>4165.96</v>
      </c>
      <c r="E5" s="389">
        <f>'2-δικαιώμ'!L5</f>
        <v>53.210660000000004</v>
      </c>
      <c r="F5" s="389">
        <f>'3-φύλλα2α'!F5</f>
        <v>24</v>
      </c>
      <c r="G5" s="389">
        <f>'4-πολλυπρ'!P5</f>
        <v>0</v>
      </c>
      <c r="H5" s="388">
        <f>'5-αντίγρ'!M5</f>
        <v>0</v>
      </c>
      <c r="I5" s="388">
        <f>'6-μεταγρ'!I5</f>
        <v>0</v>
      </c>
      <c r="J5" s="388">
        <f>'7-προςΔΟΥ'!F5</f>
        <v>20</v>
      </c>
      <c r="K5" s="388"/>
      <c r="L5" s="389">
        <f t="shared" ref="L5" si="2">E5+F5+G5+H5+I5+J5+K5</f>
        <v>97.210660000000004</v>
      </c>
      <c r="M5" s="389"/>
      <c r="N5" s="390"/>
      <c r="O5" s="390">
        <f t="shared" si="1"/>
        <v>97.210660000000004</v>
      </c>
      <c r="P5" s="347">
        <f>'1β-ΤΑΧΔΙΚκλπ'!D4</f>
        <v>0</v>
      </c>
      <c r="Q5" s="313"/>
      <c r="R5" s="313"/>
      <c r="S5" s="313"/>
      <c r="T5" s="313"/>
      <c r="U5" s="313"/>
      <c r="V5" s="313"/>
      <c r="W5" s="313"/>
      <c r="X5" s="74"/>
      <c r="Y5" s="74"/>
    </row>
    <row r="6" spans="1:25" s="5" customFormat="1">
      <c r="A6" s="517" t="s">
        <v>607</v>
      </c>
      <c r="B6" s="486">
        <v>41114</v>
      </c>
      <c r="C6" s="455" t="s">
        <v>571</v>
      </c>
      <c r="D6" s="316"/>
      <c r="E6" s="311">
        <f>'2-δικαιώμ'!L6</f>
        <v>3.56</v>
      </c>
      <c r="F6" s="311">
        <f>'3-φύλλα2α'!F6</f>
        <v>12</v>
      </c>
      <c r="G6" s="311">
        <f>'4-πολλυπρ'!P6</f>
        <v>0</v>
      </c>
      <c r="H6" s="316">
        <f>'5-αντίγρ'!M6</f>
        <v>13.35</v>
      </c>
      <c r="I6" s="509">
        <f>'6-μεταγρ'!I6</f>
        <v>50</v>
      </c>
      <c r="J6" s="509">
        <f>'7-προςΔΟΥ'!F6</f>
        <v>20</v>
      </c>
      <c r="K6" s="316"/>
      <c r="L6" s="311">
        <f t="shared" ref="L6:L18" si="3">E6+F6+G6+H6+I6+J6+K6</f>
        <v>98.91</v>
      </c>
      <c r="M6" s="311">
        <v>22.04</v>
      </c>
      <c r="N6" s="503">
        <f>M6-P6-'14-βιβλΕσ'!M6-'14-βιβλΕσ'!N6</f>
        <v>16.91</v>
      </c>
      <c r="O6" s="312">
        <f t="shared" si="1"/>
        <v>82</v>
      </c>
      <c r="P6" s="347">
        <f>'1β-ΤΑΧΔΙΚκλπ'!D5</f>
        <v>0</v>
      </c>
      <c r="Q6" s="313"/>
      <c r="R6" s="313"/>
      <c r="S6" s="313"/>
      <c r="T6" s="313"/>
      <c r="U6" s="313"/>
      <c r="V6" s="313"/>
      <c r="W6" s="313"/>
      <c r="X6" s="74"/>
      <c r="Y6" s="74"/>
    </row>
    <row r="7" spans="1:25" s="5" customFormat="1">
      <c r="A7" s="532"/>
      <c r="B7" s="392"/>
      <c r="C7" s="308" t="s">
        <v>569</v>
      </c>
      <c r="D7" s="309">
        <v>6629.4</v>
      </c>
      <c r="E7" s="310">
        <f>'2-δικαιώμ'!L7</f>
        <v>74.149900000000002</v>
      </c>
      <c r="F7" s="310">
        <f>'3-φύλλα2α'!F7</f>
        <v>12</v>
      </c>
      <c r="G7" s="310">
        <f>'4-πολλυπρ'!P7</f>
        <v>0</v>
      </c>
      <c r="H7" s="309">
        <f>'5-αντίγρ'!M7</f>
        <v>0</v>
      </c>
      <c r="I7" s="309">
        <f>'6-μεταγρ'!I7</f>
        <v>0</v>
      </c>
      <c r="J7" s="309">
        <f>'7-προςΔΟΥ'!F7</f>
        <v>20</v>
      </c>
      <c r="K7" s="309"/>
      <c r="L7" s="310">
        <f t="shared" si="3"/>
        <v>106.1499</v>
      </c>
      <c r="M7" s="310"/>
      <c r="N7" s="346"/>
      <c r="O7" s="312">
        <f t="shared" si="1"/>
        <v>106.1499</v>
      </c>
      <c r="P7" s="347">
        <f>'1β-ΤΑΧΔΙΚκλπ'!D6</f>
        <v>0</v>
      </c>
      <c r="Q7" s="313"/>
      <c r="R7" s="313"/>
      <c r="S7" s="313"/>
      <c r="T7" s="313"/>
      <c r="U7" s="313"/>
      <c r="V7" s="313"/>
      <c r="W7" s="313"/>
      <c r="X7" s="74"/>
      <c r="Y7" s="74"/>
    </row>
    <row r="8" spans="1:25" s="5" customFormat="1">
      <c r="A8" s="518"/>
      <c r="B8" s="392"/>
      <c r="C8" s="450" t="s">
        <v>570</v>
      </c>
      <c r="D8" s="451">
        <v>11396.88</v>
      </c>
      <c r="E8" s="310">
        <f>'2-δικαιώμ'!L8</f>
        <v>114.67347999999998</v>
      </c>
      <c r="F8" s="310">
        <f>'3-φύλλα2α'!F8</f>
        <v>12</v>
      </c>
      <c r="G8" s="310">
        <f>'4-πολλυπρ'!P8</f>
        <v>0</v>
      </c>
      <c r="H8" s="309">
        <f>'5-αντίγρ'!M8</f>
        <v>0</v>
      </c>
      <c r="I8" s="309">
        <f>'6-μεταγρ'!I8</f>
        <v>50</v>
      </c>
      <c r="J8" s="309">
        <f>'7-προςΔΟΥ'!F8</f>
        <v>20</v>
      </c>
      <c r="K8" s="309"/>
      <c r="L8" s="310">
        <f t="shared" si="3"/>
        <v>196.67347999999998</v>
      </c>
      <c r="M8" s="310"/>
      <c r="N8" s="346"/>
      <c r="O8" s="312">
        <f t="shared" si="1"/>
        <v>196.67347999999998</v>
      </c>
      <c r="P8" s="347">
        <f>'1β-ΤΑΧΔΙΚκλπ'!D7</f>
        <v>0</v>
      </c>
      <c r="Q8" s="313"/>
      <c r="R8" s="313"/>
      <c r="S8" s="313"/>
      <c r="T8" s="313"/>
      <c r="U8" s="313"/>
      <c r="V8" s="313"/>
      <c r="W8" s="313"/>
      <c r="X8" s="74"/>
      <c r="Y8" s="74"/>
    </row>
    <row r="9" spans="1:25" s="5" customFormat="1" ht="12" thickBot="1">
      <c r="A9" s="539"/>
      <c r="B9" s="487"/>
      <c r="C9" s="488" t="s">
        <v>575</v>
      </c>
      <c r="D9" s="388">
        <v>930.96</v>
      </c>
      <c r="E9" s="389">
        <f>'2-δικαιώμ'!L9</f>
        <v>25.713160000000002</v>
      </c>
      <c r="F9" s="389">
        <f>'3-φύλλα2α'!F9</f>
        <v>12</v>
      </c>
      <c r="G9" s="389">
        <f>'4-πολλυπρ'!P9</f>
        <v>0</v>
      </c>
      <c r="H9" s="388">
        <f>'5-αντίγρ'!M9</f>
        <v>0</v>
      </c>
      <c r="I9" s="388">
        <f>'6-μεταγρ'!I9</f>
        <v>0</v>
      </c>
      <c r="J9" s="388">
        <f>'7-προςΔΟΥ'!F9</f>
        <v>20</v>
      </c>
      <c r="K9" s="388"/>
      <c r="L9" s="389">
        <f t="shared" si="3"/>
        <v>57.713160000000002</v>
      </c>
      <c r="M9" s="389"/>
      <c r="N9" s="390"/>
      <c r="O9" s="390">
        <f t="shared" si="1"/>
        <v>57.713160000000002</v>
      </c>
      <c r="P9" s="347">
        <f>'1β-ΤΑΧΔΙΚκλπ'!D8</f>
        <v>0</v>
      </c>
      <c r="Q9" s="313"/>
      <c r="R9" s="313"/>
      <c r="S9" s="313"/>
      <c r="T9" s="313"/>
      <c r="U9" s="313"/>
      <c r="V9" s="313"/>
      <c r="W9" s="313"/>
      <c r="X9" s="74"/>
      <c r="Y9" s="74"/>
    </row>
    <row r="10" spans="1:25" s="5" customFormat="1">
      <c r="A10" s="406" t="s">
        <v>608</v>
      </c>
      <c r="B10" s="454">
        <v>41370</v>
      </c>
      <c r="C10" s="455" t="s">
        <v>550</v>
      </c>
      <c r="D10" s="316"/>
      <c r="E10" s="311">
        <f>'2-δικαιώμ'!L10</f>
        <v>17.8</v>
      </c>
      <c r="F10" s="311">
        <f>'3-φύλλα2α'!F10</f>
        <v>12</v>
      </c>
      <c r="G10" s="311">
        <f>'4-πολλυπρ'!P10</f>
        <v>0</v>
      </c>
      <c r="H10" s="316">
        <f>'5-αντίγρ'!M10</f>
        <v>13.35</v>
      </c>
      <c r="I10" s="316">
        <f>'6-μεταγρ'!I10</f>
        <v>0</v>
      </c>
      <c r="J10" s="316">
        <f>'7-προςΔΟΥ'!F10</f>
        <v>0</v>
      </c>
      <c r="K10" s="316"/>
      <c r="L10" s="311">
        <f t="shared" si="3"/>
        <v>43.15</v>
      </c>
      <c r="M10" s="311">
        <v>23.2</v>
      </c>
      <c r="N10" s="312">
        <f>M10-P10-'14-βιβλΕσ'!M10-'14-βιβλΕσ'!N10</f>
        <v>17.3</v>
      </c>
      <c r="O10" s="312">
        <f t="shared" si="1"/>
        <v>25.849999999999998</v>
      </c>
      <c r="P10" s="347">
        <f>'1β-ΤΑΧΔΙΚκλπ'!D9</f>
        <v>0.5</v>
      </c>
      <c r="Q10" s="313"/>
      <c r="R10" s="313"/>
      <c r="S10" s="313"/>
      <c r="T10" s="313"/>
      <c r="U10" s="313"/>
      <c r="V10" s="313"/>
      <c r="W10" s="313"/>
      <c r="X10" s="74"/>
      <c r="Y10" s="74"/>
    </row>
    <row r="11" spans="1:25" s="5" customFormat="1">
      <c r="A11" s="406" t="s">
        <v>609</v>
      </c>
      <c r="B11" s="392">
        <v>41372</v>
      </c>
      <c r="C11" s="450" t="s">
        <v>553</v>
      </c>
      <c r="D11" s="451">
        <v>20269.88</v>
      </c>
      <c r="E11" s="311">
        <f>'2-δικαιώμ'!L11</f>
        <v>190.09397999999999</v>
      </c>
      <c r="F11" s="311">
        <f>'3-φύλλα2α'!F11</f>
        <v>42</v>
      </c>
      <c r="G11" s="311">
        <f>'4-πολλυπρ'!P11</f>
        <v>0</v>
      </c>
      <c r="H11" s="316">
        <f>'5-αντίγρ'!M11</f>
        <v>71.2</v>
      </c>
      <c r="I11" s="309">
        <f>'6-μεταγρ'!I11</f>
        <v>70</v>
      </c>
      <c r="J11" s="309">
        <f>'7-προςΔΟΥ'!F11</f>
        <v>20</v>
      </c>
      <c r="K11" s="309"/>
      <c r="L11" s="310">
        <f t="shared" si="3"/>
        <v>393.29397999999998</v>
      </c>
      <c r="M11" s="310">
        <v>393.12</v>
      </c>
      <c r="N11" s="346">
        <f>M11-P11-'14-βιβλΕσ'!M11-'14-βιβλΕσ'!N11</f>
        <v>311.48</v>
      </c>
      <c r="O11" s="312">
        <f t="shared" si="1"/>
        <v>81.813979999999958</v>
      </c>
      <c r="P11" s="347">
        <f>'1β-ΤΑΧΔΙΚκλπ'!D10</f>
        <v>0</v>
      </c>
      <c r="Q11" s="313"/>
      <c r="R11" s="313"/>
      <c r="S11" s="313"/>
      <c r="T11" s="313"/>
      <c r="U11" s="313"/>
      <c r="V11" s="313"/>
      <c r="W11" s="313"/>
      <c r="X11" s="74"/>
      <c r="Y11" s="74"/>
    </row>
    <row r="12" spans="1:25" s="5" customFormat="1">
      <c r="A12" s="406" t="s">
        <v>610</v>
      </c>
      <c r="B12" s="392">
        <v>41372</v>
      </c>
      <c r="C12" s="450" t="s">
        <v>551</v>
      </c>
      <c r="D12" s="451">
        <v>21765.16</v>
      </c>
      <c r="E12" s="311">
        <f>'2-δικαιώμ'!L12</f>
        <v>202.80385999999999</v>
      </c>
      <c r="F12" s="311">
        <f>'3-φύλλα2α'!F12</f>
        <v>48</v>
      </c>
      <c r="G12" s="311">
        <f>'4-πολλυπρ'!P12</f>
        <v>0</v>
      </c>
      <c r="H12" s="316">
        <f>'5-αντίγρ'!M12</f>
        <v>80.099999999999994</v>
      </c>
      <c r="I12" s="309">
        <f>'6-μεταγρ'!I12</f>
        <v>70</v>
      </c>
      <c r="J12" s="309">
        <f>'7-προςΔΟΥ'!F12</f>
        <v>20</v>
      </c>
      <c r="K12" s="309"/>
      <c r="L12" s="310">
        <f t="shared" si="3"/>
        <v>420.90386000000001</v>
      </c>
      <c r="M12" s="310">
        <v>431.3</v>
      </c>
      <c r="N12" s="346">
        <f>M12-P12-'14-βιβλΕσ'!M12-'14-βιβλΕσ'!N12-3</f>
        <v>330.33</v>
      </c>
      <c r="O12" s="312">
        <f t="shared" si="1"/>
        <v>90.573860000000025</v>
      </c>
      <c r="P12" s="347">
        <f>'1β-ΤΑΧΔΙΚκλπ'!D11</f>
        <v>0</v>
      </c>
      <c r="Q12" s="313"/>
      <c r="R12" s="313"/>
      <c r="S12" s="313"/>
      <c r="T12" s="313"/>
      <c r="U12" s="313"/>
      <c r="V12" s="313"/>
      <c r="W12" s="313"/>
      <c r="X12" s="74"/>
      <c r="Y12" s="74"/>
    </row>
    <row r="13" spans="1:25" s="5" customFormat="1">
      <c r="A13" s="406" t="s">
        <v>611</v>
      </c>
      <c r="B13" s="392">
        <v>41372</v>
      </c>
      <c r="C13" s="450" t="s">
        <v>554</v>
      </c>
      <c r="D13" s="451">
        <v>84070.06</v>
      </c>
      <c r="E13" s="311">
        <f>'2-δικαιώμ'!L13</f>
        <v>732.39551000000006</v>
      </c>
      <c r="F13" s="311">
        <f>'3-φύλλα2α'!F13</f>
        <v>48</v>
      </c>
      <c r="G13" s="311">
        <f>'4-πολλυπρ'!P13</f>
        <v>0</v>
      </c>
      <c r="H13" s="316">
        <f>'5-αντίγρ'!M13</f>
        <v>80.099999999999994</v>
      </c>
      <c r="I13" s="309">
        <f>'6-μεταγρ'!I13</f>
        <v>70</v>
      </c>
      <c r="J13" s="309">
        <f>'7-προςΔΟΥ'!F13</f>
        <v>20</v>
      </c>
      <c r="K13" s="309"/>
      <c r="L13" s="310">
        <f t="shared" si="3"/>
        <v>950.49551000000008</v>
      </c>
      <c r="M13" s="310">
        <v>1154.05</v>
      </c>
      <c r="N13" s="346">
        <f>M13-P13-'14-βιβλΕσ'!M13-'14-βιβλΕσ'!N13</f>
        <v>839.93</v>
      </c>
      <c r="O13" s="312">
        <f t="shared" si="1"/>
        <v>110.56551000000013</v>
      </c>
      <c r="P13" s="347">
        <f>'1β-ΤΑΧΔΙΚκλπ'!D12</f>
        <v>0</v>
      </c>
      <c r="Q13" s="313"/>
      <c r="R13" s="313"/>
      <c r="S13" s="313"/>
      <c r="T13" s="313"/>
      <c r="U13" s="313"/>
      <c r="V13" s="313"/>
      <c r="W13" s="313"/>
      <c r="X13" s="74"/>
      <c r="Y13" s="74"/>
    </row>
    <row r="14" spans="1:25" s="5" customFormat="1">
      <c r="A14" s="406" t="s">
        <v>612</v>
      </c>
      <c r="B14" s="392">
        <v>41372</v>
      </c>
      <c r="C14" s="450" t="s">
        <v>551</v>
      </c>
      <c r="D14" s="451">
        <v>42035.040000000001</v>
      </c>
      <c r="E14" s="311">
        <f>'2-δικαιώμ'!L14</f>
        <v>375.09784000000002</v>
      </c>
      <c r="F14" s="311">
        <f>'3-φύλλα2α'!F14</f>
        <v>48</v>
      </c>
      <c r="G14" s="311">
        <f>'4-πολλυπρ'!P14</f>
        <v>68</v>
      </c>
      <c r="H14" s="316">
        <f>'5-αντίγρ'!M14</f>
        <v>80.099999999999994</v>
      </c>
      <c r="I14" s="309">
        <f>'6-μεταγρ'!I14</f>
        <v>100</v>
      </c>
      <c r="J14" s="309">
        <f>'7-προςΔΟΥ'!F14</f>
        <v>40</v>
      </c>
      <c r="K14" s="309"/>
      <c r="L14" s="310">
        <f t="shared" si="3"/>
        <v>711.19784000000004</v>
      </c>
      <c r="M14" s="310">
        <v>866.44</v>
      </c>
      <c r="N14" s="346">
        <f>M14-P14-'14-βιβλΕσ'!M14-'14-βιβλΕσ'!N14-3</f>
        <v>703.53000000000009</v>
      </c>
      <c r="O14" s="312">
        <f t="shared" si="1"/>
        <v>7.6678399999999556</v>
      </c>
      <c r="P14" s="347">
        <f>'1β-ΤΑΧΔΙΚκλπ'!D13</f>
        <v>0</v>
      </c>
      <c r="Q14" s="313"/>
      <c r="R14" s="313"/>
      <c r="S14" s="313"/>
      <c r="T14" s="313"/>
      <c r="U14" s="313"/>
      <c r="V14" s="313"/>
      <c r="W14" s="313"/>
      <c r="X14" s="74"/>
      <c r="Y14" s="74"/>
    </row>
    <row r="15" spans="1:25" s="5" customFormat="1">
      <c r="A15" s="406" t="s">
        <v>613</v>
      </c>
      <c r="B15" s="392">
        <v>41372</v>
      </c>
      <c r="C15" s="450" t="s">
        <v>554</v>
      </c>
      <c r="D15" s="451">
        <v>84070.06</v>
      </c>
      <c r="E15" s="311">
        <f>'2-δικαιώμ'!L15</f>
        <v>732.39551000000006</v>
      </c>
      <c r="F15" s="311">
        <f>'3-φύλλα2α'!F15</f>
        <v>48</v>
      </c>
      <c r="G15" s="311">
        <f>'4-πολλυπρ'!P15</f>
        <v>68</v>
      </c>
      <c r="H15" s="316">
        <f>'5-αντίγρ'!M15</f>
        <v>80.099999999999994</v>
      </c>
      <c r="I15" s="309">
        <f>'6-μεταγρ'!I15</f>
        <v>100</v>
      </c>
      <c r="J15" s="309">
        <f>'7-προςΔΟΥ'!F15</f>
        <v>40</v>
      </c>
      <c r="K15" s="309"/>
      <c r="L15" s="310">
        <f t="shared" si="3"/>
        <v>1068.4955100000002</v>
      </c>
      <c r="M15" s="310">
        <v>1154.05</v>
      </c>
      <c r="N15" s="346">
        <f>M15-P15-'14-βιβλΕσ'!M15-'14-βιβλΕσ'!N15-3</f>
        <v>836.82999999999993</v>
      </c>
      <c r="O15" s="312">
        <f t="shared" si="1"/>
        <v>231.66551000000027</v>
      </c>
      <c r="P15" s="347">
        <f>'1β-ΤΑΧΔΙΚκλπ'!D14</f>
        <v>0</v>
      </c>
      <c r="Q15" s="313"/>
      <c r="R15" s="313"/>
      <c r="S15" s="313"/>
      <c r="T15" s="313"/>
      <c r="U15" s="313"/>
      <c r="V15" s="313"/>
      <c r="W15" s="313"/>
      <c r="X15" s="74"/>
      <c r="Y15" s="74"/>
    </row>
    <row r="16" spans="1:25" s="5" customFormat="1">
      <c r="A16" s="406" t="s">
        <v>614</v>
      </c>
      <c r="B16" s="392">
        <v>41372</v>
      </c>
      <c r="C16" s="450" t="s">
        <v>555</v>
      </c>
      <c r="D16" s="451">
        <v>203.07</v>
      </c>
      <c r="E16" s="311">
        <f>'2-δικαιώμ'!L16</f>
        <v>19.526094999999998</v>
      </c>
      <c r="F16" s="311">
        <f>'3-φύλλα2α'!F16</f>
        <v>36</v>
      </c>
      <c r="G16" s="311">
        <f>'4-πολλυπρ'!P16</f>
        <v>112</v>
      </c>
      <c r="H16" s="316">
        <f>'5-αντίγρ'!M16</f>
        <v>93.45</v>
      </c>
      <c r="I16" s="309">
        <f>'6-μεταγρ'!I16</f>
        <v>60</v>
      </c>
      <c r="J16" s="309">
        <f>'7-προςΔΟΥ'!F16</f>
        <v>20</v>
      </c>
      <c r="K16" s="309"/>
      <c r="L16" s="310">
        <f t="shared" si="3"/>
        <v>340.97609499999999</v>
      </c>
      <c r="M16" s="310">
        <v>151.51</v>
      </c>
      <c r="N16" s="346">
        <f>M16-P16-'14-βιβλΕσ'!M16-'14-βιβλΕσ'!N16</f>
        <v>120.83</v>
      </c>
      <c r="O16" s="312">
        <f t="shared" si="1"/>
        <v>220.146095</v>
      </c>
      <c r="P16" s="347">
        <f>'1β-ΤΑΧΔΙΚκλπ'!D15</f>
        <v>0</v>
      </c>
      <c r="Q16" s="313"/>
      <c r="R16" s="313"/>
      <c r="S16" s="313"/>
      <c r="T16" s="313"/>
      <c r="U16" s="313"/>
      <c r="V16" s="313"/>
      <c r="W16" s="313"/>
      <c r="X16" s="74"/>
      <c r="Y16" s="74"/>
    </row>
    <row r="17" spans="1:25" s="5" customFormat="1">
      <c r="A17" s="406" t="s">
        <v>615</v>
      </c>
      <c r="B17" s="392">
        <v>41372</v>
      </c>
      <c r="C17" s="450" t="s">
        <v>555</v>
      </c>
      <c r="D17" s="451">
        <v>186.07</v>
      </c>
      <c r="E17" s="311">
        <f>'2-δικαιώμ'!L17</f>
        <v>19.381595000000001</v>
      </c>
      <c r="F17" s="311">
        <f>'3-φύλλα2α'!F17</f>
        <v>18</v>
      </c>
      <c r="G17" s="311">
        <f>'4-πολλυπρ'!P17</f>
        <v>76</v>
      </c>
      <c r="H17" s="316">
        <f>'5-αντίγρ'!M17</f>
        <v>53.4</v>
      </c>
      <c r="I17" s="309">
        <f>'6-μεταγρ'!I17</f>
        <v>50</v>
      </c>
      <c r="J17" s="309">
        <f>'7-προςΔΟΥ'!F17</f>
        <v>20</v>
      </c>
      <c r="K17" s="309"/>
      <c r="L17" s="310">
        <f t="shared" si="3"/>
        <v>236.78159500000001</v>
      </c>
      <c r="M17" s="310">
        <v>95.64</v>
      </c>
      <c r="N17" s="346">
        <f>M17-P17-'14-βιβλΕσ'!M17-'14-βιβλΕσ'!N17</f>
        <v>75.98</v>
      </c>
      <c r="O17" s="312">
        <f t="shared" si="1"/>
        <v>160.80159500000002</v>
      </c>
      <c r="P17" s="347">
        <f>'1β-ΤΑΧΔΙΚκλπ'!D16</f>
        <v>0</v>
      </c>
      <c r="Q17" s="313"/>
      <c r="R17" s="313"/>
      <c r="S17" s="313"/>
      <c r="T17" s="313"/>
      <c r="U17" s="313"/>
      <c r="V17" s="313"/>
      <c r="W17" s="313"/>
      <c r="X17" s="74"/>
      <c r="Y17" s="74"/>
    </row>
    <row r="18" spans="1:25" s="5" customFormat="1">
      <c r="A18" s="406" t="s">
        <v>616</v>
      </c>
      <c r="B18" s="392">
        <v>41373</v>
      </c>
      <c r="C18" s="308" t="s">
        <v>557</v>
      </c>
      <c r="D18" s="309"/>
      <c r="E18" s="311">
        <f>'2-δικαιώμ'!L18</f>
        <v>17.8</v>
      </c>
      <c r="F18" s="311">
        <f>'3-φύλλα2α'!F18</f>
        <v>48</v>
      </c>
      <c r="G18" s="311">
        <f>'4-πολλυπρ'!P18</f>
        <v>136</v>
      </c>
      <c r="H18" s="316">
        <f>'5-αντίγρ'!M18</f>
        <v>120.15</v>
      </c>
      <c r="I18" s="309">
        <f>'6-μεταγρ'!I18</f>
        <v>70</v>
      </c>
      <c r="J18" s="309">
        <f>'7-προςΔΟΥ'!F18</f>
        <v>0</v>
      </c>
      <c r="K18" s="309"/>
      <c r="L18" s="310">
        <f t="shared" si="3"/>
        <v>391.95000000000005</v>
      </c>
      <c r="M18" s="310">
        <v>184.08</v>
      </c>
      <c r="N18" s="346">
        <f>M18-P18-'14-βιβλΕσ'!M18-'14-βιβλΕσ'!N18</f>
        <v>146.40000000000003</v>
      </c>
      <c r="O18" s="312">
        <f t="shared" si="1"/>
        <v>245.55</v>
      </c>
      <c r="P18" s="347">
        <f>'1β-ΤΑΧΔΙΚκλπ'!D17</f>
        <v>0</v>
      </c>
      <c r="Q18" s="313"/>
      <c r="R18" s="313"/>
      <c r="S18" s="313"/>
      <c r="T18" s="313"/>
      <c r="U18" s="313"/>
      <c r="V18" s="313"/>
      <c r="W18" s="313"/>
      <c r="X18" s="74"/>
      <c r="Y18" s="74"/>
    </row>
    <row r="19" spans="1:25">
      <c r="A19" s="630" t="s">
        <v>47</v>
      </c>
      <c r="B19" s="631"/>
      <c r="C19" s="631"/>
      <c r="D19" s="631"/>
      <c r="E19" s="444">
        <f t="shared" ref="E19:O19" si="4">SUM(E3:E18)</f>
        <v>2649.6122500000001</v>
      </c>
      <c r="F19" s="444">
        <f t="shared" si="4"/>
        <v>456</v>
      </c>
      <c r="G19" s="444">
        <f t="shared" si="4"/>
        <v>460</v>
      </c>
      <c r="H19" s="444">
        <f t="shared" si="4"/>
        <v>743.15</v>
      </c>
      <c r="I19" s="444">
        <f t="shared" si="4"/>
        <v>750</v>
      </c>
      <c r="J19" s="444">
        <f t="shared" si="4"/>
        <v>300</v>
      </c>
      <c r="K19" s="444">
        <f t="shared" si="4"/>
        <v>0</v>
      </c>
      <c r="L19" s="444">
        <f t="shared" si="4"/>
        <v>5358.7622500000007</v>
      </c>
      <c r="M19" s="444">
        <f t="shared" si="4"/>
        <v>4544.05</v>
      </c>
      <c r="N19" s="444">
        <f t="shared" si="4"/>
        <v>3430.7200000000003</v>
      </c>
      <c r="O19" s="444">
        <f t="shared" si="4"/>
        <v>1928.0422500000002</v>
      </c>
    </row>
    <row r="21" spans="1:25">
      <c r="P21" s="163" t="s">
        <v>99</v>
      </c>
      <c r="Q21" s="127"/>
      <c r="R21" s="127"/>
      <c r="S21" s="127"/>
      <c r="T21" s="136"/>
      <c r="U21" s="136"/>
      <c r="V21" s="136"/>
      <c r="X21" s="127"/>
      <c r="Y21" s="127"/>
    </row>
    <row r="22" spans="1:25">
      <c r="C22" s="574" t="s">
        <v>598</v>
      </c>
      <c r="K22" s="211" t="s">
        <v>479</v>
      </c>
      <c r="L22" s="8"/>
      <c r="M22" s="8"/>
      <c r="Q22" s="116" t="s">
        <v>375</v>
      </c>
      <c r="R22" s="116"/>
      <c r="S22" s="116"/>
      <c r="T22" s="129"/>
      <c r="U22" s="136"/>
      <c r="V22" s="136"/>
      <c r="X22" s="128"/>
      <c r="Y22" s="116"/>
    </row>
    <row r="23" spans="1:25">
      <c r="K23" s="156" t="s">
        <v>232</v>
      </c>
      <c r="L23" s="118"/>
      <c r="M23" s="118"/>
      <c r="Q23" s="116"/>
      <c r="R23" s="116" t="s">
        <v>140</v>
      </c>
      <c r="S23" s="116"/>
      <c r="T23" s="136"/>
      <c r="U23" s="136"/>
      <c r="V23" s="136"/>
      <c r="X23" s="116"/>
    </row>
    <row r="24" spans="1:25">
      <c r="K24" s="210" t="s">
        <v>233</v>
      </c>
      <c r="S24" s="116" t="s">
        <v>374</v>
      </c>
      <c r="T24" s="92"/>
      <c r="U24" s="92"/>
      <c r="V24" s="92"/>
    </row>
    <row r="25" spans="1:25"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T25" s="116" t="s">
        <v>376</v>
      </c>
      <c r="U25" s="136"/>
      <c r="V25" s="136"/>
    </row>
    <row r="26" spans="1:25">
      <c r="T26" s="92"/>
      <c r="U26" s="136" t="s">
        <v>377</v>
      </c>
      <c r="V26" s="136"/>
    </row>
    <row r="27" spans="1:25">
      <c r="T27" s="92"/>
      <c r="U27" s="92"/>
      <c r="V27" s="136" t="s">
        <v>378</v>
      </c>
    </row>
    <row r="28" spans="1:25">
      <c r="S28" s="116"/>
      <c r="T28" s="92"/>
      <c r="U28" s="92"/>
      <c r="V28" s="92"/>
    </row>
    <row r="29" spans="1:25">
      <c r="F29" s="8" t="s">
        <v>605</v>
      </c>
      <c r="G29" s="2">
        <v>35.200000000000003</v>
      </c>
      <c r="I29" s="167" t="s">
        <v>537</v>
      </c>
      <c r="J29" s="2" t="s">
        <v>266</v>
      </c>
      <c r="K29" s="2" t="s">
        <v>538</v>
      </c>
      <c r="M29" s="629" t="s">
        <v>540</v>
      </c>
      <c r="N29" s="629"/>
      <c r="O29" s="629"/>
      <c r="P29" s="629"/>
      <c r="T29" s="116"/>
      <c r="U29" s="136"/>
      <c r="V29" s="136"/>
    </row>
    <row r="30" spans="1:25">
      <c r="G30" s="393"/>
      <c r="H30" s="393" t="s">
        <v>328</v>
      </c>
      <c r="I30" s="204"/>
      <c r="J30" s="4"/>
      <c r="K30" s="4">
        <v>0.5</v>
      </c>
      <c r="L30" s="4"/>
      <c r="M30" s="4"/>
      <c r="N30" s="4"/>
      <c r="O30" s="4"/>
      <c r="P30" s="4"/>
      <c r="R30" s="3">
        <v>0.5</v>
      </c>
      <c r="S30" s="2" t="s">
        <v>328</v>
      </c>
      <c r="T30" s="92"/>
      <c r="U30" s="136"/>
      <c r="V30" s="136"/>
    </row>
    <row r="31" spans="1:25">
      <c r="G31" s="393"/>
      <c r="H31" s="393" t="s">
        <v>371</v>
      </c>
      <c r="I31" s="4"/>
      <c r="J31" s="4"/>
      <c r="K31" s="4"/>
      <c r="L31" s="4"/>
      <c r="M31" s="4"/>
      <c r="N31" s="4"/>
      <c r="O31" s="4"/>
      <c r="P31" s="4"/>
      <c r="S31" s="2"/>
      <c r="T31" s="92"/>
      <c r="U31" s="136"/>
      <c r="V31" s="136"/>
    </row>
    <row r="32" spans="1:25">
      <c r="G32" s="167"/>
      <c r="H32" s="393" t="s">
        <v>62</v>
      </c>
      <c r="I32" s="4">
        <v>3.2</v>
      </c>
      <c r="J32" s="4"/>
      <c r="K32" s="4"/>
      <c r="L32" s="4"/>
      <c r="M32" s="4"/>
      <c r="N32" s="4"/>
      <c r="O32" s="4"/>
      <c r="P32" s="4"/>
      <c r="S32" s="2"/>
      <c r="T32" s="92"/>
      <c r="U32" s="92"/>
      <c r="V32" s="136"/>
    </row>
    <row r="33" spans="3:23">
      <c r="H33" s="393" t="s">
        <v>79</v>
      </c>
      <c r="I33" s="4">
        <v>20</v>
      </c>
      <c r="J33" s="4">
        <v>2.2000000000000002</v>
      </c>
      <c r="K33" s="4">
        <v>20</v>
      </c>
      <c r="L33" s="4"/>
      <c r="M33" s="4"/>
      <c r="N33" s="4"/>
      <c r="O33" s="4"/>
      <c r="P33" s="4"/>
      <c r="S33" s="2"/>
      <c r="T33" s="92"/>
      <c r="U33" s="92"/>
      <c r="V33" s="92"/>
    </row>
    <row r="34" spans="3:23">
      <c r="H34" s="393" t="s">
        <v>505</v>
      </c>
      <c r="I34" s="4"/>
      <c r="J34" s="4"/>
      <c r="K34" s="4"/>
      <c r="L34" s="4"/>
      <c r="M34" s="4"/>
      <c r="N34" s="4"/>
      <c r="O34" s="4"/>
      <c r="P34" s="4"/>
      <c r="S34" s="2"/>
      <c r="U34" s="136"/>
      <c r="V34" s="136"/>
      <c r="W34" s="136"/>
    </row>
    <row r="35" spans="3:23">
      <c r="H35" s="393" t="s">
        <v>506</v>
      </c>
      <c r="I35" s="4"/>
      <c r="J35" s="4"/>
      <c r="K35" s="4"/>
      <c r="L35" s="4"/>
      <c r="M35" s="4"/>
      <c r="N35" s="4"/>
      <c r="O35" s="4"/>
      <c r="P35" s="4"/>
      <c r="S35" s="2"/>
      <c r="U35" s="92"/>
      <c r="V35" s="136"/>
      <c r="W35" s="136"/>
    </row>
    <row r="36" spans="3:23">
      <c r="H36" s="393" t="s">
        <v>507</v>
      </c>
      <c r="I36" s="4">
        <v>12</v>
      </c>
      <c r="J36" s="4"/>
      <c r="K36" s="4">
        <v>12</v>
      </c>
      <c r="L36" s="4"/>
      <c r="M36" s="4"/>
      <c r="N36" s="4"/>
      <c r="O36" s="4"/>
      <c r="P36" s="4"/>
      <c r="U36" s="92"/>
      <c r="V36" s="92"/>
      <c r="W36" s="92"/>
    </row>
    <row r="37" spans="3:23">
      <c r="H37" s="393" t="s">
        <v>55</v>
      </c>
      <c r="I37" s="4"/>
      <c r="J37" s="4"/>
      <c r="K37" s="4"/>
      <c r="L37" s="4"/>
      <c r="M37" s="4"/>
      <c r="N37" s="4"/>
      <c r="O37" s="4"/>
      <c r="P37" s="4"/>
    </row>
    <row r="38" spans="3:23">
      <c r="H38" s="393" t="s">
        <v>539</v>
      </c>
      <c r="I38" s="169"/>
      <c r="J38" s="4"/>
      <c r="K38" s="4"/>
      <c r="M38" s="4"/>
      <c r="N38" s="4"/>
      <c r="O38" s="4"/>
      <c r="P38" s="4"/>
    </row>
    <row r="39" spans="3:23">
      <c r="I39" s="2">
        <f>SUM(I30:I38)</f>
        <v>35.200000000000003</v>
      </c>
      <c r="J39" s="2">
        <f t="shared" ref="J39:K39" si="5">SUM(J30:J38)</f>
        <v>2.2000000000000002</v>
      </c>
      <c r="K39" s="2">
        <f t="shared" si="5"/>
        <v>32.5</v>
      </c>
      <c r="M39" s="2">
        <f t="shared" ref="M39:P39" si="6">SUM(M30:M38)</f>
        <v>0</v>
      </c>
      <c r="N39" s="2">
        <f t="shared" si="6"/>
        <v>0</v>
      </c>
      <c r="O39" s="2">
        <f t="shared" si="6"/>
        <v>0</v>
      </c>
      <c r="P39" s="2">
        <f t="shared" si="6"/>
        <v>0</v>
      </c>
      <c r="Q39" s="413">
        <f>SUM(M39:P39)</f>
        <v>0</v>
      </c>
    </row>
    <row r="40" spans="3:23">
      <c r="I40" s="2">
        <f>G29-I39</f>
        <v>0</v>
      </c>
    </row>
    <row r="42" spans="3:23">
      <c r="G42" s="501" t="s">
        <v>566</v>
      </c>
    </row>
    <row r="43" spans="3:23">
      <c r="F43" s="8" t="s">
        <v>606</v>
      </c>
      <c r="G43" s="502">
        <v>32.42</v>
      </c>
      <c r="I43" s="167" t="s">
        <v>567</v>
      </c>
      <c r="J43" s="2" t="s">
        <v>266</v>
      </c>
      <c r="K43" s="2" t="s">
        <v>538</v>
      </c>
      <c r="M43" s="629" t="s">
        <v>540</v>
      </c>
      <c r="N43" s="629"/>
      <c r="O43" s="629"/>
      <c r="P43" s="629"/>
    </row>
    <row r="44" spans="3:23">
      <c r="G44" s="393"/>
      <c r="H44" s="393" t="s">
        <v>328</v>
      </c>
      <c r="I44" s="4">
        <v>3</v>
      </c>
      <c r="J44" s="4"/>
      <c r="K44" s="4">
        <v>3</v>
      </c>
      <c r="L44" s="4"/>
      <c r="M44" s="4">
        <v>3</v>
      </c>
      <c r="N44" s="4">
        <v>3</v>
      </c>
      <c r="O44" s="4"/>
      <c r="P44" s="4"/>
      <c r="R44" s="3" t="s">
        <v>563</v>
      </c>
      <c r="S44" s="2" t="s">
        <v>328</v>
      </c>
    </row>
    <row r="45" spans="3:23">
      <c r="G45" s="393"/>
      <c r="H45" s="393" t="s">
        <v>371</v>
      </c>
      <c r="I45" s="504" t="s">
        <v>568</v>
      </c>
      <c r="J45" s="4"/>
      <c r="K45" s="4">
        <v>32.29</v>
      </c>
      <c r="L45" s="4"/>
      <c r="M45" s="4">
        <v>32.29</v>
      </c>
      <c r="N45" s="4">
        <v>32.29</v>
      </c>
      <c r="O45" s="4"/>
      <c r="P45" s="4"/>
      <c r="S45" s="2" t="s">
        <v>506</v>
      </c>
    </row>
    <row r="46" spans="3:23">
      <c r="C46" s="3" t="s">
        <v>561</v>
      </c>
      <c r="G46" s="167"/>
      <c r="H46" s="393" t="s">
        <v>62</v>
      </c>
      <c r="I46" s="4">
        <v>17.3</v>
      </c>
      <c r="J46" s="4"/>
      <c r="K46" s="4">
        <v>21.71</v>
      </c>
      <c r="L46" s="4"/>
      <c r="M46" s="4">
        <v>21.71</v>
      </c>
      <c r="N46" s="4">
        <v>13.71</v>
      </c>
      <c r="O46" s="4"/>
      <c r="P46" s="4"/>
      <c r="R46" s="3">
        <v>17.3</v>
      </c>
      <c r="S46" s="2" t="s">
        <v>565</v>
      </c>
    </row>
    <row r="47" spans="3:23">
      <c r="H47" s="393" t="s">
        <v>79</v>
      </c>
      <c r="I47" s="4"/>
      <c r="J47" s="4"/>
      <c r="K47" s="4"/>
      <c r="L47" s="4"/>
      <c r="M47" s="4"/>
      <c r="N47" s="4"/>
      <c r="O47" s="4"/>
      <c r="P47" s="4"/>
      <c r="S47" s="2"/>
    </row>
    <row r="48" spans="3:23">
      <c r="H48" s="393" t="s">
        <v>505</v>
      </c>
      <c r="I48" s="4">
        <v>20</v>
      </c>
      <c r="J48" s="4"/>
      <c r="K48" s="4">
        <v>20</v>
      </c>
      <c r="L48" s="4"/>
      <c r="M48" s="4">
        <v>20</v>
      </c>
      <c r="N48" s="4">
        <v>20</v>
      </c>
      <c r="O48" s="4"/>
      <c r="P48" s="4"/>
      <c r="S48" s="2"/>
    </row>
    <row r="49" spans="3:19">
      <c r="H49" s="393" t="s">
        <v>506</v>
      </c>
      <c r="I49" s="502">
        <v>38.14</v>
      </c>
      <c r="J49" s="4">
        <v>5.72</v>
      </c>
      <c r="K49" s="4">
        <v>41.66</v>
      </c>
      <c r="L49" s="4"/>
      <c r="M49" s="4">
        <v>41.66</v>
      </c>
      <c r="N49" s="4">
        <v>41.66</v>
      </c>
      <c r="O49" s="4"/>
      <c r="P49" s="4"/>
      <c r="S49" s="2"/>
    </row>
    <row r="50" spans="3:19">
      <c r="H50" s="393" t="s">
        <v>507</v>
      </c>
      <c r="I50" s="4">
        <v>24</v>
      </c>
      <c r="J50" s="4"/>
      <c r="K50" s="4">
        <v>24</v>
      </c>
      <c r="L50" s="4"/>
      <c r="M50" s="4">
        <v>24</v>
      </c>
      <c r="N50" s="4">
        <v>24</v>
      </c>
      <c r="O50" s="4"/>
      <c r="P50" s="4"/>
      <c r="S50" s="3">
        <v>27.08</v>
      </c>
    </row>
    <row r="51" spans="3:19">
      <c r="H51" s="393" t="s">
        <v>55</v>
      </c>
      <c r="I51" s="4">
        <v>50</v>
      </c>
      <c r="J51" s="4">
        <v>5.5</v>
      </c>
      <c r="K51" s="4">
        <v>50</v>
      </c>
      <c r="L51" s="4"/>
      <c r="M51" s="4">
        <v>50</v>
      </c>
      <c r="N51" s="4"/>
      <c r="O51" s="4"/>
      <c r="P51" s="4"/>
      <c r="S51" s="3">
        <v>5.21</v>
      </c>
    </row>
    <row r="52" spans="3:19">
      <c r="H52" s="393" t="s">
        <v>539</v>
      </c>
      <c r="I52" s="169"/>
      <c r="J52" s="4"/>
      <c r="K52" s="4"/>
      <c r="M52" s="4"/>
      <c r="N52" s="4"/>
      <c r="O52" s="4"/>
      <c r="P52" s="4"/>
      <c r="S52" s="3">
        <f>SUM(S50:S51)</f>
        <v>32.29</v>
      </c>
    </row>
    <row r="53" spans="3:19">
      <c r="I53" s="2">
        <f>SUM(I44:I52)</f>
        <v>152.44</v>
      </c>
      <c r="J53" s="2">
        <f t="shared" ref="J53:K53" si="7">SUM(J44:J52)</f>
        <v>11.219999999999999</v>
      </c>
      <c r="K53" s="2">
        <f t="shared" si="7"/>
        <v>192.66</v>
      </c>
      <c r="M53" s="2">
        <f t="shared" ref="M53:P53" si="8">SUM(M44:M52)</f>
        <v>192.66</v>
      </c>
      <c r="N53" s="2">
        <f t="shared" si="8"/>
        <v>134.66</v>
      </c>
      <c r="O53" s="2">
        <f t="shared" si="8"/>
        <v>0</v>
      </c>
      <c r="P53" s="2">
        <f t="shared" si="8"/>
        <v>0</v>
      </c>
      <c r="Q53" s="413">
        <f>SUM(M53:P53)</f>
        <v>327.32</v>
      </c>
    </row>
    <row r="54" spans="3:19">
      <c r="I54" s="2">
        <f>G43-I53</f>
        <v>-120.02</v>
      </c>
    </row>
    <row r="57" spans="3:19">
      <c r="C57" s="3" t="s">
        <v>572</v>
      </c>
      <c r="F57" s="8" t="s">
        <v>607</v>
      </c>
      <c r="G57" s="4">
        <v>22.04</v>
      </c>
      <c r="I57" s="167" t="s">
        <v>577</v>
      </c>
      <c r="J57" s="2" t="s">
        <v>266</v>
      </c>
      <c r="K57" s="2" t="s">
        <v>538</v>
      </c>
      <c r="M57" s="629" t="s">
        <v>540</v>
      </c>
      <c r="N57" s="629"/>
      <c r="O57" s="629"/>
      <c r="P57" s="629"/>
    </row>
    <row r="58" spans="3:19">
      <c r="C58" s="526" t="s">
        <v>573</v>
      </c>
      <c r="G58" s="393"/>
      <c r="H58" s="393" t="s">
        <v>328</v>
      </c>
      <c r="I58" s="531"/>
      <c r="J58" s="4"/>
      <c r="K58" s="4">
        <v>0.5</v>
      </c>
      <c r="L58" s="4"/>
      <c r="M58" s="4">
        <v>0.5</v>
      </c>
      <c r="N58" s="4">
        <v>3</v>
      </c>
      <c r="O58" s="4">
        <v>3</v>
      </c>
      <c r="P58" s="4">
        <v>3</v>
      </c>
      <c r="R58" s="3" t="s">
        <v>576</v>
      </c>
      <c r="S58" s="2" t="s">
        <v>328</v>
      </c>
    </row>
    <row r="59" spans="3:19">
      <c r="C59" s="526" t="s">
        <v>574</v>
      </c>
      <c r="G59" s="393"/>
      <c r="H59" s="393" t="s">
        <v>371</v>
      </c>
      <c r="I59" s="4"/>
      <c r="J59" s="4"/>
      <c r="K59" s="4"/>
      <c r="L59" s="4"/>
      <c r="M59" s="4"/>
      <c r="N59" s="4">
        <v>51.38</v>
      </c>
      <c r="O59" s="4">
        <v>88.33</v>
      </c>
      <c r="P59" s="4">
        <v>12.1</v>
      </c>
      <c r="R59" s="3">
        <v>3.56</v>
      </c>
      <c r="S59" s="2" t="s">
        <v>506</v>
      </c>
    </row>
    <row r="60" spans="3:19">
      <c r="G60" s="167"/>
      <c r="H60" s="393" t="s">
        <v>62</v>
      </c>
      <c r="I60" s="4">
        <v>3.04</v>
      </c>
      <c r="J60" s="4"/>
      <c r="K60" s="4">
        <v>4.96</v>
      </c>
      <c r="L60" s="4"/>
      <c r="M60" s="4">
        <v>10.72</v>
      </c>
      <c r="N60" s="4">
        <v>15.73</v>
      </c>
      <c r="O60" s="4">
        <v>23.36</v>
      </c>
      <c r="P60" s="4">
        <v>6.61</v>
      </c>
      <c r="R60" s="3">
        <v>3.04</v>
      </c>
      <c r="S60" s="2" t="s">
        <v>565</v>
      </c>
    </row>
    <row r="61" spans="3:19">
      <c r="H61" s="393" t="s">
        <v>79</v>
      </c>
      <c r="I61" s="4">
        <v>4</v>
      </c>
      <c r="J61" s="4">
        <v>0.44</v>
      </c>
      <c r="K61" s="4">
        <v>4</v>
      </c>
      <c r="L61" s="4"/>
      <c r="M61" s="4">
        <v>40</v>
      </c>
      <c r="N61" s="4"/>
      <c r="O61" s="4"/>
      <c r="P61" s="4"/>
      <c r="S61" s="2"/>
    </row>
    <row r="62" spans="3:19">
      <c r="H62" s="393" t="s">
        <v>505</v>
      </c>
      <c r="I62" s="4"/>
      <c r="J62" s="4"/>
      <c r="K62" s="4"/>
      <c r="L62" s="4"/>
      <c r="M62" s="4"/>
      <c r="N62" s="4">
        <v>20</v>
      </c>
      <c r="O62" s="4">
        <v>20</v>
      </c>
      <c r="P62" s="4">
        <v>20</v>
      </c>
      <c r="S62" s="2"/>
    </row>
    <row r="63" spans="3:19">
      <c r="H63" s="393" t="s">
        <v>506</v>
      </c>
      <c r="I63" s="4"/>
      <c r="J63" s="4"/>
      <c r="K63" s="4"/>
      <c r="L63" s="4"/>
      <c r="M63" s="4"/>
      <c r="N63" s="4">
        <v>66.290000000000006</v>
      </c>
      <c r="O63" s="4">
        <v>113.97</v>
      </c>
      <c r="P63" s="4">
        <v>9.3000000000000007</v>
      </c>
      <c r="S63" s="2"/>
    </row>
    <row r="64" spans="3:19">
      <c r="H64" s="393" t="s">
        <v>507</v>
      </c>
      <c r="I64" s="531"/>
      <c r="J64" s="4"/>
      <c r="K64" s="4">
        <v>12</v>
      </c>
      <c r="L64" s="4"/>
      <c r="M64" s="4">
        <v>12</v>
      </c>
      <c r="N64" s="4">
        <v>12</v>
      </c>
      <c r="O64" s="4">
        <v>12</v>
      </c>
      <c r="P64" s="4">
        <v>12</v>
      </c>
    </row>
    <row r="65" spans="6:19">
      <c r="H65" s="393" t="s">
        <v>55</v>
      </c>
      <c r="I65" s="4">
        <v>15</v>
      </c>
      <c r="J65" s="4">
        <v>1.65</v>
      </c>
      <c r="K65" s="4">
        <v>15</v>
      </c>
      <c r="L65" s="4"/>
      <c r="M65" s="4">
        <v>15</v>
      </c>
      <c r="N65" s="4"/>
      <c r="O65" s="4"/>
      <c r="P65" s="4"/>
    </row>
    <row r="66" spans="6:19">
      <c r="H66" s="393" t="s">
        <v>539</v>
      </c>
      <c r="I66" s="169"/>
      <c r="J66" s="4"/>
      <c r="K66" s="4"/>
      <c r="M66" s="4"/>
      <c r="N66" s="4"/>
      <c r="O66" s="4"/>
      <c r="P66" s="4"/>
    </row>
    <row r="67" spans="6:19">
      <c r="I67" s="2">
        <f>SUM(I58:I66)</f>
        <v>22.04</v>
      </c>
      <c r="J67" s="2">
        <f t="shared" ref="J67:K67" si="9">SUM(J58:J66)</f>
        <v>2.09</v>
      </c>
      <c r="K67" s="2">
        <f t="shared" si="9"/>
        <v>36.46</v>
      </c>
      <c r="M67" s="2">
        <f t="shared" ref="M67:P67" si="10">SUM(M58:M66)</f>
        <v>78.22</v>
      </c>
      <c r="N67" s="2">
        <f t="shared" si="10"/>
        <v>168.4</v>
      </c>
      <c r="O67" s="2">
        <f t="shared" si="10"/>
        <v>260.65999999999997</v>
      </c>
      <c r="P67" s="2">
        <f t="shared" si="10"/>
        <v>63.010000000000005</v>
      </c>
      <c r="Q67" s="413">
        <f>SUM(M67:P67)</f>
        <v>570.29</v>
      </c>
    </row>
    <row r="68" spans="6:19">
      <c r="I68" s="2">
        <f>G57-I67</f>
        <v>0</v>
      </c>
    </row>
    <row r="71" spans="6:19">
      <c r="F71" s="8" t="s">
        <v>608</v>
      </c>
      <c r="G71" s="4">
        <v>23.2</v>
      </c>
      <c r="I71" s="167" t="s">
        <v>577</v>
      </c>
      <c r="J71" s="2" t="s">
        <v>266</v>
      </c>
      <c r="K71" s="2" t="s">
        <v>538</v>
      </c>
      <c r="M71" s="629" t="s">
        <v>540</v>
      </c>
      <c r="N71" s="629"/>
      <c r="O71" s="629"/>
      <c r="P71" s="629"/>
    </row>
    <row r="72" spans="6:19">
      <c r="G72" s="393"/>
      <c r="H72" s="393" t="s">
        <v>328</v>
      </c>
      <c r="I72" s="204"/>
      <c r="J72" s="4"/>
      <c r="K72" s="4">
        <v>0.5</v>
      </c>
      <c r="L72" s="4"/>
      <c r="M72" s="4"/>
      <c r="N72" s="4"/>
      <c r="O72" s="4"/>
      <c r="P72" s="4"/>
      <c r="R72" s="3">
        <v>0.5</v>
      </c>
      <c r="S72" s="2" t="s">
        <v>328</v>
      </c>
    </row>
    <row r="73" spans="6:19">
      <c r="G73" s="393"/>
      <c r="H73" s="393" t="s">
        <v>371</v>
      </c>
      <c r="I73" s="4"/>
      <c r="J73" s="4"/>
      <c r="K73" s="4"/>
      <c r="L73" s="4"/>
      <c r="M73" s="4"/>
      <c r="N73" s="4"/>
      <c r="O73" s="4"/>
      <c r="P73" s="4"/>
      <c r="S73" s="2" t="s">
        <v>506</v>
      </c>
    </row>
    <row r="74" spans="6:19">
      <c r="G74" s="167"/>
      <c r="H74" s="393" t="s">
        <v>62</v>
      </c>
      <c r="I74" s="4">
        <v>3.2</v>
      </c>
      <c r="J74" s="4"/>
      <c r="K74" s="4">
        <v>4.16</v>
      </c>
      <c r="L74" s="4"/>
      <c r="M74" s="4"/>
      <c r="N74" s="4"/>
      <c r="O74" s="4"/>
      <c r="P74" s="4"/>
      <c r="S74" s="2" t="s">
        <v>565</v>
      </c>
    </row>
    <row r="75" spans="6:19">
      <c r="H75" s="393" t="s">
        <v>79</v>
      </c>
      <c r="I75" s="4">
        <v>20</v>
      </c>
      <c r="J75" s="4">
        <v>2.2000000000000002</v>
      </c>
      <c r="K75" s="4">
        <v>20</v>
      </c>
      <c r="L75" s="4"/>
      <c r="M75" s="4"/>
      <c r="N75" s="4"/>
      <c r="O75" s="4"/>
      <c r="P75" s="4"/>
      <c r="S75" s="2"/>
    </row>
    <row r="76" spans="6:19">
      <c r="H76" s="393" t="s">
        <v>505</v>
      </c>
      <c r="I76" s="4"/>
      <c r="J76" s="4"/>
      <c r="K76" s="4"/>
      <c r="L76" s="4"/>
      <c r="M76" s="4"/>
      <c r="N76" s="4"/>
      <c r="O76" s="4"/>
      <c r="P76" s="4"/>
      <c r="S76" s="2"/>
    </row>
    <row r="77" spans="6:19">
      <c r="H77" s="393" t="s">
        <v>506</v>
      </c>
      <c r="I77" s="4"/>
      <c r="J77" s="4"/>
      <c r="K77" s="4"/>
      <c r="L77" s="4"/>
      <c r="M77" s="4"/>
      <c r="N77" s="4"/>
      <c r="O77" s="4"/>
      <c r="P77" s="4"/>
      <c r="S77" s="2"/>
    </row>
    <row r="78" spans="6:19">
      <c r="H78" s="393" t="s">
        <v>507</v>
      </c>
      <c r="I78" s="531"/>
      <c r="J78" s="4"/>
      <c r="K78" s="4">
        <v>12</v>
      </c>
      <c r="L78" s="4"/>
      <c r="M78" s="4">
        <v>12</v>
      </c>
      <c r="N78" s="4"/>
      <c r="O78" s="4"/>
      <c r="P78" s="4"/>
    </row>
    <row r="79" spans="6:19">
      <c r="H79" s="393" t="s">
        <v>55</v>
      </c>
      <c r="I79" s="531"/>
      <c r="J79" s="4"/>
      <c r="K79" s="4"/>
      <c r="L79" s="4"/>
      <c r="M79" s="4"/>
      <c r="N79" s="4"/>
      <c r="O79" s="4"/>
      <c r="P79" s="4"/>
    </row>
    <row r="80" spans="6:19">
      <c r="H80" s="393" t="s">
        <v>539</v>
      </c>
      <c r="I80" s="169"/>
      <c r="J80" s="4"/>
      <c r="K80" s="4"/>
      <c r="M80" s="4"/>
      <c r="N80" s="4"/>
      <c r="O80" s="4"/>
      <c r="P80" s="4"/>
    </row>
    <row r="81" spans="3:19">
      <c r="I81" s="2">
        <f>SUM(I72:I80)</f>
        <v>23.2</v>
      </c>
      <c r="J81" s="2">
        <f t="shared" ref="J81:K81" si="11">SUM(J72:J80)</f>
        <v>2.2000000000000002</v>
      </c>
      <c r="K81" s="2">
        <f t="shared" si="11"/>
        <v>36.659999999999997</v>
      </c>
      <c r="M81" s="2">
        <f t="shared" ref="M81:P81" si="12">SUM(M72:M80)</f>
        <v>12</v>
      </c>
      <c r="N81" s="2">
        <f t="shared" si="12"/>
        <v>0</v>
      </c>
      <c r="O81" s="2">
        <f t="shared" si="12"/>
        <v>0</v>
      </c>
      <c r="P81" s="2">
        <f t="shared" si="12"/>
        <v>0</v>
      </c>
      <c r="Q81" s="413">
        <f>SUM(M81:P81)</f>
        <v>12</v>
      </c>
    </row>
    <row r="82" spans="3:19">
      <c r="I82" s="2">
        <f>G71-I81</f>
        <v>0</v>
      </c>
    </row>
    <row r="84" spans="3:19">
      <c r="C84" s="3" t="s">
        <v>617</v>
      </c>
      <c r="F84" s="8" t="s">
        <v>609</v>
      </c>
      <c r="G84" s="4">
        <v>393.12</v>
      </c>
      <c r="I84" s="167" t="s">
        <v>577</v>
      </c>
      <c r="J84" s="2" t="s">
        <v>266</v>
      </c>
      <c r="K84" s="2" t="s">
        <v>538</v>
      </c>
      <c r="M84" s="629" t="s">
        <v>540</v>
      </c>
      <c r="N84" s="629"/>
      <c r="O84" s="629"/>
      <c r="P84" s="629"/>
    </row>
    <row r="85" spans="3:19">
      <c r="C85" s="9" t="s">
        <v>579</v>
      </c>
      <c r="G85" s="393"/>
      <c r="H85" s="393" t="s">
        <v>328</v>
      </c>
      <c r="I85" s="204"/>
      <c r="J85" s="4"/>
      <c r="K85" s="4">
        <v>3</v>
      </c>
      <c r="L85" s="4"/>
      <c r="M85" s="4"/>
      <c r="N85" s="4"/>
      <c r="O85" s="4"/>
      <c r="P85" s="4"/>
      <c r="R85" s="3" t="s">
        <v>563</v>
      </c>
      <c r="S85" s="2" t="s">
        <v>328</v>
      </c>
    </row>
    <row r="86" spans="3:19">
      <c r="C86" s="526" t="s">
        <v>580</v>
      </c>
      <c r="G86" s="393"/>
      <c r="H86" s="393" t="s">
        <v>371</v>
      </c>
      <c r="I86" s="4"/>
      <c r="J86" s="4"/>
      <c r="K86" s="4"/>
      <c r="L86" s="4"/>
      <c r="M86" s="4"/>
      <c r="N86" s="4"/>
      <c r="O86" s="4"/>
      <c r="P86" s="4"/>
      <c r="R86" s="3">
        <v>189.29</v>
      </c>
      <c r="S86" s="2" t="s">
        <v>506</v>
      </c>
    </row>
    <row r="87" spans="3:19">
      <c r="C87" s="526" t="s">
        <v>581</v>
      </c>
      <c r="G87" s="167"/>
      <c r="H87" s="393" t="s">
        <v>62</v>
      </c>
      <c r="I87" s="4">
        <v>48.43</v>
      </c>
      <c r="J87" s="4"/>
      <c r="K87" s="4">
        <v>55.15</v>
      </c>
      <c r="L87" s="4"/>
      <c r="M87" s="4"/>
      <c r="N87" s="4"/>
      <c r="O87" s="4"/>
      <c r="P87" s="4"/>
      <c r="R87" s="3">
        <v>48.43</v>
      </c>
      <c r="S87" s="2" t="s">
        <v>565</v>
      </c>
    </row>
    <row r="88" spans="3:19">
      <c r="C88" s="9" t="s">
        <v>582</v>
      </c>
      <c r="H88" s="393" t="s">
        <v>79</v>
      </c>
      <c r="I88" s="4"/>
      <c r="J88" s="4"/>
      <c r="K88" s="4"/>
      <c r="L88" s="4"/>
      <c r="M88" s="4"/>
      <c r="N88" s="4"/>
      <c r="O88" s="4"/>
      <c r="P88" s="4"/>
      <c r="S88" s="2"/>
    </row>
    <row r="89" spans="3:19">
      <c r="C89" s="9" t="s">
        <v>583</v>
      </c>
      <c r="H89" s="393" t="s">
        <v>505</v>
      </c>
      <c r="I89" s="4"/>
      <c r="J89" s="4"/>
      <c r="K89" s="4">
        <v>20</v>
      </c>
      <c r="L89" s="4"/>
      <c r="M89" s="4"/>
      <c r="N89" s="4"/>
      <c r="O89" s="4"/>
      <c r="P89" s="4"/>
      <c r="S89" s="2"/>
    </row>
    <row r="90" spans="3:19">
      <c r="C90" s="9" t="s">
        <v>584</v>
      </c>
      <c r="H90" s="393" t="s">
        <v>506</v>
      </c>
      <c r="I90" s="4">
        <v>222.7</v>
      </c>
      <c r="J90" s="4">
        <v>33.409999999999997</v>
      </c>
      <c r="K90" s="4">
        <v>202.71</v>
      </c>
      <c r="L90" s="4"/>
      <c r="M90" s="4"/>
      <c r="N90" s="4"/>
      <c r="O90" s="4"/>
      <c r="P90" s="4"/>
      <c r="S90" s="2"/>
    </row>
    <row r="91" spans="3:19">
      <c r="C91" s="9" t="s">
        <v>585</v>
      </c>
      <c r="H91" s="393" t="s">
        <v>507</v>
      </c>
      <c r="I91" s="4">
        <v>42</v>
      </c>
      <c r="J91" s="4"/>
      <c r="K91" s="4">
        <v>42</v>
      </c>
      <c r="L91" s="4"/>
      <c r="M91" s="4"/>
      <c r="N91" s="4"/>
      <c r="O91" s="4"/>
      <c r="P91" s="4"/>
    </row>
    <row r="92" spans="3:19">
      <c r="C92" s="9" t="s">
        <v>586</v>
      </c>
      <c r="H92" s="393" t="s">
        <v>55</v>
      </c>
      <c r="I92" s="4">
        <v>80</v>
      </c>
      <c r="J92" s="4">
        <v>8.8000000000000007</v>
      </c>
      <c r="K92" s="4">
        <v>80</v>
      </c>
      <c r="L92" s="4"/>
      <c r="M92" s="4"/>
      <c r="N92" s="4"/>
      <c r="O92" s="4"/>
      <c r="P92" s="4"/>
    </row>
    <row r="93" spans="3:19">
      <c r="C93" s="9" t="s">
        <v>587</v>
      </c>
      <c r="H93" s="393" t="s">
        <v>539</v>
      </c>
      <c r="I93" s="169"/>
      <c r="J93" s="4"/>
      <c r="K93" s="4"/>
      <c r="M93" s="4"/>
      <c r="N93" s="4"/>
      <c r="O93" s="4"/>
      <c r="P93" s="4"/>
    </row>
    <row r="94" spans="3:19">
      <c r="C94" s="9" t="s">
        <v>588</v>
      </c>
      <c r="I94" s="2">
        <f>SUM(I85:I93)</f>
        <v>393.13</v>
      </c>
      <c r="J94" s="2">
        <f t="shared" ref="J94:K94" si="13">SUM(J85:J93)</f>
        <v>42.209999999999994</v>
      </c>
      <c r="K94" s="2">
        <f t="shared" si="13"/>
        <v>402.86</v>
      </c>
      <c r="M94" s="2">
        <f t="shared" ref="M94:P94" si="14">SUM(M85:M93)</f>
        <v>0</v>
      </c>
      <c r="N94" s="2">
        <f t="shared" si="14"/>
        <v>0</v>
      </c>
      <c r="O94" s="2">
        <f t="shared" si="14"/>
        <v>0</v>
      </c>
      <c r="P94" s="2">
        <f t="shared" si="14"/>
        <v>0</v>
      </c>
      <c r="Q94" s="413">
        <f>SUM(M94:P94)</f>
        <v>0</v>
      </c>
    </row>
    <row r="95" spans="3:19">
      <c r="C95" s="9" t="s">
        <v>589</v>
      </c>
      <c r="I95" s="2">
        <f>G84-I94</f>
        <v>-9.9999999999909051E-3</v>
      </c>
    </row>
    <row r="98" spans="3:19">
      <c r="C98" s="3" t="s">
        <v>620</v>
      </c>
      <c r="F98" s="8" t="s">
        <v>610</v>
      </c>
      <c r="G98" s="4">
        <v>431.3</v>
      </c>
      <c r="I98" s="167" t="s">
        <v>577</v>
      </c>
      <c r="J98" s="2" t="s">
        <v>266</v>
      </c>
      <c r="K98" s="2" t="s">
        <v>538</v>
      </c>
      <c r="M98" s="629" t="s">
        <v>540</v>
      </c>
      <c r="N98" s="629"/>
      <c r="O98" s="629"/>
      <c r="P98" s="629"/>
    </row>
    <row r="99" spans="3:19">
      <c r="C99" s="9" t="s">
        <v>579</v>
      </c>
      <c r="G99" s="393"/>
      <c r="H99" s="393" t="s">
        <v>328</v>
      </c>
      <c r="I99" s="4">
        <v>3</v>
      </c>
      <c r="J99" s="4"/>
      <c r="K99" s="4">
        <v>3</v>
      </c>
      <c r="L99" s="4"/>
      <c r="M99" s="4"/>
      <c r="N99" s="4"/>
      <c r="O99" s="4"/>
      <c r="P99" s="4"/>
      <c r="R99" s="3" t="s">
        <v>563</v>
      </c>
      <c r="S99" s="2" t="s">
        <v>328</v>
      </c>
    </row>
    <row r="100" spans="3:19">
      <c r="C100" s="526" t="s">
        <v>580</v>
      </c>
      <c r="G100" s="393"/>
      <c r="H100" s="393" t="s">
        <v>371</v>
      </c>
      <c r="I100" s="204"/>
      <c r="J100" s="4"/>
      <c r="K100" s="204"/>
      <c r="L100" s="4"/>
      <c r="M100" s="4"/>
      <c r="N100" s="4"/>
      <c r="O100" s="4"/>
      <c r="P100" s="4"/>
      <c r="R100" s="3">
        <v>202</v>
      </c>
      <c r="S100" s="2" t="s">
        <v>506</v>
      </c>
    </row>
    <row r="101" spans="3:19">
      <c r="C101" s="526" t="s">
        <v>581</v>
      </c>
      <c r="G101" s="167"/>
      <c r="H101" s="393" t="s">
        <v>62</v>
      </c>
      <c r="I101" s="4">
        <v>52.42</v>
      </c>
      <c r="J101" s="4"/>
      <c r="K101" s="4">
        <v>60.58</v>
      </c>
      <c r="L101" s="4"/>
      <c r="M101" s="4"/>
      <c r="N101" s="4"/>
      <c r="O101" s="4"/>
      <c r="P101" s="4"/>
      <c r="R101" s="3">
        <v>52.42</v>
      </c>
      <c r="S101" s="2" t="s">
        <v>565</v>
      </c>
    </row>
    <row r="102" spans="3:19">
      <c r="C102" s="9" t="s">
        <v>582</v>
      </c>
      <c r="H102" s="393" t="s">
        <v>79</v>
      </c>
      <c r="I102" s="4"/>
      <c r="J102" s="4"/>
      <c r="K102" s="4"/>
      <c r="L102" s="4"/>
      <c r="M102" s="4"/>
      <c r="N102" s="4"/>
      <c r="O102" s="4"/>
      <c r="P102" s="4"/>
      <c r="S102" s="2"/>
    </row>
    <row r="103" spans="3:19">
      <c r="C103" s="9" t="s">
        <v>583</v>
      </c>
      <c r="H103" s="393" t="s">
        <v>505</v>
      </c>
      <c r="I103" s="4"/>
      <c r="J103" s="4"/>
      <c r="K103" s="4">
        <v>20</v>
      </c>
      <c r="L103" s="4"/>
      <c r="M103" s="4"/>
      <c r="N103" s="4"/>
      <c r="O103" s="4"/>
      <c r="P103" s="4"/>
      <c r="R103" s="3">
        <v>141.47</v>
      </c>
      <c r="S103" s="2"/>
    </row>
    <row r="104" spans="3:19">
      <c r="C104" s="9" t="s">
        <v>584</v>
      </c>
      <c r="H104" s="393" t="s">
        <v>506</v>
      </c>
      <c r="I104" s="4">
        <f>R100+J104</f>
        <v>237.65</v>
      </c>
      <c r="J104" s="4">
        <v>35.65</v>
      </c>
      <c r="K104" s="4">
        <v>217.65</v>
      </c>
      <c r="L104" s="4"/>
      <c r="M104" s="4"/>
      <c r="N104" s="4"/>
      <c r="O104" s="4"/>
      <c r="P104" s="4"/>
      <c r="R104" s="3">
        <v>27.21</v>
      </c>
      <c r="S104" s="2"/>
    </row>
    <row r="105" spans="3:19">
      <c r="C105" s="9" t="s">
        <v>585</v>
      </c>
      <c r="H105" s="393" t="s">
        <v>507</v>
      </c>
      <c r="I105" s="4">
        <v>48</v>
      </c>
      <c r="J105" s="4"/>
      <c r="K105" s="4">
        <v>48</v>
      </c>
      <c r="L105" s="4"/>
      <c r="M105" s="4"/>
      <c r="N105" s="4"/>
      <c r="O105" s="4"/>
      <c r="P105" s="4"/>
      <c r="R105" s="544">
        <f>SUM(R103:R104)</f>
        <v>168.68</v>
      </c>
    </row>
    <row r="106" spans="3:19">
      <c r="C106" s="9" t="s">
        <v>586</v>
      </c>
      <c r="H106" s="393" t="s">
        <v>55</v>
      </c>
      <c r="I106" s="4">
        <v>90</v>
      </c>
      <c r="J106" s="4">
        <v>9.9</v>
      </c>
      <c r="K106" s="4">
        <v>90</v>
      </c>
      <c r="L106" s="4"/>
      <c r="M106" s="4"/>
      <c r="N106" s="4"/>
      <c r="O106" s="4"/>
      <c r="P106" s="4"/>
    </row>
    <row r="107" spans="3:19">
      <c r="C107" s="9" t="s">
        <v>587</v>
      </c>
      <c r="H107" s="543" t="s">
        <v>539</v>
      </c>
      <c r="I107" s="199">
        <v>0.23</v>
      </c>
      <c r="J107" s="4"/>
      <c r="K107" s="4"/>
      <c r="M107" s="4"/>
      <c r="N107" s="4"/>
      <c r="O107" s="4"/>
      <c r="P107" s="4"/>
    </row>
    <row r="108" spans="3:19">
      <c r="C108" s="9" t="s">
        <v>588</v>
      </c>
      <c r="I108" s="2">
        <f>SUM(I99:I107)</f>
        <v>431.3</v>
      </c>
      <c r="J108" s="2">
        <f t="shared" ref="J108:K108" si="15">SUM(J99:J107)</f>
        <v>45.55</v>
      </c>
      <c r="K108" s="2">
        <f t="shared" si="15"/>
        <v>439.23</v>
      </c>
      <c r="M108" s="2">
        <f t="shared" ref="M108:P108" si="16">SUM(M99:M107)</f>
        <v>0</v>
      </c>
      <c r="N108" s="2">
        <f t="shared" si="16"/>
        <v>0</v>
      </c>
      <c r="O108" s="2">
        <f t="shared" si="16"/>
        <v>0</v>
      </c>
      <c r="P108" s="2">
        <f t="shared" si="16"/>
        <v>0</v>
      </c>
      <c r="Q108" s="413">
        <f>SUM(M108:P108)</f>
        <v>0</v>
      </c>
    </row>
    <row r="109" spans="3:19">
      <c r="C109" s="9" t="s">
        <v>589</v>
      </c>
      <c r="I109" s="2">
        <f>G98-I108</f>
        <v>0</v>
      </c>
    </row>
    <row r="110" spans="3:19">
      <c r="C110" s="3" t="s">
        <v>618</v>
      </c>
    </row>
    <row r="112" spans="3:19">
      <c r="C112" s="3" t="s">
        <v>620</v>
      </c>
      <c r="F112" s="8" t="s">
        <v>611</v>
      </c>
      <c r="G112" s="4">
        <v>1154.05</v>
      </c>
      <c r="I112" s="167" t="s">
        <v>577</v>
      </c>
      <c r="J112" s="2" t="s">
        <v>266</v>
      </c>
      <c r="K112" s="2" t="s">
        <v>538</v>
      </c>
      <c r="M112" s="629" t="s">
        <v>540</v>
      </c>
      <c r="N112" s="629"/>
      <c r="O112" s="629"/>
      <c r="P112" s="629"/>
    </row>
    <row r="113" spans="3:19">
      <c r="C113" s="9" t="s">
        <v>579</v>
      </c>
      <c r="G113" s="393"/>
      <c r="H113" s="393" t="s">
        <v>328</v>
      </c>
      <c r="I113" s="531"/>
      <c r="J113" s="4"/>
      <c r="K113" s="4"/>
      <c r="L113" s="4"/>
      <c r="M113" s="4"/>
      <c r="N113" s="4"/>
      <c r="O113" s="4"/>
      <c r="P113" s="4"/>
      <c r="R113" s="3" t="s">
        <v>563</v>
      </c>
      <c r="S113" s="2" t="s">
        <v>328</v>
      </c>
    </row>
    <row r="114" spans="3:19">
      <c r="C114" s="526" t="s">
        <v>580</v>
      </c>
      <c r="G114" s="393"/>
      <c r="H114" s="393" t="s">
        <v>371</v>
      </c>
      <c r="I114" s="204"/>
      <c r="J114" s="4"/>
      <c r="K114" s="204"/>
      <c r="L114" s="4"/>
      <c r="M114" s="4"/>
      <c r="N114" s="4"/>
      <c r="O114" s="4"/>
      <c r="P114" s="4"/>
      <c r="R114" s="3">
        <v>731.6</v>
      </c>
      <c r="S114" s="2" t="s">
        <v>506</v>
      </c>
    </row>
    <row r="115" spans="3:19">
      <c r="C115" s="526" t="s">
        <v>581</v>
      </c>
      <c r="G115" s="167"/>
      <c r="H115" s="393" t="s">
        <v>62</v>
      </c>
      <c r="I115" s="4">
        <v>152.11000000000001</v>
      </c>
      <c r="J115" s="4"/>
      <c r="K115" s="4">
        <v>159.79</v>
      </c>
      <c r="L115" s="4"/>
      <c r="M115" s="4"/>
      <c r="N115" s="4"/>
      <c r="O115" s="4"/>
      <c r="P115" s="4"/>
      <c r="R115" s="3">
        <v>152.11000000000001</v>
      </c>
      <c r="S115" s="2" t="s">
        <v>565</v>
      </c>
    </row>
    <row r="116" spans="3:19">
      <c r="C116" s="9" t="s">
        <v>582</v>
      </c>
      <c r="H116" s="393" t="s">
        <v>79</v>
      </c>
      <c r="I116" s="4"/>
      <c r="J116" s="4"/>
      <c r="K116" s="4"/>
      <c r="L116" s="4"/>
      <c r="M116" s="4"/>
      <c r="N116" s="4"/>
      <c r="O116" s="4"/>
      <c r="P116" s="4"/>
      <c r="S116" s="2"/>
    </row>
    <row r="117" spans="3:19">
      <c r="C117" s="9" t="s">
        <v>583</v>
      </c>
      <c r="H117" s="393" t="s">
        <v>505</v>
      </c>
      <c r="I117" s="204"/>
      <c r="J117" s="4"/>
      <c r="K117" s="4">
        <v>20</v>
      </c>
      <c r="L117" s="4"/>
      <c r="M117" s="4"/>
      <c r="N117" s="4"/>
      <c r="O117" s="4"/>
      <c r="P117" s="4"/>
      <c r="R117" s="3">
        <v>546.46</v>
      </c>
      <c r="S117" s="2"/>
    </row>
    <row r="118" spans="3:19">
      <c r="C118" s="9" t="s">
        <v>584</v>
      </c>
      <c r="H118" s="393" t="s">
        <v>506</v>
      </c>
      <c r="I118" s="204">
        <f>J118+R114</f>
        <v>883.71</v>
      </c>
      <c r="J118" s="4">
        <v>152.11000000000001</v>
      </c>
      <c r="K118" s="4">
        <v>840.7</v>
      </c>
      <c r="L118" s="4"/>
      <c r="M118" s="4"/>
      <c r="N118" s="4"/>
      <c r="O118" s="4"/>
      <c r="P118" s="4"/>
      <c r="R118" s="3">
        <v>105.09</v>
      </c>
      <c r="S118" s="2"/>
    </row>
    <row r="119" spans="3:19">
      <c r="C119" s="9" t="s">
        <v>585</v>
      </c>
      <c r="H119" s="393" t="s">
        <v>507</v>
      </c>
      <c r="I119" s="4">
        <v>48</v>
      </c>
      <c r="J119" s="4"/>
      <c r="K119" s="4">
        <v>48</v>
      </c>
      <c r="L119" s="4"/>
      <c r="M119" s="4"/>
      <c r="N119" s="4"/>
      <c r="O119" s="4"/>
      <c r="P119" s="4"/>
      <c r="R119" s="544">
        <f>SUM(R117:R118)</f>
        <v>651.55000000000007</v>
      </c>
    </row>
    <row r="120" spans="3:19">
      <c r="C120" s="9" t="s">
        <v>586</v>
      </c>
      <c r="H120" s="393" t="s">
        <v>55</v>
      </c>
      <c r="I120" s="4">
        <v>90</v>
      </c>
      <c r="J120" s="4">
        <v>9.9</v>
      </c>
      <c r="K120" s="4">
        <v>90</v>
      </c>
      <c r="L120" s="4"/>
      <c r="M120" s="4"/>
      <c r="N120" s="4"/>
      <c r="O120" s="4"/>
      <c r="P120" s="4"/>
    </row>
    <row r="121" spans="3:19">
      <c r="C121" s="9" t="s">
        <v>587</v>
      </c>
      <c r="H121" s="543" t="s">
        <v>539</v>
      </c>
      <c r="I121" s="199">
        <v>-19.77</v>
      </c>
      <c r="J121" s="4"/>
      <c r="K121" s="4"/>
      <c r="M121" s="4"/>
      <c r="N121" s="4"/>
      <c r="O121" s="4"/>
      <c r="P121" s="4"/>
      <c r="R121" s="2"/>
    </row>
    <row r="122" spans="3:19">
      <c r="C122" s="9" t="s">
        <v>588</v>
      </c>
      <c r="I122" s="2">
        <f>SUM(I113:I121)</f>
        <v>1154.0500000000002</v>
      </c>
      <c r="J122" s="2">
        <f t="shared" ref="J122:K122" si="17">SUM(J113:J121)</f>
        <v>162.01000000000002</v>
      </c>
      <c r="K122" s="2">
        <f t="shared" si="17"/>
        <v>1158.49</v>
      </c>
      <c r="M122" s="2">
        <f t="shared" ref="M122:P122" si="18">SUM(M113:M121)</f>
        <v>0</v>
      </c>
      <c r="N122" s="2">
        <f t="shared" si="18"/>
        <v>0</v>
      </c>
      <c r="O122" s="2">
        <f t="shared" si="18"/>
        <v>0</v>
      </c>
      <c r="P122" s="2">
        <f t="shared" si="18"/>
        <v>0</v>
      </c>
      <c r="Q122" s="413">
        <f>SUM(M122:P122)</f>
        <v>0</v>
      </c>
    </row>
    <row r="123" spans="3:19">
      <c r="C123" s="9" t="s">
        <v>589</v>
      </c>
      <c r="I123" s="2">
        <f>G112-I122</f>
        <v>0</v>
      </c>
    </row>
    <row r="124" spans="3:19">
      <c r="C124" s="3" t="s">
        <v>618</v>
      </c>
    </row>
    <row r="127" spans="3:19">
      <c r="C127" s="3" t="s">
        <v>621</v>
      </c>
      <c r="F127" s="8" t="s">
        <v>612</v>
      </c>
      <c r="G127" s="4">
        <v>666.44</v>
      </c>
      <c r="I127" s="167" t="s">
        <v>577</v>
      </c>
      <c r="J127" s="2" t="s">
        <v>266</v>
      </c>
      <c r="K127" s="2" t="s">
        <v>538</v>
      </c>
      <c r="M127" s="629" t="s">
        <v>540</v>
      </c>
      <c r="N127" s="629"/>
      <c r="O127" s="629"/>
      <c r="P127" s="629"/>
    </row>
    <row r="128" spans="3:19">
      <c r="C128" s="9" t="s">
        <v>579</v>
      </c>
      <c r="G128" s="393"/>
      <c r="H128" s="393" t="s">
        <v>328</v>
      </c>
      <c r="I128" s="4">
        <v>3</v>
      </c>
      <c r="J128" s="4"/>
      <c r="K128" s="4">
        <v>3</v>
      </c>
      <c r="L128" s="4"/>
      <c r="M128" s="4"/>
      <c r="N128" s="4"/>
      <c r="O128" s="4"/>
      <c r="P128" s="4"/>
      <c r="R128" s="3" t="s">
        <v>563</v>
      </c>
      <c r="S128" s="2" t="s">
        <v>328</v>
      </c>
    </row>
    <row r="129" spans="3:19">
      <c r="C129" s="526" t="s">
        <v>580</v>
      </c>
      <c r="G129" s="393"/>
      <c r="H129" s="393" t="s">
        <v>371</v>
      </c>
      <c r="I129" s="204"/>
      <c r="J129" s="4"/>
      <c r="K129" s="204"/>
      <c r="L129" s="4"/>
      <c r="M129" s="4"/>
      <c r="N129" s="4"/>
      <c r="O129" s="4"/>
      <c r="P129" s="4"/>
      <c r="R129" s="3">
        <v>374.3</v>
      </c>
      <c r="S129" s="2" t="s">
        <v>506</v>
      </c>
    </row>
    <row r="130" spans="3:19">
      <c r="C130" s="526" t="s">
        <v>581</v>
      </c>
      <c r="G130" s="167"/>
      <c r="H130" s="393" t="s">
        <v>62</v>
      </c>
      <c r="I130" s="4">
        <v>84.86</v>
      </c>
      <c r="J130" s="4"/>
      <c r="K130" s="4">
        <v>92.54</v>
      </c>
      <c r="L130" s="4"/>
      <c r="M130" s="4"/>
      <c r="N130" s="4"/>
      <c r="O130" s="4"/>
      <c r="P130" s="4"/>
      <c r="R130" s="3">
        <v>84.86</v>
      </c>
      <c r="S130" s="2" t="s">
        <v>565</v>
      </c>
    </row>
    <row r="131" spans="3:19">
      <c r="C131" s="9" t="s">
        <v>582</v>
      </c>
      <c r="H131" s="393" t="s">
        <v>79</v>
      </c>
      <c r="I131" s="4"/>
      <c r="J131" s="4"/>
      <c r="K131" s="4"/>
      <c r="L131" s="4"/>
      <c r="M131" s="4"/>
      <c r="N131" s="4"/>
      <c r="O131" s="4"/>
      <c r="P131" s="4"/>
      <c r="S131" s="2"/>
    </row>
    <row r="132" spans="3:19">
      <c r="C132" s="9" t="s">
        <v>583</v>
      </c>
      <c r="H132" s="393" t="s">
        <v>505</v>
      </c>
      <c r="I132" s="204"/>
      <c r="J132" s="4"/>
      <c r="K132" s="4">
        <v>20</v>
      </c>
      <c r="L132" s="4"/>
      <c r="M132" s="4"/>
      <c r="N132" s="4"/>
      <c r="O132" s="4"/>
      <c r="P132" s="4"/>
      <c r="R132" s="3">
        <f>136.61*2</f>
        <v>273.22000000000003</v>
      </c>
      <c r="S132" s="2"/>
    </row>
    <row r="133" spans="3:19">
      <c r="C133" s="9" t="s">
        <v>584</v>
      </c>
      <c r="H133" s="393" t="s">
        <v>506</v>
      </c>
      <c r="I133" s="204">
        <f>R129+J133</f>
        <v>440.35</v>
      </c>
      <c r="J133" s="4">
        <v>66.05</v>
      </c>
      <c r="K133" s="4">
        <v>420.35</v>
      </c>
      <c r="L133" s="4"/>
      <c r="M133" s="4"/>
      <c r="N133" s="4"/>
      <c r="O133" s="4"/>
      <c r="P133" s="4"/>
      <c r="R133" s="3">
        <f>26.27*2</f>
        <v>52.54</v>
      </c>
      <c r="S133" s="2"/>
    </row>
    <row r="134" spans="3:19">
      <c r="C134" s="9" t="s">
        <v>585</v>
      </c>
      <c r="H134" s="393" t="s">
        <v>507</v>
      </c>
      <c r="I134" s="4">
        <v>48</v>
      </c>
      <c r="J134" s="4"/>
      <c r="K134" s="4">
        <v>48</v>
      </c>
      <c r="L134" s="4"/>
      <c r="M134" s="4"/>
      <c r="N134" s="4"/>
      <c r="O134" s="4"/>
      <c r="P134" s="4"/>
      <c r="R134" s="544">
        <f>SUM(R132:R133)</f>
        <v>325.76000000000005</v>
      </c>
    </row>
    <row r="135" spans="3:19">
      <c r="C135" s="9" t="s">
        <v>586</v>
      </c>
      <c r="H135" s="393" t="s">
        <v>55</v>
      </c>
      <c r="I135" s="4">
        <v>90</v>
      </c>
      <c r="J135" s="4">
        <v>9.9</v>
      </c>
      <c r="K135" s="4">
        <v>90</v>
      </c>
      <c r="L135" s="4"/>
      <c r="M135" s="4"/>
      <c r="N135" s="4"/>
      <c r="O135" s="4"/>
      <c r="P135" s="4"/>
    </row>
    <row r="136" spans="3:19">
      <c r="C136" s="9" t="s">
        <v>587</v>
      </c>
      <c r="H136" s="543" t="s">
        <v>539</v>
      </c>
      <c r="I136" s="545">
        <v>0.23</v>
      </c>
      <c r="J136" s="4"/>
      <c r="K136" s="4"/>
      <c r="M136" s="4"/>
      <c r="N136" s="4"/>
      <c r="O136" s="4"/>
      <c r="P136" s="4"/>
      <c r="R136" s="2"/>
    </row>
    <row r="137" spans="3:19">
      <c r="C137" s="9" t="s">
        <v>588</v>
      </c>
      <c r="I137" s="2">
        <f>SUM(I128:I136)</f>
        <v>666.44</v>
      </c>
      <c r="J137" s="2">
        <f t="shared" ref="J137:K137" si="19">SUM(J128:J136)</f>
        <v>75.95</v>
      </c>
      <c r="K137" s="2">
        <f t="shared" si="19"/>
        <v>673.89</v>
      </c>
      <c r="M137" s="2">
        <f t="shared" ref="M137:P137" si="20">SUM(M128:M136)</f>
        <v>0</v>
      </c>
      <c r="N137" s="2">
        <f t="shared" si="20"/>
        <v>0</v>
      </c>
      <c r="O137" s="2">
        <f t="shared" si="20"/>
        <v>0</v>
      </c>
      <c r="P137" s="2">
        <f t="shared" si="20"/>
        <v>0</v>
      </c>
      <c r="Q137" s="413">
        <f>SUM(M137:P137)</f>
        <v>0</v>
      </c>
    </row>
    <row r="138" spans="3:19">
      <c r="C138" s="9" t="s">
        <v>589</v>
      </c>
      <c r="I138" s="2">
        <f>G127-I137</f>
        <v>0</v>
      </c>
    </row>
    <row r="139" spans="3:19">
      <c r="C139" s="3" t="s">
        <v>619</v>
      </c>
    </row>
    <row r="141" spans="3:19">
      <c r="C141" s="3" t="s">
        <v>620</v>
      </c>
      <c r="F141" s="8" t="s">
        <v>613</v>
      </c>
      <c r="G141" s="4">
        <v>1154.05</v>
      </c>
      <c r="I141" s="167" t="s">
        <v>577</v>
      </c>
      <c r="J141" s="2" t="s">
        <v>266</v>
      </c>
      <c r="K141" s="2" t="s">
        <v>538</v>
      </c>
      <c r="M141" s="629" t="s">
        <v>540</v>
      </c>
      <c r="N141" s="629"/>
      <c r="O141" s="629"/>
      <c r="P141" s="629"/>
    </row>
    <row r="142" spans="3:19">
      <c r="C142" s="9" t="s">
        <v>579</v>
      </c>
      <c r="G142" s="393"/>
      <c r="H142" s="393" t="s">
        <v>328</v>
      </c>
      <c r="I142" s="4">
        <v>3</v>
      </c>
      <c r="J142" s="4"/>
      <c r="K142" s="4">
        <v>3</v>
      </c>
      <c r="L142" s="4"/>
      <c r="M142" s="4"/>
      <c r="N142" s="4"/>
      <c r="O142" s="4"/>
      <c r="P142" s="4"/>
      <c r="R142" s="3" t="s">
        <v>563</v>
      </c>
      <c r="S142" s="2" t="s">
        <v>328</v>
      </c>
    </row>
    <row r="143" spans="3:19">
      <c r="C143" s="526" t="s">
        <v>580</v>
      </c>
      <c r="G143" s="393"/>
      <c r="H143" s="393" t="s">
        <v>371</v>
      </c>
      <c r="I143" s="204"/>
      <c r="J143" s="4"/>
      <c r="K143" s="204"/>
      <c r="L143" s="4"/>
      <c r="M143" s="4"/>
      <c r="N143" s="4"/>
      <c r="O143" s="4"/>
      <c r="P143" s="4"/>
      <c r="R143" s="3">
        <v>731.6</v>
      </c>
      <c r="S143" s="2" t="s">
        <v>506</v>
      </c>
    </row>
    <row r="144" spans="3:19">
      <c r="C144" s="526" t="s">
        <v>581</v>
      </c>
      <c r="G144" s="167"/>
      <c r="H144" s="393" t="s">
        <v>62</v>
      </c>
      <c r="I144" s="4">
        <v>152.11000000000001</v>
      </c>
      <c r="J144" s="4"/>
      <c r="K144" s="4">
        <v>159.79</v>
      </c>
      <c r="L144" s="4"/>
      <c r="M144" s="4"/>
      <c r="N144" s="4"/>
      <c r="O144" s="4"/>
      <c r="P144" s="4"/>
      <c r="R144" s="3">
        <v>152.11000000000001</v>
      </c>
      <c r="S144" s="2" t="s">
        <v>565</v>
      </c>
    </row>
    <row r="145" spans="3:19">
      <c r="C145" s="9" t="s">
        <v>582</v>
      </c>
      <c r="H145" s="393" t="s">
        <v>79</v>
      </c>
      <c r="I145" s="4"/>
      <c r="J145" s="4"/>
      <c r="K145" s="4"/>
      <c r="L145" s="4"/>
      <c r="M145" s="4"/>
      <c r="N145" s="4"/>
      <c r="O145" s="4"/>
      <c r="P145" s="4"/>
      <c r="S145" s="2"/>
    </row>
    <row r="146" spans="3:19">
      <c r="C146" s="9" t="s">
        <v>583</v>
      </c>
      <c r="H146" s="393" t="s">
        <v>505</v>
      </c>
      <c r="I146" s="204"/>
      <c r="J146" s="4"/>
      <c r="K146" s="4">
        <v>20</v>
      </c>
      <c r="L146" s="4"/>
      <c r="M146" s="4"/>
      <c r="N146" s="4"/>
      <c r="O146" s="4"/>
      <c r="P146" s="4"/>
      <c r="R146" s="3">
        <v>546.46</v>
      </c>
      <c r="S146" s="2"/>
    </row>
    <row r="147" spans="3:19">
      <c r="C147" s="9" t="s">
        <v>584</v>
      </c>
      <c r="H147" s="393" t="s">
        <v>506</v>
      </c>
      <c r="I147" s="204">
        <f>R143+J147</f>
        <v>860.71</v>
      </c>
      <c r="J147" s="4">
        <v>129.11000000000001</v>
      </c>
      <c r="K147" s="4">
        <v>840.7</v>
      </c>
      <c r="L147" s="4"/>
      <c r="M147" s="4"/>
      <c r="N147" s="4"/>
      <c r="O147" s="4"/>
      <c r="P147" s="4"/>
      <c r="R147" s="3">
        <v>105.09</v>
      </c>
      <c r="S147" s="2"/>
    </row>
    <row r="148" spans="3:19">
      <c r="C148" s="9" t="s">
        <v>585</v>
      </c>
      <c r="H148" s="393" t="s">
        <v>507</v>
      </c>
      <c r="I148" s="4">
        <v>48</v>
      </c>
      <c r="J148" s="4"/>
      <c r="K148" s="4">
        <v>48</v>
      </c>
      <c r="L148" s="4"/>
      <c r="M148" s="4"/>
      <c r="N148" s="4"/>
      <c r="O148" s="4"/>
      <c r="P148" s="4"/>
      <c r="R148" s="544">
        <f>SUM(R146:R147)</f>
        <v>651.55000000000007</v>
      </c>
    </row>
    <row r="149" spans="3:19">
      <c r="C149" s="9" t="s">
        <v>586</v>
      </c>
      <c r="H149" s="393" t="s">
        <v>55</v>
      </c>
      <c r="I149" s="4">
        <v>90</v>
      </c>
      <c r="J149" s="4">
        <v>9.9</v>
      </c>
      <c r="K149" s="4">
        <v>90</v>
      </c>
      <c r="L149" s="4"/>
      <c r="M149" s="4"/>
      <c r="N149" s="4"/>
      <c r="O149" s="4"/>
      <c r="P149" s="4"/>
    </row>
    <row r="150" spans="3:19">
      <c r="C150" s="9" t="s">
        <v>587</v>
      </c>
      <c r="H150" s="543" t="s">
        <v>539</v>
      </c>
      <c r="I150" s="199">
        <v>0.23</v>
      </c>
      <c r="J150" s="4"/>
      <c r="K150" s="4"/>
      <c r="M150" s="4"/>
      <c r="N150" s="4"/>
      <c r="O150" s="4"/>
      <c r="P150" s="4"/>
      <c r="R150" s="2"/>
    </row>
    <row r="151" spans="3:19">
      <c r="C151" s="9" t="s">
        <v>588</v>
      </c>
      <c r="I151" s="2">
        <f>SUM(I142:I150)</f>
        <v>1154.0500000000002</v>
      </c>
      <c r="J151" s="2">
        <f t="shared" ref="J151:K151" si="21">SUM(J142:J150)</f>
        <v>139.01000000000002</v>
      </c>
      <c r="K151" s="2">
        <f t="shared" si="21"/>
        <v>1161.49</v>
      </c>
      <c r="M151" s="2">
        <f t="shared" ref="M151:P151" si="22">SUM(M142:M150)</f>
        <v>0</v>
      </c>
      <c r="N151" s="2">
        <f t="shared" si="22"/>
        <v>0</v>
      </c>
      <c r="O151" s="2">
        <f t="shared" si="22"/>
        <v>0</v>
      </c>
      <c r="P151" s="2">
        <f t="shared" si="22"/>
        <v>0</v>
      </c>
      <c r="Q151" s="413">
        <f>SUM(M151:P151)</f>
        <v>0</v>
      </c>
    </row>
    <row r="152" spans="3:19">
      <c r="C152" s="9" t="s">
        <v>589</v>
      </c>
      <c r="I152" s="2">
        <f>G141-I151</f>
        <v>0</v>
      </c>
    </row>
    <row r="153" spans="3:19">
      <c r="C153" s="3" t="s">
        <v>618</v>
      </c>
    </row>
    <row r="155" spans="3:19">
      <c r="F155" s="8" t="s">
        <v>614</v>
      </c>
      <c r="G155" s="4"/>
      <c r="I155" s="167" t="s">
        <v>577</v>
      </c>
      <c r="J155" s="2" t="s">
        <v>266</v>
      </c>
      <c r="K155" s="2" t="s">
        <v>538</v>
      </c>
      <c r="M155" s="629" t="s">
        <v>540</v>
      </c>
      <c r="N155" s="629"/>
      <c r="O155" s="629"/>
      <c r="P155" s="629"/>
    </row>
    <row r="156" spans="3:19">
      <c r="G156" s="393"/>
      <c r="H156" s="393" t="s">
        <v>328</v>
      </c>
      <c r="I156" s="4"/>
      <c r="J156" s="4"/>
      <c r="K156" s="4">
        <v>3</v>
      </c>
      <c r="L156" s="4"/>
      <c r="M156" s="4"/>
      <c r="N156" s="4"/>
      <c r="O156" s="4"/>
      <c r="P156" s="4"/>
      <c r="S156" s="2" t="s">
        <v>328</v>
      </c>
    </row>
    <row r="157" spans="3:19">
      <c r="G157" s="393"/>
      <c r="H157" s="393" t="s">
        <v>371</v>
      </c>
      <c r="I157" s="4"/>
      <c r="J157" s="4"/>
      <c r="K157" s="4"/>
      <c r="L157" s="4"/>
      <c r="M157" s="4"/>
      <c r="N157" s="4"/>
      <c r="O157" s="4"/>
      <c r="P157" s="4"/>
      <c r="S157" s="2" t="s">
        <v>506</v>
      </c>
    </row>
    <row r="158" spans="3:19">
      <c r="G158" s="167"/>
      <c r="H158" s="393" t="s">
        <v>62</v>
      </c>
      <c r="I158" s="4"/>
      <c r="J158" s="4"/>
      <c r="K158" s="4">
        <v>20.48</v>
      </c>
      <c r="L158" s="4"/>
      <c r="M158" s="4"/>
      <c r="N158" s="4"/>
      <c r="O158" s="4"/>
      <c r="P158" s="4"/>
      <c r="S158" s="2" t="s">
        <v>565</v>
      </c>
    </row>
    <row r="159" spans="3:19">
      <c r="H159" s="393" t="s">
        <v>79</v>
      </c>
      <c r="I159" s="4"/>
      <c r="J159" s="4"/>
      <c r="K159" s="4"/>
      <c r="L159" s="4"/>
      <c r="M159" s="4"/>
      <c r="N159" s="4"/>
      <c r="O159" s="4"/>
      <c r="P159" s="4"/>
      <c r="S159" s="2"/>
    </row>
    <row r="160" spans="3:19">
      <c r="H160" s="393" t="s">
        <v>505</v>
      </c>
      <c r="I160" s="4"/>
      <c r="J160" s="4"/>
      <c r="K160" s="4">
        <v>20</v>
      </c>
      <c r="L160" s="4"/>
      <c r="M160" s="4"/>
      <c r="N160" s="4"/>
      <c r="O160" s="4"/>
      <c r="P160" s="4"/>
      <c r="S160" s="2"/>
    </row>
    <row r="161" spans="3:19">
      <c r="H161" s="393" t="s">
        <v>506</v>
      </c>
      <c r="I161" s="4"/>
      <c r="J161" s="4">
        <v>2.5</v>
      </c>
      <c r="K161" s="4">
        <v>2.0299999999999998</v>
      </c>
      <c r="L161" s="4"/>
      <c r="M161" s="4"/>
      <c r="N161" s="4"/>
      <c r="O161" s="4"/>
      <c r="P161" s="4"/>
      <c r="S161" s="2"/>
    </row>
    <row r="162" spans="3:19">
      <c r="H162" s="393" t="s">
        <v>507</v>
      </c>
      <c r="I162" s="4"/>
      <c r="J162" s="4"/>
      <c r="K162" s="4">
        <v>36</v>
      </c>
      <c r="L162" s="4"/>
      <c r="M162" s="4"/>
      <c r="N162" s="4"/>
      <c r="O162" s="4"/>
      <c r="P162" s="4"/>
      <c r="R162" s="544">
        <f>SUM(R160:R161)</f>
        <v>0</v>
      </c>
    </row>
    <row r="163" spans="3:19">
      <c r="H163" s="393" t="s">
        <v>55</v>
      </c>
      <c r="I163" s="4"/>
      <c r="J163" s="4">
        <v>7.7</v>
      </c>
      <c r="K163" s="4">
        <v>70</v>
      </c>
      <c r="L163" s="4"/>
      <c r="M163" s="4"/>
      <c r="N163" s="4"/>
      <c r="O163" s="4"/>
      <c r="P163" s="4"/>
    </row>
    <row r="164" spans="3:19">
      <c r="H164" s="543" t="s">
        <v>539</v>
      </c>
      <c r="I164" s="199"/>
      <c r="J164" s="4"/>
      <c r="K164" s="4"/>
      <c r="M164" s="4"/>
      <c r="N164" s="4"/>
      <c r="O164" s="4"/>
      <c r="P164" s="4"/>
      <c r="R164" s="2"/>
    </row>
    <row r="165" spans="3:19">
      <c r="I165" s="2">
        <f>SUM(I156:I164)</f>
        <v>0</v>
      </c>
      <c r="J165" s="2">
        <f t="shared" ref="J165:K165" si="23">SUM(J156:J164)</f>
        <v>10.199999999999999</v>
      </c>
      <c r="K165" s="2">
        <f t="shared" si="23"/>
        <v>151.51</v>
      </c>
      <c r="M165" s="2">
        <f t="shared" ref="M165:P165" si="24">SUM(M156:M164)</f>
        <v>0</v>
      </c>
      <c r="N165" s="2">
        <f t="shared" si="24"/>
        <v>0</v>
      </c>
      <c r="O165" s="2">
        <f t="shared" si="24"/>
        <v>0</v>
      </c>
      <c r="P165" s="2">
        <f t="shared" si="24"/>
        <v>0</v>
      </c>
      <c r="Q165" s="413">
        <f>SUM(M165:P165)</f>
        <v>0</v>
      </c>
    </row>
    <row r="166" spans="3:19">
      <c r="I166" s="2">
        <f>G155-I165</f>
        <v>0</v>
      </c>
    </row>
    <row r="169" spans="3:19">
      <c r="C169" s="3" t="s">
        <v>626</v>
      </c>
      <c r="F169" s="8" t="s">
        <v>615</v>
      </c>
      <c r="G169" s="4"/>
      <c r="I169" s="167" t="s">
        <v>577</v>
      </c>
      <c r="J169" s="2" t="s">
        <v>266</v>
      </c>
      <c r="K169" s="2" t="s">
        <v>538</v>
      </c>
      <c r="M169" s="629" t="s">
        <v>540</v>
      </c>
      <c r="N169" s="629"/>
      <c r="O169" s="629"/>
      <c r="P169" s="629"/>
    </row>
    <row r="170" spans="3:19">
      <c r="G170" s="393"/>
      <c r="H170" s="393" t="s">
        <v>328</v>
      </c>
      <c r="I170" s="4"/>
      <c r="J170" s="4"/>
      <c r="K170" s="4">
        <v>3</v>
      </c>
      <c r="L170" s="4"/>
      <c r="M170" s="4"/>
      <c r="N170" s="4"/>
      <c r="O170" s="4"/>
      <c r="P170" s="4"/>
      <c r="S170" s="2" t="s">
        <v>328</v>
      </c>
    </row>
    <row r="171" spans="3:19">
      <c r="G171" s="393"/>
      <c r="H171" s="393" t="s">
        <v>371</v>
      </c>
      <c r="I171" s="4"/>
      <c r="J171" s="4"/>
      <c r="K171" s="4"/>
      <c r="L171" s="4"/>
      <c r="M171" s="4"/>
      <c r="N171" s="4"/>
      <c r="O171" s="4"/>
      <c r="P171" s="4"/>
      <c r="S171" s="2" t="s">
        <v>506</v>
      </c>
    </row>
    <row r="172" spans="3:19">
      <c r="G172" s="167"/>
      <c r="H172" s="393" t="s">
        <v>62</v>
      </c>
      <c r="I172" s="4"/>
      <c r="J172" s="4"/>
      <c r="K172" s="4">
        <v>12.78</v>
      </c>
      <c r="L172" s="4"/>
      <c r="M172" s="4"/>
      <c r="N172" s="4"/>
      <c r="O172" s="4"/>
      <c r="P172" s="4"/>
      <c r="S172" s="2" t="s">
        <v>565</v>
      </c>
    </row>
    <row r="173" spans="3:19">
      <c r="H173" s="393" t="s">
        <v>79</v>
      </c>
      <c r="I173" s="4"/>
      <c r="J173" s="4"/>
      <c r="K173" s="4"/>
      <c r="L173" s="4"/>
      <c r="M173" s="4"/>
      <c r="N173" s="4"/>
      <c r="O173" s="4"/>
      <c r="P173" s="4"/>
      <c r="S173" s="2"/>
    </row>
    <row r="174" spans="3:19">
      <c r="H174" s="393" t="s">
        <v>505</v>
      </c>
      <c r="I174" s="4"/>
      <c r="J174" s="4"/>
      <c r="K174" s="4">
        <v>20</v>
      </c>
      <c r="L174" s="4"/>
      <c r="M174" s="4"/>
      <c r="N174" s="4"/>
      <c r="O174" s="4"/>
      <c r="P174" s="4"/>
      <c r="S174" s="2"/>
    </row>
    <row r="175" spans="3:19">
      <c r="H175" s="393" t="s">
        <v>506</v>
      </c>
      <c r="I175" s="4"/>
      <c r="J175" s="4">
        <v>2.48</v>
      </c>
      <c r="K175" s="4">
        <v>1.86</v>
      </c>
      <c r="L175" s="4"/>
      <c r="M175" s="4"/>
      <c r="N175" s="4"/>
      <c r="O175" s="4"/>
      <c r="P175" s="4"/>
      <c r="S175" s="2"/>
    </row>
    <row r="176" spans="3:19">
      <c r="H176" s="393" t="s">
        <v>507</v>
      </c>
      <c r="I176" s="4"/>
      <c r="J176" s="4"/>
      <c r="K176" s="4">
        <v>18</v>
      </c>
      <c r="L176" s="4"/>
      <c r="M176" s="4"/>
      <c r="N176" s="4"/>
      <c r="O176" s="4"/>
      <c r="P176" s="4"/>
      <c r="R176" s="544">
        <f>SUM(R174:R175)</f>
        <v>0</v>
      </c>
    </row>
    <row r="177" spans="6:19">
      <c r="H177" s="393" t="s">
        <v>55</v>
      </c>
      <c r="I177" s="4"/>
      <c r="J177" s="4">
        <v>4.4000000000000004</v>
      </c>
      <c r="K177" s="4">
        <v>40</v>
      </c>
      <c r="L177" s="4"/>
      <c r="M177" s="4"/>
      <c r="N177" s="4"/>
      <c r="O177" s="4"/>
      <c r="P177" s="4"/>
    </row>
    <row r="178" spans="6:19">
      <c r="H178" s="543" t="s">
        <v>539</v>
      </c>
      <c r="I178" s="199"/>
      <c r="J178" s="4"/>
      <c r="K178" s="4"/>
      <c r="M178" s="4"/>
      <c r="N178" s="4"/>
      <c r="O178" s="4"/>
      <c r="P178" s="4"/>
      <c r="R178" s="2"/>
    </row>
    <row r="179" spans="6:19">
      <c r="I179" s="2">
        <f>SUM(I170:I178)</f>
        <v>0</v>
      </c>
      <c r="J179" s="2">
        <f t="shared" ref="J179:K179" si="25">SUM(J170:J178)</f>
        <v>6.8800000000000008</v>
      </c>
      <c r="K179" s="2">
        <f t="shared" si="25"/>
        <v>95.64</v>
      </c>
      <c r="M179" s="2">
        <f t="shared" ref="M179:P179" si="26">SUM(M170:M178)</f>
        <v>0</v>
      </c>
      <c r="N179" s="2">
        <f t="shared" si="26"/>
        <v>0</v>
      </c>
      <c r="O179" s="2">
        <f t="shared" si="26"/>
        <v>0</v>
      </c>
      <c r="P179" s="2">
        <f t="shared" si="26"/>
        <v>0</v>
      </c>
      <c r="Q179" s="413">
        <f>SUM(M179:P179)</f>
        <v>0</v>
      </c>
    </row>
    <row r="180" spans="6:19">
      <c r="I180" s="2">
        <f>G169-I179</f>
        <v>0</v>
      </c>
    </row>
    <row r="182" spans="6:19">
      <c r="F182" s="8" t="s">
        <v>616</v>
      </c>
      <c r="G182" s="4"/>
      <c r="I182" s="167" t="s">
        <v>577</v>
      </c>
      <c r="J182" s="2" t="s">
        <v>266</v>
      </c>
      <c r="K182" s="2" t="s">
        <v>538</v>
      </c>
      <c r="M182" s="629" t="s">
        <v>540</v>
      </c>
      <c r="N182" s="629"/>
      <c r="O182" s="629"/>
      <c r="P182" s="629"/>
    </row>
    <row r="183" spans="6:19">
      <c r="G183" s="393"/>
      <c r="H183" s="393" t="s">
        <v>328</v>
      </c>
      <c r="I183" s="4"/>
      <c r="J183" s="4"/>
      <c r="K183" s="4">
        <v>0.5</v>
      </c>
      <c r="L183" s="4"/>
      <c r="M183" s="4"/>
      <c r="N183" s="4"/>
      <c r="O183" s="4"/>
      <c r="P183" s="4"/>
      <c r="R183" s="3" t="s">
        <v>596</v>
      </c>
      <c r="S183" s="2" t="s">
        <v>328</v>
      </c>
    </row>
    <row r="184" spans="6:19">
      <c r="G184" s="393"/>
      <c r="H184" s="393" t="s">
        <v>371</v>
      </c>
      <c r="I184" s="4"/>
      <c r="J184" s="4"/>
      <c r="K184" s="4"/>
      <c r="L184" s="4"/>
      <c r="M184" s="4"/>
      <c r="N184" s="4"/>
      <c r="O184" s="4"/>
      <c r="P184" s="4"/>
      <c r="S184" s="2" t="s">
        <v>506</v>
      </c>
    </row>
    <row r="185" spans="6:19">
      <c r="G185" s="167"/>
      <c r="H185" s="393" t="s">
        <v>62</v>
      </c>
      <c r="I185" s="4"/>
      <c r="J185" s="4"/>
      <c r="K185" s="4">
        <v>25.58</v>
      </c>
      <c r="L185" s="4"/>
      <c r="M185" s="4"/>
      <c r="N185" s="4"/>
      <c r="O185" s="4"/>
      <c r="P185" s="4"/>
      <c r="S185" s="2" t="s">
        <v>565</v>
      </c>
    </row>
    <row r="186" spans="6:19">
      <c r="H186" s="393" t="s">
        <v>79</v>
      </c>
      <c r="I186" s="4"/>
      <c r="J186" s="4">
        <v>2.2000000000000002</v>
      </c>
      <c r="K186" s="4">
        <v>20</v>
      </c>
      <c r="L186" s="4"/>
      <c r="M186" s="4"/>
      <c r="N186" s="4"/>
      <c r="O186" s="4"/>
      <c r="P186" s="4"/>
      <c r="S186" s="2"/>
    </row>
    <row r="187" spans="6:19">
      <c r="H187" s="393" t="s">
        <v>505</v>
      </c>
      <c r="I187" s="4"/>
      <c r="J187" s="4"/>
      <c r="K187" s="4"/>
      <c r="L187" s="4"/>
      <c r="M187" s="4"/>
      <c r="N187" s="4"/>
      <c r="O187" s="4"/>
      <c r="P187" s="4"/>
      <c r="S187" s="2"/>
    </row>
    <row r="188" spans="6:19">
      <c r="H188" s="393" t="s">
        <v>506</v>
      </c>
      <c r="I188" s="4"/>
      <c r="J188" s="4"/>
      <c r="K188" s="4"/>
      <c r="L188" s="4"/>
      <c r="M188" s="4"/>
      <c r="N188" s="4"/>
      <c r="O188" s="4"/>
      <c r="P188" s="4"/>
      <c r="S188" s="2"/>
    </row>
    <row r="189" spans="6:19">
      <c r="H189" s="393" t="s">
        <v>507</v>
      </c>
      <c r="I189" s="4"/>
      <c r="J189" s="4"/>
      <c r="K189" s="4">
        <v>48</v>
      </c>
      <c r="L189" s="4"/>
      <c r="M189" s="4"/>
      <c r="N189" s="4"/>
      <c r="O189" s="4"/>
      <c r="P189" s="4"/>
      <c r="R189" s="544">
        <f>SUM(R187:R188)</f>
        <v>0</v>
      </c>
    </row>
    <row r="190" spans="6:19">
      <c r="H190" s="393" t="s">
        <v>55</v>
      </c>
      <c r="I190" s="4"/>
      <c r="J190" s="4">
        <v>9.9</v>
      </c>
      <c r="K190" s="4">
        <v>90</v>
      </c>
      <c r="L190" s="4"/>
      <c r="M190" s="4"/>
      <c r="N190" s="4"/>
      <c r="O190" s="4"/>
      <c r="P190" s="4"/>
    </row>
    <row r="191" spans="6:19">
      <c r="H191" s="543" t="s">
        <v>539</v>
      </c>
      <c r="I191" s="199"/>
      <c r="J191" s="4"/>
      <c r="K191" s="4"/>
      <c r="M191" s="4"/>
      <c r="N191" s="4"/>
      <c r="O191" s="4"/>
      <c r="P191" s="4"/>
      <c r="R191" s="2"/>
    </row>
    <row r="192" spans="6:19">
      <c r="I192" s="2">
        <f>SUM(I183:I191)</f>
        <v>0</v>
      </c>
      <c r="J192" s="2">
        <f t="shared" ref="J192:K192" si="27">SUM(J183:J191)</f>
        <v>12.100000000000001</v>
      </c>
      <c r="K192" s="2">
        <f t="shared" si="27"/>
        <v>184.07999999999998</v>
      </c>
      <c r="M192" s="2">
        <f t="shared" ref="M192:P192" si="28">SUM(M183:M191)</f>
        <v>0</v>
      </c>
      <c r="N192" s="2">
        <f t="shared" si="28"/>
        <v>0</v>
      </c>
      <c r="O192" s="2">
        <f t="shared" si="28"/>
        <v>0</v>
      </c>
      <c r="P192" s="2">
        <f t="shared" si="28"/>
        <v>0</v>
      </c>
      <c r="Q192" s="413">
        <f>SUM(M192:P192)</f>
        <v>0</v>
      </c>
    </row>
    <row r="193" spans="3:9">
      <c r="I193" s="2">
        <f>G182-I192</f>
        <v>0</v>
      </c>
    </row>
    <row r="195" spans="3:9">
      <c r="C195" s="92"/>
    </row>
  </sheetData>
  <mergeCells count="21">
    <mergeCell ref="N1:O1"/>
    <mergeCell ref="L1:M1"/>
    <mergeCell ref="P1:Y1"/>
    <mergeCell ref="A1:A2"/>
    <mergeCell ref="B1:B2"/>
    <mergeCell ref="C1:C2"/>
    <mergeCell ref="D1:D2"/>
    <mergeCell ref="E1:K1"/>
    <mergeCell ref="M169:P169"/>
    <mergeCell ref="M182:P182"/>
    <mergeCell ref="M127:P127"/>
    <mergeCell ref="M141:P141"/>
    <mergeCell ref="A19:D19"/>
    <mergeCell ref="M57:P57"/>
    <mergeCell ref="M43:P43"/>
    <mergeCell ref="M29:P29"/>
    <mergeCell ref="M112:P112"/>
    <mergeCell ref="M98:P98"/>
    <mergeCell ref="M84:P84"/>
    <mergeCell ref="M71:P71"/>
    <mergeCell ref="M155:P155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7"/>
  <sheetViews>
    <sheetView workbookViewId="0">
      <pane ySplit="2" topLeftCell="A3" activePane="bottomLeft" state="frozen"/>
      <selection pane="bottomLeft" activeCell="C38" sqref="C38"/>
    </sheetView>
  </sheetViews>
  <sheetFormatPr defaultRowHeight="11.25"/>
  <cols>
    <col min="1" max="2" width="8.140625" style="3" bestFit="1" customWidth="1"/>
    <col min="3" max="3" width="69.42578125" style="3" bestFit="1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783" t="s">
        <v>19</v>
      </c>
      <c r="B1" s="785" t="s">
        <v>18</v>
      </c>
      <c r="C1" s="787" t="s">
        <v>356</v>
      </c>
      <c r="D1" s="787" t="s">
        <v>86</v>
      </c>
      <c r="E1" s="789" t="s">
        <v>357</v>
      </c>
      <c r="F1" s="790"/>
      <c r="G1" s="790"/>
      <c r="H1" s="791" t="s">
        <v>329</v>
      </c>
      <c r="I1" s="792"/>
      <c r="J1" s="779" t="s">
        <v>330</v>
      </c>
      <c r="K1" s="779"/>
      <c r="L1" s="246"/>
      <c r="M1" s="247"/>
      <c r="N1" s="780" t="s">
        <v>358</v>
      </c>
      <c r="O1" s="780"/>
      <c r="P1" s="780"/>
      <c r="Q1" s="247"/>
      <c r="R1" s="780" t="s">
        <v>359</v>
      </c>
      <c r="S1" s="780"/>
      <c r="T1" s="780"/>
      <c r="U1" s="780"/>
      <c r="V1" s="248"/>
      <c r="W1" s="781" t="s">
        <v>329</v>
      </c>
      <c r="X1" s="781" t="s">
        <v>360</v>
      </c>
      <c r="Y1" s="781" t="s">
        <v>361</v>
      </c>
      <c r="Z1" s="248"/>
      <c r="AA1" s="773" t="s">
        <v>362</v>
      </c>
      <c r="AB1" s="774"/>
      <c r="AC1" s="774"/>
      <c r="AD1" s="774"/>
      <c r="AE1" s="775"/>
    </row>
    <row r="2" spans="1:31" ht="12" thickBot="1">
      <c r="A2" s="784"/>
      <c r="B2" s="786"/>
      <c r="C2" s="788"/>
      <c r="D2" s="788"/>
      <c r="E2" s="205" t="s">
        <v>334</v>
      </c>
      <c r="F2" s="205" t="s">
        <v>340</v>
      </c>
      <c r="G2" s="147" t="s">
        <v>341</v>
      </c>
      <c r="H2" s="206" t="s">
        <v>363</v>
      </c>
      <c r="I2" s="207" t="s">
        <v>364</v>
      </c>
      <c r="J2" s="206" t="s">
        <v>365</v>
      </c>
      <c r="K2" s="208" t="s">
        <v>366</v>
      </c>
      <c r="L2" s="249" t="s">
        <v>367</v>
      </c>
      <c r="M2" s="250"/>
      <c r="N2" s="251" t="s">
        <v>370</v>
      </c>
      <c r="O2" s="251" t="s">
        <v>368</v>
      </c>
      <c r="P2" s="251" t="s">
        <v>369</v>
      </c>
      <c r="Q2" s="250"/>
      <c r="R2" s="252" t="s">
        <v>370</v>
      </c>
      <c r="S2" s="253">
        <v>1.2999999999999999E-2</v>
      </c>
      <c r="T2" s="253">
        <v>6.4999999999999997E-3</v>
      </c>
      <c r="U2" s="254">
        <v>1.25E-3</v>
      </c>
      <c r="V2" s="255"/>
      <c r="W2" s="782"/>
      <c r="X2" s="782"/>
      <c r="Y2" s="782"/>
      <c r="Z2" s="255"/>
      <c r="AA2" s="256" t="s">
        <v>370</v>
      </c>
      <c r="AB2" s="256" t="s">
        <v>368</v>
      </c>
      <c r="AC2" s="257" t="s">
        <v>369</v>
      </c>
      <c r="AD2" s="256" t="s">
        <v>360</v>
      </c>
      <c r="AE2" s="256" t="s">
        <v>361</v>
      </c>
    </row>
    <row r="3" spans="1:31" s="18" customFormat="1">
      <c r="A3" s="123" t="str">
        <f>'1-συμβολαια'!A3</f>
        <v>10ο</v>
      </c>
      <c r="B3" s="575">
        <f>'1-συμβολαια'!B3</f>
        <v>40785</v>
      </c>
      <c r="C3" s="123" t="str">
        <f>'1-συμβολαια'!C3</f>
        <v>πληρεξούσιο</v>
      </c>
      <c r="D3" s="209">
        <f>'1-συμβολαια'!D3</f>
        <v>0</v>
      </c>
      <c r="E3" s="28">
        <f>'8-κ-15-17'!D3</f>
        <v>0</v>
      </c>
      <c r="F3" s="28">
        <f>'8-κ-15-17'!M3</f>
        <v>0</v>
      </c>
      <c r="G3" s="28">
        <f>'8-κ-15-17'!V3</f>
        <v>0</v>
      </c>
      <c r="H3" s="28">
        <f>'2-δικαιώμ'!H3</f>
        <v>0</v>
      </c>
      <c r="I3" s="28">
        <f>'2-δικαιώμ'!I3</f>
        <v>1</v>
      </c>
      <c r="J3" s="28">
        <f>'2-δικαιώμ'!J3</f>
        <v>1</v>
      </c>
      <c r="K3" s="28">
        <f>'2-δικαιώμ'!K3</f>
        <v>0.2</v>
      </c>
      <c r="L3" s="151"/>
      <c r="M3" s="151"/>
      <c r="N3" s="35"/>
      <c r="O3" s="35"/>
      <c r="P3" s="35"/>
      <c r="Q3" s="151"/>
      <c r="R3" s="35"/>
      <c r="S3" s="35"/>
      <c r="T3" s="35"/>
      <c r="U3" s="35"/>
      <c r="V3" s="151"/>
      <c r="W3" s="35">
        <f>'2-δικαιώμ'!H3+'2-δικαιώμ'!I3</f>
        <v>1</v>
      </c>
      <c r="X3" s="35">
        <f>'2-δικαιώμ'!J3</f>
        <v>1</v>
      </c>
      <c r="Y3" s="35">
        <f>'2-δικαιώμ'!K3</f>
        <v>0.2</v>
      </c>
      <c r="Z3" s="151"/>
      <c r="AA3" s="35"/>
      <c r="AB3" s="35"/>
      <c r="AC3" s="35"/>
      <c r="AD3" s="35"/>
      <c r="AE3" s="35"/>
    </row>
    <row r="4" spans="1:31" s="18" customFormat="1">
      <c r="A4" s="123" t="str">
        <f>'1-συμβολαια'!A4</f>
        <v>11ο</v>
      </c>
      <c r="B4" s="575">
        <f>'1-συμβολαια'!B4</f>
        <v>40812</v>
      </c>
      <c r="C4" s="123" t="str">
        <f>'1-συμβολαια'!C4</f>
        <v>γονική [αγροτεμάχιο Θεολόγος -''βαλανίδια'' 16.832,18μ2</v>
      </c>
      <c r="D4" s="209">
        <f>'1-συμβολαια'!D4</f>
        <v>4165.96</v>
      </c>
      <c r="E4" s="28">
        <f>'8-κ-15-17'!D4</f>
        <v>0</v>
      </c>
      <c r="F4" s="28">
        <f>'8-κ-15-17'!M4</f>
        <v>27.078740000000003</v>
      </c>
      <c r="G4" s="28">
        <f>'8-κ-15-17'!V4</f>
        <v>5.2074500000000006</v>
      </c>
      <c r="H4" s="28">
        <f>'2-δικαιώμ'!H4</f>
        <v>3.7493640000000004</v>
      </c>
      <c r="I4" s="28">
        <f>'2-δικαιώμ'!I4</f>
        <v>1</v>
      </c>
      <c r="J4" s="28">
        <f>'2-δικαιώμ'!J4</f>
        <v>3.0829800000000005</v>
      </c>
      <c r="K4" s="28">
        <f>'2-δικαιώμ'!K4</f>
        <v>0.61659600000000003</v>
      </c>
      <c r="L4" s="151"/>
      <c r="M4" s="151"/>
      <c r="N4" s="35"/>
      <c r="O4" s="35"/>
      <c r="P4" s="35"/>
      <c r="Q4" s="151"/>
      <c r="R4" s="35"/>
      <c r="S4" s="35"/>
      <c r="T4" s="35"/>
      <c r="U4" s="35"/>
      <c r="V4" s="151"/>
      <c r="W4" s="35">
        <f>'2-δικαιώμ'!H4+'2-δικαιώμ'!I4</f>
        <v>4.7493639999999999</v>
      </c>
      <c r="X4" s="35">
        <f>'2-δικαιώμ'!J4</f>
        <v>3.0829800000000005</v>
      </c>
      <c r="Y4" s="35">
        <f>'2-δικαιώμ'!K4</f>
        <v>0.61659600000000003</v>
      </c>
      <c r="Z4" s="151"/>
      <c r="AA4" s="35"/>
      <c r="AB4" s="35"/>
      <c r="AC4" s="35"/>
      <c r="AD4" s="35"/>
      <c r="AE4" s="35"/>
    </row>
    <row r="5" spans="1:31" s="18" customFormat="1">
      <c r="A5" s="123"/>
      <c r="B5" s="575"/>
      <c r="C5" s="123" t="str">
        <f>'1-συμβολαια'!C5</f>
        <v>χρησικτησία = 1961 πατρός ΔΩΡΕΑ άτυπος</v>
      </c>
      <c r="D5" s="209">
        <f>'1-συμβολαια'!D5</f>
        <v>4165.96</v>
      </c>
      <c r="E5" s="28">
        <f>'8-κ-15-17'!D5</f>
        <v>0</v>
      </c>
      <c r="F5" s="28">
        <f>'8-κ-15-17'!M5</f>
        <v>27.078740000000003</v>
      </c>
      <c r="G5" s="28">
        <f>'8-κ-15-17'!V5</f>
        <v>5.2074500000000006</v>
      </c>
      <c r="H5" s="28">
        <f>'2-δικαιώμ'!H5</f>
        <v>3.7493640000000004</v>
      </c>
      <c r="I5" s="28">
        <f>'2-δικαιώμ'!I5</f>
        <v>1</v>
      </c>
      <c r="J5" s="28">
        <f>'2-δικαιώμ'!J5</f>
        <v>3.0829800000000005</v>
      </c>
      <c r="K5" s="28">
        <f>'2-δικαιώμ'!K5</f>
        <v>0.61659600000000003</v>
      </c>
      <c r="L5" s="151"/>
      <c r="M5" s="151"/>
      <c r="N5" s="35"/>
      <c r="O5" s="35"/>
      <c r="P5" s="35"/>
      <c r="Q5" s="151"/>
      <c r="R5" s="35"/>
      <c r="S5" s="35"/>
      <c r="T5" s="35"/>
      <c r="U5" s="35"/>
      <c r="V5" s="151"/>
      <c r="W5" s="35">
        <f>'2-δικαιώμ'!H5+'2-δικαιώμ'!I5</f>
        <v>4.7493639999999999</v>
      </c>
      <c r="X5" s="35">
        <f>'2-δικαιώμ'!J5</f>
        <v>3.0829800000000005</v>
      </c>
      <c r="Y5" s="35">
        <f>'2-δικαιώμ'!K5</f>
        <v>0.61659600000000003</v>
      </c>
      <c r="Z5" s="151"/>
      <c r="AA5" s="35"/>
      <c r="AB5" s="35"/>
      <c r="AC5" s="35"/>
      <c r="AD5" s="35"/>
      <c r="AE5" s="35"/>
    </row>
    <row r="6" spans="1:31" s="18" customFormat="1">
      <c r="A6" s="123" t="str">
        <f>'1-συμβολαια'!A6</f>
        <v>12ο</v>
      </c>
      <c r="B6" s="575">
        <f>'1-συμβολαια'!B6</f>
        <v>41114</v>
      </c>
      <c r="C6" s="123" t="str">
        <f>'1-συμβολαια'!C6</f>
        <v>κληρονομιάς ΑΠΟΔΟΧΗ [οικόπεδο 226μ2 ΜΕ 2όροφο οιίκημα 150μ2 &amp; αποθήκη 15μ2 Θεολόγος</v>
      </c>
      <c r="D6" s="209">
        <f>'1-συμβολαια'!D6</f>
        <v>0</v>
      </c>
      <c r="E6" s="28">
        <f>'8-κ-15-17'!D6</f>
        <v>0</v>
      </c>
      <c r="F6" s="28">
        <f>'8-κ-15-17'!M6</f>
        <v>0</v>
      </c>
      <c r="G6" s="28">
        <f>'8-κ-15-17'!V6</f>
        <v>0</v>
      </c>
      <c r="H6" s="28">
        <f>'2-δικαιώμ'!H6</f>
        <v>0</v>
      </c>
      <c r="I6" s="28">
        <f>'2-δικαιώμ'!I6</f>
        <v>0.2</v>
      </c>
      <c r="J6" s="28">
        <f>'2-δικαιώμ'!J6</f>
        <v>0.2</v>
      </c>
      <c r="K6" s="28">
        <f>'2-δικαιώμ'!K6</f>
        <v>0.04</v>
      </c>
      <c r="L6" s="151"/>
      <c r="M6" s="151"/>
      <c r="N6" s="35"/>
      <c r="O6" s="35"/>
      <c r="P6" s="35"/>
      <c r="Q6" s="151"/>
      <c r="R6" s="35"/>
      <c r="S6" s="35"/>
      <c r="T6" s="35"/>
      <c r="U6" s="35"/>
      <c r="V6" s="151"/>
      <c r="W6" s="35">
        <f>'2-δικαιώμ'!H6+'2-δικαιώμ'!I6</f>
        <v>0.2</v>
      </c>
      <c r="X6" s="35">
        <f>'2-δικαιώμ'!J6</f>
        <v>0.2</v>
      </c>
      <c r="Y6" s="35">
        <f>'2-δικαιώμ'!K6</f>
        <v>0.04</v>
      </c>
      <c r="Z6" s="151"/>
      <c r="AA6" s="35"/>
      <c r="AB6" s="35"/>
      <c r="AC6" s="35"/>
      <c r="AD6" s="35"/>
      <c r="AE6" s="35"/>
    </row>
    <row r="7" spans="1:31" s="18" customFormat="1">
      <c r="A7" s="123"/>
      <c r="B7" s="575"/>
      <c r="C7" s="123" t="str">
        <f>'1-συμβολαια'!C7</f>
        <v>χρησικτησία οικοπέδου &amp; οικήματος = 1950 πατρός ΚΛΗΡΟΝΟΜΙΑ άτυπη</v>
      </c>
      <c r="D7" s="209">
        <f>'1-συμβολαια'!D7</f>
        <v>6629.4</v>
      </c>
      <c r="E7" s="28">
        <f>'8-κ-15-17'!D7</f>
        <v>0</v>
      </c>
      <c r="F7" s="28">
        <f>'8-κ-15-17'!M7</f>
        <v>43.091100000000004</v>
      </c>
      <c r="G7" s="28">
        <f>'8-κ-15-17'!V7</f>
        <v>8.2867499999999996</v>
      </c>
      <c r="H7" s="28">
        <f>'2-δικαιώμ'!H7</f>
        <v>5.9664599999999997</v>
      </c>
      <c r="I7" s="28">
        <f>'2-δικαιώμ'!I7</f>
        <v>1</v>
      </c>
      <c r="J7" s="28">
        <f>'2-δικαιώμ'!J7</f>
        <v>4.3147000000000002</v>
      </c>
      <c r="K7" s="28">
        <f>'2-δικαιώμ'!K7</f>
        <v>0.86294000000000004</v>
      </c>
      <c r="L7" s="151"/>
      <c r="M7" s="151"/>
      <c r="N7" s="35"/>
      <c r="O7" s="35"/>
      <c r="P7" s="35"/>
      <c r="Q7" s="151"/>
      <c r="R7" s="35"/>
      <c r="S7" s="35"/>
      <c r="T7" s="35"/>
      <c r="U7" s="35"/>
      <c r="V7" s="151"/>
      <c r="W7" s="35">
        <f>'2-δικαιώμ'!H7+'2-δικαιώμ'!I7</f>
        <v>6.9664599999999997</v>
      </c>
      <c r="X7" s="35">
        <f>'2-δικαιώμ'!J7</f>
        <v>4.3147000000000002</v>
      </c>
      <c r="Y7" s="35">
        <f>'2-δικαιώμ'!K7</f>
        <v>0.86294000000000004</v>
      </c>
      <c r="Z7" s="151"/>
      <c r="AA7" s="35"/>
      <c r="AB7" s="35"/>
      <c r="AC7" s="35"/>
      <c r="AD7" s="35"/>
      <c r="AE7" s="35"/>
    </row>
    <row r="8" spans="1:31" s="18" customFormat="1">
      <c r="A8" s="123"/>
      <c r="B8" s="575"/>
      <c r="C8" s="123" t="str">
        <f>'1-συμβολαια'!C8</f>
        <v>χρησικτησία οικοπέδου &amp; οικήματος = 1950 ΔΙΑΝΟΜΗ άτυπη</v>
      </c>
      <c r="D8" s="209">
        <f>'1-συμβολαια'!D8</f>
        <v>11396.88</v>
      </c>
      <c r="E8" s="28">
        <f>'8-κ-15-17'!D8</f>
        <v>0</v>
      </c>
      <c r="F8" s="28">
        <f>'8-κ-15-17'!M8</f>
        <v>0</v>
      </c>
      <c r="G8" s="28">
        <f>'8-κ-15-17'!V8</f>
        <v>0</v>
      </c>
      <c r="H8" s="28">
        <f>'2-δικαιώμ'!H8</f>
        <v>10.257191999999998</v>
      </c>
      <c r="I8" s="28">
        <f>'2-δικαιώμ'!I8</f>
        <v>1</v>
      </c>
      <c r="J8" s="28">
        <f>'2-δικαιώμ'!J8</f>
        <v>6.6984399999999997</v>
      </c>
      <c r="K8" s="28">
        <f>'2-δικαιώμ'!K8</f>
        <v>1.339688</v>
      </c>
      <c r="L8" s="151"/>
      <c r="M8" s="151"/>
      <c r="N8" s="35"/>
      <c r="O8" s="35"/>
      <c r="P8" s="35"/>
      <c r="Q8" s="151"/>
      <c r="R8" s="35"/>
      <c r="S8" s="35"/>
      <c r="T8" s="35"/>
      <c r="U8" s="35"/>
      <c r="V8" s="151"/>
      <c r="W8" s="35">
        <f>'2-δικαιώμ'!H8+'2-δικαιώμ'!I8</f>
        <v>11.257191999999998</v>
      </c>
      <c r="X8" s="35">
        <f>'2-δικαιώμ'!J8</f>
        <v>6.6984399999999997</v>
      </c>
      <c r="Y8" s="35">
        <f>'2-δικαιώμ'!K8</f>
        <v>1.339688</v>
      </c>
      <c r="Z8" s="151"/>
      <c r="AA8" s="35"/>
      <c r="AB8" s="35"/>
      <c r="AC8" s="35"/>
      <c r="AD8" s="35"/>
      <c r="AE8" s="35"/>
    </row>
    <row r="9" spans="1:31" s="18" customFormat="1">
      <c r="A9" s="123"/>
      <c r="B9" s="575"/>
      <c r="C9" s="123" t="str">
        <f>'1-συμβολαια'!C9</f>
        <v xml:space="preserve">εξισορόπηση διαφοράς διανεμομένων </v>
      </c>
      <c r="D9" s="209">
        <f>'1-συμβολαια'!D9</f>
        <v>930.96</v>
      </c>
      <c r="E9" s="28">
        <f>'8-κ-15-17'!D9</f>
        <v>12.102480000000002</v>
      </c>
      <c r="F9" s="28">
        <f>'8-κ-15-17'!M9</f>
        <v>0</v>
      </c>
      <c r="G9" s="28">
        <f>'8-κ-15-17'!V9</f>
        <v>0</v>
      </c>
      <c r="H9" s="28">
        <f>'2-δικαιώμ'!H9</f>
        <v>0.83786400000000005</v>
      </c>
      <c r="I9" s="28">
        <f>'2-δικαιώμ'!I9</f>
        <v>1</v>
      </c>
      <c r="J9" s="28">
        <f>'2-δικαιώμ'!J9</f>
        <v>1.4654800000000003</v>
      </c>
      <c r="K9" s="28">
        <f>'2-δικαιώμ'!K9</f>
        <v>0.29309600000000002</v>
      </c>
      <c r="L9" s="151"/>
      <c r="M9" s="151"/>
      <c r="N9" s="35"/>
      <c r="O9" s="35"/>
      <c r="P9" s="35"/>
      <c r="Q9" s="151"/>
      <c r="R9" s="35"/>
      <c r="S9" s="35"/>
      <c r="T9" s="35"/>
      <c r="U9" s="35"/>
      <c r="V9" s="151"/>
      <c r="W9" s="35">
        <f>'2-δικαιώμ'!H9+'2-δικαιώμ'!I9</f>
        <v>1.8378640000000002</v>
      </c>
      <c r="X9" s="35">
        <f>'2-δικαιώμ'!J9</f>
        <v>1.4654800000000003</v>
      </c>
      <c r="Y9" s="35">
        <f>'2-δικαιώμ'!K9</f>
        <v>0.29309600000000002</v>
      </c>
      <c r="Z9" s="151"/>
      <c r="AA9" s="35"/>
      <c r="AB9" s="35"/>
      <c r="AC9" s="35"/>
      <c r="AD9" s="35"/>
      <c r="AE9" s="35"/>
    </row>
    <row r="10" spans="1:31" s="18" customFormat="1">
      <c r="A10" s="123" t="str">
        <f>'1-συμβολαια'!A10</f>
        <v>13ο</v>
      </c>
      <c r="B10" s="575">
        <f>'1-συμβολαια'!B10</f>
        <v>41370</v>
      </c>
      <c r="C10" s="123" t="str">
        <f>'1-συμβολαια'!C10</f>
        <v>πληρεξούσιο</v>
      </c>
      <c r="D10" s="209">
        <f>'1-συμβολαια'!D10</f>
        <v>0</v>
      </c>
      <c r="E10" s="28">
        <f>'8-κ-15-17'!D10</f>
        <v>0</v>
      </c>
      <c r="F10" s="28">
        <f>'8-κ-15-17'!M10</f>
        <v>0</v>
      </c>
      <c r="G10" s="28">
        <f>'8-κ-15-17'!V10</f>
        <v>0</v>
      </c>
      <c r="H10" s="28">
        <f>'2-δικαιώμ'!H10</f>
        <v>0</v>
      </c>
      <c r="I10" s="28">
        <f>'2-δικαιώμ'!I10</f>
        <v>1</v>
      </c>
      <c r="J10" s="28">
        <f>'2-δικαιώμ'!J10</f>
        <v>1</v>
      </c>
      <c r="K10" s="28">
        <f>'2-δικαιώμ'!K10</f>
        <v>0.2</v>
      </c>
      <c r="L10" s="151"/>
      <c r="M10" s="151"/>
      <c r="N10" s="35"/>
      <c r="O10" s="35"/>
      <c r="P10" s="35"/>
      <c r="Q10" s="151"/>
      <c r="R10" s="35"/>
      <c r="S10" s="35"/>
      <c r="T10" s="35"/>
      <c r="U10" s="35"/>
      <c r="V10" s="151"/>
      <c r="W10" s="35">
        <f>'2-δικαιώμ'!H10+'2-δικαιώμ'!I10</f>
        <v>1</v>
      </c>
      <c r="X10" s="35">
        <f>'2-δικαιώμ'!J10</f>
        <v>1</v>
      </c>
      <c r="Y10" s="35">
        <f>'2-δικαιώμ'!K10</f>
        <v>0.2</v>
      </c>
      <c r="Z10" s="151"/>
      <c r="AA10" s="35"/>
      <c r="AB10" s="35"/>
      <c r="AC10" s="35"/>
      <c r="AD10" s="35"/>
      <c r="AE10" s="35"/>
    </row>
    <row r="11" spans="1:31" s="18" customFormat="1">
      <c r="A11" s="123" t="str">
        <f>'1-συμβολαια'!A11</f>
        <v>14ο</v>
      </c>
      <c r="B11" s="575">
        <f>'1-συμβολαια'!B11</f>
        <v>41372</v>
      </c>
      <c r="C11" s="123" t="str">
        <f>'1-συμβολαια'!C11</f>
        <v>αγοραπωλησία</v>
      </c>
      <c r="D11" s="209">
        <f>'1-συμβολαια'!D11</f>
        <v>20269.88</v>
      </c>
      <c r="E11" s="28">
        <f>'8-κ-15-17'!D11</f>
        <v>0</v>
      </c>
      <c r="F11" s="28">
        <f>'8-κ-15-17'!M11</f>
        <v>0</v>
      </c>
      <c r="G11" s="28">
        <f>'8-κ-15-17'!V11</f>
        <v>0</v>
      </c>
      <c r="H11" s="28">
        <f>'2-δικαιώμ'!H11</f>
        <v>18.242892000000001</v>
      </c>
      <c r="I11" s="28">
        <f>'2-δικαιώμ'!I11</f>
        <v>1</v>
      </c>
      <c r="J11" s="28">
        <f>'2-δικαιώμ'!J11</f>
        <v>11.13494</v>
      </c>
      <c r="K11" s="28">
        <f>'2-δικαιώμ'!K11</f>
        <v>2.226988</v>
      </c>
      <c r="L11" s="151"/>
      <c r="M11" s="151"/>
      <c r="N11" s="35"/>
      <c r="O11" s="35"/>
      <c r="P11" s="35"/>
      <c r="Q11" s="151"/>
      <c r="R11" s="35"/>
      <c r="S11" s="35"/>
      <c r="T11" s="35"/>
      <c r="U11" s="35"/>
      <c r="V11" s="151"/>
      <c r="W11" s="35">
        <f>'2-δικαιώμ'!H11+'2-δικαιώμ'!I11</f>
        <v>19.242892000000001</v>
      </c>
      <c r="X11" s="35">
        <f>'2-δικαιώμ'!J11</f>
        <v>11.13494</v>
      </c>
      <c r="Y11" s="35">
        <f>'2-δικαιώμ'!K11</f>
        <v>2.226988</v>
      </c>
      <c r="Z11" s="151"/>
      <c r="AA11" s="35"/>
      <c r="AB11" s="35"/>
      <c r="AC11" s="35"/>
      <c r="AD11" s="35"/>
      <c r="AE11" s="35"/>
    </row>
    <row r="12" spans="1:31" s="18" customFormat="1">
      <c r="A12" s="123" t="str">
        <f>'1-συμβολαια'!A12</f>
        <v>15ο</v>
      </c>
      <c r="B12" s="575">
        <f>'1-συμβολαια'!B12</f>
        <v>41372</v>
      </c>
      <c r="C12" s="123" t="str">
        <f>'1-συμβολαια'!C12</f>
        <v>δωρεά</v>
      </c>
      <c r="D12" s="209">
        <f>'1-συμβολαια'!D12</f>
        <v>21765.16</v>
      </c>
      <c r="E12" s="28">
        <f>'8-κ-15-17'!D12</f>
        <v>0</v>
      </c>
      <c r="F12" s="28">
        <f>'8-κ-15-17'!M12</f>
        <v>141.47354000000001</v>
      </c>
      <c r="G12" s="28">
        <f>'8-κ-15-17'!V12</f>
        <v>27.20645</v>
      </c>
      <c r="H12" s="28">
        <f>'2-δικαιώμ'!H12</f>
        <v>19.588643999999999</v>
      </c>
      <c r="I12" s="28">
        <f>'2-δικαιώμ'!I12</f>
        <v>1</v>
      </c>
      <c r="J12" s="28">
        <f>'2-δικαιώμ'!J12</f>
        <v>11.882580000000001</v>
      </c>
      <c r="K12" s="28">
        <f>'2-δικαιώμ'!K12</f>
        <v>2.3765160000000001</v>
      </c>
      <c r="L12" s="151"/>
      <c r="M12" s="151"/>
      <c r="N12" s="35"/>
      <c r="O12" s="35"/>
      <c r="P12" s="35"/>
      <c r="Q12" s="151"/>
      <c r="R12" s="35"/>
      <c r="S12" s="35"/>
      <c r="T12" s="35"/>
      <c r="U12" s="35"/>
      <c r="V12" s="151"/>
      <c r="W12" s="35">
        <f>'2-δικαιώμ'!H12+'2-δικαιώμ'!I12</f>
        <v>20.588643999999999</v>
      </c>
      <c r="X12" s="35">
        <f>'2-δικαιώμ'!J12</f>
        <v>11.882580000000001</v>
      </c>
      <c r="Y12" s="35">
        <f>'2-δικαιώμ'!K12</f>
        <v>2.3765160000000001</v>
      </c>
      <c r="Z12" s="151"/>
      <c r="AA12" s="35"/>
      <c r="AB12" s="35"/>
      <c r="AC12" s="35"/>
      <c r="AD12" s="35"/>
      <c r="AE12" s="35"/>
    </row>
    <row r="13" spans="1:31" s="18" customFormat="1">
      <c r="A13" s="123" t="str">
        <f>'1-συμβολαια'!A13</f>
        <v>16ο</v>
      </c>
      <c r="B13" s="575">
        <f>'1-συμβολαια'!B13</f>
        <v>41372</v>
      </c>
      <c r="C13" s="123" t="str">
        <f>'1-συμβολαια'!C13</f>
        <v>γονική</v>
      </c>
      <c r="D13" s="209">
        <f>'1-συμβολαια'!D13</f>
        <v>84070.06</v>
      </c>
      <c r="E13" s="28">
        <f>'8-κ-15-17'!D13</f>
        <v>0</v>
      </c>
      <c r="F13" s="28">
        <f>'8-κ-15-17'!M13</f>
        <v>546.45539000000008</v>
      </c>
      <c r="G13" s="28">
        <f>'8-κ-15-17'!V13</f>
        <v>105.087575</v>
      </c>
      <c r="H13" s="28">
        <f>'2-δικαιώμ'!H13</f>
        <v>75.663054000000002</v>
      </c>
      <c r="I13" s="28">
        <f>'2-δικαιώμ'!I13</f>
        <v>1</v>
      </c>
      <c r="J13" s="28">
        <f>'2-δικαιώμ'!J13</f>
        <v>43.035030000000006</v>
      </c>
      <c r="K13" s="28">
        <f>'2-δικαιώμ'!K13</f>
        <v>8.6070060000000002</v>
      </c>
      <c r="L13" s="151"/>
      <c r="M13" s="151"/>
      <c r="N13" s="35"/>
      <c r="O13" s="35"/>
      <c r="P13" s="35"/>
      <c r="Q13" s="151"/>
      <c r="R13" s="35"/>
      <c r="S13" s="35"/>
      <c r="T13" s="35"/>
      <c r="U13" s="35"/>
      <c r="V13" s="151"/>
      <c r="W13" s="35">
        <f>'2-δικαιώμ'!H13+'2-δικαιώμ'!I13</f>
        <v>76.663054000000002</v>
      </c>
      <c r="X13" s="35">
        <f>'2-δικαιώμ'!J13</f>
        <v>43.035030000000006</v>
      </c>
      <c r="Y13" s="35">
        <f>'2-δικαιώμ'!K13</f>
        <v>8.6070060000000002</v>
      </c>
      <c r="Z13" s="151"/>
      <c r="AA13" s="35"/>
      <c r="AB13" s="35"/>
      <c r="AC13" s="35"/>
      <c r="AD13" s="35"/>
      <c r="AE13" s="35"/>
    </row>
    <row r="14" spans="1:31" s="18" customFormat="1">
      <c r="A14" s="123" t="str">
        <f>'1-συμβολαια'!A14</f>
        <v>17ο</v>
      </c>
      <c r="B14" s="575">
        <f>'1-συμβολαια'!B14</f>
        <v>41372</v>
      </c>
      <c r="C14" s="123" t="str">
        <f>'1-συμβολαια'!C14</f>
        <v>δωρεά</v>
      </c>
      <c r="D14" s="209">
        <f>'1-συμβολαια'!D14</f>
        <v>42035.040000000001</v>
      </c>
      <c r="E14" s="28">
        <f>'8-κ-15-17'!D14</f>
        <v>0</v>
      </c>
      <c r="F14" s="28">
        <f>'8-κ-15-17'!M14</f>
        <v>273.22776000000005</v>
      </c>
      <c r="G14" s="28">
        <f>'8-κ-15-17'!V14</f>
        <v>52.543800000000005</v>
      </c>
      <c r="H14" s="28">
        <f>'2-δικαιώμ'!H14</f>
        <v>37.831536</v>
      </c>
      <c r="I14" s="28">
        <f>'2-δικαιώμ'!I14</f>
        <v>1</v>
      </c>
      <c r="J14" s="28">
        <f>'2-δικαιώμ'!J14</f>
        <v>22.017520000000005</v>
      </c>
      <c r="K14" s="28">
        <f>'2-δικαιώμ'!K14</f>
        <v>4.4035040000000008</v>
      </c>
      <c r="L14" s="151"/>
      <c r="M14" s="151"/>
      <c r="N14" s="35"/>
      <c r="O14" s="35"/>
      <c r="P14" s="35"/>
      <c r="Q14" s="151"/>
      <c r="R14" s="35"/>
      <c r="S14" s="35"/>
      <c r="T14" s="35"/>
      <c r="U14" s="35"/>
      <c r="V14" s="151"/>
      <c r="W14" s="35">
        <f>'2-δικαιώμ'!H14+'2-δικαιώμ'!I14</f>
        <v>38.831536</v>
      </c>
      <c r="X14" s="35">
        <f>'2-δικαιώμ'!J14</f>
        <v>22.017520000000005</v>
      </c>
      <c r="Y14" s="35">
        <f>'2-δικαιώμ'!K14</f>
        <v>4.4035040000000008</v>
      </c>
      <c r="Z14" s="151"/>
      <c r="AA14" s="35"/>
      <c r="AB14" s="35"/>
      <c r="AC14" s="35"/>
      <c r="AD14" s="35"/>
      <c r="AE14" s="35"/>
    </row>
    <row r="15" spans="1:31" s="18" customFormat="1">
      <c r="A15" s="123" t="str">
        <f>'1-συμβολαια'!A15</f>
        <v>18ο</v>
      </c>
      <c r="B15" s="575">
        <f>'1-συμβολαια'!B15</f>
        <v>41372</v>
      </c>
      <c r="C15" s="123" t="str">
        <f>'1-συμβολαια'!C15</f>
        <v>γονική</v>
      </c>
      <c r="D15" s="209">
        <f>'1-συμβολαια'!D15</f>
        <v>84070.06</v>
      </c>
      <c r="E15" s="28">
        <f>'8-κ-15-17'!D15</f>
        <v>0</v>
      </c>
      <c r="F15" s="28">
        <f>'8-κ-15-17'!M15</f>
        <v>546.45539000000008</v>
      </c>
      <c r="G15" s="28">
        <f>'8-κ-15-17'!V15</f>
        <v>105.087575</v>
      </c>
      <c r="H15" s="28">
        <f>'2-δικαιώμ'!H15</f>
        <v>75.663054000000002</v>
      </c>
      <c r="I15" s="28">
        <f>'2-δικαιώμ'!I15</f>
        <v>1</v>
      </c>
      <c r="J15" s="28">
        <f>'2-δικαιώμ'!J15</f>
        <v>43.035030000000006</v>
      </c>
      <c r="K15" s="28">
        <f>'2-δικαιώμ'!K15</f>
        <v>8.6070060000000002</v>
      </c>
      <c r="L15" s="151"/>
      <c r="M15" s="151"/>
      <c r="N15" s="35"/>
      <c r="O15" s="35"/>
      <c r="P15" s="35"/>
      <c r="Q15" s="151"/>
      <c r="R15" s="35"/>
      <c r="S15" s="35"/>
      <c r="T15" s="35"/>
      <c r="U15" s="35"/>
      <c r="V15" s="151"/>
      <c r="W15" s="35">
        <f>'2-δικαιώμ'!H15+'2-δικαιώμ'!I15</f>
        <v>76.663054000000002</v>
      </c>
      <c r="X15" s="35">
        <f>'2-δικαιώμ'!J15</f>
        <v>43.035030000000006</v>
      </c>
      <c r="Y15" s="35">
        <f>'2-δικαιώμ'!K15</f>
        <v>8.6070060000000002</v>
      </c>
      <c r="Z15" s="151"/>
      <c r="AA15" s="35"/>
      <c r="AB15" s="35"/>
      <c r="AC15" s="35"/>
      <c r="AD15" s="35"/>
      <c r="AE15" s="35"/>
    </row>
    <row r="16" spans="1:31" s="18" customFormat="1">
      <c r="A16" s="123" t="str">
        <f>'1-συμβολαια'!A16</f>
        <v>19ο</v>
      </c>
      <c r="B16" s="575">
        <f>'1-συμβολαια'!B16</f>
        <v>41372</v>
      </c>
      <c r="C16" s="123" t="str">
        <f>'1-συμβολαια'!C16</f>
        <v>σύσταση δουλείας</v>
      </c>
      <c r="D16" s="209">
        <f>'1-συμβολαια'!D16</f>
        <v>203.07</v>
      </c>
      <c r="E16" s="28">
        <f>'8-κ-15-17'!D16</f>
        <v>0</v>
      </c>
      <c r="F16" s="28">
        <f>'8-κ-15-17'!M16</f>
        <v>0</v>
      </c>
      <c r="G16" s="28">
        <f>'8-κ-15-17'!V16</f>
        <v>0</v>
      </c>
      <c r="H16" s="28">
        <f>'2-δικαιώμ'!H16</f>
        <v>0.18276299999999998</v>
      </c>
      <c r="I16" s="28">
        <f>'2-δικαιώμ'!I16</f>
        <v>1</v>
      </c>
      <c r="J16" s="28">
        <f>'2-δικαιώμ'!J16</f>
        <v>1.1015349999999999</v>
      </c>
      <c r="K16" s="28">
        <f>'2-δικαιώμ'!K16</f>
        <v>0.220307</v>
      </c>
      <c r="L16" s="151"/>
      <c r="M16" s="151"/>
      <c r="N16" s="35"/>
      <c r="O16" s="35"/>
      <c r="P16" s="35"/>
      <c r="Q16" s="151"/>
      <c r="R16" s="35"/>
      <c r="S16" s="35"/>
      <c r="T16" s="35"/>
      <c r="U16" s="35"/>
      <c r="V16" s="151"/>
      <c r="W16" s="35">
        <f>'2-δικαιώμ'!H16+'2-δικαιώμ'!I16</f>
        <v>1.182763</v>
      </c>
      <c r="X16" s="35">
        <f>'2-δικαιώμ'!J16</f>
        <v>1.1015349999999999</v>
      </c>
      <c r="Y16" s="35">
        <f>'2-δικαιώμ'!K16</f>
        <v>0.220307</v>
      </c>
      <c r="Z16" s="151"/>
      <c r="AA16" s="35"/>
      <c r="AB16" s="35"/>
      <c r="AC16" s="35"/>
      <c r="AD16" s="35"/>
      <c r="AE16" s="35"/>
    </row>
    <row r="17" spans="1:31" s="18" customFormat="1">
      <c r="A17" s="123" t="str">
        <f>'1-συμβολαια'!A17</f>
        <v>20ο</v>
      </c>
      <c r="B17" s="575">
        <f>'1-συμβολαια'!B17</f>
        <v>41372</v>
      </c>
      <c r="C17" s="123" t="str">
        <f>'1-συμβολαια'!C17</f>
        <v>σύσταση δουλείας</v>
      </c>
      <c r="D17" s="209">
        <f>'1-συμβολαια'!D17</f>
        <v>186.07</v>
      </c>
      <c r="E17" s="28">
        <f>'8-κ-15-17'!D17</f>
        <v>0</v>
      </c>
      <c r="F17" s="28">
        <f>'8-κ-15-17'!M17</f>
        <v>0</v>
      </c>
      <c r="G17" s="28">
        <f>'8-κ-15-17'!V17</f>
        <v>0</v>
      </c>
      <c r="H17" s="28">
        <f>'2-δικαιώμ'!H17</f>
        <v>0.167463</v>
      </c>
      <c r="I17" s="28">
        <f>'2-δικαιώμ'!I17</f>
        <v>1</v>
      </c>
      <c r="J17" s="28">
        <f>'2-δικαιώμ'!J17</f>
        <v>1.0930350000000002</v>
      </c>
      <c r="K17" s="28">
        <f>'2-δικαιώμ'!K17</f>
        <v>0.21860700000000002</v>
      </c>
      <c r="L17" s="151"/>
      <c r="M17" s="151"/>
      <c r="N17" s="35"/>
      <c r="O17" s="35"/>
      <c r="P17" s="35"/>
      <c r="Q17" s="151"/>
      <c r="R17" s="35"/>
      <c r="S17" s="35"/>
      <c r="T17" s="35"/>
      <c r="U17" s="35"/>
      <c r="V17" s="151"/>
      <c r="W17" s="35">
        <f>'2-δικαιώμ'!H17+'2-δικαιώμ'!I17</f>
        <v>1.1674629999999999</v>
      </c>
      <c r="X17" s="35">
        <f>'2-δικαιώμ'!J17</f>
        <v>1.0930350000000002</v>
      </c>
      <c r="Y17" s="35">
        <f>'2-δικαιώμ'!K17</f>
        <v>0.21860700000000002</v>
      </c>
      <c r="Z17" s="151"/>
      <c r="AA17" s="35"/>
      <c r="AB17" s="35"/>
      <c r="AC17" s="35"/>
      <c r="AD17" s="35"/>
      <c r="AE17" s="35"/>
    </row>
    <row r="18" spans="1:31" s="18" customFormat="1">
      <c r="A18" s="123" t="str">
        <f>'1-συμβολαια'!A18</f>
        <v>21ο</v>
      </c>
      <c r="B18" s="575">
        <f>'1-συμβολαια'!B18</f>
        <v>41373</v>
      </c>
      <c r="C18" s="123" t="str">
        <f>'1-συμβολαια'!C18</f>
        <v>χρήσης ακινήτου ΚΑΝΟΝΙΣΜΟΣ</v>
      </c>
      <c r="D18" s="209">
        <f>'1-συμβολαια'!D18</f>
        <v>0</v>
      </c>
      <c r="E18" s="28">
        <f>'8-κ-15-17'!D18</f>
        <v>0</v>
      </c>
      <c r="F18" s="28">
        <f>'8-κ-15-17'!M18</f>
        <v>0</v>
      </c>
      <c r="G18" s="28">
        <f>'8-κ-15-17'!V18</f>
        <v>0</v>
      </c>
      <c r="H18" s="28">
        <f>'2-δικαιώμ'!H18</f>
        <v>0</v>
      </c>
      <c r="I18" s="28">
        <f>'2-δικαιώμ'!I18</f>
        <v>1</v>
      </c>
      <c r="J18" s="28">
        <f>'2-δικαιώμ'!J18</f>
        <v>1</v>
      </c>
      <c r="K18" s="28">
        <f>'2-δικαιώμ'!K18</f>
        <v>0.2</v>
      </c>
      <c r="L18" s="151"/>
      <c r="M18" s="151"/>
      <c r="N18" s="35"/>
      <c r="O18" s="35"/>
      <c r="P18" s="35"/>
      <c r="Q18" s="151"/>
      <c r="R18" s="35"/>
      <c r="S18" s="35"/>
      <c r="T18" s="35"/>
      <c r="U18" s="35"/>
      <c r="V18" s="151"/>
      <c r="W18" s="35">
        <f>'2-δικαιώμ'!H18+'2-δικαιώμ'!I18</f>
        <v>1</v>
      </c>
      <c r="X18" s="35">
        <f>'2-δικαιώμ'!J18</f>
        <v>1</v>
      </c>
      <c r="Y18" s="35">
        <f>'2-δικαιώμ'!K18</f>
        <v>0.2</v>
      </c>
      <c r="Z18" s="151"/>
      <c r="AA18" s="35"/>
      <c r="AB18" s="35"/>
      <c r="AC18" s="35"/>
      <c r="AD18" s="35"/>
      <c r="AE18" s="35"/>
    </row>
    <row r="19" spans="1:31">
      <c r="A19" s="776" t="str">
        <f>'1-συμβολαια'!A19</f>
        <v>σύνολο</v>
      </c>
      <c r="B19" s="777"/>
      <c r="C19" s="777"/>
      <c r="D19" s="778"/>
      <c r="E19" s="295">
        <f t="shared" ref="E19:K19" si="0">SUM(E3:E18)</f>
        <v>12.102480000000002</v>
      </c>
      <c r="F19" s="295">
        <f t="shared" si="0"/>
        <v>1604.8606600000003</v>
      </c>
      <c r="G19" s="295">
        <f t="shared" si="0"/>
        <v>308.62705</v>
      </c>
      <c r="H19" s="295">
        <f t="shared" si="0"/>
        <v>251.89964999999998</v>
      </c>
      <c r="I19" s="295">
        <f t="shared" si="0"/>
        <v>15.2</v>
      </c>
      <c r="J19" s="295">
        <f t="shared" si="0"/>
        <v>155.14425</v>
      </c>
      <c r="K19" s="295">
        <f t="shared" si="0"/>
        <v>31.028850000000002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2" spans="1:31">
      <c r="C22" s="92"/>
      <c r="E22" s="2"/>
      <c r="F22" s="2"/>
      <c r="G22" s="2"/>
      <c r="H22" s="2"/>
      <c r="I22" s="2"/>
      <c r="J22" s="2"/>
      <c r="K22" s="2"/>
    </row>
    <row r="23" spans="1:31" ht="15.75">
      <c r="C23" s="92"/>
      <c r="E23" s="2"/>
      <c r="F23" s="2"/>
      <c r="G23" s="2"/>
      <c r="H23" s="138"/>
      <c r="I23" s="282"/>
      <c r="J23" s="283">
        <v>1</v>
      </c>
      <c r="K23" s="5" t="s">
        <v>392</v>
      </c>
      <c r="L23" s="5"/>
      <c r="M23" s="284"/>
    </row>
    <row r="24" spans="1:31">
      <c r="C24" s="92"/>
      <c r="E24" s="2"/>
      <c r="F24" s="2"/>
      <c r="G24" s="2"/>
      <c r="H24" s="4"/>
      <c r="I24" s="169"/>
      <c r="J24" s="302">
        <v>1</v>
      </c>
      <c r="K24" s="5" t="s">
        <v>393</v>
      </c>
      <c r="L24" s="5"/>
      <c r="M24" s="284"/>
    </row>
    <row r="25" spans="1:31" ht="12.75">
      <c r="C25" s="216" t="s">
        <v>480</v>
      </c>
      <c r="E25" s="2"/>
      <c r="F25" s="2"/>
      <c r="G25" s="2"/>
      <c r="H25" s="323"/>
      <c r="I25" s="58"/>
      <c r="J25" s="4">
        <v>0.73</v>
      </c>
      <c r="K25" s="5" t="s">
        <v>135</v>
      </c>
      <c r="L25" s="5"/>
      <c r="M25" s="5"/>
    </row>
    <row r="26" spans="1:31" ht="12.75">
      <c r="C26" s="217" t="s">
        <v>481</v>
      </c>
      <c r="E26" s="2"/>
      <c r="F26" s="2"/>
      <c r="G26" s="2"/>
      <c r="H26" s="323"/>
      <c r="I26" s="58"/>
      <c r="J26" s="4">
        <v>2</v>
      </c>
      <c r="K26" s="5" t="s">
        <v>394</v>
      </c>
      <c r="L26" s="5"/>
      <c r="M26" s="5"/>
    </row>
    <row r="27" spans="1:31" ht="15.75">
      <c r="C27" s="218" t="s">
        <v>389</v>
      </c>
      <c r="E27" s="2"/>
      <c r="F27" s="2"/>
      <c r="G27" s="2"/>
      <c r="H27" s="323"/>
      <c r="I27" s="58"/>
      <c r="J27" s="4">
        <v>3.7</v>
      </c>
      <c r="K27" s="5" t="s">
        <v>395</v>
      </c>
      <c r="L27" s="5"/>
      <c r="M27" s="5"/>
    </row>
  </sheetData>
  <mergeCells count="14">
    <mergeCell ref="AA1:AE1"/>
    <mergeCell ref="A19:D19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45"/>
  <sheetViews>
    <sheetView workbookViewId="0">
      <pane ySplit="2" topLeftCell="A3" activePane="bottomLeft" state="frozen"/>
      <selection pane="bottomLeft" activeCell="D32" sqref="D32"/>
    </sheetView>
  </sheetViews>
  <sheetFormatPr defaultRowHeight="15"/>
  <cols>
    <col min="1" max="1" width="11.5703125" style="105" bestFit="1" customWidth="1"/>
    <col min="2" max="2" width="76.42578125" style="106" bestFit="1" customWidth="1"/>
    <col min="3" max="3" width="13.5703125" style="107" bestFit="1" customWidth="1"/>
    <col min="4" max="5" width="13.5703125" style="107" customWidth="1"/>
    <col min="6" max="6" width="11.5703125" style="107" bestFit="1" customWidth="1"/>
    <col min="7" max="7" width="13.5703125" style="107" bestFit="1" customWidth="1"/>
    <col min="8" max="8" width="13.5703125" style="107" customWidth="1"/>
    <col min="9" max="9" width="7.85546875" style="82" customWidth="1"/>
    <col min="10" max="10" width="10" style="82" customWidth="1"/>
    <col min="11" max="11" width="45" style="82" bestFit="1" customWidth="1"/>
    <col min="12" max="12" width="30.85546875" style="82" customWidth="1"/>
    <col min="13" max="210" width="9.140625" style="100"/>
    <col min="211" max="211" width="9" style="100" bestFit="1" customWidth="1"/>
    <col min="212" max="212" width="9.85546875" style="100" bestFit="1" customWidth="1"/>
    <col min="213" max="213" width="9.140625" style="100" bestFit="1" customWidth="1"/>
    <col min="214" max="214" width="16" style="100" bestFit="1" customWidth="1"/>
    <col min="215" max="215" width="9" style="100" bestFit="1" customWidth="1"/>
    <col min="216" max="216" width="7.85546875" style="100" bestFit="1" customWidth="1"/>
    <col min="217" max="217" width="11.7109375" style="100" bestFit="1" customWidth="1"/>
    <col min="218" max="218" width="14.28515625" style="100" customWidth="1"/>
    <col min="219" max="219" width="11.7109375" style="100" bestFit="1" customWidth="1"/>
    <col min="220" max="220" width="14.140625" style="100" bestFit="1" customWidth="1"/>
    <col min="221" max="221" width="16.7109375" style="100" customWidth="1"/>
    <col min="222" max="222" width="16.5703125" style="100" customWidth="1"/>
    <col min="223" max="224" width="7.85546875" style="100" bestFit="1" customWidth="1"/>
    <col min="225" max="225" width="8" style="100" bestFit="1" customWidth="1"/>
    <col min="226" max="227" width="7.85546875" style="100" bestFit="1" customWidth="1"/>
    <col min="228" max="228" width="9.7109375" style="100" customWidth="1"/>
    <col min="229" max="229" width="12.85546875" style="100" customWidth="1"/>
    <col min="230" max="466" width="9.140625" style="100"/>
    <col min="467" max="467" width="9" style="100" bestFit="1" customWidth="1"/>
    <col min="468" max="468" width="9.85546875" style="100" bestFit="1" customWidth="1"/>
    <col min="469" max="469" width="9.140625" style="100" bestFit="1" customWidth="1"/>
    <col min="470" max="470" width="16" style="100" bestFit="1" customWidth="1"/>
    <col min="471" max="471" width="9" style="100" bestFit="1" customWidth="1"/>
    <col min="472" max="472" width="7.85546875" style="100" bestFit="1" customWidth="1"/>
    <col min="473" max="473" width="11.7109375" style="100" bestFit="1" customWidth="1"/>
    <col min="474" max="474" width="14.28515625" style="100" customWidth="1"/>
    <col min="475" max="475" width="11.7109375" style="100" bestFit="1" customWidth="1"/>
    <col min="476" max="476" width="14.140625" style="100" bestFit="1" customWidth="1"/>
    <col min="477" max="477" width="16.7109375" style="100" customWidth="1"/>
    <col min="478" max="478" width="16.5703125" style="100" customWidth="1"/>
    <col min="479" max="480" width="7.85546875" style="100" bestFit="1" customWidth="1"/>
    <col min="481" max="481" width="8" style="100" bestFit="1" customWidth="1"/>
    <col min="482" max="483" width="7.85546875" style="100" bestFit="1" customWidth="1"/>
    <col min="484" max="484" width="9.7109375" style="100" customWidth="1"/>
    <col min="485" max="485" width="12.85546875" style="100" customWidth="1"/>
    <col min="486" max="722" width="9.140625" style="100"/>
    <col min="723" max="723" width="9" style="100" bestFit="1" customWidth="1"/>
    <col min="724" max="724" width="9.85546875" style="100" bestFit="1" customWidth="1"/>
    <col min="725" max="725" width="9.140625" style="100" bestFit="1" customWidth="1"/>
    <col min="726" max="726" width="16" style="100" bestFit="1" customWidth="1"/>
    <col min="727" max="727" width="9" style="100" bestFit="1" customWidth="1"/>
    <col min="728" max="728" width="7.85546875" style="100" bestFit="1" customWidth="1"/>
    <col min="729" max="729" width="11.7109375" style="100" bestFit="1" customWidth="1"/>
    <col min="730" max="730" width="14.28515625" style="100" customWidth="1"/>
    <col min="731" max="731" width="11.7109375" style="100" bestFit="1" customWidth="1"/>
    <col min="732" max="732" width="14.140625" style="100" bestFit="1" customWidth="1"/>
    <col min="733" max="733" width="16.7109375" style="100" customWidth="1"/>
    <col min="734" max="734" width="16.5703125" style="100" customWidth="1"/>
    <col min="735" max="736" width="7.85546875" style="100" bestFit="1" customWidth="1"/>
    <col min="737" max="737" width="8" style="100" bestFit="1" customWidth="1"/>
    <col min="738" max="739" width="7.85546875" style="100" bestFit="1" customWidth="1"/>
    <col min="740" max="740" width="9.7109375" style="100" customWidth="1"/>
    <col min="741" max="741" width="12.85546875" style="100" customWidth="1"/>
    <col min="742" max="978" width="9.140625" style="100"/>
    <col min="979" max="979" width="9" style="100" bestFit="1" customWidth="1"/>
    <col min="980" max="980" width="9.85546875" style="100" bestFit="1" customWidth="1"/>
    <col min="981" max="981" width="9.140625" style="100" bestFit="1" customWidth="1"/>
    <col min="982" max="982" width="16" style="100" bestFit="1" customWidth="1"/>
    <col min="983" max="983" width="9" style="100" bestFit="1" customWidth="1"/>
    <col min="984" max="984" width="7.85546875" style="100" bestFit="1" customWidth="1"/>
    <col min="985" max="985" width="11.7109375" style="100" bestFit="1" customWidth="1"/>
    <col min="986" max="986" width="14.28515625" style="100" customWidth="1"/>
    <col min="987" max="987" width="11.7109375" style="100" bestFit="1" customWidth="1"/>
    <col min="988" max="988" width="14.140625" style="100" bestFit="1" customWidth="1"/>
    <col min="989" max="989" width="16.7109375" style="100" customWidth="1"/>
    <col min="990" max="990" width="16.5703125" style="100" customWidth="1"/>
    <col min="991" max="992" width="7.85546875" style="100" bestFit="1" customWidth="1"/>
    <col min="993" max="993" width="8" style="100" bestFit="1" customWidth="1"/>
    <col min="994" max="995" width="7.85546875" style="100" bestFit="1" customWidth="1"/>
    <col min="996" max="996" width="9.7109375" style="100" customWidth="1"/>
    <col min="997" max="997" width="12.85546875" style="100" customWidth="1"/>
    <col min="998" max="1234" width="9.140625" style="100"/>
    <col min="1235" max="1235" width="9" style="100" bestFit="1" customWidth="1"/>
    <col min="1236" max="1236" width="9.85546875" style="100" bestFit="1" customWidth="1"/>
    <col min="1237" max="1237" width="9.140625" style="100" bestFit="1" customWidth="1"/>
    <col min="1238" max="1238" width="16" style="100" bestFit="1" customWidth="1"/>
    <col min="1239" max="1239" width="9" style="100" bestFit="1" customWidth="1"/>
    <col min="1240" max="1240" width="7.85546875" style="100" bestFit="1" customWidth="1"/>
    <col min="1241" max="1241" width="11.7109375" style="100" bestFit="1" customWidth="1"/>
    <col min="1242" max="1242" width="14.28515625" style="100" customWidth="1"/>
    <col min="1243" max="1243" width="11.7109375" style="100" bestFit="1" customWidth="1"/>
    <col min="1244" max="1244" width="14.140625" style="100" bestFit="1" customWidth="1"/>
    <col min="1245" max="1245" width="16.7109375" style="100" customWidth="1"/>
    <col min="1246" max="1246" width="16.5703125" style="100" customWidth="1"/>
    <col min="1247" max="1248" width="7.85546875" style="100" bestFit="1" customWidth="1"/>
    <col min="1249" max="1249" width="8" style="100" bestFit="1" customWidth="1"/>
    <col min="1250" max="1251" width="7.85546875" style="100" bestFit="1" customWidth="1"/>
    <col min="1252" max="1252" width="9.7109375" style="100" customWidth="1"/>
    <col min="1253" max="1253" width="12.85546875" style="100" customWidth="1"/>
    <col min="1254" max="1490" width="9.140625" style="100"/>
    <col min="1491" max="1491" width="9" style="100" bestFit="1" customWidth="1"/>
    <col min="1492" max="1492" width="9.85546875" style="100" bestFit="1" customWidth="1"/>
    <col min="1493" max="1493" width="9.140625" style="100" bestFit="1" customWidth="1"/>
    <col min="1494" max="1494" width="16" style="100" bestFit="1" customWidth="1"/>
    <col min="1495" max="1495" width="9" style="100" bestFit="1" customWidth="1"/>
    <col min="1496" max="1496" width="7.85546875" style="100" bestFit="1" customWidth="1"/>
    <col min="1497" max="1497" width="11.7109375" style="100" bestFit="1" customWidth="1"/>
    <col min="1498" max="1498" width="14.28515625" style="100" customWidth="1"/>
    <col min="1499" max="1499" width="11.7109375" style="100" bestFit="1" customWidth="1"/>
    <col min="1500" max="1500" width="14.140625" style="100" bestFit="1" customWidth="1"/>
    <col min="1501" max="1501" width="16.7109375" style="100" customWidth="1"/>
    <col min="1502" max="1502" width="16.5703125" style="100" customWidth="1"/>
    <col min="1503" max="1504" width="7.85546875" style="100" bestFit="1" customWidth="1"/>
    <col min="1505" max="1505" width="8" style="100" bestFit="1" customWidth="1"/>
    <col min="1506" max="1507" width="7.85546875" style="100" bestFit="1" customWidth="1"/>
    <col min="1508" max="1508" width="9.7109375" style="100" customWidth="1"/>
    <col min="1509" max="1509" width="12.85546875" style="100" customWidth="1"/>
    <col min="1510" max="1746" width="9.140625" style="100"/>
    <col min="1747" max="1747" width="9" style="100" bestFit="1" customWidth="1"/>
    <col min="1748" max="1748" width="9.85546875" style="100" bestFit="1" customWidth="1"/>
    <col min="1749" max="1749" width="9.140625" style="100" bestFit="1" customWidth="1"/>
    <col min="1750" max="1750" width="16" style="100" bestFit="1" customWidth="1"/>
    <col min="1751" max="1751" width="9" style="100" bestFit="1" customWidth="1"/>
    <col min="1752" max="1752" width="7.85546875" style="100" bestFit="1" customWidth="1"/>
    <col min="1753" max="1753" width="11.7109375" style="100" bestFit="1" customWidth="1"/>
    <col min="1754" max="1754" width="14.28515625" style="100" customWidth="1"/>
    <col min="1755" max="1755" width="11.7109375" style="100" bestFit="1" customWidth="1"/>
    <col min="1756" max="1756" width="14.140625" style="100" bestFit="1" customWidth="1"/>
    <col min="1757" max="1757" width="16.7109375" style="100" customWidth="1"/>
    <col min="1758" max="1758" width="16.5703125" style="100" customWidth="1"/>
    <col min="1759" max="1760" width="7.85546875" style="100" bestFit="1" customWidth="1"/>
    <col min="1761" max="1761" width="8" style="100" bestFit="1" customWidth="1"/>
    <col min="1762" max="1763" width="7.85546875" style="100" bestFit="1" customWidth="1"/>
    <col min="1764" max="1764" width="9.7109375" style="100" customWidth="1"/>
    <col min="1765" max="1765" width="12.85546875" style="100" customWidth="1"/>
    <col min="1766" max="2002" width="9.140625" style="100"/>
    <col min="2003" max="2003" width="9" style="100" bestFit="1" customWidth="1"/>
    <col min="2004" max="2004" width="9.85546875" style="100" bestFit="1" customWidth="1"/>
    <col min="2005" max="2005" width="9.140625" style="100" bestFit="1" customWidth="1"/>
    <col min="2006" max="2006" width="16" style="100" bestFit="1" customWidth="1"/>
    <col min="2007" max="2007" width="9" style="100" bestFit="1" customWidth="1"/>
    <col min="2008" max="2008" width="7.85546875" style="100" bestFit="1" customWidth="1"/>
    <col min="2009" max="2009" width="11.7109375" style="100" bestFit="1" customWidth="1"/>
    <col min="2010" max="2010" width="14.28515625" style="100" customWidth="1"/>
    <col min="2011" max="2011" width="11.7109375" style="100" bestFit="1" customWidth="1"/>
    <col min="2012" max="2012" width="14.140625" style="100" bestFit="1" customWidth="1"/>
    <col min="2013" max="2013" width="16.7109375" style="100" customWidth="1"/>
    <col min="2014" max="2014" width="16.5703125" style="100" customWidth="1"/>
    <col min="2015" max="2016" width="7.85546875" style="100" bestFit="1" customWidth="1"/>
    <col min="2017" max="2017" width="8" style="100" bestFit="1" customWidth="1"/>
    <col min="2018" max="2019" width="7.85546875" style="100" bestFit="1" customWidth="1"/>
    <col min="2020" max="2020" width="9.7109375" style="100" customWidth="1"/>
    <col min="2021" max="2021" width="12.85546875" style="100" customWidth="1"/>
    <col min="2022" max="2258" width="9.140625" style="100"/>
    <col min="2259" max="2259" width="9" style="100" bestFit="1" customWidth="1"/>
    <col min="2260" max="2260" width="9.85546875" style="100" bestFit="1" customWidth="1"/>
    <col min="2261" max="2261" width="9.140625" style="100" bestFit="1" customWidth="1"/>
    <col min="2262" max="2262" width="16" style="100" bestFit="1" customWidth="1"/>
    <col min="2263" max="2263" width="9" style="100" bestFit="1" customWidth="1"/>
    <col min="2264" max="2264" width="7.85546875" style="100" bestFit="1" customWidth="1"/>
    <col min="2265" max="2265" width="11.7109375" style="100" bestFit="1" customWidth="1"/>
    <col min="2266" max="2266" width="14.28515625" style="100" customWidth="1"/>
    <col min="2267" max="2267" width="11.7109375" style="100" bestFit="1" customWidth="1"/>
    <col min="2268" max="2268" width="14.140625" style="100" bestFit="1" customWidth="1"/>
    <col min="2269" max="2269" width="16.7109375" style="100" customWidth="1"/>
    <col min="2270" max="2270" width="16.5703125" style="100" customWidth="1"/>
    <col min="2271" max="2272" width="7.85546875" style="100" bestFit="1" customWidth="1"/>
    <col min="2273" max="2273" width="8" style="100" bestFit="1" customWidth="1"/>
    <col min="2274" max="2275" width="7.85546875" style="100" bestFit="1" customWidth="1"/>
    <col min="2276" max="2276" width="9.7109375" style="100" customWidth="1"/>
    <col min="2277" max="2277" width="12.85546875" style="100" customWidth="1"/>
    <col min="2278" max="2514" width="9.140625" style="100"/>
    <col min="2515" max="2515" width="9" style="100" bestFit="1" customWidth="1"/>
    <col min="2516" max="2516" width="9.85546875" style="100" bestFit="1" customWidth="1"/>
    <col min="2517" max="2517" width="9.140625" style="100" bestFit="1" customWidth="1"/>
    <col min="2518" max="2518" width="16" style="100" bestFit="1" customWidth="1"/>
    <col min="2519" max="2519" width="9" style="100" bestFit="1" customWidth="1"/>
    <col min="2520" max="2520" width="7.85546875" style="100" bestFit="1" customWidth="1"/>
    <col min="2521" max="2521" width="11.7109375" style="100" bestFit="1" customWidth="1"/>
    <col min="2522" max="2522" width="14.28515625" style="100" customWidth="1"/>
    <col min="2523" max="2523" width="11.7109375" style="100" bestFit="1" customWidth="1"/>
    <col min="2524" max="2524" width="14.140625" style="100" bestFit="1" customWidth="1"/>
    <col min="2525" max="2525" width="16.7109375" style="100" customWidth="1"/>
    <col min="2526" max="2526" width="16.5703125" style="100" customWidth="1"/>
    <col min="2527" max="2528" width="7.85546875" style="100" bestFit="1" customWidth="1"/>
    <col min="2529" max="2529" width="8" style="100" bestFit="1" customWidth="1"/>
    <col min="2530" max="2531" width="7.85546875" style="100" bestFit="1" customWidth="1"/>
    <col min="2532" max="2532" width="9.7109375" style="100" customWidth="1"/>
    <col min="2533" max="2533" width="12.85546875" style="100" customWidth="1"/>
    <col min="2534" max="2770" width="9.140625" style="100"/>
    <col min="2771" max="2771" width="9" style="100" bestFit="1" customWidth="1"/>
    <col min="2772" max="2772" width="9.85546875" style="100" bestFit="1" customWidth="1"/>
    <col min="2773" max="2773" width="9.140625" style="100" bestFit="1" customWidth="1"/>
    <col min="2774" max="2774" width="16" style="100" bestFit="1" customWidth="1"/>
    <col min="2775" max="2775" width="9" style="100" bestFit="1" customWidth="1"/>
    <col min="2776" max="2776" width="7.85546875" style="100" bestFit="1" customWidth="1"/>
    <col min="2777" max="2777" width="11.7109375" style="100" bestFit="1" customWidth="1"/>
    <col min="2778" max="2778" width="14.28515625" style="100" customWidth="1"/>
    <col min="2779" max="2779" width="11.7109375" style="100" bestFit="1" customWidth="1"/>
    <col min="2780" max="2780" width="14.140625" style="100" bestFit="1" customWidth="1"/>
    <col min="2781" max="2781" width="16.7109375" style="100" customWidth="1"/>
    <col min="2782" max="2782" width="16.5703125" style="100" customWidth="1"/>
    <col min="2783" max="2784" width="7.85546875" style="100" bestFit="1" customWidth="1"/>
    <col min="2785" max="2785" width="8" style="100" bestFit="1" customWidth="1"/>
    <col min="2786" max="2787" width="7.85546875" style="100" bestFit="1" customWidth="1"/>
    <col min="2788" max="2788" width="9.7109375" style="100" customWidth="1"/>
    <col min="2789" max="2789" width="12.85546875" style="100" customWidth="1"/>
    <col min="2790" max="3026" width="9.140625" style="100"/>
    <col min="3027" max="3027" width="9" style="100" bestFit="1" customWidth="1"/>
    <col min="3028" max="3028" width="9.85546875" style="100" bestFit="1" customWidth="1"/>
    <col min="3029" max="3029" width="9.140625" style="100" bestFit="1" customWidth="1"/>
    <col min="3030" max="3030" width="16" style="100" bestFit="1" customWidth="1"/>
    <col min="3031" max="3031" width="9" style="100" bestFit="1" customWidth="1"/>
    <col min="3032" max="3032" width="7.85546875" style="100" bestFit="1" customWidth="1"/>
    <col min="3033" max="3033" width="11.7109375" style="100" bestFit="1" customWidth="1"/>
    <col min="3034" max="3034" width="14.28515625" style="100" customWidth="1"/>
    <col min="3035" max="3035" width="11.7109375" style="100" bestFit="1" customWidth="1"/>
    <col min="3036" max="3036" width="14.140625" style="100" bestFit="1" customWidth="1"/>
    <col min="3037" max="3037" width="16.7109375" style="100" customWidth="1"/>
    <col min="3038" max="3038" width="16.5703125" style="100" customWidth="1"/>
    <col min="3039" max="3040" width="7.85546875" style="100" bestFit="1" customWidth="1"/>
    <col min="3041" max="3041" width="8" style="100" bestFit="1" customWidth="1"/>
    <col min="3042" max="3043" width="7.85546875" style="100" bestFit="1" customWidth="1"/>
    <col min="3044" max="3044" width="9.7109375" style="100" customWidth="1"/>
    <col min="3045" max="3045" width="12.85546875" style="100" customWidth="1"/>
    <col min="3046" max="3282" width="9.140625" style="100"/>
    <col min="3283" max="3283" width="9" style="100" bestFit="1" customWidth="1"/>
    <col min="3284" max="3284" width="9.85546875" style="100" bestFit="1" customWidth="1"/>
    <col min="3285" max="3285" width="9.140625" style="100" bestFit="1" customWidth="1"/>
    <col min="3286" max="3286" width="16" style="100" bestFit="1" customWidth="1"/>
    <col min="3287" max="3287" width="9" style="100" bestFit="1" customWidth="1"/>
    <col min="3288" max="3288" width="7.85546875" style="100" bestFit="1" customWidth="1"/>
    <col min="3289" max="3289" width="11.7109375" style="100" bestFit="1" customWidth="1"/>
    <col min="3290" max="3290" width="14.28515625" style="100" customWidth="1"/>
    <col min="3291" max="3291" width="11.7109375" style="100" bestFit="1" customWidth="1"/>
    <col min="3292" max="3292" width="14.140625" style="100" bestFit="1" customWidth="1"/>
    <col min="3293" max="3293" width="16.7109375" style="100" customWidth="1"/>
    <col min="3294" max="3294" width="16.5703125" style="100" customWidth="1"/>
    <col min="3295" max="3296" width="7.85546875" style="100" bestFit="1" customWidth="1"/>
    <col min="3297" max="3297" width="8" style="100" bestFit="1" customWidth="1"/>
    <col min="3298" max="3299" width="7.85546875" style="100" bestFit="1" customWidth="1"/>
    <col min="3300" max="3300" width="9.7109375" style="100" customWidth="1"/>
    <col min="3301" max="3301" width="12.85546875" style="100" customWidth="1"/>
    <col min="3302" max="3538" width="9.140625" style="100"/>
    <col min="3539" max="3539" width="9" style="100" bestFit="1" customWidth="1"/>
    <col min="3540" max="3540" width="9.85546875" style="100" bestFit="1" customWidth="1"/>
    <col min="3541" max="3541" width="9.140625" style="100" bestFit="1" customWidth="1"/>
    <col min="3542" max="3542" width="16" style="100" bestFit="1" customWidth="1"/>
    <col min="3543" max="3543" width="9" style="100" bestFit="1" customWidth="1"/>
    <col min="3544" max="3544" width="7.85546875" style="100" bestFit="1" customWidth="1"/>
    <col min="3545" max="3545" width="11.7109375" style="100" bestFit="1" customWidth="1"/>
    <col min="3546" max="3546" width="14.28515625" style="100" customWidth="1"/>
    <col min="3547" max="3547" width="11.7109375" style="100" bestFit="1" customWidth="1"/>
    <col min="3548" max="3548" width="14.140625" style="100" bestFit="1" customWidth="1"/>
    <col min="3549" max="3549" width="16.7109375" style="100" customWidth="1"/>
    <col min="3550" max="3550" width="16.5703125" style="100" customWidth="1"/>
    <col min="3551" max="3552" width="7.85546875" style="100" bestFit="1" customWidth="1"/>
    <col min="3553" max="3553" width="8" style="100" bestFit="1" customWidth="1"/>
    <col min="3554" max="3555" width="7.85546875" style="100" bestFit="1" customWidth="1"/>
    <col min="3556" max="3556" width="9.7109375" style="100" customWidth="1"/>
    <col min="3557" max="3557" width="12.85546875" style="100" customWidth="1"/>
    <col min="3558" max="3794" width="9.140625" style="100"/>
    <col min="3795" max="3795" width="9" style="100" bestFit="1" customWidth="1"/>
    <col min="3796" max="3796" width="9.85546875" style="100" bestFit="1" customWidth="1"/>
    <col min="3797" max="3797" width="9.140625" style="100" bestFit="1" customWidth="1"/>
    <col min="3798" max="3798" width="16" style="100" bestFit="1" customWidth="1"/>
    <col min="3799" max="3799" width="9" style="100" bestFit="1" customWidth="1"/>
    <col min="3800" max="3800" width="7.85546875" style="100" bestFit="1" customWidth="1"/>
    <col min="3801" max="3801" width="11.7109375" style="100" bestFit="1" customWidth="1"/>
    <col min="3802" max="3802" width="14.28515625" style="100" customWidth="1"/>
    <col min="3803" max="3803" width="11.7109375" style="100" bestFit="1" customWidth="1"/>
    <col min="3804" max="3804" width="14.140625" style="100" bestFit="1" customWidth="1"/>
    <col min="3805" max="3805" width="16.7109375" style="100" customWidth="1"/>
    <col min="3806" max="3806" width="16.5703125" style="100" customWidth="1"/>
    <col min="3807" max="3808" width="7.85546875" style="100" bestFit="1" customWidth="1"/>
    <col min="3809" max="3809" width="8" style="100" bestFit="1" customWidth="1"/>
    <col min="3810" max="3811" width="7.85546875" style="100" bestFit="1" customWidth="1"/>
    <col min="3812" max="3812" width="9.7109375" style="100" customWidth="1"/>
    <col min="3813" max="3813" width="12.85546875" style="100" customWidth="1"/>
    <col min="3814" max="4050" width="9.140625" style="100"/>
    <col min="4051" max="4051" width="9" style="100" bestFit="1" customWidth="1"/>
    <col min="4052" max="4052" width="9.85546875" style="100" bestFit="1" customWidth="1"/>
    <col min="4053" max="4053" width="9.140625" style="100" bestFit="1" customWidth="1"/>
    <col min="4054" max="4054" width="16" style="100" bestFit="1" customWidth="1"/>
    <col min="4055" max="4055" width="9" style="100" bestFit="1" customWidth="1"/>
    <col min="4056" max="4056" width="7.85546875" style="100" bestFit="1" customWidth="1"/>
    <col min="4057" max="4057" width="11.7109375" style="100" bestFit="1" customWidth="1"/>
    <col min="4058" max="4058" width="14.28515625" style="100" customWidth="1"/>
    <col min="4059" max="4059" width="11.7109375" style="100" bestFit="1" customWidth="1"/>
    <col min="4060" max="4060" width="14.140625" style="100" bestFit="1" customWidth="1"/>
    <col min="4061" max="4061" width="16.7109375" style="100" customWidth="1"/>
    <col min="4062" max="4062" width="16.5703125" style="100" customWidth="1"/>
    <col min="4063" max="4064" width="7.85546875" style="100" bestFit="1" customWidth="1"/>
    <col min="4065" max="4065" width="8" style="100" bestFit="1" customWidth="1"/>
    <col min="4066" max="4067" width="7.85546875" style="100" bestFit="1" customWidth="1"/>
    <col min="4068" max="4068" width="9.7109375" style="100" customWidth="1"/>
    <col min="4069" max="4069" width="12.85546875" style="100" customWidth="1"/>
    <col min="4070" max="4306" width="9.140625" style="100"/>
    <col min="4307" max="4307" width="9" style="100" bestFit="1" customWidth="1"/>
    <col min="4308" max="4308" width="9.85546875" style="100" bestFit="1" customWidth="1"/>
    <col min="4309" max="4309" width="9.140625" style="100" bestFit="1" customWidth="1"/>
    <col min="4310" max="4310" width="16" style="100" bestFit="1" customWidth="1"/>
    <col min="4311" max="4311" width="9" style="100" bestFit="1" customWidth="1"/>
    <col min="4312" max="4312" width="7.85546875" style="100" bestFit="1" customWidth="1"/>
    <col min="4313" max="4313" width="11.7109375" style="100" bestFit="1" customWidth="1"/>
    <col min="4314" max="4314" width="14.28515625" style="100" customWidth="1"/>
    <col min="4315" max="4315" width="11.7109375" style="100" bestFit="1" customWidth="1"/>
    <col min="4316" max="4316" width="14.140625" style="100" bestFit="1" customWidth="1"/>
    <col min="4317" max="4317" width="16.7109375" style="100" customWidth="1"/>
    <col min="4318" max="4318" width="16.5703125" style="100" customWidth="1"/>
    <col min="4319" max="4320" width="7.85546875" style="100" bestFit="1" customWidth="1"/>
    <col min="4321" max="4321" width="8" style="100" bestFit="1" customWidth="1"/>
    <col min="4322" max="4323" width="7.85546875" style="100" bestFit="1" customWidth="1"/>
    <col min="4324" max="4324" width="9.7109375" style="100" customWidth="1"/>
    <col min="4325" max="4325" width="12.85546875" style="100" customWidth="1"/>
    <col min="4326" max="4562" width="9.140625" style="100"/>
    <col min="4563" max="4563" width="9" style="100" bestFit="1" customWidth="1"/>
    <col min="4564" max="4564" width="9.85546875" style="100" bestFit="1" customWidth="1"/>
    <col min="4565" max="4565" width="9.140625" style="100" bestFit="1" customWidth="1"/>
    <col min="4566" max="4566" width="16" style="100" bestFit="1" customWidth="1"/>
    <col min="4567" max="4567" width="9" style="100" bestFit="1" customWidth="1"/>
    <col min="4568" max="4568" width="7.85546875" style="100" bestFit="1" customWidth="1"/>
    <col min="4569" max="4569" width="11.7109375" style="100" bestFit="1" customWidth="1"/>
    <col min="4570" max="4570" width="14.28515625" style="100" customWidth="1"/>
    <col min="4571" max="4571" width="11.7109375" style="100" bestFit="1" customWidth="1"/>
    <col min="4572" max="4572" width="14.140625" style="100" bestFit="1" customWidth="1"/>
    <col min="4573" max="4573" width="16.7109375" style="100" customWidth="1"/>
    <col min="4574" max="4574" width="16.5703125" style="100" customWidth="1"/>
    <col min="4575" max="4576" width="7.85546875" style="100" bestFit="1" customWidth="1"/>
    <col min="4577" max="4577" width="8" style="100" bestFit="1" customWidth="1"/>
    <col min="4578" max="4579" width="7.85546875" style="100" bestFit="1" customWidth="1"/>
    <col min="4580" max="4580" width="9.7109375" style="100" customWidth="1"/>
    <col min="4581" max="4581" width="12.85546875" style="100" customWidth="1"/>
    <col min="4582" max="4818" width="9.140625" style="100"/>
    <col min="4819" max="4819" width="9" style="100" bestFit="1" customWidth="1"/>
    <col min="4820" max="4820" width="9.85546875" style="100" bestFit="1" customWidth="1"/>
    <col min="4821" max="4821" width="9.140625" style="100" bestFit="1" customWidth="1"/>
    <col min="4822" max="4822" width="16" style="100" bestFit="1" customWidth="1"/>
    <col min="4823" max="4823" width="9" style="100" bestFit="1" customWidth="1"/>
    <col min="4824" max="4824" width="7.85546875" style="100" bestFit="1" customWidth="1"/>
    <col min="4825" max="4825" width="11.7109375" style="100" bestFit="1" customWidth="1"/>
    <col min="4826" max="4826" width="14.28515625" style="100" customWidth="1"/>
    <col min="4827" max="4827" width="11.7109375" style="100" bestFit="1" customWidth="1"/>
    <col min="4828" max="4828" width="14.140625" style="100" bestFit="1" customWidth="1"/>
    <col min="4829" max="4829" width="16.7109375" style="100" customWidth="1"/>
    <col min="4830" max="4830" width="16.5703125" style="100" customWidth="1"/>
    <col min="4831" max="4832" width="7.85546875" style="100" bestFit="1" customWidth="1"/>
    <col min="4833" max="4833" width="8" style="100" bestFit="1" customWidth="1"/>
    <col min="4834" max="4835" width="7.85546875" style="100" bestFit="1" customWidth="1"/>
    <col min="4836" max="4836" width="9.7109375" style="100" customWidth="1"/>
    <col min="4837" max="4837" width="12.85546875" style="100" customWidth="1"/>
    <col min="4838" max="5074" width="9.140625" style="100"/>
    <col min="5075" max="5075" width="9" style="100" bestFit="1" customWidth="1"/>
    <col min="5076" max="5076" width="9.85546875" style="100" bestFit="1" customWidth="1"/>
    <col min="5077" max="5077" width="9.140625" style="100" bestFit="1" customWidth="1"/>
    <col min="5078" max="5078" width="16" style="100" bestFit="1" customWidth="1"/>
    <col min="5079" max="5079" width="9" style="100" bestFit="1" customWidth="1"/>
    <col min="5080" max="5080" width="7.85546875" style="100" bestFit="1" customWidth="1"/>
    <col min="5081" max="5081" width="11.7109375" style="100" bestFit="1" customWidth="1"/>
    <col min="5082" max="5082" width="14.28515625" style="100" customWidth="1"/>
    <col min="5083" max="5083" width="11.7109375" style="100" bestFit="1" customWidth="1"/>
    <col min="5084" max="5084" width="14.140625" style="100" bestFit="1" customWidth="1"/>
    <col min="5085" max="5085" width="16.7109375" style="100" customWidth="1"/>
    <col min="5086" max="5086" width="16.5703125" style="100" customWidth="1"/>
    <col min="5087" max="5088" width="7.85546875" style="100" bestFit="1" customWidth="1"/>
    <col min="5089" max="5089" width="8" style="100" bestFit="1" customWidth="1"/>
    <col min="5090" max="5091" width="7.85546875" style="100" bestFit="1" customWidth="1"/>
    <col min="5092" max="5092" width="9.7109375" style="100" customWidth="1"/>
    <col min="5093" max="5093" width="12.85546875" style="100" customWidth="1"/>
    <col min="5094" max="5330" width="9.140625" style="100"/>
    <col min="5331" max="5331" width="9" style="100" bestFit="1" customWidth="1"/>
    <col min="5332" max="5332" width="9.85546875" style="100" bestFit="1" customWidth="1"/>
    <col min="5333" max="5333" width="9.140625" style="100" bestFit="1" customWidth="1"/>
    <col min="5334" max="5334" width="16" style="100" bestFit="1" customWidth="1"/>
    <col min="5335" max="5335" width="9" style="100" bestFit="1" customWidth="1"/>
    <col min="5336" max="5336" width="7.85546875" style="100" bestFit="1" customWidth="1"/>
    <col min="5337" max="5337" width="11.7109375" style="100" bestFit="1" customWidth="1"/>
    <col min="5338" max="5338" width="14.28515625" style="100" customWidth="1"/>
    <col min="5339" max="5339" width="11.7109375" style="100" bestFit="1" customWidth="1"/>
    <col min="5340" max="5340" width="14.140625" style="100" bestFit="1" customWidth="1"/>
    <col min="5341" max="5341" width="16.7109375" style="100" customWidth="1"/>
    <col min="5342" max="5342" width="16.5703125" style="100" customWidth="1"/>
    <col min="5343" max="5344" width="7.85546875" style="100" bestFit="1" customWidth="1"/>
    <col min="5345" max="5345" width="8" style="100" bestFit="1" customWidth="1"/>
    <col min="5346" max="5347" width="7.85546875" style="100" bestFit="1" customWidth="1"/>
    <col min="5348" max="5348" width="9.7109375" style="100" customWidth="1"/>
    <col min="5349" max="5349" width="12.85546875" style="100" customWidth="1"/>
    <col min="5350" max="5586" width="9.140625" style="100"/>
    <col min="5587" max="5587" width="9" style="100" bestFit="1" customWidth="1"/>
    <col min="5588" max="5588" width="9.85546875" style="100" bestFit="1" customWidth="1"/>
    <col min="5589" max="5589" width="9.140625" style="100" bestFit="1" customWidth="1"/>
    <col min="5590" max="5590" width="16" style="100" bestFit="1" customWidth="1"/>
    <col min="5591" max="5591" width="9" style="100" bestFit="1" customWidth="1"/>
    <col min="5592" max="5592" width="7.85546875" style="100" bestFit="1" customWidth="1"/>
    <col min="5593" max="5593" width="11.7109375" style="100" bestFit="1" customWidth="1"/>
    <col min="5594" max="5594" width="14.28515625" style="100" customWidth="1"/>
    <col min="5595" max="5595" width="11.7109375" style="100" bestFit="1" customWidth="1"/>
    <col min="5596" max="5596" width="14.140625" style="100" bestFit="1" customWidth="1"/>
    <col min="5597" max="5597" width="16.7109375" style="100" customWidth="1"/>
    <col min="5598" max="5598" width="16.5703125" style="100" customWidth="1"/>
    <col min="5599" max="5600" width="7.85546875" style="100" bestFit="1" customWidth="1"/>
    <col min="5601" max="5601" width="8" style="100" bestFit="1" customWidth="1"/>
    <col min="5602" max="5603" width="7.85546875" style="100" bestFit="1" customWidth="1"/>
    <col min="5604" max="5604" width="9.7109375" style="100" customWidth="1"/>
    <col min="5605" max="5605" width="12.85546875" style="100" customWidth="1"/>
    <col min="5606" max="5842" width="9.140625" style="100"/>
    <col min="5843" max="5843" width="9" style="100" bestFit="1" customWidth="1"/>
    <col min="5844" max="5844" width="9.85546875" style="100" bestFit="1" customWidth="1"/>
    <col min="5845" max="5845" width="9.140625" style="100" bestFit="1" customWidth="1"/>
    <col min="5846" max="5846" width="16" style="100" bestFit="1" customWidth="1"/>
    <col min="5847" max="5847" width="9" style="100" bestFit="1" customWidth="1"/>
    <col min="5848" max="5848" width="7.85546875" style="100" bestFit="1" customWidth="1"/>
    <col min="5849" max="5849" width="11.7109375" style="100" bestFit="1" customWidth="1"/>
    <col min="5850" max="5850" width="14.28515625" style="100" customWidth="1"/>
    <col min="5851" max="5851" width="11.7109375" style="100" bestFit="1" customWidth="1"/>
    <col min="5852" max="5852" width="14.140625" style="100" bestFit="1" customWidth="1"/>
    <col min="5853" max="5853" width="16.7109375" style="100" customWidth="1"/>
    <col min="5854" max="5854" width="16.5703125" style="100" customWidth="1"/>
    <col min="5855" max="5856" width="7.85546875" style="100" bestFit="1" customWidth="1"/>
    <col min="5857" max="5857" width="8" style="100" bestFit="1" customWidth="1"/>
    <col min="5858" max="5859" width="7.85546875" style="100" bestFit="1" customWidth="1"/>
    <col min="5860" max="5860" width="9.7109375" style="100" customWidth="1"/>
    <col min="5861" max="5861" width="12.85546875" style="100" customWidth="1"/>
    <col min="5862" max="6098" width="9.140625" style="100"/>
    <col min="6099" max="6099" width="9" style="100" bestFit="1" customWidth="1"/>
    <col min="6100" max="6100" width="9.85546875" style="100" bestFit="1" customWidth="1"/>
    <col min="6101" max="6101" width="9.140625" style="100" bestFit="1" customWidth="1"/>
    <col min="6102" max="6102" width="16" style="100" bestFit="1" customWidth="1"/>
    <col min="6103" max="6103" width="9" style="100" bestFit="1" customWidth="1"/>
    <col min="6104" max="6104" width="7.85546875" style="100" bestFit="1" customWidth="1"/>
    <col min="6105" max="6105" width="11.7109375" style="100" bestFit="1" customWidth="1"/>
    <col min="6106" max="6106" width="14.28515625" style="100" customWidth="1"/>
    <col min="6107" max="6107" width="11.7109375" style="100" bestFit="1" customWidth="1"/>
    <col min="6108" max="6108" width="14.140625" style="100" bestFit="1" customWidth="1"/>
    <col min="6109" max="6109" width="16.7109375" style="100" customWidth="1"/>
    <col min="6110" max="6110" width="16.5703125" style="100" customWidth="1"/>
    <col min="6111" max="6112" width="7.85546875" style="100" bestFit="1" customWidth="1"/>
    <col min="6113" max="6113" width="8" style="100" bestFit="1" customWidth="1"/>
    <col min="6114" max="6115" width="7.85546875" style="100" bestFit="1" customWidth="1"/>
    <col min="6116" max="6116" width="9.7109375" style="100" customWidth="1"/>
    <col min="6117" max="6117" width="12.85546875" style="100" customWidth="1"/>
    <col min="6118" max="6354" width="9.140625" style="100"/>
    <col min="6355" max="6355" width="9" style="100" bestFit="1" customWidth="1"/>
    <col min="6356" max="6356" width="9.85546875" style="100" bestFit="1" customWidth="1"/>
    <col min="6357" max="6357" width="9.140625" style="100" bestFit="1" customWidth="1"/>
    <col min="6358" max="6358" width="16" style="100" bestFit="1" customWidth="1"/>
    <col min="6359" max="6359" width="9" style="100" bestFit="1" customWidth="1"/>
    <col min="6360" max="6360" width="7.85546875" style="100" bestFit="1" customWidth="1"/>
    <col min="6361" max="6361" width="11.7109375" style="100" bestFit="1" customWidth="1"/>
    <col min="6362" max="6362" width="14.28515625" style="100" customWidth="1"/>
    <col min="6363" max="6363" width="11.7109375" style="100" bestFit="1" customWidth="1"/>
    <col min="6364" max="6364" width="14.140625" style="100" bestFit="1" customWidth="1"/>
    <col min="6365" max="6365" width="16.7109375" style="100" customWidth="1"/>
    <col min="6366" max="6366" width="16.5703125" style="100" customWidth="1"/>
    <col min="6367" max="6368" width="7.85546875" style="100" bestFit="1" customWidth="1"/>
    <col min="6369" max="6369" width="8" style="100" bestFit="1" customWidth="1"/>
    <col min="6370" max="6371" width="7.85546875" style="100" bestFit="1" customWidth="1"/>
    <col min="6372" max="6372" width="9.7109375" style="100" customWidth="1"/>
    <col min="6373" max="6373" width="12.85546875" style="100" customWidth="1"/>
    <col min="6374" max="6610" width="9.140625" style="100"/>
    <col min="6611" max="6611" width="9" style="100" bestFit="1" customWidth="1"/>
    <col min="6612" max="6612" width="9.85546875" style="100" bestFit="1" customWidth="1"/>
    <col min="6613" max="6613" width="9.140625" style="100" bestFit="1" customWidth="1"/>
    <col min="6614" max="6614" width="16" style="100" bestFit="1" customWidth="1"/>
    <col min="6615" max="6615" width="9" style="100" bestFit="1" customWidth="1"/>
    <col min="6616" max="6616" width="7.85546875" style="100" bestFit="1" customWidth="1"/>
    <col min="6617" max="6617" width="11.7109375" style="100" bestFit="1" customWidth="1"/>
    <col min="6618" max="6618" width="14.28515625" style="100" customWidth="1"/>
    <col min="6619" max="6619" width="11.7109375" style="100" bestFit="1" customWidth="1"/>
    <col min="6620" max="6620" width="14.140625" style="100" bestFit="1" customWidth="1"/>
    <col min="6621" max="6621" width="16.7109375" style="100" customWidth="1"/>
    <col min="6622" max="6622" width="16.5703125" style="100" customWidth="1"/>
    <col min="6623" max="6624" width="7.85546875" style="100" bestFit="1" customWidth="1"/>
    <col min="6625" max="6625" width="8" style="100" bestFit="1" customWidth="1"/>
    <col min="6626" max="6627" width="7.85546875" style="100" bestFit="1" customWidth="1"/>
    <col min="6628" max="6628" width="9.7109375" style="100" customWidth="1"/>
    <col min="6629" max="6629" width="12.85546875" style="100" customWidth="1"/>
    <col min="6630" max="6866" width="9.140625" style="100"/>
    <col min="6867" max="6867" width="9" style="100" bestFit="1" customWidth="1"/>
    <col min="6868" max="6868" width="9.85546875" style="100" bestFit="1" customWidth="1"/>
    <col min="6869" max="6869" width="9.140625" style="100" bestFit="1" customWidth="1"/>
    <col min="6870" max="6870" width="16" style="100" bestFit="1" customWidth="1"/>
    <col min="6871" max="6871" width="9" style="100" bestFit="1" customWidth="1"/>
    <col min="6872" max="6872" width="7.85546875" style="100" bestFit="1" customWidth="1"/>
    <col min="6873" max="6873" width="11.7109375" style="100" bestFit="1" customWidth="1"/>
    <col min="6874" max="6874" width="14.28515625" style="100" customWidth="1"/>
    <col min="6875" max="6875" width="11.7109375" style="100" bestFit="1" customWidth="1"/>
    <col min="6876" max="6876" width="14.140625" style="100" bestFit="1" customWidth="1"/>
    <col min="6877" max="6877" width="16.7109375" style="100" customWidth="1"/>
    <col min="6878" max="6878" width="16.5703125" style="100" customWidth="1"/>
    <col min="6879" max="6880" width="7.85546875" style="100" bestFit="1" customWidth="1"/>
    <col min="6881" max="6881" width="8" style="100" bestFit="1" customWidth="1"/>
    <col min="6882" max="6883" width="7.85546875" style="100" bestFit="1" customWidth="1"/>
    <col min="6884" max="6884" width="9.7109375" style="100" customWidth="1"/>
    <col min="6885" max="6885" width="12.85546875" style="100" customWidth="1"/>
    <col min="6886" max="7122" width="9.140625" style="100"/>
    <col min="7123" max="7123" width="9" style="100" bestFit="1" customWidth="1"/>
    <col min="7124" max="7124" width="9.85546875" style="100" bestFit="1" customWidth="1"/>
    <col min="7125" max="7125" width="9.140625" style="100" bestFit="1" customWidth="1"/>
    <col min="7126" max="7126" width="16" style="100" bestFit="1" customWidth="1"/>
    <col min="7127" max="7127" width="9" style="100" bestFit="1" customWidth="1"/>
    <col min="7128" max="7128" width="7.85546875" style="100" bestFit="1" customWidth="1"/>
    <col min="7129" max="7129" width="11.7109375" style="100" bestFit="1" customWidth="1"/>
    <col min="7130" max="7130" width="14.28515625" style="100" customWidth="1"/>
    <col min="7131" max="7131" width="11.7109375" style="100" bestFit="1" customWidth="1"/>
    <col min="7132" max="7132" width="14.140625" style="100" bestFit="1" customWidth="1"/>
    <col min="7133" max="7133" width="16.7109375" style="100" customWidth="1"/>
    <col min="7134" max="7134" width="16.5703125" style="100" customWidth="1"/>
    <col min="7135" max="7136" width="7.85546875" style="100" bestFit="1" customWidth="1"/>
    <col min="7137" max="7137" width="8" style="100" bestFit="1" customWidth="1"/>
    <col min="7138" max="7139" width="7.85546875" style="100" bestFit="1" customWidth="1"/>
    <col min="7140" max="7140" width="9.7109375" style="100" customWidth="1"/>
    <col min="7141" max="7141" width="12.85546875" style="100" customWidth="1"/>
    <col min="7142" max="7378" width="9.140625" style="100"/>
    <col min="7379" max="7379" width="9" style="100" bestFit="1" customWidth="1"/>
    <col min="7380" max="7380" width="9.85546875" style="100" bestFit="1" customWidth="1"/>
    <col min="7381" max="7381" width="9.140625" style="100" bestFit="1" customWidth="1"/>
    <col min="7382" max="7382" width="16" style="100" bestFit="1" customWidth="1"/>
    <col min="7383" max="7383" width="9" style="100" bestFit="1" customWidth="1"/>
    <col min="7384" max="7384" width="7.85546875" style="100" bestFit="1" customWidth="1"/>
    <col min="7385" max="7385" width="11.7109375" style="100" bestFit="1" customWidth="1"/>
    <col min="7386" max="7386" width="14.28515625" style="100" customWidth="1"/>
    <col min="7387" max="7387" width="11.7109375" style="100" bestFit="1" customWidth="1"/>
    <col min="7388" max="7388" width="14.140625" style="100" bestFit="1" customWidth="1"/>
    <col min="7389" max="7389" width="16.7109375" style="100" customWidth="1"/>
    <col min="7390" max="7390" width="16.5703125" style="100" customWidth="1"/>
    <col min="7391" max="7392" width="7.85546875" style="100" bestFit="1" customWidth="1"/>
    <col min="7393" max="7393" width="8" style="100" bestFit="1" customWidth="1"/>
    <col min="7394" max="7395" width="7.85546875" style="100" bestFit="1" customWidth="1"/>
    <col min="7396" max="7396" width="9.7109375" style="100" customWidth="1"/>
    <col min="7397" max="7397" width="12.85546875" style="100" customWidth="1"/>
    <col min="7398" max="7634" width="9.140625" style="100"/>
    <col min="7635" max="7635" width="9" style="100" bestFit="1" customWidth="1"/>
    <col min="7636" max="7636" width="9.85546875" style="100" bestFit="1" customWidth="1"/>
    <col min="7637" max="7637" width="9.140625" style="100" bestFit="1" customWidth="1"/>
    <col min="7638" max="7638" width="16" style="100" bestFit="1" customWidth="1"/>
    <col min="7639" max="7639" width="9" style="100" bestFit="1" customWidth="1"/>
    <col min="7640" max="7640" width="7.85546875" style="100" bestFit="1" customWidth="1"/>
    <col min="7641" max="7641" width="11.7109375" style="100" bestFit="1" customWidth="1"/>
    <col min="7642" max="7642" width="14.28515625" style="100" customWidth="1"/>
    <col min="7643" max="7643" width="11.7109375" style="100" bestFit="1" customWidth="1"/>
    <col min="7644" max="7644" width="14.140625" style="100" bestFit="1" customWidth="1"/>
    <col min="7645" max="7645" width="16.7109375" style="100" customWidth="1"/>
    <col min="7646" max="7646" width="16.5703125" style="100" customWidth="1"/>
    <col min="7647" max="7648" width="7.85546875" style="100" bestFit="1" customWidth="1"/>
    <col min="7649" max="7649" width="8" style="100" bestFit="1" customWidth="1"/>
    <col min="7650" max="7651" width="7.85546875" style="100" bestFit="1" customWidth="1"/>
    <col min="7652" max="7652" width="9.7109375" style="100" customWidth="1"/>
    <col min="7653" max="7653" width="12.85546875" style="100" customWidth="1"/>
    <col min="7654" max="7890" width="9.140625" style="100"/>
    <col min="7891" max="7891" width="9" style="100" bestFit="1" customWidth="1"/>
    <col min="7892" max="7892" width="9.85546875" style="100" bestFit="1" customWidth="1"/>
    <col min="7893" max="7893" width="9.140625" style="100" bestFit="1" customWidth="1"/>
    <col min="7894" max="7894" width="16" style="100" bestFit="1" customWidth="1"/>
    <col min="7895" max="7895" width="9" style="100" bestFit="1" customWidth="1"/>
    <col min="7896" max="7896" width="7.85546875" style="100" bestFit="1" customWidth="1"/>
    <col min="7897" max="7897" width="11.7109375" style="100" bestFit="1" customWidth="1"/>
    <col min="7898" max="7898" width="14.28515625" style="100" customWidth="1"/>
    <col min="7899" max="7899" width="11.7109375" style="100" bestFit="1" customWidth="1"/>
    <col min="7900" max="7900" width="14.140625" style="100" bestFit="1" customWidth="1"/>
    <col min="7901" max="7901" width="16.7109375" style="100" customWidth="1"/>
    <col min="7902" max="7902" width="16.5703125" style="100" customWidth="1"/>
    <col min="7903" max="7904" width="7.85546875" style="100" bestFit="1" customWidth="1"/>
    <col min="7905" max="7905" width="8" style="100" bestFit="1" customWidth="1"/>
    <col min="7906" max="7907" width="7.85546875" style="100" bestFit="1" customWidth="1"/>
    <col min="7908" max="7908" width="9.7109375" style="100" customWidth="1"/>
    <col min="7909" max="7909" width="12.85546875" style="100" customWidth="1"/>
    <col min="7910" max="8146" width="9.140625" style="100"/>
    <col min="8147" max="8147" width="9" style="100" bestFit="1" customWidth="1"/>
    <col min="8148" max="8148" width="9.85546875" style="100" bestFit="1" customWidth="1"/>
    <col min="8149" max="8149" width="9.140625" style="100" bestFit="1" customWidth="1"/>
    <col min="8150" max="8150" width="16" style="100" bestFit="1" customWidth="1"/>
    <col min="8151" max="8151" width="9" style="100" bestFit="1" customWidth="1"/>
    <col min="8152" max="8152" width="7.85546875" style="100" bestFit="1" customWidth="1"/>
    <col min="8153" max="8153" width="11.7109375" style="100" bestFit="1" customWidth="1"/>
    <col min="8154" max="8154" width="14.28515625" style="100" customWidth="1"/>
    <col min="8155" max="8155" width="11.7109375" style="100" bestFit="1" customWidth="1"/>
    <col min="8156" max="8156" width="14.140625" style="100" bestFit="1" customWidth="1"/>
    <col min="8157" max="8157" width="16.7109375" style="100" customWidth="1"/>
    <col min="8158" max="8158" width="16.5703125" style="100" customWidth="1"/>
    <col min="8159" max="8160" width="7.85546875" style="100" bestFit="1" customWidth="1"/>
    <col min="8161" max="8161" width="8" style="100" bestFit="1" customWidth="1"/>
    <col min="8162" max="8163" width="7.85546875" style="100" bestFit="1" customWidth="1"/>
    <col min="8164" max="8164" width="9.7109375" style="100" customWidth="1"/>
    <col min="8165" max="8165" width="12.85546875" style="100" customWidth="1"/>
    <col min="8166" max="8402" width="9.140625" style="100"/>
    <col min="8403" max="8403" width="9" style="100" bestFit="1" customWidth="1"/>
    <col min="8404" max="8404" width="9.85546875" style="100" bestFit="1" customWidth="1"/>
    <col min="8405" max="8405" width="9.140625" style="100" bestFit="1" customWidth="1"/>
    <col min="8406" max="8406" width="16" style="100" bestFit="1" customWidth="1"/>
    <col min="8407" max="8407" width="9" style="100" bestFit="1" customWidth="1"/>
    <col min="8408" max="8408" width="7.85546875" style="100" bestFit="1" customWidth="1"/>
    <col min="8409" max="8409" width="11.7109375" style="100" bestFit="1" customWidth="1"/>
    <col min="8410" max="8410" width="14.28515625" style="100" customWidth="1"/>
    <col min="8411" max="8411" width="11.7109375" style="100" bestFit="1" customWidth="1"/>
    <col min="8412" max="8412" width="14.140625" style="100" bestFit="1" customWidth="1"/>
    <col min="8413" max="8413" width="16.7109375" style="100" customWidth="1"/>
    <col min="8414" max="8414" width="16.5703125" style="100" customWidth="1"/>
    <col min="8415" max="8416" width="7.85546875" style="100" bestFit="1" customWidth="1"/>
    <col min="8417" max="8417" width="8" style="100" bestFit="1" customWidth="1"/>
    <col min="8418" max="8419" width="7.85546875" style="100" bestFit="1" customWidth="1"/>
    <col min="8420" max="8420" width="9.7109375" style="100" customWidth="1"/>
    <col min="8421" max="8421" width="12.85546875" style="100" customWidth="1"/>
    <col min="8422" max="8658" width="9.140625" style="100"/>
    <col min="8659" max="8659" width="9" style="100" bestFit="1" customWidth="1"/>
    <col min="8660" max="8660" width="9.85546875" style="100" bestFit="1" customWidth="1"/>
    <col min="8661" max="8661" width="9.140625" style="100" bestFit="1" customWidth="1"/>
    <col min="8662" max="8662" width="16" style="100" bestFit="1" customWidth="1"/>
    <col min="8663" max="8663" width="9" style="100" bestFit="1" customWidth="1"/>
    <col min="8664" max="8664" width="7.85546875" style="100" bestFit="1" customWidth="1"/>
    <col min="8665" max="8665" width="11.7109375" style="100" bestFit="1" customWidth="1"/>
    <col min="8666" max="8666" width="14.28515625" style="100" customWidth="1"/>
    <col min="8667" max="8667" width="11.7109375" style="100" bestFit="1" customWidth="1"/>
    <col min="8668" max="8668" width="14.140625" style="100" bestFit="1" customWidth="1"/>
    <col min="8669" max="8669" width="16.7109375" style="100" customWidth="1"/>
    <col min="8670" max="8670" width="16.5703125" style="100" customWidth="1"/>
    <col min="8671" max="8672" width="7.85546875" style="100" bestFit="1" customWidth="1"/>
    <col min="8673" max="8673" width="8" style="100" bestFit="1" customWidth="1"/>
    <col min="8674" max="8675" width="7.85546875" style="100" bestFit="1" customWidth="1"/>
    <col min="8676" max="8676" width="9.7109375" style="100" customWidth="1"/>
    <col min="8677" max="8677" width="12.85546875" style="100" customWidth="1"/>
    <col min="8678" max="8914" width="9.140625" style="100"/>
    <col min="8915" max="8915" width="9" style="100" bestFit="1" customWidth="1"/>
    <col min="8916" max="8916" width="9.85546875" style="100" bestFit="1" customWidth="1"/>
    <col min="8917" max="8917" width="9.140625" style="100" bestFit="1" customWidth="1"/>
    <col min="8918" max="8918" width="16" style="100" bestFit="1" customWidth="1"/>
    <col min="8919" max="8919" width="9" style="100" bestFit="1" customWidth="1"/>
    <col min="8920" max="8920" width="7.85546875" style="100" bestFit="1" customWidth="1"/>
    <col min="8921" max="8921" width="11.7109375" style="100" bestFit="1" customWidth="1"/>
    <col min="8922" max="8922" width="14.28515625" style="100" customWidth="1"/>
    <col min="8923" max="8923" width="11.7109375" style="100" bestFit="1" customWidth="1"/>
    <col min="8924" max="8924" width="14.140625" style="100" bestFit="1" customWidth="1"/>
    <col min="8925" max="8925" width="16.7109375" style="100" customWidth="1"/>
    <col min="8926" max="8926" width="16.5703125" style="100" customWidth="1"/>
    <col min="8927" max="8928" width="7.85546875" style="100" bestFit="1" customWidth="1"/>
    <col min="8929" max="8929" width="8" style="100" bestFit="1" customWidth="1"/>
    <col min="8930" max="8931" width="7.85546875" style="100" bestFit="1" customWidth="1"/>
    <col min="8932" max="8932" width="9.7109375" style="100" customWidth="1"/>
    <col min="8933" max="8933" width="12.85546875" style="100" customWidth="1"/>
    <col min="8934" max="9170" width="9.140625" style="100"/>
    <col min="9171" max="9171" width="9" style="100" bestFit="1" customWidth="1"/>
    <col min="9172" max="9172" width="9.85546875" style="100" bestFit="1" customWidth="1"/>
    <col min="9173" max="9173" width="9.140625" style="100" bestFit="1" customWidth="1"/>
    <col min="9174" max="9174" width="16" style="100" bestFit="1" customWidth="1"/>
    <col min="9175" max="9175" width="9" style="100" bestFit="1" customWidth="1"/>
    <col min="9176" max="9176" width="7.85546875" style="100" bestFit="1" customWidth="1"/>
    <col min="9177" max="9177" width="11.7109375" style="100" bestFit="1" customWidth="1"/>
    <col min="9178" max="9178" width="14.28515625" style="100" customWidth="1"/>
    <col min="9179" max="9179" width="11.7109375" style="100" bestFit="1" customWidth="1"/>
    <col min="9180" max="9180" width="14.140625" style="100" bestFit="1" customWidth="1"/>
    <col min="9181" max="9181" width="16.7109375" style="100" customWidth="1"/>
    <col min="9182" max="9182" width="16.5703125" style="100" customWidth="1"/>
    <col min="9183" max="9184" width="7.85546875" style="100" bestFit="1" customWidth="1"/>
    <col min="9185" max="9185" width="8" style="100" bestFit="1" customWidth="1"/>
    <col min="9186" max="9187" width="7.85546875" style="100" bestFit="1" customWidth="1"/>
    <col min="9188" max="9188" width="9.7109375" style="100" customWidth="1"/>
    <col min="9189" max="9189" width="12.85546875" style="100" customWidth="1"/>
    <col min="9190" max="9426" width="9.140625" style="100"/>
    <col min="9427" max="9427" width="9" style="100" bestFit="1" customWidth="1"/>
    <col min="9428" max="9428" width="9.85546875" style="100" bestFit="1" customWidth="1"/>
    <col min="9429" max="9429" width="9.140625" style="100" bestFit="1" customWidth="1"/>
    <col min="9430" max="9430" width="16" style="100" bestFit="1" customWidth="1"/>
    <col min="9431" max="9431" width="9" style="100" bestFit="1" customWidth="1"/>
    <col min="9432" max="9432" width="7.85546875" style="100" bestFit="1" customWidth="1"/>
    <col min="9433" max="9433" width="11.7109375" style="100" bestFit="1" customWidth="1"/>
    <col min="9434" max="9434" width="14.28515625" style="100" customWidth="1"/>
    <col min="9435" max="9435" width="11.7109375" style="100" bestFit="1" customWidth="1"/>
    <col min="9436" max="9436" width="14.140625" style="100" bestFit="1" customWidth="1"/>
    <col min="9437" max="9437" width="16.7109375" style="100" customWidth="1"/>
    <col min="9438" max="9438" width="16.5703125" style="100" customWidth="1"/>
    <col min="9439" max="9440" width="7.85546875" style="100" bestFit="1" customWidth="1"/>
    <col min="9441" max="9441" width="8" style="100" bestFit="1" customWidth="1"/>
    <col min="9442" max="9443" width="7.85546875" style="100" bestFit="1" customWidth="1"/>
    <col min="9444" max="9444" width="9.7109375" style="100" customWidth="1"/>
    <col min="9445" max="9445" width="12.85546875" style="100" customWidth="1"/>
    <col min="9446" max="9682" width="9.140625" style="100"/>
    <col min="9683" max="9683" width="9" style="100" bestFit="1" customWidth="1"/>
    <col min="9684" max="9684" width="9.85546875" style="100" bestFit="1" customWidth="1"/>
    <col min="9685" max="9685" width="9.140625" style="100" bestFit="1" customWidth="1"/>
    <col min="9686" max="9686" width="16" style="100" bestFit="1" customWidth="1"/>
    <col min="9687" max="9687" width="9" style="100" bestFit="1" customWidth="1"/>
    <col min="9688" max="9688" width="7.85546875" style="100" bestFit="1" customWidth="1"/>
    <col min="9689" max="9689" width="11.7109375" style="100" bestFit="1" customWidth="1"/>
    <col min="9690" max="9690" width="14.28515625" style="100" customWidth="1"/>
    <col min="9691" max="9691" width="11.7109375" style="100" bestFit="1" customWidth="1"/>
    <col min="9692" max="9692" width="14.140625" style="100" bestFit="1" customWidth="1"/>
    <col min="9693" max="9693" width="16.7109375" style="100" customWidth="1"/>
    <col min="9694" max="9694" width="16.5703125" style="100" customWidth="1"/>
    <col min="9695" max="9696" width="7.85546875" style="100" bestFit="1" customWidth="1"/>
    <col min="9697" max="9697" width="8" style="100" bestFit="1" customWidth="1"/>
    <col min="9698" max="9699" width="7.85546875" style="100" bestFit="1" customWidth="1"/>
    <col min="9700" max="9700" width="9.7109375" style="100" customWidth="1"/>
    <col min="9701" max="9701" width="12.85546875" style="100" customWidth="1"/>
    <col min="9702" max="9938" width="9.140625" style="100"/>
    <col min="9939" max="9939" width="9" style="100" bestFit="1" customWidth="1"/>
    <col min="9940" max="9940" width="9.85546875" style="100" bestFit="1" customWidth="1"/>
    <col min="9941" max="9941" width="9.140625" style="100" bestFit="1" customWidth="1"/>
    <col min="9942" max="9942" width="16" style="100" bestFit="1" customWidth="1"/>
    <col min="9943" max="9943" width="9" style="100" bestFit="1" customWidth="1"/>
    <col min="9944" max="9944" width="7.85546875" style="100" bestFit="1" customWidth="1"/>
    <col min="9945" max="9945" width="11.7109375" style="100" bestFit="1" customWidth="1"/>
    <col min="9946" max="9946" width="14.28515625" style="100" customWidth="1"/>
    <col min="9947" max="9947" width="11.7109375" style="100" bestFit="1" customWidth="1"/>
    <col min="9948" max="9948" width="14.140625" style="100" bestFit="1" customWidth="1"/>
    <col min="9949" max="9949" width="16.7109375" style="100" customWidth="1"/>
    <col min="9950" max="9950" width="16.5703125" style="100" customWidth="1"/>
    <col min="9951" max="9952" width="7.85546875" style="100" bestFit="1" customWidth="1"/>
    <col min="9953" max="9953" width="8" style="100" bestFit="1" customWidth="1"/>
    <col min="9954" max="9955" width="7.85546875" style="100" bestFit="1" customWidth="1"/>
    <col min="9956" max="9956" width="9.7109375" style="100" customWidth="1"/>
    <col min="9957" max="9957" width="12.85546875" style="100" customWidth="1"/>
    <col min="9958" max="10194" width="9.140625" style="100"/>
    <col min="10195" max="10195" width="9" style="100" bestFit="1" customWidth="1"/>
    <col min="10196" max="10196" width="9.85546875" style="100" bestFit="1" customWidth="1"/>
    <col min="10197" max="10197" width="9.140625" style="100" bestFit="1" customWidth="1"/>
    <col min="10198" max="10198" width="16" style="100" bestFit="1" customWidth="1"/>
    <col min="10199" max="10199" width="9" style="100" bestFit="1" customWidth="1"/>
    <col min="10200" max="10200" width="7.85546875" style="100" bestFit="1" customWidth="1"/>
    <col min="10201" max="10201" width="11.7109375" style="100" bestFit="1" customWidth="1"/>
    <col min="10202" max="10202" width="14.28515625" style="100" customWidth="1"/>
    <col min="10203" max="10203" width="11.7109375" style="100" bestFit="1" customWidth="1"/>
    <col min="10204" max="10204" width="14.140625" style="100" bestFit="1" customWidth="1"/>
    <col min="10205" max="10205" width="16.7109375" style="100" customWidth="1"/>
    <col min="10206" max="10206" width="16.5703125" style="100" customWidth="1"/>
    <col min="10207" max="10208" width="7.85546875" style="100" bestFit="1" customWidth="1"/>
    <col min="10209" max="10209" width="8" style="100" bestFit="1" customWidth="1"/>
    <col min="10210" max="10211" width="7.85546875" style="100" bestFit="1" customWidth="1"/>
    <col min="10212" max="10212" width="9.7109375" style="100" customWidth="1"/>
    <col min="10213" max="10213" width="12.85546875" style="100" customWidth="1"/>
    <col min="10214" max="10450" width="9.140625" style="100"/>
    <col min="10451" max="10451" width="9" style="100" bestFit="1" customWidth="1"/>
    <col min="10452" max="10452" width="9.85546875" style="100" bestFit="1" customWidth="1"/>
    <col min="10453" max="10453" width="9.140625" style="100" bestFit="1" customWidth="1"/>
    <col min="10454" max="10454" width="16" style="100" bestFit="1" customWidth="1"/>
    <col min="10455" max="10455" width="9" style="100" bestFit="1" customWidth="1"/>
    <col min="10456" max="10456" width="7.85546875" style="100" bestFit="1" customWidth="1"/>
    <col min="10457" max="10457" width="11.7109375" style="100" bestFit="1" customWidth="1"/>
    <col min="10458" max="10458" width="14.28515625" style="100" customWidth="1"/>
    <col min="10459" max="10459" width="11.7109375" style="100" bestFit="1" customWidth="1"/>
    <col min="10460" max="10460" width="14.140625" style="100" bestFit="1" customWidth="1"/>
    <col min="10461" max="10461" width="16.7109375" style="100" customWidth="1"/>
    <col min="10462" max="10462" width="16.5703125" style="100" customWidth="1"/>
    <col min="10463" max="10464" width="7.85546875" style="100" bestFit="1" customWidth="1"/>
    <col min="10465" max="10465" width="8" style="100" bestFit="1" customWidth="1"/>
    <col min="10466" max="10467" width="7.85546875" style="100" bestFit="1" customWidth="1"/>
    <col min="10468" max="10468" width="9.7109375" style="100" customWidth="1"/>
    <col min="10469" max="10469" width="12.85546875" style="100" customWidth="1"/>
    <col min="10470" max="10706" width="9.140625" style="100"/>
    <col min="10707" max="10707" width="9" style="100" bestFit="1" customWidth="1"/>
    <col min="10708" max="10708" width="9.85546875" style="100" bestFit="1" customWidth="1"/>
    <col min="10709" max="10709" width="9.140625" style="100" bestFit="1" customWidth="1"/>
    <col min="10710" max="10710" width="16" style="100" bestFit="1" customWidth="1"/>
    <col min="10711" max="10711" width="9" style="100" bestFit="1" customWidth="1"/>
    <col min="10712" max="10712" width="7.85546875" style="100" bestFit="1" customWidth="1"/>
    <col min="10713" max="10713" width="11.7109375" style="100" bestFit="1" customWidth="1"/>
    <col min="10714" max="10714" width="14.28515625" style="100" customWidth="1"/>
    <col min="10715" max="10715" width="11.7109375" style="100" bestFit="1" customWidth="1"/>
    <col min="10716" max="10716" width="14.140625" style="100" bestFit="1" customWidth="1"/>
    <col min="10717" max="10717" width="16.7109375" style="100" customWidth="1"/>
    <col min="10718" max="10718" width="16.5703125" style="100" customWidth="1"/>
    <col min="10719" max="10720" width="7.85546875" style="100" bestFit="1" customWidth="1"/>
    <col min="10721" max="10721" width="8" style="100" bestFit="1" customWidth="1"/>
    <col min="10722" max="10723" width="7.85546875" style="100" bestFit="1" customWidth="1"/>
    <col min="10724" max="10724" width="9.7109375" style="100" customWidth="1"/>
    <col min="10725" max="10725" width="12.85546875" style="100" customWidth="1"/>
    <col min="10726" max="10962" width="9.140625" style="100"/>
    <col min="10963" max="10963" width="9" style="100" bestFit="1" customWidth="1"/>
    <col min="10964" max="10964" width="9.85546875" style="100" bestFit="1" customWidth="1"/>
    <col min="10965" max="10965" width="9.140625" style="100" bestFit="1" customWidth="1"/>
    <col min="10966" max="10966" width="16" style="100" bestFit="1" customWidth="1"/>
    <col min="10967" max="10967" width="9" style="100" bestFit="1" customWidth="1"/>
    <col min="10968" max="10968" width="7.85546875" style="100" bestFit="1" customWidth="1"/>
    <col min="10969" max="10969" width="11.7109375" style="100" bestFit="1" customWidth="1"/>
    <col min="10970" max="10970" width="14.28515625" style="100" customWidth="1"/>
    <col min="10971" max="10971" width="11.7109375" style="100" bestFit="1" customWidth="1"/>
    <col min="10972" max="10972" width="14.140625" style="100" bestFit="1" customWidth="1"/>
    <col min="10973" max="10973" width="16.7109375" style="100" customWidth="1"/>
    <col min="10974" max="10974" width="16.5703125" style="100" customWidth="1"/>
    <col min="10975" max="10976" width="7.85546875" style="100" bestFit="1" customWidth="1"/>
    <col min="10977" max="10977" width="8" style="100" bestFit="1" customWidth="1"/>
    <col min="10978" max="10979" width="7.85546875" style="100" bestFit="1" customWidth="1"/>
    <col min="10980" max="10980" width="9.7109375" style="100" customWidth="1"/>
    <col min="10981" max="10981" width="12.85546875" style="100" customWidth="1"/>
    <col min="10982" max="11218" width="9.140625" style="100"/>
    <col min="11219" max="11219" width="9" style="100" bestFit="1" customWidth="1"/>
    <col min="11220" max="11220" width="9.85546875" style="100" bestFit="1" customWidth="1"/>
    <col min="11221" max="11221" width="9.140625" style="100" bestFit="1" customWidth="1"/>
    <col min="11222" max="11222" width="16" style="100" bestFit="1" customWidth="1"/>
    <col min="11223" max="11223" width="9" style="100" bestFit="1" customWidth="1"/>
    <col min="11224" max="11224" width="7.85546875" style="100" bestFit="1" customWidth="1"/>
    <col min="11225" max="11225" width="11.7109375" style="100" bestFit="1" customWidth="1"/>
    <col min="11226" max="11226" width="14.28515625" style="100" customWidth="1"/>
    <col min="11227" max="11227" width="11.7109375" style="100" bestFit="1" customWidth="1"/>
    <col min="11228" max="11228" width="14.140625" style="100" bestFit="1" customWidth="1"/>
    <col min="11229" max="11229" width="16.7109375" style="100" customWidth="1"/>
    <col min="11230" max="11230" width="16.5703125" style="100" customWidth="1"/>
    <col min="11231" max="11232" width="7.85546875" style="100" bestFit="1" customWidth="1"/>
    <col min="11233" max="11233" width="8" style="100" bestFit="1" customWidth="1"/>
    <col min="11234" max="11235" width="7.85546875" style="100" bestFit="1" customWidth="1"/>
    <col min="11236" max="11236" width="9.7109375" style="100" customWidth="1"/>
    <col min="11237" max="11237" width="12.85546875" style="100" customWidth="1"/>
    <col min="11238" max="11474" width="9.140625" style="100"/>
    <col min="11475" max="11475" width="9" style="100" bestFit="1" customWidth="1"/>
    <col min="11476" max="11476" width="9.85546875" style="100" bestFit="1" customWidth="1"/>
    <col min="11477" max="11477" width="9.140625" style="100" bestFit="1" customWidth="1"/>
    <col min="11478" max="11478" width="16" style="100" bestFit="1" customWidth="1"/>
    <col min="11479" max="11479" width="9" style="100" bestFit="1" customWidth="1"/>
    <col min="11480" max="11480" width="7.85546875" style="100" bestFit="1" customWidth="1"/>
    <col min="11481" max="11481" width="11.7109375" style="100" bestFit="1" customWidth="1"/>
    <col min="11482" max="11482" width="14.28515625" style="100" customWidth="1"/>
    <col min="11483" max="11483" width="11.7109375" style="100" bestFit="1" customWidth="1"/>
    <col min="11484" max="11484" width="14.140625" style="100" bestFit="1" customWidth="1"/>
    <col min="11485" max="11485" width="16.7109375" style="100" customWidth="1"/>
    <col min="11486" max="11486" width="16.5703125" style="100" customWidth="1"/>
    <col min="11487" max="11488" width="7.85546875" style="100" bestFit="1" customWidth="1"/>
    <col min="11489" max="11489" width="8" style="100" bestFit="1" customWidth="1"/>
    <col min="11490" max="11491" width="7.85546875" style="100" bestFit="1" customWidth="1"/>
    <col min="11492" max="11492" width="9.7109375" style="100" customWidth="1"/>
    <col min="11493" max="11493" width="12.85546875" style="100" customWidth="1"/>
    <col min="11494" max="11730" width="9.140625" style="100"/>
    <col min="11731" max="11731" width="9" style="100" bestFit="1" customWidth="1"/>
    <col min="11732" max="11732" width="9.85546875" style="100" bestFit="1" customWidth="1"/>
    <col min="11733" max="11733" width="9.140625" style="100" bestFit="1" customWidth="1"/>
    <col min="11734" max="11734" width="16" style="100" bestFit="1" customWidth="1"/>
    <col min="11735" max="11735" width="9" style="100" bestFit="1" customWidth="1"/>
    <col min="11736" max="11736" width="7.85546875" style="100" bestFit="1" customWidth="1"/>
    <col min="11737" max="11737" width="11.7109375" style="100" bestFit="1" customWidth="1"/>
    <col min="11738" max="11738" width="14.28515625" style="100" customWidth="1"/>
    <col min="11739" max="11739" width="11.7109375" style="100" bestFit="1" customWidth="1"/>
    <col min="11740" max="11740" width="14.140625" style="100" bestFit="1" customWidth="1"/>
    <col min="11741" max="11741" width="16.7109375" style="100" customWidth="1"/>
    <col min="11742" max="11742" width="16.5703125" style="100" customWidth="1"/>
    <col min="11743" max="11744" width="7.85546875" style="100" bestFit="1" customWidth="1"/>
    <col min="11745" max="11745" width="8" style="100" bestFit="1" customWidth="1"/>
    <col min="11746" max="11747" width="7.85546875" style="100" bestFit="1" customWidth="1"/>
    <col min="11748" max="11748" width="9.7109375" style="100" customWidth="1"/>
    <col min="11749" max="11749" width="12.85546875" style="100" customWidth="1"/>
    <col min="11750" max="11986" width="9.140625" style="100"/>
    <col min="11987" max="11987" width="9" style="100" bestFit="1" customWidth="1"/>
    <col min="11988" max="11988" width="9.85546875" style="100" bestFit="1" customWidth="1"/>
    <col min="11989" max="11989" width="9.140625" style="100" bestFit="1" customWidth="1"/>
    <col min="11990" max="11990" width="16" style="100" bestFit="1" customWidth="1"/>
    <col min="11991" max="11991" width="9" style="100" bestFit="1" customWidth="1"/>
    <col min="11992" max="11992" width="7.85546875" style="100" bestFit="1" customWidth="1"/>
    <col min="11993" max="11993" width="11.7109375" style="100" bestFit="1" customWidth="1"/>
    <col min="11994" max="11994" width="14.28515625" style="100" customWidth="1"/>
    <col min="11995" max="11995" width="11.7109375" style="100" bestFit="1" customWidth="1"/>
    <col min="11996" max="11996" width="14.140625" style="100" bestFit="1" customWidth="1"/>
    <col min="11997" max="11997" width="16.7109375" style="100" customWidth="1"/>
    <col min="11998" max="11998" width="16.5703125" style="100" customWidth="1"/>
    <col min="11999" max="12000" width="7.85546875" style="100" bestFit="1" customWidth="1"/>
    <col min="12001" max="12001" width="8" style="100" bestFit="1" customWidth="1"/>
    <col min="12002" max="12003" width="7.85546875" style="100" bestFit="1" customWidth="1"/>
    <col min="12004" max="12004" width="9.7109375" style="100" customWidth="1"/>
    <col min="12005" max="12005" width="12.85546875" style="100" customWidth="1"/>
    <col min="12006" max="12242" width="9.140625" style="100"/>
    <col min="12243" max="12243" width="9" style="100" bestFit="1" customWidth="1"/>
    <col min="12244" max="12244" width="9.85546875" style="100" bestFit="1" customWidth="1"/>
    <col min="12245" max="12245" width="9.140625" style="100" bestFit="1" customWidth="1"/>
    <col min="12246" max="12246" width="16" style="100" bestFit="1" customWidth="1"/>
    <col min="12247" max="12247" width="9" style="100" bestFit="1" customWidth="1"/>
    <col min="12248" max="12248" width="7.85546875" style="100" bestFit="1" customWidth="1"/>
    <col min="12249" max="12249" width="11.7109375" style="100" bestFit="1" customWidth="1"/>
    <col min="12250" max="12250" width="14.28515625" style="100" customWidth="1"/>
    <col min="12251" max="12251" width="11.7109375" style="100" bestFit="1" customWidth="1"/>
    <col min="12252" max="12252" width="14.140625" style="100" bestFit="1" customWidth="1"/>
    <col min="12253" max="12253" width="16.7109375" style="100" customWidth="1"/>
    <col min="12254" max="12254" width="16.5703125" style="100" customWidth="1"/>
    <col min="12255" max="12256" width="7.85546875" style="100" bestFit="1" customWidth="1"/>
    <col min="12257" max="12257" width="8" style="100" bestFit="1" customWidth="1"/>
    <col min="12258" max="12259" width="7.85546875" style="100" bestFit="1" customWidth="1"/>
    <col min="12260" max="12260" width="9.7109375" style="100" customWidth="1"/>
    <col min="12261" max="12261" width="12.85546875" style="100" customWidth="1"/>
    <col min="12262" max="12498" width="9.140625" style="100"/>
    <col min="12499" max="12499" width="9" style="100" bestFit="1" customWidth="1"/>
    <col min="12500" max="12500" width="9.85546875" style="100" bestFit="1" customWidth="1"/>
    <col min="12501" max="12501" width="9.140625" style="100" bestFit="1" customWidth="1"/>
    <col min="12502" max="12502" width="16" style="100" bestFit="1" customWidth="1"/>
    <col min="12503" max="12503" width="9" style="100" bestFit="1" customWidth="1"/>
    <col min="12504" max="12504" width="7.85546875" style="100" bestFit="1" customWidth="1"/>
    <col min="12505" max="12505" width="11.7109375" style="100" bestFit="1" customWidth="1"/>
    <col min="12506" max="12506" width="14.28515625" style="100" customWidth="1"/>
    <col min="12507" max="12507" width="11.7109375" style="100" bestFit="1" customWidth="1"/>
    <col min="12508" max="12508" width="14.140625" style="100" bestFit="1" customWidth="1"/>
    <col min="12509" max="12509" width="16.7109375" style="100" customWidth="1"/>
    <col min="12510" max="12510" width="16.5703125" style="100" customWidth="1"/>
    <col min="12511" max="12512" width="7.85546875" style="100" bestFit="1" customWidth="1"/>
    <col min="12513" max="12513" width="8" style="100" bestFit="1" customWidth="1"/>
    <col min="12514" max="12515" width="7.85546875" style="100" bestFit="1" customWidth="1"/>
    <col min="12516" max="12516" width="9.7109375" style="100" customWidth="1"/>
    <col min="12517" max="12517" width="12.85546875" style="100" customWidth="1"/>
    <col min="12518" max="12754" width="9.140625" style="100"/>
    <col min="12755" max="12755" width="9" style="100" bestFit="1" customWidth="1"/>
    <col min="12756" max="12756" width="9.85546875" style="100" bestFit="1" customWidth="1"/>
    <col min="12757" max="12757" width="9.140625" style="100" bestFit="1" customWidth="1"/>
    <col min="12758" max="12758" width="16" style="100" bestFit="1" customWidth="1"/>
    <col min="12759" max="12759" width="9" style="100" bestFit="1" customWidth="1"/>
    <col min="12760" max="12760" width="7.85546875" style="100" bestFit="1" customWidth="1"/>
    <col min="12761" max="12761" width="11.7109375" style="100" bestFit="1" customWidth="1"/>
    <col min="12762" max="12762" width="14.28515625" style="100" customWidth="1"/>
    <col min="12763" max="12763" width="11.7109375" style="100" bestFit="1" customWidth="1"/>
    <col min="12764" max="12764" width="14.140625" style="100" bestFit="1" customWidth="1"/>
    <col min="12765" max="12765" width="16.7109375" style="100" customWidth="1"/>
    <col min="12766" max="12766" width="16.5703125" style="100" customWidth="1"/>
    <col min="12767" max="12768" width="7.85546875" style="100" bestFit="1" customWidth="1"/>
    <col min="12769" max="12769" width="8" style="100" bestFit="1" customWidth="1"/>
    <col min="12770" max="12771" width="7.85546875" style="100" bestFit="1" customWidth="1"/>
    <col min="12772" max="12772" width="9.7109375" style="100" customWidth="1"/>
    <col min="12773" max="12773" width="12.85546875" style="100" customWidth="1"/>
    <col min="12774" max="13010" width="9.140625" style="100"/>
    <col min="13011" max="13011" width="9" style="100" bestFit="1" customWidth="1"/>
    <col min="13012" max="13012" width="9.85546875" style="100" bestFit="1" customWidth="1"/>
    <col min="13013" max="13013" width="9.140625" style="100" bestFit="1" customWidth="1"/>
    <col min="13014" max="13014" width="16" style="100" bestFit="1" customWidth="1"/>
    <col min="13015" max="13015" width="9" style="100" bestFit="1" customWidth="1"/>
    <col min="13016" max="13016" width="7.85546875" style="100" bestFit="1" customWidth="1"/>
    <col min="13017" max="13017" width="11.7109375" style="100" bestFit="1" customWidth="1"/>
    <col min="13018" max="13018" width="14.28515625" style="100" customWidth="1"/>
    <col min="13019" max="13019" width="11.7109375" style="100" bestFit="1" customWidth="1"/>
    <col min="13020" max="13020" width="14.140625" style="100" bestFit="1" customWidth="1"/>
    <col min="13021" max="13021" width="16.7109375" style="100" customWidth="1"/>
    <col min="13022" max="13022" width="16.5703125" style="100" customWidth="1"/>
    <col min="13023" max="13024" width="7.85546875" style="100" bestFit="1" customWidth="1"/>
    <col min="13025" max="13025" width="8" style="100" bestFit="1" customWidth="1"/>
    <col min="13026" max="13027" width="7.85546875" style="100" bestFit="1" customWidth="1"/>
    <col min="13028" max="13028" width="9.7109375" style="100" customWidth="1"/>
    <col min="13029" max="13029" width="12.85546875" style="100" customWidth="1"/>
    <col min="13030" max="13266" width="9.140625" style="100"/>
    <col min="13267" max="13267" width="9" style="100" bestFit="1" customWidth="1"/>
    <col min="13268" max="13268" width="9.85546875" style="100" bestFit="1" customWidth="1"/>
    <col min="13269" max="13269" width="9.140625" style="100" bestFit="1" customWidth="1"/>
    <col min="13270" max="13270" width="16" style="100" bestFit="1" customWidth="1"/>
    <col min="13271" max="13271" width="9" style="100" bestFit="1" customWidth="1"/>
    <col min="13272" max="13272" width="7.85546875" style="100" bestFit="1" customWidth="1"/>
    <col min="13273" max="13273" width="11.7109375" style="100" bestFit="1" customWidth="1"/>
    <col min="13274" max="13274" width="14.28515625" style="100" customWidth="1"/>
    <col min="13275" max="13275" width="11.7109375" style="100" bestFit="1" customWidth="1"/>
    <col min="13276" max="13276" width="14.140625" style="100" bestFit="1" customWidth="1"/>
    <col min="13277" max="13277" width="16.7109375" style="100" customWidth="1"/>
    <col min="13278" max="13278" width="16.5703125" style="100" customWidth="1"/>
    <col min="13279" max="13280" width="7.85546875" style="100" bestFit="1" customWidth="1"/>
    <col min="13281" max="13281" width="8" style="100" bestFit="1" customWidth="1"/>
    <col min="13282" max="13283" width="7.85546875" style="100" bestFit="1" customWidth="1"/>
    <col min="13284" max="13284" width="9.7109375" style="100" customWidth="1"/>
    <col min="13285" max="13285" width="12.85546875" style="100" customWidth="1"/>
    <col min="13286" max="13522" width="9.140625" style="100"/>
    <col min="13523" max="13523" width="9" style="100" bestFit="1" customWidth="1"/>
    <col min="13524" max="13524" width="9.85546875" style="100" bestFit="1" customWidth="1"/>
    <col min="13525" max="13525" width="9.140625" style="100" bestFit="1" customWidth="1"/>
    <col min="13526" max="13526" width="16" style="100" bestFit="1" customWidth="1"/>
    <col min="13527" max="13527" width="9" style="100" bestFit="1" customWidth="1"/>
    <col min="13528" max="13528" width="7.85546875" style="100" bestFit="1" customWidth="1"/>
    <col min="13529" max="13529" width="11.7109375" style="100" bestFit="1" customWidth="1"/>
    <col min="13530" max="13530" width="14.28515625" style="100" customWidth="1"/>
    <col min="13531" max="13531" width="11.7109375" style="100" bestFit="1" customWidth="1"/>
    <col min="13532" max="13532" width="14.140625" style="100" bestFit="1" customWidth="1"/>
    <col min="13533" max="13533" width="16.7109375" style="100" customWidth="1"/>
    <col min="13534" max="13534" width="16.5703125" style="100" customWidth="1"/>
    <col min="13535" max="13536" width="7.85546875" style="100" bestFit="1" customWidth="1"/>
    <col min="13537" max="13537" width="8" style="100" bestFit="1" customWidth="1"/>
    <col min="13538" max="13539" width="7.85546875" style="100" bestFit="1" customWidth="1"/>
    <col min="13540" max="13540" width="9.7109375" style="100" customWidth="1"/>
    <col min="13541" max="13541" width="12.85546875" style="100" customWidth="1"/>
    <col min="13542" max="13778" width="9.140625" style="100"/>
    <col min="13779" max="13779" width="9" style="100" bestFit="1" customWidth="1"/>
    <col min="13780" max="13780" width="9.85546875" style="100" bestFit="1" customWidth="1"/>
    <col min="13781" max="13781" width="9.140625" style="100" bestFit="1" customWidth="1"/>
    <col min="13782" max="13782" width="16" style="100" bestFit="1" customWidth="1"/>
    <col min="13783" max="13783" width="9" style="100" bestFit="1" customWidth="1"/>
    <col min="13784" max="13784" width="7.85546875" style="100" bestFit="1" customWidth="1"/>
    <col min="13785" max="13785" width="11.7109375" style="100" bestFit="1" customWidth="1"/>
    <col min="13786" max="13786" width="14.28515625" style="100" customWidth="1"/>
    <col min="13787" max="13787" width="11.7109375" style="100" bestFit="1" customWidth="1"/>
    <col min="13788" max="13788" width="14.140625" style="100" bestFit="1" customWidth="1"/>
    <col min="13789" max="13789" width="16.7109375" style="100" customWidth="1"/>
    <col min="13790" max="13790" width="16.5703125" style="100" customWidth="1"/>
    <col min="13791" max="13792" width="7.85546875" style="100" bestFit="1" customWidth="1"/>
    <col min="13793" max="13793" width="8" style="100" bestFit="1" customWidth="1"/>
    <col min="13794" max="13795" width="7.85546875" style="100" bestFit="1" customWidth="1"/>
    <col min="13796" max="13796" width="9.7109375" style="100" customWidth="1"/>
    <col min="13797" max="13797" width="12.85546875" style="100" customWidth="1"/>
    <col min="13798" max="14034" width="9.140625" style="100"/>
    <col min="14035" max="14035" width="9" style="100" bestFit="1" customWidth="1"/>
    <col min="14036" max="14036" width="9.85546875" style="100" bestFit="1" customWidth="1"/>
    <col min="14037" max="14037" width="9.140625" style="100" bestFit="1" customWidth="1"/>
    <col min="14038" max="14038" width="16" style="100" bestFit="1" customWidth="1"/>
    <col min="14039" max="14039" width="9" style="100" bestFit="1" customWidth="1"/>
    <col min="14040" max="14040" width="7.85546875" style="100" bestFit="1" customWidth="1"/>
    <col min="14041" max="14041" width="11.7109375" style="100" bestFit="1" customWidth="1"/>
    <col min="14042" max="14042" width="14.28515625" style="100" customWidth="1"/>
    <col min="14043" max="14043" width="11.7109375" style="100" bestFit="1" customWidth="1"/>
    <col min="14044" max="14044" width="14.140625" style="100" bestFit="1" customWidth="1"/>
    <col min="14045" max="14045" width="16.7109375" style="100" customWidth="1"/>
    <col min="14046" max="14046" width="16.5703125" style="100" customWidth="1"/>
    <col min="14047" max="14048" width="7.85546875" style="100" bestFit="1" customWidth="1"/>
    <col min="14049" max="14049" width="8" style="100" bestFit="1" customWidth="1"/>
    <col min="14050" max="14051" width="7.85546875" style="100" bestFit="1" customWidth="1"/>
    <col min="14052" max="14052" width="9.7109375" style="100" customWidth="1"/>
    <col min="14053" max="14053" width="12.85546875" style="100" customWidth="1"/>
    <col min="14054" max="14290" width="9.140625" style="100"/>
    <col min="14291" max="14291" width="9" style="100" bestFit="1" customWidth="1"/>
    <col min="14292" max="14292" width="9.85546875" style="100" bestFit="1" customWidth="1"/>
    <col min="14293" max="14293" width="9.140625" style="100" bestFit="1" customWidth="1"/>
    <col min="14294" max="14294" width="16" style="100" bestFit="1" customWidth="1"/>
    <col min="14295" max="14295" width="9" style="100" bestFit="1" customWidth="1"/>
    <col min="14296" max="14296" width="7.85546875" style="100" bestFit="1" customWidth="1"/>
    <col min="14297" max="14297" width="11.7109375" style="100" bestFit="1" customWidth="1"/>
    <col min="14298" max="14298" width="14.28515625" style="100" customWidth="1"/>
    <col min="14299" max="14299" width="11.7109375" style="100" bestFit="1" customWidth="1"/>
    <col min="14300" max="14300" width="14.140625" style="100" bestFit="1" customWidth="1"/>
    <col min="14301" max="14301" width="16.7109375" style="100" customWidth="1"/>
    <col min="14302" max="14302" width="16.5703125" style="100" customWidth="1"/>
    <col min="14303" max="14304" width="7.85546875" style="100" bestFit="1" customWidth="1"/>
    <col min="14305" max="14305" width="8" style="100" bestFit="1" customWidth="1"/>
    <col min="14306" max="14307" width="7.85546875" style="100" bestFit="1" customWidth="1"/>
    <col min="14308" max="14308" width="9.7109375" style="100" customWidth="1"/>
    <col min="14309" max="14309" width="12.85546875" style="100" customWidth="1"/>
    <col min="14310" max="14546" width="9.140625" style="100"/>
    <col min="14547" max="14547" width="9" style="100" bestFit="1" customWidth="1"/>
    <col min="14548" max="14548" width="9.85546875" style="100" bestFit="1" customWidth="1"/>
    <col min="14549" max="14549" width="9.140625" style="100" bestFit="1" customWidth="1"/>
    <col min="14550" max="14550" width="16" style="100" bestFit="1" customWidth="1"/>
    <col min="14551" max="14551" width="9" style="100" bestFit="1" customWidth="1"/>
    <col min="14552" max="14552" width="7.85546875" style="100" bestFit="1" customWidth="1"/>
    <col min="14553" max="14553" width="11.7109375" style="100" bestFit="1" customWidth="1"/>
    <col min="14554" max="14554" width="14.28515625" style="100" customWidth="1"/>
    <col min="14555" max="14555" width="11.7109375" style="100" bestFit="1" customWidth="1"/>
    <col min="14556" max="14556" width="14.140625" style="100" bestFit="1" customWidth="1"/>
    <col min="14557" max="14557" width="16.7109375" style="100" customWidth="1"/>
    <col min="14558" max="14558" width="16.5703125" style="100" customWidth="1"/>
    <col min="14559" max="14560" width="7.85546875" style="100" bestFit="1" customWidth="1"/>
    <col min="14561" max="14561" width="8" style="100" bestFit="1" customWidth="1"/>
    <col min="14562" max="14563" width="7.85546875" style="100" bestFit="1" customWidth="1"/>
    <col min="14564" max="14564" width="9.7109375" style="100" customWidth="1"/>
    <col min="14565" max="14565" width="12.85546875" style="100" customWidth="1"/>
    <col min="14566" max="14802" width="9.140625" style="100"/>
    <col min="14803" max="14803" width="9" style="100" bestFit="1" customWidth="1"/>
    <col min="14804" max="14804" width="9.85546875" style="100" bestFit="1" customWidth="1"/>
    <col min="14805" max="14805" width="9.140625" style="100" bestFit="1" customWidth="1"/>
    <col min="14806" max="14806" width="16" style="100" bestFit="1" customWidth="1"/>
    <col min="14807" max="14807" width="9" style="100" bestFit="1" customWidth="1"/>
    <col min="14808" max="14808" width="7.85546875" style="100" bestFit="1" customWidth="1"/>
    <col min="14809" max="14809" width="11.7109375" style="100" bestFit="1" customWidth="1"/>
    <col min="14810" max="14810" width="14.28515625" style="100" customWidth="1"/>
    <col min="14811" max="14811" width="11.7109375" style="100" bestFit="1" customWidth="1"/>
    <col min="14812" max="14812" width="14.140625" style="100" bestFit="1" customWidth="1"/>
    <col min="14813" max="14813" width="16.7109375" style="100" customWidth="1"/>
    <col min="14814" max="14814" width="16.5703125" style="100" customWidth="1"/>
    <col min="14815" max="14816" width="7.85546875" style="100" bestFit="1" customWidth="1"/>
    <col min="14817" max="14817" width="8" style="100" bestFit="1" customWidth="1"/>
    <col min="14818" max="14819" width="7.85546875" style="100" bestFit="1" customWidth="1"/>
    <col min="14820" max="14820" width="9.7109375" style="100" customWidth="1"/>
    <col min="14821" max="14821" width="12.85546875" style="100" customWidth="1"/>
    <col min="14822" max="15058" width="9.140625" style="100"/>
    <col min="15059" max="15059" width="9" style="100" bestFit="1" customWidth="1"/>
    <col min="15060" max="15060" width="9.85546875" style="100" bestFit="1" customWidth="1"/>
    <col min="15061" max="15061" width="9.140625" style="100" bestFit="1" customWidth="1"/>
    <col min="15062" max="15062" width="16" style="100" bestFit="1" customWidth="1"/>
    <col min="15063" max="15063" width="9" style="100" bestFit="1" customWidth="1"/>
    <col min="15064" max="15064" width="7.85546875" style="100" bestFit="1" customWidth="1"/>
    <col min="15065" max="15065" width="11.7109375" style="100" bestFit="1" customWidth="1"/>
    <col min="15066" max="15066" width="14.28515625" style="100" customWidth="1"/>
    <col min="15067" max="15067" width="11.7109375" style="100" bestFit="1" customWidth="1"/>
    <col min="15068" max="15068" width="14.140625" style="100" bestFit="1" customWidth="1"/>
    <col min="15069" max="15069" width="16.7109375" style="100" customWidth="1"/>
    <col min="15070" max="15070" width="16.5703125" style="100" customWidth="1"/>
    <col min="15071" max="15072" width="7.85546875" style="100" bestFit="1" customWidth="1"/>
    <col min="15073" max="15073" width="8" style="100" bestFit="1" customWidth="1"/>
    <col min="15074" max="15075" width="7.85546875" style="100" bestFit="1" customWidth="1"/>
    <col min="15076" max="15076" width="9.7109375" style="100" customWidth="1"/>
    <col min="15077" max="15077" width="12.85546875" style="100" customWidth="1"/>
    <col min="15078" max="15314" width="9.140625" style="100"/>
    <col min="15315" max="15315" width="9" style="100" bestFit="1" customWidth="1"/>
    <col min="15316" max="15316" width="9.85546875" style="100" bestFit="1" customWidth="1"/>
    <col min="15317" max="15317" width="9.140625" style="100" bestFit="1" customWidth="1"/>
    <col min="15318" max="15318" width="16" style="100" bestFit="1" customWidth="1"/>
    <col min="15319" max="15319" width="9" style="100" bestFit="1" customWidth="1"/>
    <col min="15320" max="15320" width="7.85546875" style="100" bestFit="1" customWidth="1"/>
    <col min="15321" max="15321" width="11.7109375" style="100" bestFit="1" customWidth="1"/>
    <col min="15322" max="15322" width="14.28515625" style="100" customWidth="1"/>
    <col min="15323" max="15323" width="11.7109375" style="100" bestFit="1" customWidth="1"/>
    <col min="15324" max="15324" width="14.140625" style="100" bestFit="1" customWidth="1"/>
    <col min="15325" max="15325" width="16.7109375" style="100" customWidth="1"/>
    <col min="15326" max="15326" width="16.5703125" style="100" customWidth="1"/>
    <col min="15327" max="15328" width="7.85546875" style="100" bestFit="1" customWidth="1"/>
    <col min="15329" max="15329" width="8" style="100" bestFit="1" customWidth="1"/>
    <col min="15330" max="15331" width="7.85546875" style="100" bestFit="1" customWidth="1"/>
    <col min="15332" max="15332" width="9.7109375" style="100" customWidth="1"/>
    <col min="15333" max="15333" width="12.85546875" style="100" customWidth="1"/>
    <col min="15334" max="15570" width="9.140625" style="100"/>
    <col min="15571" max="15571" width="9" style="100" bestFit="1" customWidth="1"/>
    <col min="15572" max="15572" width="9.85546875" style="100" bestFit="1" customWidth="1"/>
    <col min="15573" max="15573" width="9.140625" style="100" bestFit="1" customWidth="1"/>
    <col min="15574" max="15574" width="16" style="100" bestFit="1" customWidth="1"/>
    <col min="15575" max="15575" width="9" style="100" bestFit="1" customWidth="1"/>
    <col min="15576" max="15576" width="7.85546875" style="100" bestFit="1" customWidth="1"/>
    <col min="15577" max="15577" width="11.7109375" style="100" bestFit="1" customWidth="1"/>
    <col min="15578" max="15578" width="14.28515625" style="100" customWidth="1"/>
    <col min="15579" max="15579" width="11.7109375" style="100" bestFit="1" customWidth="1"/>
    <col min="15580" max="15580" width="14.140625" style="100" bestFit="1" customWidth="1"/>
    <col min="15581" max="15581" width="16.7109375" style="100" customWidth="1"/>
    <col min="15582" max="15582" width="16.5703125" style="100" customWidth="1"/>
    <col min="15583" max="15584" width="7.85546875" style="100" bestFit="1" customWidth="1"/>
    <col min="15585" max="15585" width="8" style="100" bestFit="1" customWidth="1"/>
    <col min="15586" max="15587" width="7.85546875" style="100" bestFit="1" customWidth="1"/>
    <col min="15588" max="15588" width="9.7109375" style="100" customWidth="1"/>
    <col min="15589" max="15589" width="12.85546875" style="100" customWidth="1"/>
    <col min="15590" max="15826" width="9.140625" style="100"/>
    <col min="15827" max="15827" width="9" style="100" bestFit="1" customWidth="1"/>
    <col min="15828" max="15828" width="9.85546875" style="100" bestFit="1" customWidth="1"/>
    <col min="15829" max="15829" width="9.140625" style="100" bestFit="1" customWidth="1"/>
    <col min="15830" max="15830" width="16" style="100" bestFit="1" customWidth="1"/>
    <col min="15831" max="15831" width="9" style="100" bestFit="1" customWidth="1"/>
    <col min="15832" max="15832" width="7.85546875" style="100" bestFit="1" customWidth="1"/>
    <col min="15833" max="15833" width="11.7109375" style="100" bestFit="1" customWidth="1"/>
    <col min="15834" max="15834" width="14.28515625" style="100" customWidth="1"/>
    <col min="15835" max="15835" width="11.7109375" style="100" bestFit="1" customWidth="1"/>
    <col min="15836" max="15836" width="14.140625" style="100" bestFit="1" customWidth="1"/>
    <col min="15837" max="15837" width="16.7109375" style="100" customWidth="1"/>
    <col min="15838" max="15838" width="16.5703125" style="100" customWidth="1"/>
    <col min="15839" max="15840" width="7.85546875" style="100" bestFit="1" customWidth="1"/>
    <col min="15841" max="15841" width="8" style="100" bestFit="1" customWidth="1"/>
    <col min="15842" max="15843" width="7.85546875" style="100" bestFit="1" customWidth="1"/>
    <col min="15844" max="15844" width="9.7109375" style="100" customWidth="1"/>
    <col min="15845" max="15845" width="12.85546875" style="100" customWidth="1"/>
    <col min="15846" max="16082" width="9.140625" style="100"/>
    <col min="16083" max="16083" width="9" style="100" bestFit="1" customWidth="1"/>
    <col min="16084" max="16084" width="9.85546875" style="100" bestFit="1" customWidth="1"/>
    <col min="16085" max="16085" width="9.140625" style="100" bestFit="1" customWidth="1"/>
    <col min="16086" max="16086" width="16" style="100" bestFit="1" customWidth="1"/>
    <col min="16087" max="16087" width="9" style="100" bestFit="1" customWidth="1"/>
    <col min="16088" max="16088" width="7.85546875" style="100" bestFit="1" customWidth="1"/>
    <col min="16089" max="16089" width="11.7109375" style="100" bestFit="1" customWidth="1"/>
    <col min="16090" max="16090" width="14.28515625" style="100" customWidth="1"/>
    <col min="16091" max="16091" width="11.7109375" style="100" bestFit="1" customWidth="1"/>
    <col min="16092" max="16092" width="14.140625" style="100" bestFit="1" customWidth="1"/>
    <col min="16093" max="16093" width="16.7109375" style="100" customWidth="1"/>
    <col min="16094" max="16094" width="16.5703125" style="100" customWidth="1"/>
    <col min="16095" max="16096" width="7.85546875" style="100" bestFit="1" customWidth="1"/>
    <col min="16097" max="16097" width="8" style="100" bestFit="1" customWidth="1"/>
    <col min="16098" max="16099" width="7.85546875" style="100" bestFit="1" customWidth="1"/>
    <col min="16100" max="16100" width="9.7109375" style="100" customWidth="1"/>
    <col min="16101" max="16101" width="12.85546875" style="100" customWidth="1"/>
    <col min="16102" max="16384" width="9.140625" style="100"/>
  </cols>
  <sheetData>
    <row r="1" spans="1:12" s="102" customFormat="1" ht="15.75" customHeight="1">
      <c r="A1" s="663" t="s">
        <v>1</v>
      </c>
      <c r="B1" s="797" t="s">
        <v>0</v>
      </c>
      <c r="C1" s="796" t="s">
        <v>488</v>
      </c>
      <c r="D1" s="796"/>
      <c r="E1" s="796"/>
      <c r="F1" s="796"/>
      <c r="G1" s="796"/>
      <c r="H1" s="799" t="s">
        <v>251</v>
      </c>
      <c r="I1" s="793" t="s">
        <v>29</v>
      </c>
      <c r="J1" s="794"/>
      <c r="K1" s="794"/>
      <c r="L1" s="795"/>
    </row>
    <row r="2" spans="1:12" ht="16.5" thickBot="1">
      <c r="A2" s="664"/>
      <c r="B2" s="798"/>
      <c r="C2" s="103" t="s">
        <v>23</v>
      </c>
      <c r="D2" s="103" t="s">
        <v>503</v>
      </c>
      <c r="E2" s="103" t="s">
        <v>47</v>
      </c>
      <c r="F2" s="108" t="s">
        <v>9</v>
      </c>
      <c r="G2" s="110" t="s">
        <v>33</v>
      </c>
      <c r="H2" s="800"/>
      <c r="I2" s="144"/>
      <c r="J2" s="144"/>
      <c r="K2" s="144"/>
      <c r="L2" s="145"/>
    </row>
    <row r="3" spans="1:12" s="135" customFormat="1" ht="15.75" thickBot="1">
      <c r="A3" s="468" t="str">
        <f>'1-συμβολαια'!A3</f>
        <v>10ο</v>
      </c>
      <c r="B3" s="513" t="str">
        <f>'1-συμβολαια'!C3</f>
        <v>πληρεξούσιο</v>
      </c>
      <c r="C3" s="465">
        <f>'1-συμβολαια'!L3*16%</f>
        <v>6.9039999999999999</v>
      </c>
      <c r="D3" s="465">
        <f>'2-δικαιώμ'!N3*16%+'5-αντίγρ'!O3*16%</f>
        <v>0.6160000000000001</v>
      </c>
      <c r="E3" s="465">
        <f t="shared" ref="E3" si="0">C3+D3</f>
        <v>7.52</v>
      </c>
      <c r="F3" s="465">
        <v>3.2</v>
      </c>
      <c r="G3" s="465">
        <f t="shared" ref="G3" si="1">E3-F3</f>
        <v>4.3199999999999994</v>
      </c>
      <c r="H3" s="465">
        <f>'13-ντιΜιΧο'!BZ3*16%</f>
        <v>9.6000000000000002E-2</v>
      </c>
      <c r="I3" s="317" t="s">
        <v>249</v>
      </c>
      <c r="J3" s="317"/>
      <c r="K3" s="335"/>
      <c r="L3" s="412"/>
    </row>
    <row r="4" spans="1:12" s="135" customFormat="1">
      <c r="A4" s="514" t="str">
        <f>'1-συμβολαια'!A4</f>
        <v>11ο</v>
      </c>
      <c r="B4" s="416" t="str">
        <f>'1-συμβολαια'!C4</f>
        <v>γονική [αγροτεμάχιο Θεολόγος -''βαλανίδια'' 16.832,18μ2</v>
      </c>
      <c r="C4" s="358">
        <f>'1-συμβολαια'!L4*16%</f>
        <v>32.273705600000007</v>
      </c>
      <c r="D4" s="358">
        <f>'2-δικαιώμ'!N4*16%+'5-αντίγρ'!O4*16%</f>
        <v>2.2318304000000002</v>
      </c>
      <c r="E4" s="358">
        <f t="shared" ref="E4" si="2">C4+D4</f>
        <v>34.505536000000006</v>
      </c>
      <c r="F4" s="358">
        <v>17.3</v>
      </c>
      <c r="G4" s="358">
        <f t="shared" ref="G4" si="3">E4-F4</f>
        <v>17.205536000000006</v>
      </c>
      <c r="H4" s="358">
        <f>'13-ντιΜιΧο'!BZ4*16%</f>
        <v>153.91039999999998</v>
      </c>
      <c r="I4" s="317" t="s">
        <v>249</v>
      </c>
      <c r="J4" s="317" t="s">
        <v>250</v>
      </c>
      <c r="K4" s="335"/>
      <c r="L4" s="262"/>
    </row>
    <row r="5" spans="1:12" s="135" customFormat="1" ht="15.75" thickBot="1">
      <c r="A5" s="515">
        <f>'1-συμβολαια'!A5</f>
        <v>0</v>
      </c>
      <c r="B5" s="417" t="str">
        <f>'1-συμβολαια'!C5</f>
        <v>χρησικτησία = 1961 πατρός ΔΩΡΕΑ άτυπος</v>
      </c>
      <c r="C5" s="394">
        <f>'1-συμβολαια'!L5*16%</f>
        <v>15.553705600000001</v>
      </c>
      <c r="D5" s="394">
        <f>'2-δικαιώμ'!N5*16%+'5-αντίγρ'!O5*16%</f>
        <v>1.3518304000000001</v>
      </c>
      <c r="E5" s="394">
        <f t="shared" ref="E5:E18" si="4">C5+D5</f>
        <v>16.905536000000001</v>
      </c>
      <c r="F5" s="394"/>
      <c r="G5" s="394">
        <f t="shared" ref="G5:G18" si="5">E5-F5</f>
        <v>16.905536000000001</v>
      </c>
      <c r="H5" s="394">
        <f>'13-ντιΜιΧο'!BZ5*16%</f>
        <v>0</v>
      </c>
      <c r="I5" s="317" t="s">
        <v>249</v>
      </c>
      <c r="J5" s="317" t="s">
        <v>250</v>
      </c>
      <c r="K5" s="335"/>
      <c r="L5" s="262"/>
    </row>
    <row r="6" spans="1:12" s="135" customFormat="1">
      <c r="A6" s="415" t="str">
        <f>'1-συμβολαια'!A6</f>
        <v>12ο</v>
      </c>
      <c r="B6" s="416" t="str">
        <f>'1-συμβολαια'!C6</f>
        <v>κληρονομιάς ΑΠΟΔΟΧΗ [οικόπεδο 226μ2 ΜΕ 2όροφο οιίκημα 150μ2 &amp; αποθήκη 15μ2 Θεολόγος</v>
      </c>
      <c r="C6" s="358">
        <f>'1-συμβολαια'!L6*16%</f>
        <v>15.8256</v>
      </c>
      <c r="D6" s="358">
        <f>'2-δικαιώμ'!N6*16%+'5-αντίγρ'!O6*16%</f>
        <v>0.33440000000000003</v>
      </c>
      <c r="E6" s="358">
        <f t="shared" si="4"/>
        <v>16.16</v>
      </c>
      <c r="F6" s="358">
        <v>3.04</v>
      </c>
      <c r="G6" s="358">
        <f t="shared" si="5"/>
        <v>13.120000000000001</v>
      </c>
      <c r="H6" s="358">
        <f>'13-ντιΜιΧο'!BZ6*16%</f>
        <v>176.63040000000001</v>
      </c>
      <c r="I6" s="317" t="s">
        <v>249</v>
      </c>
      <c r="J6" s="317" t="s">
        <v>250</v>
      </c>
      <c r="K6" s="335"/>
      <c r="L6" s="262"/>
    </row>
    <row r="7" spans="1:12" s="135" customFormat="1">
      <c r="A7" s="414">
        <f>'1-συμβολαια'!A7</f>
        <v>0</v>
      </c>
      <c r="B7" s="355" t="str">
        <f>'1-συμβολαια'!C7</f>
        <v>χρησικτησία οικοπέδου &amp; οικήματος = 1950 πατρός ΚΛΗΡΟΝΟΜΙΑ άτυπη</v>
      </c>
      <c r="C7" s="328">
        <f>'1-συμβολαια'!L7*16%</f>
        <v>16.983984</v>
      </c>
      <c r="D7" s="358">
        <f>'2-δικαιώμ'!N7*16%+'5-αντίγρ'!O7*16%</f>
        <v>1.9430560000000001</v>
      </c>
      <c r="E7" s="358">
        <f t="shared" si="4"/>
        <v>18.927039999999998</v>
      </c>
      <c r="F7" s="358"/>
      <c r="G7" s="358">
        <f t="shared" si="5"/>
        <v>18.927039999999998</v>
      </c>
      <c r="H7" s="358">
        <f>'13-ντιΜιΧο'!BZ7*16%</f>
        <v>4.8</v>
      </c>
      <c r="I7" s="317" t="s">
        <v>249</v>
      </c>
      <c r="J7" s="317" t="s">
        <v>250</v>
      </c>
      <c r="K7" s="335"/>
      <c r="L7" s="262"/>
    </row>
    <row r="8" spans="1:12" s="135" customFormat="1">
      <c r="A8" s="414">
        <f>'1-συμβολαια'!A8</f>
        <v>0</v>
      </c>
      <c r="B8" s="355" t="str">
        <f>'1-συμβολαια'!C8</f>
        <v>χρησικτησία οικοπέδου &amp; οικήματος = 1950 ΔΙΑΝΟΜΗ άτυπη</v>
      </c>
      <c r="C8" s="328">
        <f>'1-συμβολαια'!L8*16%</f>
        <v>31.467756799999997</v>
      </c>
      <c r="D8" s="358">
        <f>'2-δικαιώμ'!N8*16%+'5-αντίγρ'!O8*16%</f>
        <v>3.0872511999999994</v>
      </c>
      <c r="E8" s="358">
        <f t="shared" si="4"/>
        <v>34.555007999999994</v>
      </c>
      <c r="F8" s="358"/>
      <c r="G8" s="358">
        <f t="shared" si="5"/>
        <v>34.555007999999994</v>
      </c>
      <c r="H8" s="358">
        <f>'13-ντιΜιΧο'!BZ8*16%</f>
        <v>50.083199999999998</v>
      </c>
      <c r="I8" s="317" t="s">
        <v>249</v>
      </c>
      <c r="J8" s="317" t="s">
        <v>250</v>
      </c>
      <c r="K8" s="335"/>
      <c r="L8" s="262"/>
    </row>
    <row r="9" spans="1:12" s="135" customFormat="1" ht="15.75" thickBot="1">
      <c r="A9" s="418">
        <f>'1-συμβολαια'!A9</f>
        <v>0</v>
      </c>
      <c r="B9" s="417" t="str">
        <f>'1-συμβολαια'!C9</f>
        <v xml:space="preserve">εξισορόπηση διαφοράς διανεμομένων </v>
      </c>
      <c r="C9" s="394">
        <f>'1-συμβολαια'!L9*16%</f>
        <v>9.2341056000000012</v>
      </c>
      <c r="D9" s="394">
        <f>'2-δικαιώμ'!N9*16%+'5-αντίγρ'!O9*16%</f>
        <v>0.57543040000000001</v>
      </c>
      <c r="E9" s="394">
        <f t="shared" si="4"/>
        <v>9.8095360000000014</v>
      </c>
      <c r="F9" s="394"/>
      <c r="G9" s="394">
        <f t="shared" si="5"/>
        <v>9.8095360000000014</v>
      </c>
      <c r="H9" s="394">
        <f>'13-ντιΜιΧο'!BZ9*16%</f>
        <v>1.6</v>
      </c>
      <c r="I9" s="317" t="s">
        <v>249</v>
      </c>
      <c r="J9" s="317" t="s">
        <v>250</v>
      </c>
      <c r="K9" s="335"/>
      <c r="L9" s="262"/>
    </row>
    <row r="10" spans="1:12" s="135" customFormat="1">
      <c r="A10" s="397" t="str">
        <f>'1-συμβολαια'!A10</f>
        <v>13ο</v>
      </c>
      <c r="B10" s="416" t="str">
        <f>'1-συμβολαια'!C10</f>
        <v>πληρεξούσιο</v>
      </c>
      <c r="C10" s="358">
        <f>'1-συμβολαια'!L10*16%</f>
        <v>6.9039999999999999</v>
      </c>
      <c r="D10" s="358">
        <f>'2-δικαιώμ'!N10*16%+'5-αντίγρ'!O10*16%</f>
        <v>0.6160000000000001</v>
      </c>
      <c r="E10" s="358">
        <f t="shared" si="4"/>
        <v>7.52</v>
      </c>
      <c r="F10" s="358">
        <v>3.2</v>
      </c>
      <c r="G10" s="358">
        <f t="shared" si="5"/>
        <v>4.3199999999999994</v>
      </c>
      <c r="H10" s="358">
        <f>'13-ντιΜιΧο'!BZ10*16%</f>
        <v>9.6000000000000002E-2</v>
      </c>
      <c r="I10" s="317" t="s">
        <v>249</v>
      </c>
      <c r="J10" s="317" t="s">
        <v>250</v>
      </c>
      <c r="K10" s="335"/>
      <c r="L10" s="262"/>
    </row>
    <row r="11" spans="1:12" s="135" customFormat="1">
      <c r="A11" s="354" t="str">
        <f>'1-συμβολαια'!A11</f>
        <v>14ο</v>
      </c>
      <c r="B11" s="355" t="str">
        <f>'1-συμβολαια'!C11</f>
        <v>αγοραπωλησία</v>
      </c>
      <c r="C11" s="328">
        <f>'1-συμβολαια'!L11*16%</f>
        <v>62.927036799999996</v>
      </c>
      <c r="D11" s="358">
        <f>'2-δικαιώμ'!N11*16%+'5-αντίγρ'!O11*16%</f>
        <v>6.6247712000000014</v>
      </c>
      <c r="E11" s="358">
        <f t="shared" si="4"/>
        <v>69.551807999999994</v>
      </c>
      <c r="F11" s="358">
        <v>48.43</v>
      </c>
      <c r="G11" s="358">
        <f t="shared" si="5"/>
        <v>21.121807999999994</v>
      </c>
      <c r="H11" s="358">
        <f>'13-ντιΜιΧο'!BZ11*16%</f>
        <v>518.50239999999997</v>
      </c>
      <c r="I11" s="317" t="s">
        <v>249</v>
      </c>
      <c r="J11" s="317" t="s">
        <v>250</v>
      </c>
      <c r="K11" s="335"/>
      <c r="L11" s="262"/>
    </row>
    <row r="12" spans="1:12" s="135" customFormat="1">
      <c r="A12" s="354" t="str">
        <f>'1-συμβολαια'!A12</f>
        <v>15ο</v>
      </c>
      <c r="B12" s="355" t="str">
        <f>'1-συμβολαια'!C12</f>
        <v>δωρεά</v>
      </c>
      <c r="C12" s="328">
        <f>'1-συμβολαια'!L12*16%</f>
        <v>67.344617600000007</v>
      </c>
      <c r="D12" s="358">
        <f>'2-δικαιώμ'!N12*16%+'5-αντίγρ'!O12*16%</f>
        <v>7.1596384000000004</v>
      </c>
      <c r="E12" s="358">
        <f t="shared" si="4"/>
        <v>74.504256000000012</v>
      </c>
      <c r="F12" s="358">
        <v>52.42</v>
      </c>
      <c r="G12" s="358">
        <f t="shared" si="5"/>
        <v>22.084256000000011</v>
      </c>
      <c r="H12" s="358">
        <f>'13-ντιΜιΧο'!BZ12*16%</f>
        <v>212.9504</v>
      </c>
      <c r="I12" s="317" t="s">
        <v>249</v>
      </c>
      <c r="J12" s="317" t="s">
        <v>250</v>
      </c>
      <c r="K12" s="335"/>
      <c r="L12" s="262"/>
    </row>
    <row r="13" spans="1:12" s="135" customFormat="1">
      <c r="A13" s="354" t="str">
        <f>'1-συμβολαια'!A13</f>
        <v>16ο</v>
      </c>
      <c r="B13" s="355" t="str">
        <f>'1-συμβολαια'!C13</f>
        <v>γονική</v>
      </c>
      <c r="C13" s="328">
        <f>'1-συμβολαια'!L13*16%</f>
        <v>152.07928160000003</v>
      </c>
      <c r="D13" s="358">
        <f>'2-δικαιώμ'!N13*16%+'5-αντίγρ'!O13*16%</f>
        <v>22.112814400000001</v>
      </c>
      <c r="E13" s="358">
        <f t="shared" si="4"/>
        <v>174.19209600000002</v>
      </c>
      <c r="F13" s="358">
        <v>152.11000000000001</v>
      </c>
      <c r="G13" s="358">
        <f t="shared" si="5"/>
        <v>22.082096000000007</v>
      </c>
      <c r="H13" s="358">
        <f>'13-ντιΜιΧο'!BZ13*16%</f>
        <v>212.9504</v>
      </c>
      <c r="I13" s="317" t="s">
        <v>249</v>
      </c>
      <c r="J13" s="317" t="s">
        <v>250</v>
      </c>
      <c r="K13" s="335"/>
      <c r="L13" s="262"/>
    </row>
    <row r="14" spans="1:12" s="135" customFormat="1">
      <c r="A14" s="354" t="str">
        <f>'1-συμβολαια'!A14</f>
        <v>17ο</v>
      </c>
      <c r="B14" s="355" t="str">
        <f>'1-συμβολαια'!C14</f>
        <v>δωρεά</v>
      </c>
      <c r="C14" s="328">
        <f>'1-συμβολαια'!L14*16%</f>
        <v>113.79165440000001</v>
      </c>
      <c r="D14" s="358">
        <f>'2-δικαιώμ'!N14*16%+'5-αντίγρ'!O14*16%</f>
        <v>12.0244096</v>
      </c>
      <c r="E14" s="358">
        <f t="shared" si="4"/>
        <v>125.81606400000001</v>
      </c>
      <c r="F14" s="358">
        <v>84.86</v>
      </c>
      <c r="G14" s="358">
        <f t="shared" si="5"/>
        <v>40.956064000000012</v>
      </c>
      <c r="H14" s="358">
        <f>'13-ντιΜιΧο'!BZ14*16%</f>
        <v>219.08160000000001</v>
      </c>
      <c r="I14" s="317" t="s">
        <v>249</v>
      </c>
      <c r="J14" s="317" t="s">
        <v>250</v>
      </c>
      <c r="K14" s="335"/>
      <c r="L14" s="262"/>
    </row>
    <row r="15" spans="1:12" s="135" customFormat="1">
      <c r="A15" s="354" t="str">
        <f>'1-συμβολαια'!A15</f>
        <v>18ο</v>
      </c>
      <c r="B15" s="355" t="str">
        <f>'1-συμβολαια'!C15</f>
        <v>γονική</v>
      </c>
      <c r="C15" s="328">
        <f>'1-συμβολαια'!L15*16%</f>
        <v>170.95928160000003</v>
      </c>
      <c r="D15" s="358">
        <f>'2-δικαιώμ'!N15*16%+'5-αντίγρ'!O15*16%</f>
        <v>22.112814400000001</v>
      </c>
      <c r="E15" s="358">
        <f t="shared" si="4"/>
        <v>193.07209600000002</v>
      </c>
      <c r="F15" s="358">
        <v>152.11000000000001</v>
      </c>
      <c r="G15" s="358">
        <f t="shared" si="5"/>
        <v>40.962096000000003</v>
      </c>
      <c r="H15" s="358">
        <f>'13-ντιΜιΧο'!BZ15*16%</f>
        <v>220.6816</v>
      </c>
      <c r="I15" s="317" t="s">
        <v>249</v>
      </c>
      <c r="J15" s="317" t="s">
        <v>250</v>
      </c>
      <c r="K15" s="335"/>
      <c r="L15" s="262"/>
    </row>
    <row r="16" spans="1:12" s="135" customFormat="1">
      <c r="A16" s="354" t="str">
        <f>'1-συμβολαια'!A16</f>
        <v>19ο</v>
      </c>
      <c r="B16" s="355" t="str">
        <f>'1-συμβολαια'!C16</f>
        <v>σύσταση δουλείας</v>
      </c>
      <c r="C16" s="328">
        <f>'1-συμβολαια'!L16*16%</f>
        <v>54.556175199999998</v>
      </c>
      <c r="D16" s="358">
        <f>'2-δικαιώμ'!N16*16%+'5-αντίγρ'!O16*16%</f>
        <v>2.2487368000000001</v>
      </c>
      <c r="E16" s="358">
        <f t="shared" si="4"/>
        <v>56.804912000000002</v>
      </c>
      <c r="F16" s="358">
        <v>20.48</v>
      </c>
      <c r="G16" s="358">
        <f t="shared" si="5"/>
        <v>36.324911999999998</v>
      </c>
      <c r="H16" s="358">
        <f>'13-ντιΜιΧο'!BZ16*16%</f>
        <v>71.558400000000006</v>
      </c>
      <c r="I16" s="317" t="s">
        <v>249</v>
      </c>
      <c r="J16" s="317" t="s">
        <v>250</v>
      </c>
      <c r="K16" s="335"/>
      <c r="L16" s="262"/>
    </row>
    <row r="17" spans="1:14" s="135" customFormat="1">
      <c r="A17" s="354" t="str">
        <f>'1-συμβολαια'!A17</f>
        <v>20ο</v>
      </c>
      <c r="B17" s="355" t="str">
        <f>'1-συμβολαια'!C17</f>
        <v>σύσταση δουλείας</v>
      </c>
      <c r="C17" s="328">
        <f>'1-συμβολαια'!L17*16%</f>
        <v>37.885055200000004</v>
      </c>
      <c r="D17" s="358">
        <f>'2-δικαιώμ'!N17*16%+'5-αντίγρ'!O17*16%</f>
        <v>1.4526568000000002</v>
      </c>
      <c r="E17" s="358">
        <f t="shared" si="4"/>
        <v>39.337712000000003</v>
      </c>
      <c r="F17" s="358">
        <v>12.78</v>
      </c>
      <c r="G17" s="358">
        <f t="shared" si="5"/>
        <v>26.557712000000002</v>
      </c>
      <c r="H17" s="358">
        <f>'13-ντιΜιΧο'!BZ17*16%</f>
        <v>65.958399999999997</v>
      </c>
      <c r="I17" s="317" t="s">
        <v>249</v>
      </c>
      <c r="J17" s="317" t="s">
        <v>250</v>
      </c>
      <c r="K17" s="335"/>
      <c r="L17" s="262"/>
    </row>
    <row r="18" spans="1:14" s="135" customFormat="1">
      <c r="A18" s="354" t="str">
        <f>'1-συμβολαια'!A18</f>
        <v>21ο</v>
      </c>
      <c r="B18" s="355" t="str">
        <f>'1-συμβολαια'!C18</f>
        <v>χρήσης ακινήτου ΚΑΝΟΝΙΣΜΟΣ</v>
      </c>
      <c r="C18" s="328">
        <f>'1-συμβολαια'!L18*16%</f>
        <v>62.71200000000001</v>
      </c>
      <c r="D18" s="358">
        <f>'2-δικαιώμ'!N18*16%+'5-αντίγρ'!O18*16%</f>
        <v>2.7279999999999998</v>
      </c>
      <c r="E18" s="358">
        <f t="shared" si="4"/>
        <v>65.440000000000012</v>
      </c>
      <c r="F18" s="358">
        <v>25.58</v>
      </c>
      <c r="G18" s="358">
        <f t="shared" si="5"/>
        <v>39.860000000000014</v>
      </c>
      <c r="H18" s="358">
        <f>'13-ντιΜιΧο'!BZ18*16%</f>
        <v>54.758400000000002</v>
      </c>
      <c r="I18" s="317" t="s">
        <v>249</v>
      </c>
      <c r="J18" s="317" t="s">
        <v>250</v>
      </c>
      <c r="K18" s="335"/>
      <c r="L18" s="262"/>
    </row>
    <row r="19" spans="1:14" ht="15.75">
      <c r="A19" s="679" t="s">
        <v>47</v>
      </c>
      <c r="B19" s="680"/>
      <c r="C19" s="99">
        <f t="shared" ref="C19:H19" si="6">SUM(C3:C18)</f>
        <v>857.40196000000003</v>
      </c>
      <c r="D19" s="99">
        <f t="shared" si="6"/>
        <v>87.219639999999998</v>
      </c>
      <c r="E19" s="99">
        <f t="shared" si="6"/>
        <v>944.62160000000017</v>
      </c>
      <c r="F19" s="99">
        <f t="shared" si="6"/>
        <v>575.5100000000001</v>
      </c>
      <c r="G19" s="99">
        <f t="shared" si="6"/>
        <v>369.11159999999995</v>
      </c>
      <c r="H19" s="99">
        <f t="shared" si="6"/>
        <v>1963.6575999999998</v>
      </c>
    </row>
    <row r="20" spans="1:14" ht="15.75" customHeight="1">
      <c r="I20" s="150"/>
      <c r="J20" s="150"/>
      <c r="K20" s="150"/>
      <c r="L20" s="150"/>
      <c r="M20" s="135"/>
      <c r="N20" s="135"/>
    </row>
    <row r="21" spans="1:14" ht="15.75" customHeight="1">
      <c r="I21" s="151" t="s">
        <v>103</v>
      </c>
      <c r="K21" s="87"/>
      <c r="L21" s="424"/>
      <c r="M21" s="170"/>
      <c r="N21" s="170"/>
    </row>
    <row r="22" spans="1:14" ht="15.75">
      <c r="J22" s="169" t="s">
        <v>247</v>
      </c>
      <c r="K22" s="87"/>
      <c r="L22" s="425"/>
      <c r="M22" s="61"/>
      <c r="N22" s="135"/>
    </row>
    <row r="23" spans="1:14">
      <c r="K23" s="151" t="s">
        <v>248</v>
      </c>
      <c r="L23" s="87"/>
      <c r="M23" s="135"/>
      <c r="N23" s="135"/>
    </row>
    <row r="24" spans="1:14">
      <c r="I24" s="87"/>
      <c r="J24" s="87"/>
      <c r="K24" s="87"/>
    </row>
    <row r="25" spans="1:14">
      <c r="B25" s="222"/>
      <c r="I25" s="87"/>
      <c r="J25" s="87"/>
      <c r="K25" s="87"/>
    </row>
    <row r="26" spans="1:14">
      <c r="B26" s="221"/>
      <c r="K26" s="87"/>
    </row>
    <row r="27" spans="1:14">
      <c r="K27" s="87"/>
    </row>
    <row r="28" spans="1:14">
      <c r="K28" s="87"/>
    </row>
    <row r="29" spans="1:14">
      <c r="I29" s="4"/>
      <c r="J29" s="87"/>
      <c r="K29" s="87"/>
    </row>
    <row r="30" spans="1:14">
      <c r="I30" s="87"/>
      <c r="J30" s="169"/>
      <c r="K30" s="87"/>
    </row>
    <row r="31" spans="1:14">
      <c r="I31" s="87"/>
      <c r="J31" s="87"/>
      <c r="K31" s="4"/>
    </row>
    <row r="32" spans="1:14">
      <c r="K32" s="87"/>
    </row>
    <row r="33" spans="11:11">
      <c r="K33" s="87"/>
    </row>
    <row r="34" spans="11:11">
      <c r="K34" s="87"/>
    </row>
    <row r="35" spans="11:11">
      <c r="K35" s="87"/>
    </row>
    <row r="36" spans="11:11">
      <c r="K36" s="87"/>
    </row>
    <row r="37" spans="11:11">
      <c r="K37" s="87"/>
    </row>
    <row r="38" spans="11:11">
      <c r="K38" s="87"/>
    </row>
    <row r="39" spans="11:11">
      <c r="K39" s="87"/>
    </row>
    <row r="40" spans="11:11">
      <c r="K40" s="87"/>
    </row>
    <row r="41" spans="11:11">
      <c r="K41" s="87"/>
    </row>
    <row r="42" spans="11:11">
      <c r="K42" s="87"/>
    </row>
    <row r="43" spans="11:11">
      <c r="K43" s="87"/>
    </row>
    <row r="44" spans="11:11">
      <c r="K44" s="87"/>
    </row>
    <row r="45" spans="11:11">
      <c r="K45" s="87"/>
    </row>
  </sheetData>
  <mergeCells count="6">
    <mergeCell ref="I1:L1"/>
    <mergeCell ref="A19:B19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28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10.42578125" style="8" bestFit="1" customWidth="1"/>
    <col min="2" max="2" width="93" style="92" bestFit="1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1" s="6" customFormat="1" ht="34.5" customHeight="1">
      <c r="A1" s="663" t="s">
        <v>1</v>
      </c>
      <c r="B1" s="665" t="s">
        <v>0</v>
      </c>
      <c r="C1" s="644" t="s">
        <v>7</v>
      </c>
      <c r="D1" s="806" t="s">
        <v>45</v>
      </c>
      <c r="E1" s="807"/>
      <c r="F1" s="808" t="s">
        <v>404</v>
      </c>
      <c r="G1" s="809"/>
      <c r="H1" s="804" t="s">
        <v>57</v>
      </c>
      <c r="I1" s="801" t="s">
        <v>29</v>
      </c>
      <c r="J1" s="802"/>
      <c r="K1" s="803"/>
    </row>
    <row r="2" spans="1:11" ht="34.5" customHeight="1" thickBot="1">
      <c r="A2" s="664"/>
      <c r="B2" s="666"/>
      <c r="C2" s="645"/>
      <c r="D2" s="374" t="s">
        <v>328</v>
      </c>
      <c r="E2" s="229" t="s">
        <v>91</v>
      </c>
      <c r="F2" s="228" t="s">
        <v>328</v>
      </c>
      <c r="G2" s="227" t="s">
        <v>33</v>
      </c>
      <c r="H2" s="805"/>
      <c r="I2" s="693"/>
      <c r="J2" s="657"/>
      <c r="K2" s="658"/>
    </row>
    <row r="3" spans="1:11" s="350" customFormat="1" ht="14.25">
      <c r="A3" s="576" t="str">
        <f>'1-συμβολαια'!A3</f>
        <v>10ο</v>
      </c>
      <c r="B3" s="426" t="str">
        <f>'1-συμβολαια'!C3</f>
        <v>πληρεξούσιο</v>
      </c>
      <c r="C3" s="351">
        <f>'1-συμβολαια'!D3</f>
        <v>0</v>
      </c>
      <c r="D3" s="352">
        <v>0.5</v>
      </c>
      <c r="E3" s="428"/>
      <c r="F3" s="352">
        <v>0.5</v>
      </c>
      <c r="G3" s="352"/>
      <c r="H3" s="352">
        <v>1</v>
      </c>
      <c r="I3" s="313" t="s">
        <v>139</v>
      </c>
      <c r="J3" s="372"/>
      <c r="K3" s="348"/>
    </row>
    <row r="4" spans="1:11" s="350" customFormat="1" ht="14.25">
      <c r="A4" s="578" t="str">
        <f>'1-συμβολαια'!A4</f>
        <v>11ο</v>
      </c>
      <c r="B4" s="349" t="str">
        <f>'1-συμβολαια'!C4</f>
        <v>γονική [αγροτεμάχιο Θεολόγος -''βαλανίδια'' 16.832,18μ2</v>
      </c>
      <c r="C4" s="351">
        <f>'1-συμβολαια'!D4</f>
        <v>4165.96</v>
      </c>
      <c r="D4" s="352">
        <v>3</v>
      </c>
      <c r="E4" s="352">
        <v>1</v>
      </c>
      <c r="F4" s="352">
        <v>3</v>
      </c>
      <c r="G4" s="352"/>
      <c r="H4" s="352">
        <v>7</v>
      </c>
      <c r="I4" s="313" t="s">
        <v>139</v>
      </c>
      <c r="J4" s="313" t="s">
        <v>134</v>
      </c>
      <c r="K4" s="74"/>
    </row>
    <row r="5" spans="1:11" s="350" customFormat="1" ht="14.25">
      <c r="A5" s="578">
        <f>'1-συμβολαια'!A5</f>
        <v>0</v>
      </c>
      <c r="B5" s="349" t="str">
        <f>'1-συμβολαια'!C5</f>
        <v>χρησικτησία = 1961 πατρός ΔΩΡΕΑ άτυπος</v>
      </c>
      <c r="C5" s="351">
        <f>'1-συμβολαια'!D5</f>
        <v>4165.96</v>
      </c>
      <c r="D5" s="429"/>
      <c r="E5" s="429"/>
      <c r="F5" s="429"/>
      <c r="G5" s="352"/>
      <c r="H5" s="352">
        <v>3</v>
      </c>
      <c r="I5" s="313" t="s">
        <v>139</v>
      </c>
      <c r="J5" s="313" t="s">
        <v>134</v>
      </c>
      <c r="K5" s="74"/>
    </row>
    <row r="6" spans="1:11" s="350" customFormat="1" ht="14.25">
      <c r="A6" s="427" t="str">
        <f>'1-συμβολαια'!A6</f>
        <v>12ο</v>
      </c>
      <c r="B6" s="349" t="str">
        <f>'1-συμβολαια'!C6</f>
        <v>κληρονομιάς ΑΠΟΔΟΧΗ [οικόπεδο 226μ2 ΜΕ 2όροφο οιίκημα 150μ2 &amp; αποθήκη 15μ2 Θεολόγος</v>
      </c>
      <c r="C6" s="351">
        <f>'1-συμβολαια'!D6</f>
        <v>0</v>
      </c>
      <c r="D6" s="352">
        <v>3</v>
      </c>
      <c r="E6" s="352">
        <v>0.5</v>
      </c>
      <c r="F6" s="429"/>
      <c r="G6" s="352"/>
      <c r="H6" s="352">
        <v>3.5</v>
      </c>
      <c r="I6" s="313" t="s">
        <v>139</v>
      </c>
      <c r="J6" s="313" t="s">
        <v>134</v>
      </c>
      <c r="K6" s="74"/>
    </row>
    <row r="7" spans="1:11" s="350" customFormat="1" ht="14.25">
      <c r="A7" s="427">
        <f>'1-συμβολαια'!A7</f>
        <v>0</v>
      </c>
      <c r="B7" s="349" t="str">
        <f>'1-συμβολαια'!C7</f>
        <v>χρησικτησία οικοπέδου &amp; οικήματος = 1950 πατρός ΚΛΗΡΟΝΟΜΙΑ άτυπη</v>
      </c>
      <c r="C7" s="351">
        <f>'1-συμβολαια'!D7</f>
        <v>6629.4</v>
      </c>
      <c r="D7" s="429"/>
      <c r="E7" s="429"/>
      <c r="F7" s="429"/>
      <c r="G7" s="352"/>
      <c r="H7" s="352">
        <v>3</v>
      </c>
      <c r="I7" s="313" t="s">
        <v>139</v>
      </c>
      <c r="J7" s="313" t="s">
        <v>134</v>
      </c>
      <c r="K7" s="74"/>
    </row>
    <row r="8" spans="1:11" s="350" customFormat="1" ht="14.25">
      <c r="A8" s="427">
        <f>'1-συμβολαια'!A8</f>
        <v>0</v>
      </c>
      <c r="B8" s="349" t="str">
        <f>'1-συμβολαια'!C8</f>
        <v>χρησικτησία οικοπέδου &amp; οικήματος = 1950 ΔΙΑΝΟΜΗ άτυπη</v>
      </c>
      <c r="C8" s="351">
        <f>'1-συμβολαια'!D8</f>
        <v>11396.88</v>
      </c>
      <c r="D8" s="429"/>
      <c r="E8" s="429"/>
      <c r="F8" s="429"/>
      <c r="G8" s="352"/>
      <c r="H8" s="352">
        <v>3</v>
      </c>
      <c r="I8" s="313" t="s">
        <v>139</v>
      </c>
      <c r="J8" s="313" t="s">
        <v>134</v>
      </c>
      <c r="K8" s="74"/>
    </row>
    <row r="9" spans="1:11" s="350" customFormat="1" ht="14.25">
      <c r="A9" s="427">
        <f>'1-συμβολαια'!A9</f>
        <v>0</v>
      </c>
      <c r="B9" s="349" t="str">
        <f>'1-συμβολαια'!C9</f>
        <v xml:space="preserve">εξισορόπηση διαφοράς διανεμομένων </v>
      </c>
      <c r="C9" s="351">
        <f>'1-συμβολαια'!D9</f>
        <v>930.96</v>
      </c>
      <c r="D9" s="429"/>
      <c r="E9" s="429"/>
      <c r="F9" s="429"/>
      <c r="G9" s="352"/>
      <c r="H9" s="352">
        <v>3</v>
      </c>
      <c r="I9" s="313" t="s">
        <v>139</v>
      </c>
      <c r="J9" s="313" t="s">
        <v>134</v>
      </c>
      <c r="K9" s="74"/>
    </row>
    <row r="10" spans="1:11" s="350" customFormat="1" ht="14.25">
      <c r="A10" s="577" t="str">
        <f>'1-συμβολαια'!A10</f>
        <v>13ο</v>
      </c>
      <c r="B10" s="349" t="str">
        <f>'1-συμβολαια'!C10</f>
        <v>πληρεξούσιο</v>
      </c>
      <c r="C10" s="351">
        <f>'1-συμβολαια'!D10</f>
        <v>0</v>
      </c>
      <c r="D10" s="429"/>
      <c r="E10" s="429"/>
      <c r="F10" s="352">
        <v>0.5</v>
      </c>
      <c r="G10" s="352"/>
      <c r="H10" s="352">
        <v>0.5</v>
      </c>
      <c r="I10" s="313" t="s">
        <v>139</v>
      </c>
      <c r="J10" s="313" t="s">
        <v>134</v>
      </c>
      <c r="K10" s="74"/>
    </row>
    <row r="11" spans="1:11" s="350" customFormat="1" ht="14.25">
      <c r="A11" s="577" t="str">
        <f>'1-συμβολαια'!A11</f>
        <v>14ο</v>
      </c>
      <c r="B11" s="349" t="str">
        <f>'1-συμβολαια'!C11</f>
        <v>αγοραπωλησία</v>
      </c>
      <c r="C11" s="351">
        <f>'1-συμβολαια'!D11</f>
        <v>20269.88</v>
      </c>
      <c r="D11" s="352">
        <v>3</v>
      </c>
      <c r="E11" s="352">
        <v>1</v>
      </c>
      <c r="F11" s="429"/>
      <c r="G11" s="352"/>
      <c r="H11" s="352">
        <v>4</v>
      </c>
      <c r="I11" s="313" t="s">
        <v>139</v>
      </c>
      <c r="J11" s="313" t="s">
        <v>134</v>
      </c>
      <c r="K11" s="74"/>
    </row>
    <row r="12" spans="1:11" s="350" customFormat="1" ht="14.25">
      <c r="A12" s="577" t="str">
        <f>'1-συμβολαια'!A12</f>
        <v>15ο</v>
      </c>
      <c r="B12" s="349" t="str">
        <f>'1-συμβολαια'!C12</f>
        <v>δωρεά</v>
      </c>
      <c r="C12" s="351">
        <f>'1-συμβολαια'!D12</f>
        <v>21765.16</v>
      </c>
      <c r="D12" s="352">
        <v>3</v>
      </c>
      <c r="E12" s="352">
        <v>1</v>
      </c>
      <c r="F12" s="429"/>
      <c r="G12" s="352"/>
      <c r="H12" s="352">
        <v>4</v>
      </c>
      <c r="I12" s="313" t="s">
        <v>139</v>
      </c>
      <c r="J12" s="313" t="s">
        <v>134</v>
      </c>
      <c r="K12" s="74"/>
    </row>
    <row r="13" spans="1:11" s="350" customFormat="1" ht="14.25">
      <c r="A13" s="577" t="str">
        <f>'1-συμβολαια'!A13</f>
        <v>16ο</v>
      </c>
      <c r="B13" s="349" t="str">
        <f>'1-συμβολαια'!C13</f>
        <v>γονική</v>
      </c>
      <c r="C13" s="351">
        <f>'1-συμβολαια'!D13</f>
        <v>84070.06</v>
      </c>
      <c r="D13" s="352">
        <v>3</v>
      </c>
      <c r="E13" s="352">
        <v>1</v>
      </c>
      <c r="F13" s="429"/>
      <c r="G13" s="352"/>
      <c r="H13" s="352">
        <v>4</v>
      </c>
      <c r="I13" s="313" t="s">
        <v>139</v>
      </c>
      <c r="J13" s="313" t="s">
        <v>134</v>
      </c>
      <c r="K13" s="74"/>
    </row>
    <row r="14" spans="1:11" s="350" customFormat="1" ht="14.25">
      <c r="A14" s="577" t="str">
        <f>'1-συμβολαια'!A14</f>
        <v>17ο</v>
      </c>
      <c r="B14" s="349" t="str">
        <f>'1-συμβολαια'!C14</f>
        <v>δωρεά</v>
      </c>
      <c r="C14" s="351">
        <f>'1-συμβολαια'!D14</f>
        <v>42035.040000000001</v>
      </c>
      <c r="D14" s="352">
        <v>3</v>
      </c>
      <c r="E14" s="352">
        <v>1</v>
      </c>
      <c r="F14" s="429"/>
      <c r="G14" s="352"/>
      <c r="H14" s="352">
        <v>4</v>
      </c>
      <c r="I14" s="313" t="s">
        <v>139</v>
      </c>
      <c r="J14" s="313" t="s">
        <v>134</v>
      </c>
      <c r="K14" s="74"/>
    </row>
    <row r="15" spans="1:11" s="350" customFormat="1" ht="14.25">
      <c r="A15" s="577" t="str">
        <f>'1-συμβολαια'!A15</f>
        <v>18ο</v>
      </c>
      <c r="B15" s="349" t="str">
        <f>'1-συμβολαια'!C15</f>
        <v>γονική</v>
      </c>
      <c r="C15" s="351">
        <f>'1-συμβολαια'!D15</f>
        <v>84070.06</v>
      </c>
      <c r="D15" s="352">
        <v>3</v>
      </c>
      <c r="E15" s="352">
        <v>1</v>
      </c>
      <c r="F15" s="429"/>
      <c r="G15" s="352"/>
      <c r="H15" s="352">
        <v>4</v>
      </c>
      <c r="I15" s="313" t="s">
        <v>139</v>
      </c>
      <c r="J15" s="313" t="s">
        <v>134</v>
      </c>
      <c r="K15" s="74"/>
    </row>
    <row r="16" spans="1:11" s="350" customFormat="1" ht="14.25">
      <c r="A16" s="577" t="str">
        <f>'1-συμβολαια'!A16</f>
        <v>19ο</v>
      </c>
      <c r="B16" s="349" t="str">
        <f>'1-συμβολαια'!C16</f>
        <v>σύσταση δουλείας</v>
      </c>
      <c r="C16" s="351">
        <f>'1-συμβολαια'!D16</f>
        <v>203.07</v>
      </c>
      <c r="D16" s="429"/>
      <c r="E16" s="429"/>
      <c r="F16" s="429"/>
      <c r="G16" s="352"/>
      <c r="H16" s="352">
        <v>4</v>
      </c>
      <c r="I16" s="313" t="s">
        <v>139</v>
      </c>
      <c r="J16" s="313" t="s">
        <v>134</v>
      </c>
      <c r="K16" s="74"/>
    </row>
    <row r="17" spans="1:17" s="350" customFormat="1" ht="14.25">
      <c r="A17" s="577" t="str">
        <f>'1-συμβολαια'!A17</f>
        <v>20ο</v>
      </c>
      <c r="B17" s="349" t="str">
        <f>'1-συμβολαια'!C17</f>
        <v>σύσταση δουλείας</v>
      </c>
      <c r="C17" s="351">
        <f>'1-συμβολαια'!D17</f>
        <v>186.07</v>
      </c>
      <c r="D17" s="429"/>
      <c r="E17" s="429"/>
      <c r="F17" s="429"/>
      <c r="G17" s="352"/>
      <c r="H17" s="352">
        <v>4</v>
      </c>
      <c r="I17" s="313" t="s">
        <v>139</v>
      </c>
      <c r="J17" s="313" t="s">
        <v>134</v>
      </c>
      <c r="K17" s="74"/>
    </row>
    <row r="18" spans="1:17" s="350" customFormat="1" ht="14.25">
      <c r="A18" s="577" t="str">
        <f>'1-συμβολαια'!A18</f>
        <v>21ο</v>
      </c>
      <c r="B18" s="349" t="str">
        <f>'1-συμβολαια'!C18</f>
        <v>χρήσης ακινήτου ΚΑΝΟΝΙΣΜΟΣ</v>
      </c>
      <c r="C18" s="351">
        <f>'1-συμβολαια'!D18</f>
        <v>0</v>
      </c>
      <c r="D18" s="352">
        <v>0.5</v>
      </c>
      <c r="E18" s="352">
        <v>1</v>
      </c>
      <c r="F18" s="429"/>
      <c r="G18" s="429"/>
      <c r="H18" s="352">
        <v>1.5</v>
      </c>
      <c r="I18" s="313" t="s">
        <v>139</v>
      </c>
      <c r="J18" s="313" t="s">
        <v>134</v>
      </c>
      <c r="K18" s="74"/>
    </row>
    <row r="19" spans="1:17" ht="15.75">
      <c r="A19" s="679" t="s">
        <v>56</v>
      </c>
      <c r="B19" s="680"/>
      <c r="C19" s="680"/>
      <c r="D19" s="353">
        <f>SUM(D3:D18)</f>
        <v>22</v>
      </c>
      <c r="E19" s="353">
        <f>SUM(E3:E18)</f>
        <v>7.5</v>
      </c>
      <c r="F19" s="353">
        <f>SUM(F3:F18)</f>
        <v>4</v>
      </c>
      <c r="G19" s="353">
        <f>SUM(G3:G18)</f>
        <v>0</v>
      </c>
      <c r="H19" s="353">
        <f>SUM(H3:H18)</f>
        <v>53.5</v>
      </c>
    </row>
    <row r="20" spans="1:17" ht="15.75">
      <c r="I20" s="125" t="s">
        <v>104</v>
      </c>
      <c r="J20" s="138"/>
      <c r="K20" s="138"/>
      <c r="L20" s="121"/>
      <c r="M20" s="121"/>
      <c r="N20" s="121"/>
      <c r="O20" s="121"/>
      <c r="P20" s="5"/>
    </row>
    <row r="21" spans="1:17" ht="15.75">
      <c r="I21" s="231"/>
      <c r="J21" s="138" t="s">
        <v>105</v>
      </c>
      <c r="K21" s="138"/>
      <c r="L21" s="138"/>
      <c r="M21" s="138"/>
      <c r="N21" s="138"/>
      <c r="O21" s="138"/>
      <c r="P21" s="231"/>
      <c r="Q21" s="230"/>
    </row>
    <row r="22" spans="1:17" ht="15.75">
      <c r="B22" s="222"/>
      <c r="I22" s="231"/>
      <c r="J22" s="231"/>
      <c r="K22" s="232"/>
      <c r="L22" s="232"/>
      <c r="M22" s="232"/>
      <c r="N22" s="232"/>
      <c r="O22" s="232"/>
      <c r="P22" s="232"/>
      <c r="Q22" s="230"/>
    </row>
    <row r="23" spans="1:17" ht="15.75">
      <c r="B23" s="221"/>
      <c r="I23" s="231"/>
      <c r="J23" s="231"/>
      <c r="K23" s="138"/>
      <c r="L23" s="232"/>
      <c r="M23" s="232"/>
      <c r="N23" s="138"/>
      <c r="O23" s="138"/>
      <c r="P23" s="138"/>
      <c r="Q23" s="230"/>
    </row>
    <row r="24" spans="1:17" ht="15.75">
      <c r="I24" s="231"/>
      <c r="J24" s="231"/>
      <c r="K24" s="232"/>
      <c r="L24" s="232"/>
      <c r="M24" s="232"/>
      <c r="N24" s="232"/>
      <c r="O24" s="232"/>
      <c r="P24" s="232"/>
      <c r="Q24" s="230"/>
    </row>
    <row r="25" spans="1:17" ht="15.75">
      <c r="B25" s="130"/>
      <c r="L25" s="126"/>
      <c r="Q25" s="230"/>
    </row>
    <row r="26" spans="1:17" ht="15.75">
      <c r="B26" s="131"/>
      <c r="L26" s="126"/>
    </row>
    <row r="27" spans="1:17" ht="15.75">
      <c r="L27" s="126"/>
    </row>
    <row r="28" spans="1:17" ht="15.75">
      <c r="L28" s="126"/>
    </row>
  </sheetData>
  <mergeCells count="8">
    <mergeCell ref="I1:K2"/>
    <mergeCell ref="H1:H2"/>
    <mergeCell ref="A19:C19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48"/>
  <sheetViews>
    <sheetView workbookViewId="0">
      <pane ySplit="2" topLeftCell="A3" activePane="bottomLeft" state="frozen"/>
      <selection pane="bottomLeft" activeCell="C33" sqref="C33"/>
    </sheetView>
  </sheetViews>
  <sheetFormatPr defaultRowHeight="15"/>
  <cols>
    <col min="1" max="1" width="11.5703125" style="105" bestFit="1" customWidth="1"/>
    <col min="2" max="2" width="76.140625" style="106" bestFit="1" customWidth="1"/>
    <col min="3" max="3" width="14.28515625" style="107" customWidth="1"/>
    <col min="4" max="4" width="14.1406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19" width="7.140625" style="104" customWidth="1"/>
    <col min="20" max="20" width="9.140625" style="104" customWidth="1"/>
    <col min="21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663" t="s">
        <v>1</v>
      </c>
      <c r="B1" s="797" t="s">
        <v>0</v>
      </c>
      <c r="C1" s="796" t="s">
        <v>146</v>
      </c>
      <c r="D1" s="796"/>
      <c r="E1" s="796"/>
      <c r="F1" s="810" t="s">
        <v>29</v>
      </c>
      <c r="G1" s="811"/>
      <c r="H1" s="811"/>
      <c r="I1" s="811"/>
      <c r="J1" s="811"/>
      <c r="K1" s="811"/>
      <c r="L1" s="811"/>
      <c r="M1" s="811"/>
      <c r="N1" s="811"/>
      <c r="O1" s="811"/>
      <c r="P1" s="811"/>
      <c r="Q1" s="811"/>
      <c r="R1" s="811"/>
      <c r="S1" s="811"/>
      <c r="T1" s="811"/>
      <c r="U1" s="811"/>
      <c r="V1" s="812"/>
    </row>
    <row r="2" spans="1:22" ht="16.5" thickBot="1">
      <c r="A2" s="664"/>
      <c r="B2" s="798"/>
      <c r="C2" s="103" t="s">
        <v>23</v>
      </c>
      <c r="D2" s="108" t="s">
        <v>9</v>
      </c>
      <c r="E2" s="110" t="s">
        <v>33</v>
      </c>
      <c r="F2" s="272">
        <v>61</v>
      </c>
      <c r="G2" s="272">
        <v>62</v>
      </c>
      <c r="H2" s="272">
        <v>63</v>
      </c>
      <c r="I2" s="273">
        <v>64</v>
      </c>
      <c r="J2" s="274" t="s">
        <v>428</v>
      </c>
      <c r="K2" s="274" t="s">
        <v>429</v>
      </c>
      <c r="L2" s="274" t="s">
        <v>430</v>
      </c>
      <c r="M2" s="275">
        <v>65</v>
      </c>
      <c r="N2" s="276" t="s">
        <v>431</v>
      </c>
      <c r="O2" s="276" t="s">
        <v>432</v>
      </c>
      <c r="P2" s="276" t="s">
        <v>433</v>
      </c>
      <c r="Q2" s="276" t="s">
        <v>541</v>
      </c>
      <c r="R2" s="276" t="s">
        <v>434</v>
      </c>
      <c r="S2" s="272" t="s">
        <v>435</v>
      </c>
      <c r="T2" s="171">
        <v>67</v>
      </c>
      <c r="U2" s="171"/>
      <c r="V2" s="271"/>
    </row>
    <row r="3" spans="1:22" s="135" customFormat="1" ht="15.75" thickBot="1">
      <c r="A3" s="468" t="str">
        <f>'1-συμβολαια'!A3</f>
        <v>10ο</v>
      </c>
      <c r="B3" s="513" t="str">
        <f>'1-συμβολαια'!C3</f>
        <v>πληρεξούσιο</v>
      </c>
      <c r="C3" s="465"/>
      <c r="D3" s="465"/>
      <c r="E3" s="465"/>
      <c r="F3" s="580"/>
      <c r="G3" s="580"/>
      <c r="H3" s="581"/>
      <c r="I3" s="582"/>
      <c r="J3" s="582"/>
      <c r="K3" s="582"/>
      <c r="L3" s="582"/>
      <c r="M3" s="582"/>
      <c r="N3" s="580"/>
      <c r="O3" s="580"/>
      <c r="P3" s="580"/>
      <c r="Q3" s="580"/>
      <c r="R3" s="580"/>
      <c r="S3" s="580"/>
      <c r="T3" s="580"/>
      <c r="U3" s="580"/>
      <c r="V3" s="380"/>
    </row>
    <row r="4" spans="1:22" s="135" customFormat="1">
      <c r="A4" s="514" t="str">
        <f>'1-συμβολαια'!A4</f>
        <v>11ο</v>
      </c>
      <c r="B4" s="579" t="str">
        <f>'1-συμβολαια'!C4</f>
        <v>γονική [αγροτεμάχιο Θεολόγος -''βαλανίδια'' 16.832,18μ2</v>
      </c>
      <c r="C4" s="358"/>
      <c r="D4" s="358"/>
      <c r="E4" s="358"/>
      <c r="F4" s="380"/>
      <c r="G4" s="380"/>
      <c r="H4" s="381"/>
      <c r="I4" s="382"/>
      <c r="J4" s="382"/>
      <c r="K4" s="382"/>
      <c r="L4" s="382"/>
      <c r="M4" s="382"/>
      <c r="N4" s="380"/>
      <c r="O4" s="380"/>
      <c r="P4" s="380"/>
      <c r="Q4" s="380"/>
      <c r="R4" s="380"/>
      <c r="S4" s="380"/>
      <c r="T4" s="380"/>
      <c r="U4" s="380"/>
      <c r="V4" s="329"/>
    </row>
    <row r="5" spans="1:22" s="135" customFormat="1" ht="15.75" thickBot="1">
      <c r="A5" s="515">
        <f>'1-συμβολαια'!A5</f>
        <v>0</v>
      </c>
      <c r="B5" s="417" t="str">
        <f>'1-συμβολαια'!C5</f>
        <v>χρησικτησία = 1961 πατρός ΔΩΡΕΑ άτυπος</v>
      </c>
      <c r="C5" s="394">
        <f>'1-συμβολαια'!L5</f>
        <v>97.210660000000004</v>
      </c>
      <c r="D5" s="394">
        <f>'1-συμβολαια'!N5</f>
        <v>0</v>
      </c>
      <c r="E5" s="394">
        <f t="shared" ref="E5" si="0">C5-D5</f>
        <v>97.210660000000004</v>
      </c>
      <c r="F5" s="583">
        <v>61</v>
      </c>
      <c r="G5" s="583">
        <v>62</v>
      </c>
      <c r="H5" s="584"/>
      <c r="I5" s="585"/>
      <c r="J5" s="585"/>
      <c r="K5" s="585"/>
      <c r="L5" s="585"/>
      <c r="M5" s="585"/>
      <c r="N5" s="583"/>
      <c r="O5" s="583"/>
      <c r="P5" s="583"/>
      <c r="Q5" s="583"/>
      <c r="R5" s="583"/>
      <c r="S5" s="583"/>
      <c r="T5" s="583"/>
      <c r="U5" s="329"/>
      <c r="V5" s="329"/>
    </row>
    <row r="6" spans="1:22" s="135" customFormat="1">
      <c r="A6" s="415" t="str">
        <f>'1-συμβολαια'!A6</f>
        <v>12ο</v>
      </c>
      <c r="B6" s="419" t="str">
        <f>'1-συμβολαια'!C6</f>
        <v>κληρονομιάς ΑΠΟΔΟΧΗ [οικόπεδο 226μ2 ΜΕ 2όροφο οιίκημα 150μ2 &amp; αποθήκη 15μ2 Θεολόγος</v>
      </c>
      <c r="C6" s="358"/>
      <c r="D6" s="358"/>
      <c r="E6" s="358"/>
      <c r="F6" s="380"/>
      <c r="G6" s="380"/>
      <c r="H6" s="381"/>
      <c r="I6" s="382"/>
      <c r="J6" s="382"/>
      <c r="K6" s="382"/>
      <c r="L6" s="382"/>
      <c r="M6" s="382"/>
      <c r="N6" s="380"/>
      <c r="O6" s="380"/>
      <c r="P6" s="380"/>
      <c r="Q6" s="380"/>
      <c r="R6" s="380"/>
      <c r="S6" s="380"/>
      <c r="T6" s="380"/>
      <c r="U6" s="329"/>
      <c r="V6" s="329"/>
    </row>
    <row r="7" spans="1:22" s="135" customFormat="1">
      <c r="A7" s="414">
        <f>'1-συμβολαια'!A7</f>
        <v>0</v>
      </c>
      <c r="B7" s="355" t="str">
        <f>'1-συμβολαια'!C7</f>
        <v>χρησικτησία οικοπέδου &amp; οικήματος = 1950 πατρός ΚΛΗΡΟΝΟΜΙΑ άτυπη</v>
      </c>
      <c r="C7" s="328">
        <f>'1-συμβολαια'!L7</f>
        <v>106.1499</v>
      </c>
      <c r="D7" s="358">
        <f>'1-συμβολαια'!N7</f>
        <v>0</v>
      </c>
      <c r="E7" s="358">
        <f t="shared" ref="E7:E9" si="1">C7-D7</f>
        <v>106.1499</v>
      </c>
      <c r="F7" s="329">
        <v>61</v>
      </c>
      <c r="G7" s="329">
        <v>62</v>
      </c>
      <c r="H7" s="356"/>
      <c r="I7" s="357"/>
      <c r="J7" s="357"/>
      <c r="K7" s="357"/>
      <c r="L7" s="357"/>
      <c r="M7" s="357"/>
      <c r="N7" s="329"/>
      <c r="O7" s="329"/>
      <c r="P7" s="329"/>
      <c r="Q7" s="329"/>
      <c r="R7" s="329"/>
      <c r="S7" s="329"/>
      <c r="T7" s="329"/>
      <c r="U7" s="329"/>
      <c r="V7" s="329"/>
    </row>
    <row r="8" spans="1:22" s="135" customFormat="1">
      <c r="A8" s="414">
        <f>'1-συμβολαια'!A8</f>
        <v>0</v>
      </c>
      <c r="B8" s="355" t="str">
        <f>'1-συμβολαια'!C8</f>
        <v>χρησικτησία οικοπέδου &amp; οικήματος = 1950 ΔΙΑΝΟΜΗ άτυπη</v>
      </c>
      <c r="C8" s="328">
        <f>'1-συμβολαια'!L8</f>
        <v>196.67347999999998</v>
      </c>
      <c r="D8" s="358">
        <f>'1-συμβολαια'!N8</f>
        <v>0</v>
      </c>
      <c r="E8" s="358">
        <f t="shared" si="1"/>
        <v>196.67347999999998</v>
      </c>
      <c r="F8" s="329">
        <v>61</v>
      </c>
      <c r="G8" s="329">
        <v>62</v>
      </c>
      <c r="H8" s="356"/>
      <c r="I8" s="357"/>
      <c r="J8" s="357"/>
      <c r="K8" s="357"/>
      <c r="L8" s="357"/>
      <c r="M8" s="357"/>
      <c r="N8" s="329"/>
      <c r="O8" s="329"/>
      <c r="P8" s="329"/>
      <c r="Q8" s="329"/>
      <c r="R8" s="329"/>
      <c r="S8" s="329"/>
      <c r="T8" s="329"/>
      <c r="U8" s="329"/>
      <c r="V8" s="329"/>
    </row>
    <row r="9" spans="1:22" s="135" customFormat="1" ht="15.75" thickBot="1">
      <c r="A9" s="418">
        <f>'1-συμβολαια'!A9</f>
        <v>0</v>
      </c>
      <c r="B9" s="417" t="str">
        <f>'1-συμβολαια'!C9</f>
        <v xml:space="preserve">εξισορόπηση διαφοράς διανεμομένων </v>
      </c>
      <c r="C9" s="394">
        <f>'1-συμβολαια'!L9</f>
        <v>57.713160000000002</v>
      </c>
      <c r="D9" s="394">
        <f>'1-συμβολαια'!N9</f>
        <v>0</v>
      </c>
      <c r="E9" s="394">
        <f t="shared" si="1"/>
        <v>57.713160000000002</v>
      </c>
      <c r="F9" s="583">
        <v>61</v>
      </c>
      <c r="G9" s="583">
        <v>62</v>
      </c>
      <c r="H9" s="584"/>
      <c r="I9" s="585"/>
      <c r="J9" s="585"/>
      <c r="K9" s="585"/>
      <c r="L9" s="585"/>
      <c r="M9" s="585"/>
      <c r="N9" s="583"/>
      <c r="O9" s="583"/>
      <c r="P9" s="583"/>
      <c r="Q9" s="583"/>
      <c r="R9" s="583"/>
      <c r="S9" s="583"/>
      <c r="T9" s="583"/>
      <c r="U9" s="583"/>
      <c r="V9" s="329"/>
    </row>
    <row r="10" spans="1:22" s="135" customFormat="1">
      <c r="A10" s="397" t="str">
        <f>'1-συμβολαια'!A10</f>
        <v>13ο</v>
      </c>
      <c r="B10" s="416" t="str">
        <f>'1-συμβολαια'!C10</f>
        <v>πληρεξούσιο</v>
      </c>
      <c r="C10" s="358"/>
      <c r="D10" s="358"/>
      <c r="E10" s="358"/>
      <c r="F10" s="380"/>
      <c r="G10" s="380"/>
      <c r="H10" s="381"/>
      <c r="I10" s="382"/>
      <c r="J10" s="382"/>
      <c r="K10" s="382"/>
      <c r="L10" s="382"/>
      <c r="M10" s="382"/>
      <c r="N10" s="380"/>
      <c r="O10" s="380"/>
      <c r="P10" s="380"/>
      <c r="Q10" s="380"/>
      <c r="R10" s="380"/>
      <c r="S10" s="380"/>
      <c r="T10" s="380"/>
      <c r="U10" s="380"/>
      <c r="V10" s="329"/>
    </row>
    <row r="11" spans="1:22" s="135" customFormat="1">
      <c r="A11" s="354" t="str">
        <f>'1-συμβολαια'!A11</f>
        <v>14ο</v>
      </c>
      <c r="B11" s="355" t="str">
        <f>'1-συμβολαια'!C11</f>
        <v>αγοραπωλησία</v>
      </c>
      <c r="C11" s="328"/>
      <c r="D11" s="358"/>
      <c r="E11" s="358"/>
      <c r="F11" s="329"/>
      <c r="G11" s="329"/>
      <c r="H11" s="356"/>
      <c r="I11" s="357"/>
      <c r="J11" s="357"/>
      <c r="K11" s="357"/>
      <c r="L11" s="357"/>
      <c r="M11" s="357"/>
      <c r="N11" s="329"/>
      <c r="O11" s="329"/>
      <c r="P11" s="329"/>
      <c r="Q11" s="329"/>
      <c r="R11" s="329"/>
      <c r="S11" s="329"/>
      <c r="T11" s="329"/>
      <c r="U11" s="329"/>
      <c r="V11" s="329"/>
    </row>
    <row r="12" spans="1:22" s="135" customFormat="1">
      <c r="A12" s="354" t="str">
        <f>'1-συμβολαια'!A12</f>
        <v>15ο</v>
      </c>
      <c r="B12" s="355" t="str">
        <f>'1-συμβολαια'!C12</f>
        <v>δωρεά</v>
      </c>
      <c r="C12" s="328"/>
      <c r="D12" s="358"/>
      <c r="E12" s="358"/>
      <c r="F12" s="329"/>
      <c r="G12" s="329"/>
      <c r="H12" s="356"/>
      <c r="I12" s="357"/>
      <c r="J12" s="357"/>
      <c r="K12" s="357"/>
      <c r="L12" s="357"/>
      <c r="M12" s="357"/>
      <c r="N12" s="329"/>
      <c r="O12" s="329"/>
      <c r="P12" s="329"/>
      <c r="Q12" s="329"/>
      <c r="R12" s="329"/>
      <c r="S12" s="329"/>
      <c r="T12" s="329"/>
      <c r="U12" s="329"/>
      <c r="V12" s="329"/>
    </row>
    <row r="13" spans="1:22" s="135" customFormat="1">
      <c r="A13" s="354" t="str">
        <f>'1-συμβολαια'!A13</f>
        <v>16ο</v>
      </c>
      <c r="B13" s="355" t="str">
        <f>'1-συμβολαια'!C13</f>
        <v>γονική</v>
      </c>
      <c r="C13" s="328"/>
      <c r="D13" s="358"/>
      <c r="E13" s="358"/>
      <c r="F13" s="329"/>
      <c r="G13" s="329"/>
      <c r="H13" s="356"/>
      <c r="I13" s="357"/>
      <c r="J13" s="357"/>
      <c r="K13" s="357"/>
      <c r="L13" s="357"/>
      <c r="M13" s="357"/>
      <c r="N13" s="329"/>
      <c r="O13" s="329"/>
      <c r="P13" s="329"/>
      <c r="Q13" s="329"/>
      <c r="R13" s="329"/>
      <c r="S13" s="329"/>
      <c r="T13" s="329"/>
      <c r="U13" s="329"/>
      <c r="V13" s="329"/>
    </row>
    <row r="14" spans="1:22" s="135" customFormat="1">
      <c r="A14" s="354" t="str">
        <f>'1-συμβολαια'!A14</f>
        <v>17ο</v>
      </c>
      <c r="B14" s="355" t="str">
        <f>'1-συμβολαια'!C14</f>
        <v>δωρεά</v>
      </c>
      <c r="C14" s="328"/>
      <c r="D14" s="358"/>
      <c r="E14" s="358"/>
      <c r="F14" s="329"/>
      <c r="G14" s="329"/>
      <c r="H14" s="356"/>
      <c r="I14" s="357"/>
      <c r="J14" s="357"/>
      <c r="K14" s="357"/>
      <c r="L14" s="357"/>
      <c r="M14" s="357"/>
      <c r="N14" s="329"/>
      <c r="O14" s="329"/>
      <c r="P14" s="329"/>
      <c r="Q14" s="329"/>
      <c r="R14" s="329"/>
      <c r="S14" s="329"/>
      <c r="T14" s="329"/>
      <c r="U14" s="329"/>
      <c r="V14" s="329"/>
    </row>
    <row r="15" spans="1:22" s="135" customFormat="1">
      <c r="A15" s="354" t="str">
        <f>'1-συμβολαια'!A15</f>
        <v>18ο</v>
      </c>
      <c r="B15" s="355" t="str">
        <f>'1-συμβολαια'!C15</f>
        <v>γονική</v>
      </c>
      <c r="C15" s="328"/>
      <c r="D15" s="358"/>
      <c r="E15" s="358"/>
      <c r="F15" s="329"/>
      <c r="G15" s="329"/>
      <c r="H15" s="356"/>
      <c r="I15" s="357"/>
      <c r="J15" s="357"/>
      <c r="K15" s="357"/>
      <c r="L15" s="357"/>
      <c r="M15" s="357"/>
      <c r="N15" s="329"/>
      <c r="O15" s="329"/>
      <c r="P15" s="329"/>
      <c r="Q15" s="329"/>
      <c r="R15" s="329"/>
      <c r="S15" s="329"/>
      <c r="T15" s="329"/>
      <c r="U15" s="329"/>
      <c r="V15" s="329"/>
    </row>
    <row r="16" spans="1:22" s="135" customFormat="1">
      <c r="A16" s="354" t="str">
        <f>'1-συμβολαια'!A16</f>
        <v>19ο</v>
      </c>
      <c r="B16" s="355" t="str">
        <f>'1-συμβολαια'!C16</f>
        <v>σύσταση δουλείας</v>
      </c>
      <c r="C16" s="328"/>
      <c r="D16" s="358"/>
      <c r="E16" s="358"/>
      <c r="F16" s="329"/>
      <c r="G16" s="329"/>
      <c r="H16" s="356"/>
      <c r="I16" s="357"/>
      <c r="J16" s="357"/>
      <c r="K16" s="357"/>
      <c r="L16" s="357"/>
      <c r="M16" s="357"/>
      <c r="N16" s="329"/>
      <c r="O16" s="329"/>
      <c r="P16" s="329"/>
      <c r="Q16" s="329"/>
      <c r="R16" s="329"/>
      <c r="S16" s="329"/>
      <c r="T16" s="329"/>
      <c r="U16" s="329"/>
      <c r="V16" s="329"/>
    </row>
    <row r="17" spans="1:22" s="135" customFormat="1">
      <c r="A17" s="354" t="str">
        <f>'1-συμβολαια'!A17</f>
        <v>20ο</v>
      </c>
      <c r="B17" s="355" t="str">
        <f>'1-συμβολαια'!C17</f>
        <v>σύσταση δουλείας</v>
      </c>
      <c r="C17" s="328"/>
      <c r="D17" s="358"/>
      <c r="E17" s="358"/>
      <c r="F17" s="329"/>
      <c r="G17" s="329"/>
      <c r="H17" s="356"/>
      <c r="I17" s="357"/>
      <c r="J17" s="357"/>
      <c r="K17" s="357"/>
      <c r="L17" s="357"/>
      <c r="M17" s="357"/>
      <c r="N17" s="329"/>
      <c r="O17" s="329"/>
      <c r="P17" s="329"/>
      <c r="Q17" s="329"/>
      <c r="R17" s="329"/>
      <c r="S17" s="329"/>
      <c r="T17" s="329"/>
      <c r="U17" s="329"/>
      <c r="V17" s="329"/>
    </row>
    <row r="18" spans="1:22" s="135" customFormat="1">
      <c r="A18" s="354" t="str">
        <f>'1-συμβολαια'!A18</f>
        <v>21ο</v>
      </c>
      <c r="B18" s="355" t="str">
        <f>'1-συμβολαια'!C18</f>
        <v>χρήσης ακινήτου ΚΑΝΟΝΙΣΜΟΣ</v>
      </c>
      <c r="C18" s="328"/>
      <c r="D18" s="358"/>
      <c r="E18" s="358"/>
      <c r="F18" s="329"/>
      <c r="G18" s="329"/>
      <c r="H18" s="356"/>
      <c r="I18" s="357"/>
      <c r="J18" s="357"/>
      <c r="K18" s="357"/>
      <c r="L18" s="357"/>
      <c r="M18" s="357"/>
      <c r="N18" s="329"/>
      <c r="O18" s="329"/>
      <c r="P18" s="329"/>
      <c r="Q18" s="329"/>
      <c r="R18" s="329"/>
      <c r="S18" s="329"/>
      <c r="T18" s="329"/>
      <c r="U18" s="329"/>
      <c r="V18" s="329"/>
    </row>
    <row r="19" spans="1:22" ht="15.75">
      <c r="A19" s="679" t="s">
        <v>47</v>
      </c>
      <c r="B19" s="680"/>
      <c r="C19" s="99">
        <f>SUM(C3:C18)</f>
        <v>457.74720000000002</v>
      </c>
      <c r="D19" s="99">
        <f>SUM(D3:D18)</f>
        <v>0</v>
      </c>
      <c r="E19" s="99">
        <f>SUM(E3:E18)</f>
        <v>457.74720000000002</v>
      </c>
      <c r="I19" s="69">
        <f t="shared" ref="I19:T19" si="2">SUM(I3:I18)</f>
        <v>0</v>
      </c>
      <c r="J19" s="69">
        <f t="shared" si="2"/>
        <v>0</v>
      </c>
      <c r="K19" s="69">
        <f t="shared" si="2"/>
        <v>0</v>
      </c>
      <c r="L19" s="69">
        <f t="shared" si="2"/>
        <v>0</v>
      </c>
      <c r="M19" s="69">
        <f t="shared" si="2"/>
        <v>0</v>
      </c>
      <c r="N19" s="69">
        <f t="shared" si="2"/>
        <v>0</v>
      </c>
      <c r="O19" s="69">
        <f t="shared" si="2"/>
        <v>0</v>
      </c>
      <c r="P19" s="69">
        <f t="shared" si="2"/>
        <v>0</v>
      </c>
      <c r="Q19" s="69">
        <f t="shared" si="2"/>
        <v>0</v>
      </c>
      <c r="R19" s="69">
        <f t="shared" si="2"/>
        <v>0</v>
      </c>
      <c r="S19" s="69">
        <f t="shared" si="2"/>
        <v>0</v>
      </c>
      <c r="T19" s="69">
        <f t="shared" si="2"/>
        <v>0</v>
      </c>
    </row>
    <row r="20" spans="1:22"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</row>
    <row r="21" spans="1:22" ht="15.75">
      <c r="F21" s="155" t="s">
        <v>252</v>
      </c>
      <c r="G21" s="125"/>
      <c r="H21" s="277"/>
      <c r="I21" s="277"/>
      <c r="J21" s="277"/>
      <c r="K21" s="277"/>
      <c r="L21" s="277"/>
      <c r="M21" s="277"/>
      <c r="N21" s="277"/>
      <c r="O21" s="277"/>
      <c r="P21" s="277"/>
      <c r="Q21" s="277"/>
      <c r="R21" s="277"/>
      <c r="S21" s="277"/>
      <c r="T21" s="277"/>
      <c r="U21" s="277"/>
      <c r="V21" s="278"/>
    </row>
    <row r="22" spans="1:22" ht="15.75">
      <c r="F22" s="279"/>
      <c r="G22" s="138" t="s">
        <v>253</v>
      </c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  <c r="V22" s="278"/>
    </row>
    <row r="23" spans="1:22" ht="15.75">
      <c r="F23" s="278"/>
      <c r="G23" s="278"/>
      <c r="H23" s="155" t="s">
        <v>254</v>
      </c>
      <c r="I23" s="125"/>
      <c r="J23" s="125"/>
      <c r="K23" s="125"/>
      <c r="L23" s="277"/>
      <c r="M23" s="277"/>
      <c r="N23" s="277"/>
      <c r="O23" s="277"/>
      <c r="P23" s="277"/>
      <c r="Q23" s="277"/>
      <c r="R23" s="277"/>
      <c r="S23" s="277"/>
      <c r="T23" s="277"/>
      <c r="U23" s="277"/>
      <c r="V23" s="278"/>
    </row>
    <row r="24" spans="1:22" ht="15.75">
      <c r="F24" s="278"/>
      <c r="G24" s="279"/>
      <c r="H24" s="278"/>
      <c r="I24" s="138" t="s">
        <v>275</v>
      </c>
      <c r="J24" s="138"/>
      <c r="K24" s="138"/>
      <c r="L24" s="280"/>
      <c r="M24" s="280"/>
      <c r="N24" s="280"/>
      <c r="O24" s="280"/>
      <c r="P24" s="280"/>
      <c r="Q24" s="280"/>
      <c r="R24" s="280"/>
      <c r="S24" s="280"/>
      <c r="T24" s="280"/>
      <c r="U24" s="277"/>
      <c r="V24" s="278"/>
    </row>
    <row r="25" spans="1:22" ht="15.75">
      <c r="F25" s="278"/>
      <c r="G25" s="279"/>
      <c r="H25" s="278"/>
      <c r="I25" s="138"/>
      <c r="J25" s="155" t="s">
        <v>436</v>
      </c>
      <c r="K25" s="138"/>
      <c r="L25" s="280"/>
      <c r="M25" s="280"/>
      <c r="N25" s="280"/>
      <c r="O25" s="280"/>
      <c r="P25" s="280"/>
      <c r="Q25" s="280"/>
      <c r="R25" s="280"/>
      <c r="S25" s="280"/>
      <c r="T25" s="280"/>
      <c r="U25" s="277"/>
      <c r="V25" s="278"/>
    </row>
    <row r="26" spans="1:22" ht="15.75">
      <c r="F26" s="278"/>
      <c r="G26" s="279"/>
      <c r="H26" s="278"/>
      <c r="I26" s="138"/>
      <c r="J26" s="138"/>
      <c r="K26" s="138" t="s">
        <v>437</v>
      </c>
      <c r="L26" s="280"/>
      <c r="M26" s="280"/>
      <c r="N26" s="280"/>
      <c r="O26" s="280"/>
      <c r="P26" s="280"/>
      <c r="Q26" s="280"/>
      <c r="R26" s="280"/>
      <c r="S26" s="280"/>
      <c r="T26" s="280"/>
      <c r="U26" s="277"/>
      <c r="V26" s="278"/>
    </row>
    <row r="27" spans="1:22" ht="15.75">
      <c r="F27" s="278"/>
      <c r="G27" s="278"/>
      <c r="H27" s="277"/>
      <c r="I27" s="280"/>
      <c r="J27" s="280"/>
      <c r="K27" s="280"/>
      <c r="L27" s="155" t="s">
        <v>438</v>
      </c>
      <c r="M27" s="280"/>
      <c r="N27" s="280"/>
      <c r="O27" s="280"/>
      <c r="P27" s="280"/>
      <c r="Q27" s="280"/>
      <c r="R27" s="280"/>
      <c r="S27" s="280"/>
      <c r="T27" s="280"/>
      <c r="U27" s="277"/>
      <c r="V27" s="278"/>
    </row>
    <row r="28" spans="1:22" ht="15.75">
      <c r="C28" s="107">
        <f>SUM(C20:C21)</f>
        <v>0</v>
      </c>
      <c r="F28" s="277"/>
      <c r="G28" s="277"/>
      <c r="H28" s="277"/>
      <c r="I28" s="280"/>
      <c r="J28" s="280"/>
      <c r="K28" s="280"/>
      <c r="L28" s="280"/>
      <c r="M28" s="138" t="s">
        <v>276</v>
      </c>
      <c r="N28" s="280"/>
      <c r="O28" s="280"/>
      <c r="P28" s="280"/>
      <c r="Q28" s="280"/>
      <c r="R28" s="280"/>
      <c r="S28" s="280"/>
      <c r="T28" s="280"/>
      <c r="U28" s="277"/>
      <c r="V28" s="278"/>
    </row>
    <row r="29" spans="1:22" ht="15.75">
      <c r="F29" s="278"/>
      <c r="G29" s="278"/>
      <c r="H29" s="277"/>
      <c r="I29" s="280"/>
      <c r="J29" s="280"/>
      <c r="K29" s="280"/>
      <c r="L29" s="280"/>
      <c r="M29" s="280"/>
      <c r="N29" s="155" t="s">
        <v>439</v>
      </c>
      <c r="O29" s="280"/>
      <c r="P29" s="280"/>
      <c r="Q29" s="280"/>
      <c r="R29" s="280"/>
      <c r="S29" s="280"/>
      <c r="T29" s="280"/>
      <c r="U29" s="277"/>
      <c r="V29" s="278"/>
    </row>
    <row r="30" spans="1:22" ht="15.75">
      <c r="F30" s="278"/>
      <c r="G30" s="278"/>
      <c r="H30" s="277"/>
      <c r="I30" s="280"/>
      <c r="J30" s="280"/>
      <c r="K30" s="280"/>
      <c r="L30" s="280"/>
      <c r="M30" s="280"/>
      <c r="N30" s="280"/>
      <c r="O30" s="138" t="s">
        <v>440</v>
      </c>
      <c r="P30" s="280"/>
      <c r="Q30" s="280"/>
      <c r="R30" s="280"/>
      <c r="S30" s="280"/>
      <c r="T30" s="280"/>
      <c r="U30" s="277"/>
      <c r="V30" s="278"/>
    </row>
    <row r="31" spans="1:22" ht="15.75">
      <c r="F31" s="278"/>
      <c r="G31" s="278"/>
      <c r="H31" s="277"/>
      <c r="I31" s="280"/>
      <c r="J31" s="280"/>
      <c r="K31" s="280"/>
      <c r="L31" s="280"/>
      <c r="M31" s="280"/>
      <c r="N31" s="280"/>
      <c r="O31" s="280"/>
      <c r="P31" s="155" t="s">
        <v>277</v>
      </c>
      <c r="Q31" s="280"/>
      <c r="R31" s="280"/>
      <c r="S31" s="280"/>
      <c r="T31" s="280"/>
      <c r="U31" s="277"/>
      <c r="V31" s="278"/>
    </row>
    <row r="32" spans="1:22" ht="15.75">
      <c r="F32" s="278"/>
      <c r="G32" s="278"/>
      <c r="H32" s="277"/>
      <c r="I32" s="280"/>
      <c r="J32" s="280"/>
      <c r="K32" s="280"/>
      <c r="L32" s="280"/>
      <c r="M32" s="280"/>
      <c r="N32" s="280"/>
      <c r="O32" s="280"/>
      <c r="P32" s="280"/>
      <c r="Q32" s="138" t="s">
        <v>278</v>
      </c>
      <c r="R32" s="138"/>
      <c r="S32" s="138"/>
      <c r="T32" s="280"/>
      <c r="U32" s="277"/>
      <c r="V32" s="278"/>
    </row>
    <row r="33" spans="2:22" ht="15.75">
      <c r="F33" s="278"/>
      <c r="G33" s="278"/>
      <c r="H33" s="277"/>
      <c r="I33" s="280"/>
      <c r="J33" s="280"/>
      <c r="K33" s="280"/>
      <c r="L33" s="280"/>
      <c r="M33" s="280"/>
      <c r="N33" s="280"/>
      <c r="O33" s="280"/>
      <c r="P33" s="280"/>
      <c r="Q33" s="280"/>
      <c r="R33" s="155" t="s">
        <v>279</v>
      </c>
      <c r="S33" s="280"/>
      <c r="T33" s="280"/>
      <c r="U33" s="277"/>
      <c r="V33" s="278"/>
    </row>
    <row r="34" spans="2:22" ht="15.75">
      <c r="F34" s="278"/>
      <c r="G34" s="278"/>
      <c r="H34" s="277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138" t="s">
        <v>280</v>
      </c>
      <c r="T34" s="280"/>
      <c r="U34" s="277"/>
      <c r="V34" s="278"/>
    </row>
    <row r="35" spans="2:22" ht="15.75">
      <c r="F35" s="278"/>
      <c r="G35" s="278"/>
      <c r="H35" s="277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155" t="s">
        <v>441</v>
      </c>
      <c r="U35" s="277"/>
      <c r="V35" s="278"/>
    </row>
    <row r="36" spans="2:22">
      <c r="F36" s="278"/>
      <c r="G36" s="278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  <c r="V36" s="278"/>
    </row>
    <row r="37" spans="2:22" ht="15.75" customHeight="1">
      <c r="B37" s="222"/>
      <c r="C37" s="303"/>
      <c r="D37" s="305"/>
      <c r="E37" s="304"/>
      <c r="F37" s="304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</row>
    <row r="38" spans="2:22" ht="15.75" customHeight="1">
      <c r="B38" s="221"/>
      <c r="C38" s="111"/>
      <c r="D38" s="305"/>
      <c r="E38" s="304"/>
      <c r="F38" s="304"/>
      <c r="H38" s="119"/>
      <c r="I38" s="119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</row>
    <row r="39" spans="2:22"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</row>
    <row r="40" spans="2:22">
      <c r="H40" s="119"/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</row>
    <row r="41" spans="2:22"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</row>
    <row r="42" spans="2:22">
      <c r="D42" s="305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</row>
    <row r="43" spans="2:22"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</row>
    <row r="44" spans="2:22"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</row>
    <row r="45" spans="2:22"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</row>
    <row r="46" spans="2:22"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</row>
    <row r="47" spans="2:22">
      <c r="H47" s="119"/>
      <c r="I47" s="119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</row>
    <row r="48" spans="2:22"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</row>
  </sheetData>
  <mergeCells count="5">
    <mergeCell ref="A1:A2"/>
    <mergeCell ref="B1:B2"/>
    <mergeCell ref="C1:E1"/>
    <mergeCell ref="A19:B19"/>
    <mergeCell ref="F1:V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124"/>
  <sheetViews>
    <sheetView workbookViewId="0">
      <pane ySplit="2" topLeftCell="A6" activePane="bottomLeft" state="frozen"/>
      <selection pane="bottomLeft" activeCell="C22" sqref="C22:D129"/>
    </sheetView>
  </sheetViews>
  <sheetFormatPr defaultRowHeight="11.25"/>
  <cols>
    <col min="1" max="2" width="9" style="8" customWidth="1"/>
    <col min="3" max="3" width="69.42578125" style="141" bestFit="1" customWidth="1"/>
    <col min="4" max="4" width="9.42578125" style="2" bestFit="1" customWidth="1"/>
    <col min="5" max="5" width="9.42578125" style="2" customWidth="1"/>
    <col min="6" max="6" width="9.42578125" style="82" customWidth="1"/>
    <col min="7" max="7" width="8.140625" style="82" customWidth="1"/>
    <col min="8" max="8" width="10.7109375" style="82" customWidth="1"/>
    <col min="9" max="9" width="9.42578125" style="82" customWidth="1"/>
    <col min="10" max="10" width="7.85546875" style="82" customWidth="1"/>
    <col min="11" max="11" width="9" style="82" customWidth="1"/>
    <col min="12" max="12" width="8" style="82" customWidth="1"/>
    <col min="13" max="19" width="7.140625" style="82" customWidth="1"/>
    <col min="20" max="20" width="8.28515625" style="82" customWidth="1"/>
    <col min="21" max="24" width="7.140625" style="82" customWidth="1"/>
    <col min="25" max="25" width="8.42578125" style="82" customWidth="1"/>
    <col min="26" max="26" width="8.140625" style="82" customWidth="1"/>
    <col min="27" max="27" width="7.140625" style="82" customWidth="1"/>
    <col min="28" max="28" width="6.140625" style="82" customWidth="1"/>
    <col min="29" max="29" width="7.140625" style="82" customWidth="1"/>
    <col min="30" max="32" width="6.140625" style="82" customWidth="1"/>
    <col min="33" max="33" width="10" style="82" customWidth="1"/>
    <col min="34" max="34" width="10.42578125" style="82" customWidth="1"/>
    <col min="35" max="35" width="16.28515625" style="82" customWidth="1"/>
    <col min="36" max="36" width="8.85546875" style="82" customWidth="1"/>
    <col min="37" max="37" width="7.140625" style="82" customWidth="1"/>
    <col min="38" max="38" width="8.140625" style="82" customWidth="1"/>
    <col min="39" max="39" width="9.85546875" style="82" customWidth="1"/>
    <col min="40" max="40" width="7" style="82" customWidth="1"/>
    <col min="41" max="41" width="8.28515625" style="82" customWidth="1"/>
    <col min="42" max="42" width="7.85546875" style="82" customWidth="1"/>
    <col min="43" max="43" width="9.140625" style="82" customWidth="1"/>
    <col min="44" max="44" width="8.42578125" style="82" customWidth="1"/>
    <col min="45" max="46" width="7.85546875" style="82" customWidth="1"/>
    <col min="47" max="49" width="6.140625" style="82" customWidth="1"/>
    <col min="50" max="50" width="8.28515625" style="82" customWidth="1"/>
    <col min="51" max="51" width="7.85546875" style="82" customWidth="1"/>
    <col min="52" max="52" width="6.140625" style="82" customWidth="1"/>
    <col min="53" max="53" width="8.5703125" style="82" customWidth="1"/>
    <col min="54" max="54" width="6.140625" style="82" customWidth="1"/>
    <col min="55" max="55" width="7.7109375" style="82" customWidth="1"/>
    <col min="56" max="56" width="8" style="82" customWidth="1"/>
    <col min="57" max="58" width="6.140625" style="82" customWidth="1"/>
    <col min="59" max="59" width="9.42578125" style="82" customWidth="1"/>
    <col min="60" max="60" width="8.5703125" style="82" customWidth="1"/>
    <col min="61" max="66" width="6.140625" style="82" customWidth="1"/>
    <col min="67" max="67" width="7.85546875" style="82" customWidth="1"/>
    <col min="68" max="68" width="8.5703125" style="82" customWidth="1"/>
    <col min="69" max="69" width="7" style="82" customWidth="1"/>
    <col min="70" max="70" width="6.140625" style="82" customWidth="1"/>
    <col min="71" max="77" width="10.5703125" style="82" customWidth="1"/>
    <col min="78" max="79" width="12.42578125" style="82" customWidth="1"/>
    <col min="80" max="276" width="9.140625" style="3"/>
    <col min="277" max="277" width="9" style="3" bestFit="1" customWidth="1"/>
    <col min="278" max="278" width="9.85546875" style="3" bestFit="1" customWidth="1"/>
    <col min="279" max="279" width="9.140625" style="3" bestFit="1" customWidth="1"/>
    <col min="280" max="280" width="16" style="3" bestFit="1" customWidth="1"/>
    <col min="281" max="281" width="9" style="3" bestFit="1" customWidth="1"/>
    <col min="282" max="282" width="7.85546875" style="3" bestFit="1" customWidth="1"/>
    <col min="283" max="283" width="11.7109375" style="3" bestFit="1" customWidth="1"/>
    <col min="284" max="284" width="14.28515625" style="3" customWidth="1"/>
    <col min="285" max="285" width="11.7109375" style="3" bestFit="1" customWidth="1"/>
    <col min="286" max="286" width="14.140625" style="3" bestFit="1" customWidth="1"/>
    <col min="287" max="287" width="16.7109375" style="3" customWidth="1"/>
    <col min="288" max="288" width="16.5703125" style="3" customWidth="1"/>
    <col min="289" max="290" width="7.85546875" style="3" bestFit="1" customWidth="1"/>
    <col min="291" max="291" width="8" style="3" bestFit="1" customWidth="1"/>
    <col min="292" max="293" width="7.85546875" style="3" bestFit="1" customWidth="1"/>
    <col min="294" max="294" width="9.7109375" style="3" customWidth="1"/>
    <col min="295" max="295" width="12.85546875" style="3" customWidth="1"/>
    <col min="296" max="532" width="9.140625" style="3"/>
    <col min="533" max="533" width="9" style="3" bestFit="1" customWidth="1"/>
    <col min="534" max="534" width="9.85546875" style="3" bestFit="1" customWidth="1"/>
    <col min="535" max="535" width="9.140625" style="3" bestFit="1" customWidth="1"/>
    <col min="536" max="536" width="16" style="3" bestFit="1" customWidth="1"/>
    <col min="537" max="537" width="9" style="3" bestFit="1" customWidth="1"/>
    <col min="538" max="538" width="7.85546875" style="3" bestFit="1" customWidth="1"/>
    <col min="539" max="539" width="11.7109375" style="3" bestFit="1" customWidth="1"/>
    <col min="540" max="540" width="14.28515625" style="3" customWidth="1"/>
    <col min="541" max="541" width="11.7109375" style="3" bestFit="1" customWidth="1"/>
    <col min="542" max="542" width="14.140625" style="3" bestFit="1" customWidth="1"/>
    <col min="543" max="543" width="16.7109375" style="3" customWidth="1"/>
    <col min="544" max="544" width="16.5703125" style="3" customWidth="1"/>
    <col min="545" max="546" width="7.85546875" style="3" bestFit="1" customWidth="1"/>
    <col min="547" max="547" width="8" style="3" bestFit="1" customWidth="1"/>
    <col min="548" max="549" width="7.85546875" style="3" bestFit="1" customWidth="1"/>
    <col min="550" max="550" width="9.7109375" style="3" customWidth="1"/>
    <col min="551" max="551" width="12.85546875" style="3" customWidth="1"/>
    <col min="552" max="788" width="9.140625" style="3"/>
    <col min="789" max="789" width="9" style="3" bestFit="1" customWidth="1"/>
    <col min="790" max="790" width="9.85546875" style="3" bestFit="1" customWidth="1"/>
    <col min="791" max="791" width="9.140625" style="3" bestFit="1" customWidth="1"/>
    <col min="792" max="792" width="16" style="3" bestFit="1" customWidth="1"/>
    <col min="793" max="793" width="9" style="3" bestFit="1" customWidth="1"/>
    <col min="794" max="794" width="7.85546875" style="3" bestFit="1" customWidth="1"/>
    <col min="795" max="795" width="11.7109375" style="3" bestFit="1" customWidth="1"/>
    <col min="796" max="796" width="14.28515625" style="3" customWidth="1"/>
    <col min="797" max="797" width="11.7109375" style="3" bestFit="1" customWidth="1"/>
    <col min="798" max="798" width="14.140625" style="3" bestFit="1" customWidth="1"/>
    <col min="799" max="799" width="16.7109375" style="3" customWidth="1"/>
    <col min="800" max="800" width="16.5703125" style="3" customWidth="1"/>
    <col min="801" max="802" width="7.85546875" style="3" bestFit="1" customWidth="1"/>
    <col min="803" max="803" width="8" style="3" bestFit="1" customWidth="1"/>
    <col min="804" max="805" width="7.85546875" style="3" bestFit="1" customWidth="1"/>
    <col min="806" max="806" width="9.7109375" style="3" customWidth="1"/>
    <col min="807" max="807" width="12.85546875" style="3" customWidth="1"/>
    <col min="808" max="1044" width="9.140625" style="3"/>
    <col min="1045" max="1045" width="9" style="3" bestFit="1" customWidth="1"/>
    <col min="1046" max="1046" width="9.85546875" style="3" bestFit="1" customWidth="1"/>
    <col min="1047" max="1047" width="9.140625" style="3" bestFit="1" customWidth="1"/>
    <col min="1048" max="1048" width="16" style="3" bestFit="1" customWidth="1"/>
    <col min="1049" max="1049" width="9" style="3" bestFit="1" customWidth="1"/>
    <col min="1050" max="1050" width="7.85546875" style="3" bestFit="1" customWidth="1"/>
    <col min="1051" max="1051" width="11.7109375" style="3" bestFit="1" customWidth="1"/>
    <col min="1052" max="1052" width="14.28515625" style="3" customWidth="1"/>
    <col min="1053" max="1053" width="11.7109375" style="3" bestFit="1" customWidth="1"/>
    <col min="1054" max="1054" width="14.140625" style="3" bestFit="1" customWidth="1"/>
    <col min="1055" max="1055" width="16.7109375" style="3" customWidth="1"/>
    <col min="1056" max="1056" width="16.5703125" style="3" customWidth="1"/>
    <col min="1057" max="1058" width="7.85546875" style="3" bestFit="1" customWidth="1"/>
    <col min="1059" max="1059" width="8" style="3" bestFit="1" customWidth="1"/>
    <col min="1060" max="1061" width="7.85546875" style="3" bestFit="1" customWidth="1"/>
    <col min="1062" max="1062" width="9.7109375" style="3" customWidth="1"/>
    <col min="1063" max="1063" width="12.85546875" style="3" customWidth="1"/>
    <col min="1064" max="1300" width="9.140625" style="3"/>
    <col min="1301" max="1301" width="9" style="3" bestFit="1" customWidth="1"/>
    <col min="1302" max="1302" width="9.85546875" style="3" bestFit="1" customWidth="1"/>
    <col min="1303" max="1303" width="9.140625" style="3" bestFit="1" customWidth="1"/>
    <col min="1304" max="1304" width="16" style="3" bestFit="1" customWidth="1"/>
    <col min="1305" max="1305" width="9" style="3" bestFit="1" customWidth="1"/>
    <col min="1306" max="1306" width="7.85546875" style="3" bestFit="1" customWidth="1"/>
    <col min="1307" max="1307" width="11.7109375" style="3" bestFit="1" customWidth="1"/>
    <col min="1308" max="1308" width="14.28515625" style="3" customWidth="1"/>
    <col min="1309" max="1309" width="11.7109375" style="3" bestFit="1" customWidth="1"/>
    <col min="1310" max="1310" width="14.140625" style="3" bestFit="1" customWidth="1"/>
    <col min="1311" max="1311" width="16.7109375" style="3" customWidth="1"/>
    <col min="1312" max="1312" width="16.5703125" style="3" customWidth="1"/>
    <col min="1313" max="1314" width="7.85546875" style="3" bestFit="1" customWidth="1"/>
    <col min="1315" max="1315" width="8" style="3" bestFit="1" customWidth="1"/>
    <col min="1316" max="1317" width="7.85546875" style="3" bestFit="1" customWidth="1"/>
    <col min="1318" max="1318" width="9.7109375" style="3" customWidth="1"/>
    <col min="1319" max="1319" width="12.85546875" style="3" customWidth="1"/>
    <col min="1320" max="1556" width="9.140625" style="3"/>
    <col min="1557" max="1557" width="9" style="3" bestFit="1" customWidth="1"/>
    <col min="1558" max="1558" width="9.85546875" style="3" bestFit="1" customWidth="1"/>
    <col min="1559" max="1559" width="9.140625" style="3" bestFit="1" customWidth="1"/>
    <col min="1560" max="1560" width="16" style="3" bestFit="1" customWidth="1"/>
    <col min="1561" max="1561" width="9" style="3" bestFit="1" customWidth="1"/>
    <col min="1562" max="1562" width="7.85546875" style="3" bestFit="1" customWidth="1"/>
    <col min="1563" max="1563" width="11.7109375" style="3" bestFit="1" customWidth="1"/>
    <col min="1564" max="1564" width="14.28515625" style="3" customWidth="1"/>
    <col min="1565" max="1565" width="11.7109375" style="3" bestFit="1" customWidth="1"/>
    <col min="1566" max="1566" width="14.140625" style="3" bestFit="1" customWidth="1"/>
    <col min="1567" max="1567" width="16.7109375" style="3" customWidth="1"/>
    <col min="1568" max="1568" width="16.5703125" style="3" customWidth="1"/>
    <col min="1569" max="1570" width="7.85546875" style="3" bestFit="1" customWidth="1"/>
    <col min="1571" max="1571" width="8" style="3" bestFit="1" customWidth="1"/>
    <col min="1572" max="1573" width="7.85546875" style="3" bestFit="1" customWidth="1"/>
    <col min="1574" max="1574" width="9.7109375" style="3" customWidth="1"/>
    <col min="1575" max="1575" width="12.85546875" style="3" customWidth="1"/>
    <col min="1576" max="1812" width="9.140625" style="3"/>
    <col min="1813" max="1813" width="9" style="3" bestFit="1" customWidth="1"/>
    <col min="1814" max="1814" width="9.85546875" style="3" bestFit="1" customWidth="1"/>
    <col min="1815" max="1815" width="9.140625" style="3" bestFit="1" customWidth="1"/>
    <col min="1816" max="1816" width="16" style="3" bestFit="1" customWidth="1"/>
    <col min="1817" max="1817" width="9" style="3" bestFit="1" customWidth="1"/>
    <col min="1818" max="1818" width="7.85546875" style="3" bestFit="1" customWidth="1"/>
    <col min="1819" max="1819" width="11.7109375" style="3" bestFit="1" customWidth="1"/>
    <col min="1820" max="1820" width="14.28515625" style="3" customWidth="1"/>
    <col min="1821" max="1821" width="11.7109375" style="3" bestFit="1" customWidth="1"/>
    <col min="1822" max="1822" width="14.140625" style="3" bestFit="1" customWidth="1"/>
    <col min="1823" max="1823" width="16.7109375" style="3" customWidth="1"/>
    <col min="1824" max="1824" width="16.5703125" style="3" customWidth="1"/>
    <col min="1825" max="1826" width="7.85546875" style="3" bestFit="1" customWidth="1"/>
    <col min="1827" max="1827" width="8" style="3" bestFit="1" customWidth="1"/>
    <col min="1828" max="1829" width="7.85546875" style="3" bestFit="1" customWidth="1"/>
    <col min="1830" max="1830" width="9.7109375" style="3" customWidth="1"/>
    <col min="1831" max="1831" width="12.85546875" style="3" customWidth="1"/>
    <col min="1832" max="2068" width="9.140625" style="3"/>
    <col min="2069" max="2069" width="9" style="3" bestFit="1" customWidth="1"/>
    <col min="2070" max="2070" width="9.85546875" style="3" bestFit="1" customWidth="1"/>
    <col min="2071" max="2071" width="9.140625" style="3" bestFit="1" customWidth="1"/>
    <col min="2072" max="2072" width="16" style="3" bestFit="1" customWidth="1"/>
    <col min="2073" max="2073" width="9" style="3" bestFit="1" customWidth="1"/>
    <col min="2074" max="2074" width="7.85546875" style="3" bestFit="1" customWidth="1"/>
    <col min="2075" max="2075" width="11.7109375" style="3" bestFit="1" customWidth="1"/>
    <col min="2076" max="2076" width="14.28515625" style="3" customWidth="1"/>
    <col min="2077" max="2077" width="11.7109375" style="3" bestFit="1" customWidth="1"/>
    <col min="2078" max="2078" width="14.140625" style="3" bestFit="1" customWidth="1"/>
    <col min="2079" max="2079" width="16.7109375" style="3" customWidth="1"/>
    <col min="2080" max="2080" width="16.5703125" style="3" customWidth="1"/>
    <col min="2081" max="2082" width="7.85546875" style="3" bestFit="1" customWidth="1"/>
    <col min="2083" max="2083" width="8" style="3" bestFit="1" customWidth="1"/>
    <col min="2084" max="2085" width="7.85546875" style="3" bestFit="1" customWidth="1"/>
    <col min="2086" max="2086" width="9.7109375" style="3" customWidth="1"/>
    <col min="2087" max="2087" width="12.85546875" style="3" customWidth="1"/>
    <col min="2088" max="2324" width="9.140625" style="3"/>
    <col min="2325" max="2325" width="9" style="3" bestFit="1" customWidth="1"/>
    <col min="2326" max="2326" width="9.85546875" style="3" bestFit="1" customWidth="1"/>
    <col min="2327" max="2327" width="9.140625" style="3" bestFit="1" customWidth="1"/>
    <col min="2328" max="2328" width="16" style="3" bestFit="1" customWidth="1"/>
    <col min="2329" max="2329" width="9" style="3" bestFit="1" customWidth="1"/>
    <col min="2330" max="2330" width="7.85546875" style="3" bestFit="1" customWidth="1"/>
    <col min="2331" max="2331" width="11.7109375" style="3" bestFit="1" customWidth="1"/>
    <col min="2332" max="2332" width="14.28515625" style="3" customWidth="1"/>
    <col min="2333" max="2333" width="11.7109375" style="3" bestFit="1" customWidth="1"/>
    <col min="2334" max="2334" width="14.140625" style="3" bestFit="1" customWidth="1"/>
    <col min="2335" max="2335" width="16.7109375" style="3" customWidth="1"/>
    <col min="2336" max="2336" width="16.5703125" style="3" customWidth="1"/>
    <col min="2337" max="2338" width="7.85546875" style="3" bestFit="1" customWidth="1"/>
    <col min="2339" max="2339" width="8" style="3" bestFit="1" customWidth="1"/>
    <col min="2340" max="2341" width="7.85546875" style="3" bestFit="1" customWidth="1"/>
    <col min="2342" max="2342" width="9.7109375" style="3" customWidth="1"/>
    <col min="2343" max="2343" width="12.85546875" style="3" customWidth="1"/>
    <col min="2344" max="2580" width="9.140625" style="3"/>
    <col min="2581" max="2581" width="9" style="3" bestFit="1" customWidth="1"/>
    <col min="2582" max="2582" width="9.85546875" style="3" bestFit="1" customWidth="1"/>
    <col min="2583" max="2583" width="9.140625" style="3" bestFit="1" customWidth="1"/>
    <col min="2584" max="2584" width="16" style="3" bestFit="1" customWidth="1"/>
    <col min="2585" max="2585" width="9" style="3" bestFit="1" customWidth="1"/>
    <col min="2586" max="2586" width="7.85546875" style="3" bestFit="1" customWidth="1"/>
    <col min="2587" max="2587" width="11.7109375" style="3" bestFit="1" customWidth="1"/>
    <col min="2588" max="2588" width="14.28515625" style="3" customWidth="1"/>
    <col min="2589" max="2589" width="11.7109375" style="3" bestFit="1" customWidth="1"/>
    <col min="2590" max="2590" width="14.140625" style="3" bestFit="1" customWidth="1"/>
    <col min="2591" max="2591" width="16.7109375" style="3" customWidth="1"/>
    <col min="2592" max="2592" width="16.5703125" style="3" customWidth="1"/>
    <col min="2593" max="2594" width="7.85546875" style="3" bestFit="1" customWidth="1"/>
    <col min="2595" max="2595" width="8" style="3" bestFit="1" customWidth="1"/>
    <col min="2596" max="2597" width="7.85546875" style="3" bestFit="1" customWidth="1"/>
    <col min="2598" max="2598" width="9.7109375" style="3" customWidth="1"/>
    <col min="2599" max="2599" width="12.85546875" style="3" customWidth="1"/>
    <col min="2600" max="2836" width="9.140625" style="3"/>
    <col min="2837" max="2837" width="9" style="3" bestFit="1" customWidth="1"/>
    <col min="2838" max="2838" width="9.85546875" style="3" bestFit="1" customWidth="1"/>
    <col min="2839" max="2839" width="9.140625" style="3" bestFit="1" customWidth="1"/>
    <col min="2840" max="2840" width="16" style="3" bestFit="1" customWidth="1"/>
    <col min="2841" max="2841" width="9" style="3" bestFit="1" customWidth="1"/>
    <col min="2842" max="2842" width="7.85546875" style="3" bestFit="1" customWidth="1"/>
    <col min="2843" max="2843" width="11.7109375" style="3" bestFit="1" customWidth="1"/>
    <col min="2844" max="2844" width="14.28515625" style="3" customWidth="1"/>
    <col min="2845" max="2845" width="11.7109375" style="3" bestFit="1" customWidth="1"/>
    <col min="2846" max="2846" width="14.140625" style="3" bestFit="1" customWidth="1"/>
    <col min="2847" max="2847" width="16.7109375" style="3" customWidth="1"/>
    <col min="2848" max="2848" width="16.5703125" style="3" customWidth="1"/>
    <col min="2849" max="2850" width="7.85546875" style="3" bestFit="1" customWidth="1"/>
    <col min="2851" max="2851" width="8" style="3" bestFit="1" customWidth="1"/>
    <col min="2852" max="2853" width="7.85546875" style="3" bestFit="1" customWidth="1"/>
    <col min="2854" max="2854" width="9.7109375" style="3" customWidth="1"/>
    <col min="2855" max="2855" width="12.85546875" style="3" customWidth="1"/>
    <col min="2856" max="3092" width="9.140625" style="3"/>
    <col min="3093" max="3093" width="9" style="3" bestFit="1" customWidth="1"/>
    <col min="3094" max="3094" width="9.85546875" style="3" bestFit="1" customWidth="1"/>
    <col min="3095" max="3095" width="9.140625" style="3" bestFit="1" customWidth="1"/>
    <col min="3096" max="3096" width="16" style="3" bestFit="1" customWidth="1"/>
    <col min="3097" max="3097" width="9" style="3" bestFit="1" customWidth="1"/>
    <col min="3098" max="3098" width="7.85546875" style="3" bestFit="1" customWidth="1"/>
    <col min="3099" max="3099" width="11.7109375" style="3" bestFit="1" customWidth="1"/>
    <col min="3100" max="3100" width="14.28515625" style="3" customWidth="1"/>
    <col min="3101" max="3101" width="11.7109375" style="3" bestFit="1" customWidth="1"/>
    <col min="3102" max="3102" width="14.140625" style="3" bestFit="1" customWidth="1"/>
    <col min="3103" max="3103" width="16.7109375" style="3" customWidth="1"/>
    <col min="3104" max="3104" width="16.5703125" style="3" customWidth="1"/>
    <col min="3105" max="3106" width="7.85546875" style="3" bestFit="1" customWidth="1"/>
    <col min="3107" max="3107" width="8" style="3" bestFit="1" customWidth="1"/>
    <col min="3108" max="3109" width="7.85546875" style="3" bestFit="1" customWidth="1"/>
    <col min="3110" max="3110" width="9.7109375" style="3" customWidth="1"/>
    <col min="3111" max="3111" width="12.85546875" style="3" customWidth="1"/>
    <col min="3112" max="3348" width="9.140625" style="3"/>
    <col min="3349" max="3349" width="9" style="3" bestFit="1" customWidth="1"/>
    <col min="3350" max="3350" width="9.85546875" style="3" bestFit="1" customWidth="1"/>
    <col min="3351" max="3351" width="9.140625" style="3" bestFit="1" customWidth="1"/>
    <col min="3352" max="3352" width="16" style="3" bestFit="1" customWidth="1"/>
    <col min="3353" max="3353" width="9" style="3" bestFit="1" customWidth="1"/>
    <col min="3354" max="3354" width="7.85546875" style="3" bestFit="1" customWidth="1"/>
    <col min="3355" max="3355" width="11.7109375" style="3" bestFit="1" customWidth="1"/>
    <col min="3356" max="3356" width="14.28515625" style="3" customWidth="1"/>
    <col min="3357" max="3357" width="11.7109375" style="3" bestFit="1" customWidth="1"/>
    <col min="3358" max="3358" width="14.140625" style="3" bestFit="1" customWidth="1"/>
    <col min="3359" max="3359" width="16.7109375" style="3" customWidth="1"/>
    <col min="3360" max="3360" width="16.5703125" style="3" customWidth="1"/>
    <col min="3361" max="3362" width="7.85546875" style="3" bestFit="1" customWidth="1"/>
    <col min="3363" max="3363" width="8" style="3" bestFit="1" customWidth="1"/>
    <col min="3364" max="3365" width="7.85546875" style="3" bestFit="1" customWidth="1"/>
    <col min="3366" max="3366" width="9.7109375" style="3" customWidth="1"/>
    <col min="3367" max="3367" width="12.85546875" style="3" customWidth="1"/>
    <col min="3368" max="3604" width="9.140625" style="3"/>
    <col min="3605" max="3605" width="9" style="3" bestFit="1" customWidth="1"/>
    <col min="3606" max="3606" width="9.85546875" style="3" bestFit="1" customWidth="1"/>
    <col min="3607" max="3607" width="9.140625" style="3" bestFit="1" customWidth="1"/>
    <col min="3608" max="3608" width="16" style="3" bestFit="1" customWidth="1"/>
    <col min="3609" max="3609" width="9" style="3" bestFit="1" customWidth="1"/>
    <col min="3610" max="3610" width="7.85546875" style="3" bestFit="1" customWidth="1"/>
    <col min="3611" max="3611" width="11.7109375" style="3" bestFit="1" customWidth="1"/>
    <col min="3612" max="3612" width="14.28515625" style="3" customWidth="1"/>
    <col min="3613" max="3613" width="11.7109375" style="3" bestFit="1" customWidth="1"/>
    <col min="3614" max="3614" width="14.140625" style="3" bestFit="1" customWidth="1"/>
    <col min="3615" max="3615" width="16.7109375" style="3" customWidth="1"/>
    <col min="3616" max="3616" width="16.5703125" style="3" customWidth="1"/>
    <col min="3617" max="3618" width="7.85546875" style="3" bestFit="1" customWidth="1"/>
    <col min="3619" max="3619" width="8" style="3" bestFit="1" customWidth="1"/>
    <col min="3620" max="3621" width="7.85546875" style="3" bestFit="1" customWidth="1"/>
    <col min="3622" max="3622" width="9.7109375" style="3" customWidth="1"/>
    <col min="3623" max="3623" width="12.85546875" style="3" customWidth="1"/>
    <col min="3624" max="3860" width="9.140625" style="3"/>
    <col min="3861" max="3861" width="9" style="3" bestFit="1" customWidth="1"/>
    <col min="3862" max="3862" width="9.85546875" style="3" bestFit="1" customWidth="1"/>
    <col min="3863" max="3863" width="9.140625" style="3" bestFit="1" customWidth="1"/>
    <col min="3864" max="3864" width="16" style="3" bestFit="1" customWidth="1"/>
    <col min="3865" max="3865" width="9" style="3" bestFit="1" customWidth="1"/>
    <col min="3866" max="3866" width="7.85546875" style="3" bestFit="1" customWidth="1"/>
    <col min="3867" max="3867" width="11.7109375" style="3" bestFit="1" customWidth="1"/>
    <col min="3868" max="3868" width="14.28515625" style="3" customWidth="1"/>
    <col min="3869" max="3869" width="11.7109375" style="3" bestFit="1" customWidth="1"/>
    <col min="3870" max="3870" width="14.140625" style="3" bestFit="1" customWidth="1"/>
    <col min="3871" max="3871" width="16.7109375" style="3" customWidth="1"/>
    <col min="3872" max="3872" width="16.5703125" style="3" customWidth="1"/>
    <col min="3873" max="3874" width="7.85546875" style="3" bestFit="1" customWidth="1"/>
    <col min="3875" max="3875" width="8" style="3" bestFit="1" customWidth="1"/>
    <col min="3876" max="3877" width="7.85546875" style="3" bestFit="1" customWidth="1"/>
    <col min="3878" max="3878" width="9.7109375" style="3" customWidth="1"/>
    <col min="3879" max="3879" width="12.85546875" style="3" customWidth="1"/>
    <col min="3880" max="4116" width="9.140625" style="3"/>
    <col min="4117" max="4117" width="9" style="3" bestFit="1" customWidth="1"/>
    <col min="4118" max="4118" width="9.85546875" style="3" bestFit="1" customWidth="1"/>
    <col min="4119" max="4119" width="9.140625" style="3" bestFit="1" customWidth="1"/>
    <col min="4120" max="4120" width="16" style="3" bestFit="1" customWidth="1"/>
    <col min="4121" max="4121" width="9" style="3" bestFit="1" customWidth="1"/>
    <col min="4122" max="4122" width="7.85546875" style="3" bestFit="1" customWidth="1"/>
    <col min="4123" max="4123" width="11.7109375" style="3" bestFit="1" customWidth="1"/>
    <col min="4124" max="4124" width="14.28515625" style="3" customWidth="1"/>
    <col min="4125" max="4125" width="11.7109375" style="3" bestFit="1" customWidth="1"/>
    <col min="4126" max="4126" width="14.140625" style="3" bestFit="1" customWidth="1"/>
    <col min="4127" max="4127" width="16.7109375" style="3" customWidth="1"/>
    <col min="4128" max="4128" width="16.5703125" style="3" customWidth="1"/>
    <col min="4129" max="4130" width="7.85546875" style="3" bestFit="1" customWidth="1"/>
    <col min="4131" max="4131" width="8" style="3" bestFit="1" customWidth="1"/>
    <col min="4132" max="4133" width="7.85546875" style="3" bestFit="1" customWidth="1"/>
    <col min="4134" max="4134" width="9.7109375" style="3" customWidth="1"/>
    <col min="4135" max="4135" width="12.85546875" style="3" customWidth="1"/>
    <col min="4136" max="4372" width="9.140625" style="3"/>
    <col min="4373" max="4373" width="9" style="3" bestFit="1" customWidth="1"/>
    <col min="4374" max="4374" width="9.85546875" style="3" bestFit="1" customWidth="1"/>
    <col min="4375" max="4375" width="9.140625" style="3" bestFit="1" customWidth="1"/>
    <col min="4376" max="4376" width="16" style="3" bestFit="1" customWidth="1"/>
    <col min="4377" max="4377" width="9" style="3" bestFit="1" customWidth="1"/>
    <col min="4378" max="4378" width="7.85546875" style="3" bestFit="1" customWidth="1"/>
    <col min="4379" max="4379" width="11.7109375" style="3" bestFit="1" customWidth="1"/>
    <col min="4380" max="4380" width="14.28515625" style="3" customWidth="1"/>
    <col min="4381" max="4381" width="11.7109375" style="3" bestFit="1" customWidth="1"/>
    <col min="4382" max="4382" width="14.140625" style="3" bestFit="1" customWidth="1"/>
    <col min="4383" max="4383" width="16.7109375" style="3" customWidth="1"/>
    <col min="4384" max="4384" width="16.5703125" style="3" customWidth="1"/>
    <col min="4385" max="4386" width="7.85546875" style="3" bestFit="1" customWidth="1"/>
    <col min="4387" max="4387" width="8" style="3" bestFit="1" customWidth="1"/>
    <col min="4388" max="4389" width="7.85546875" style="3" bestFit="1" customWidth="1"/>
    <col min="4390" max="4390" width="9.7109375" style="3" customWidth="1"/>
    <col min="4391" max="4391" width="12.85546875" style="3" customWidth="1"/>
    <col min="4392" max="4628" width="9.140625" style="3"/>
    <col min="4629" max="4629" width="9" style="3" bestFit="1" customWidth="1"/>
    <col min="4630" max="4630" width="9.85546875" style="3" bestFit="1" customWidth="1"/>
    <col min="4631" max="4631" width="9.140625" style="3" bestFit="1" customWidth="1"/>
    <col min="4632" max="4632" width="16" style="3" bestFit="1" customWidth="1"/>
    <col min="4633" max="4633" width="9" style="3" bestFit="1" customWidth="1"/>
    <col min="4634" max="4634" width="7.85546875" style="3" bestFit="1" customWidth="1"/>
    <col min="4635" max="4635" width="11.7109375" style="3" bestFit="1" customWidth="1"/>
    <col min="4636" max="4636" width="14.28515625" style="3" customWidth="1"/>
    <col min="4637" max="4637" width="11.7109375" style="3" bestFit="1" customWidth="1"/>
    <col min="4638" max="4638" width="14.140625" style="3" bestFit="1" customWidth="1"/>
    <col min="4639" max="4639" width="16.7109375" style="3" customWidth="1"/>
    <col min="4640" max="4640" width="16.5703125" style="3" customWidth="1"/>
    <col min="4641" max="4642" width="7.85546875" style="3" bestFit="1" customWidth="1"/>
    <col min="4643" max="4643" width="8" style="3" bestFit="1" customWidth="1"/>
    <col min="4644" max="4645" width="7.85546875" style="3" bestFit="1" customWidth="1"/>
    <col min="4646" max="4646" width="9.7109375" style="3" customWidth="1"/>
    <col min="4647" max="4647" width="12.85546875" style="3" customWidth="1"/>
    <col min="4648" max="4884" width="9.140625" style="3"/>
    <col min="4885" max="4885" width="9" style="3" bestFit="1" customWidth="1"/>
    <col min="4886" max="4886" width="9.85546875" style="3" bestFit="1" customWidth="1"/>
    <col min="4887" max="4887" width="9.140625" style="3" bestFit="1" customWidth="1"/>
    <col min="4888" max="4888" width="16" style="3" bestFit="1" customWidth="1"/>
    <col min="4889" max="4889" width="9" style="3" bestFit="1" customWidth="1"/>
    <col min="4890" max="4890" width="7.85546875" style="3" bestFit="1" customWidth="1"/>
    <col min="4891" max="4891" width="11.7109375" style="3" bestFit="1" customWidth="1"/>
    <col min="4892" max="4892" width="14.28515625" style="3" customWidth="1"/>
    <col min="4893" max="4893" width="11.7109375" style="3" bestFit="1" customWidth="1"/>
    <col min="4894" max="4894" width="14.140625" style="3" bestFit="1" customWidth="1"/>
    <col min="4895" max="4895" width="16.7109375" style="3" customWidth="1"/>
    <col min="4896" max="4896" width="16.5703125" style="3" customWidth="1"/>
    <col min="4897" max="4898" width="7.85546875" style="3" bestFit="1" customWidth="1"/>
    <col min="4899" max="4899" width="8" style="3" bestFit="1" customWidth="1"/>
    <col min="4900" max="4901" width="7.85546875" style="3" bestFit="1" customWidth="1"/>
    <col min="4902" max="4902" width="9.7109375" style="3" customWidth="1"/>
    <col min="4903" max="4903" width="12.85546875" style="3" customWidth="1"/>
    <col min="4904" max="5140" width="9.140625" style="3"/>
    <col min="5141" max="5141" width="9" style="3" bestFit="1" customWidth="1"/>
    <col min="5142" max="5142" width="9.85546875" style="3" bestFit="1" customWidth="1"/>
    <col min="5143" max="5143" width="9.140625" style="3" bestFit="1" customWidth="1"/>
    <col min="5144" max="5144" width="16" style="3" bestFit="1" customWidth="1"/>
    <col min="5145" max="5145" width="9" style="3" bestFit="1" customWidth="1"/>
    <col min="5146" max="5146" width="7.85546875" style="3" bestFit="1" customWidth="1"/>
    <col min="5147" max="5147" width="11.7109375" style="3" bestFit="1" customWidth="1"/>
    <col min="5148" max="5148" width="14.28515625" style="3" customWidth="1"/>
    <col min="5149" max="5149" width="11.7109375" style="3" bestFit="1" customWidth="1"/>
    <col min="5150" max="5150" width="14.140625" style="3" bestFit="1" customWidth="1"/>
    <col min="5151" max="5151" width="16.7109375" style="3" customWidth="1"/>
    <col min="5152" max="5152" width="16.5703125" style="3" customWidth="1"/>
    <col min="5153" max="5154" width="7.85546875" style="3" bestFit="1" customWidth="1"/>
    <col min="5155" max="5155" width="8" style="3" bestFit="1" customWidth="1"/>
    <col min="5156" max="5157" width="7.85546875" style="3" bestFit="1" customWidth="1"/>
    <col min="5158" max="5158" width="9.7109375" style="3" customWidth="1"/>
    <col min="5159" max="5159" width="12.85546875" style="3" customWidth="1"/>
    <col min="5160" max="5396" width="9.140625" style="3"/>
    <col min="5397" max="5397" width="9" style="3" bestFit="1" customWidth="1"/>
    <col min="5398" max="5398" width="9.85546875" style="3" bestFit="1" customWidth="1"/>
    <col min="5399" max="5399" width="9.140625" style="3" bestFit="1" customWidth="1"/>
    <col min="5400" max="5400" width="16" style="3" bestFit="1" customWidth="1"/>
    <col min="5401" max="5401" width="9" style="3" bestFit="1" customWidth="1"/>
    <col min="5402" max="5402" width="7.85546875" style="3" bestFit="1" customWidth="1"/>
    <col min="5403" max="5403" width="11.7109375" style="3" bestFit="1" customWidth="1"/>
    <col min="5404" max="5404" width="14.28515625" style="3" customWidth="1"/>
    <col min="5405" max="5405" width="11.7109375" style="3" bestFit="1" customWidth="1"/>
    <col min="5406" max="5406" width="14.140625" style="3" bestFit="1" customWidth="1"/>
    <col min="5407" max="5407" width="16.7109375" style="3" customWidth="1"/>
    <col min="5408" max="5408" width="16.5703125" style="3" customWidth="1"/>
    <col min="5409" max="5410" width="7.85546875" style="3" bestFit="1" customWidth="1"/>
    <col min="5411" max="5411" width="8" style="3" bestFit="1" customWidth="1"/>
    <col min="5412" max="5413" width="7.85546875" style="3" bestFit="1" customWidth="1"/>
    <col min="5414" max="5414" width="9.7109375" style="3" customWidth="1"/>
    <col min="5415" max="5415" width="12.85546875" style="3" customWidth="1"/>
    <col min="5416" max="5652" width="9.140625" style="3"/>
    <col min="5653" max="5653" width="9" style="3" bestFit="1" customWidth="1"/>
    <col min="5654" max="5654" width="9.85546875" style="3" bestFit="1" customWidth="1"/>
    <col min="5655" max="5655" width="9.140625" style="3" bestFit="1" customWidth="1"/>
    <col min="5656" max="5656" width="16" style="3" bestFit="1" customWidth="1"/>
    <col min="5657" max="5657" width="9" style="3" bestFit="1" customWidth="1"/>
    <col min="5658" max="5658" width="7.85546875" style="3" bestFit="1" customWidth="1"/>
    <col min="5659" max="5659" width="11.7109375" style="3" bestFit="1" customWidth="1"/>
    <col min="5660" max="5660" width="14.28515625" style="3" customWidth="1"/>
    <col min="5661" max="5661" width="11.7109375" style="3" bestFit="1" customWidth="1"/>
    <col min="5662" max="5662" width="14.140625" style="3" bestFit="1" customWidth="1"/>
    <col min="5663" max="5663" width="16.7109375" style="3" customWidth="1"/>
    <col min="5664" max="5664" width="16.5703125" style="3" customWidth="1"/>
    <col min="5665" max="5666" width="7.85546875" style="3" bestFit="1" customWidth="1"/>
    <col min="5667" max="5667" width="8" style="3" bestFit="1" customWidth="1"/>
    <col min="5668" max="5669" width="7.85546875" style="3" bestFit="1" customWidth="1"/>
    <col min="5670" max="5670" width="9.7109375" style="3" customWidth="1"/>
    <col min="5671" max="5671" width="12.85546875" style="3" customWidth="1"/>
    <col min="5672" max="5908" width="9.140625" style="3"/>
    <col min="5909" max="5909" width="9" style="3" bestFit="1" customWidth="1"/>
    <col min="5910" max="5910" width="9.85546875" style="3" bestFit="1" customWidth="1"/>
    <col min="5911" max="5911" width="9.140625" style="3" bestFit="1" customWidth="1"/>
    <col min="5912" max="5912" width="16" style="3" bestFit="1" customWidth="1"/>
    <col min="5913" max="5913" width="9" style="3" bestFit="1" customWidth="1"/>
    <col min="5914" max="5914" width="7.85546875" style="3" bestFit="1" customWidth="1"/>
    <col min="5915" max="5915" width="11.7109375" style="3" bestFit="1" customWidth="1"/>
    <col min="5916" max="5916" width="14.28515625" style="3" customWidth="1"/>
    <col min="5917" max="5917" width="11.7109375" style="3" bestFit="1" customWidth="1"/>
    <col min="5918" max="5918" width="14.140625" style="3" bestFit="1" customWidth="1"/>
    <col min="5919" max="5919" width="16.7109375" style="3" customWidth="1"/>
    <col min="5920" max="5920" width="16.5703125" style="3" customWidth="1"/>
    <col min="5921" max="5922" width="7.85546875" style="3" bestFit="1" customWidth="1"/>
    <col min="5923" max="5923" width="8" style="3" bestFit="1" customWidth="1"/>
    <col min="5924" max="5925" width="7.85546875" style="3" bestFit="1" customWidth="1"/>
    <col min="5926" max="5926" width="9.7109375" style="3" customWidth="1"/>
    <col min="5927" max="5927" width="12.85546875" style="3" customWidth="1"/>
    <col min="5928" max="6164" width="9.140625" style="3"/>
    <col min="6165" max="6165" width="9" style="3" bestFit="1" customWidth="1"/>
    <col min="6166" max="6166" width="9.85546875" style="3" bestFit="1" customWidth="1"/>
    <col min="6167" max="6167" width="9.140625" style="3" bestFit="1" customWidth="1"/>
    <col min="6168" max="6168" width="16" style="3" bestFit="1" customWidth="1"/>
    <col min="6169" max="6169" width="9" style="3" bestFit="1" customWidth="1"/>
    <col min="6170" max="6170" width="7.85546875" style="3" bestFit="1" customWidth="1"/>
    <col min="6171" max="6171" width="11.7109375" style="3" bestFit="1" customWidth="1"/>
    <col min="6172" max="6172" width="14.28515625" style="3" customWidth="1"/>
    <col min="6173" max="6173" width="11.7109375" style="3" bestFit="1" customWidth="1"/>
    <col min="6174" max="6174" width="14.140625" style="3" bestFit="1" customWidth="1"/>
    <col min="6175" max="6175" width="16.7109375" style="3" customWidth="1"/>
    <col min="6176" max="6176" width="16.5703125" style="3" customWidth="1"/>
    <col min="6177" max="6178" width="7.85546875" style="3" bestFit="1" customWidth="1"/>
    <col min="6179" max="6179" width="8" style="3" bestFit="1" customWidth="1"/>
    <col min="6180" max="6181" width="7.85546875" style="3" bestFit="1" customWidth="1"/>
    <col min="6182" max="6182" width="9.7109375" style="3" customWidth="1"/>
    <col min="6183" max="6183" width="12.85546875" style="3" customWidth="1"/>
    <col min="6184" max="6420" width="9.140625" style="3"/>
    <col min="6421" max="6421" width="9" style="3" bestFit="1" customWidth="1"/>
    <col min="6422" max="6422" width="9.85546875" style="3" bestFit="1" customWidth="1"/>
    <col min="6423" max="6423" width="9.140625" style="3" bestFit="1" customWidth="1"/>
    <col min="6424" max="6424" width="16" style="3" bestFit="1" customWidth="1"/>
    <col min="6425" max="6425" width="9" style="3" bestFit="1" customWidth="1"/>
    <col min="6426" max="6426" width="7.85546875" style="3" bestFit="1" customWidth="1"/>
    <col min="6427" max="6427" width="11.7109375" style="3" bestFit="1" customWidth="1"/>
    <col min="6428" max="6428" width="14.28515625" style="3" customWidth="1"/>
    <col min="6429" max="6429" width="11.7109375" style="3" bestFit="1" customWidth="1"/>
    <col min="6430" max="6430" width="14.140625" style="3" bestFit="1" customWidth="1"/>
    <col min="6431" max="6431" width="16.7109375" style="3" customWidth="1"/>
    <col min="6432" max="6432" width="16.5703125" style="3" customWidth="1"/>
    <col min="6433" max="6434" width="7.85546875" style="3" bestFit="1" customWidth="1"/>
    <col min="6435" max="6435" width="8" style="3" bestFit="1" customWidth="1"/>
    <col min="6436" max="6437" width="7.85546875" style="3" bestFit="1" customWidth="1"/>
    <col min="6438" max="6438" width="9.7109375" style="3" customWidth="1"/>
    <col min="6439" max="6439" width="12.85546875" style="3" customWidth="1"/>
    <col min="6440" max="6676" width="9.140625" style="3"/>
    <col min="6677" max="6677" width="9" style="3" bestFit="1" customWidth="1"/>
    <col min="6678" max="6678" width="9.85546875" style="3" bestFit="1" customWidth="1"/>
    <col min="6679" max="6679" width="9.140625" style="3" bestFit="1" customWidth="1"/>
    <col min="6680" max="6680" width="16" style="3" bestFit="1" customWidth="1"/>
    <col min="6681" max="6681" width="9" style="3" bestFit="1" customWidth="1"/>
    <col min="6682" max="6682" width="7.85546875" style="3" bestFit="1" customWidth="1"/>
    <col min="6683" max="6683" width="11.7109375" style="3" bestFit="1" customWidth="1"/>
    <col min="6684" max="6684" width="14.28515625" style="3" customWidth="1"/>
    <col min="6685" max="6685" width="11.7109375" style="3" bestFit="1" customWidth="1"/>
    <col min="6686" max="6686" width="14.140625" style="3" bestFit="1" customWidth="1"/>
    <col min="6687" max="6687" width="16.7109375" style="3" customWidth="1"/>
    <col min="6688" max="6688" width="16.5703125" style="3" customWidth="1"/>
    <col min="6689" max="6690" width="7.85546875" style="3" bestFit="1" customWidth="1"/>
    <col min="6691" max="6691" width="8" style="3" bestFit="1" customWidth="1"/>
    <col min="6692" max="6693" width="7.85546875" style="3" bestFit="1" customWidth="1"/>
    <col min="6694" max="6694" width="9.7109375" style="3" customWidth="1"/>
    <col min="6695" max="6695" width="12.85546875" style="3" customWidth="1"/>
    <col min="6696" max="6932" width="9.140625" style="3"/>
    <col min="6933" max="6933" width="9" style="3" bestFit="1" customWidth="1"/>
    <col min="6934" max="6934" width="9.85546875" style="3" bestFit="1" customWidth="1"/>
    <col min="6935" max="6935" width="9.140625" style="3" bestFit="1" customWidth="1"/>
    <col min="6936" max="6936" width="16" style="3" bestFit="1" customWidth="1"/>
    <col min="6937" max="6937" width="9" style="3" bestFit="1" customWidth="1"/>
    <col min="6938" max="6938" width="7.85546875" style="3" bestFit="1" customWidth="1"/>
    <col min="6939" max="6939" width="11.7109375" style="3" bestFit="1" customWidth="1"/>
    <col min="6940" max="6940" width="14.28515625" style="3" customWidth="1"/>
    <col min="6941" max="6941" width="11.7109375" style="3" bestFit="1" customWidth="1"/>
    <col min="6942" max="6942" width="14.140625" style="3" bestFit="1" customWidth="1"/>
    <col min="6943" max="6943" width="16.7109375" style="3" customWidth="1"/>
    <col min="6944" max="6944" width="16.5703125" style="3" customWidth="1"/>
    <col min="6945" max="6946" width="7.85546875" style="3" bestFit="1" customWidth="1"/>
    <col min="6947" max="6947" width="8" style="3" bestFit="1" customWidth="1"/>
    <col min="6948" max="6949" width="7.85546875" style="3" bestFit="1" customWidth="1"/>
    <col min="6950" max="6950" width="9.7109375" style="3" customWidth="1"/>
    <col min="6951" max="6951" width="12.85546875" style="3" customWidth="1"/>
    <col min="6952" max="7188" width="9.140625" style="3"/>
    <col min="7189" max="7189" width="9" style="3" bestFit="1" customWidth="1"/>
    <col min="7190" max="7190" width="9.85546875" style="3" bestFit="1" customWidth="1"/>
    <col min="7191" max="7191" width="9.140625" style="3" bestFit="1" customWidth="1"/>
    <col min="7192" max="7192" width="16" style="3" bestFit="1" customWidth="1"/>
    <col min="7193" max="7193" width="9" style="3" bestFit="1" customWidth="1"/>
    <col min="7194" max="7194" width="7.85546875" style="3" bestFit="1" customWidth="1"/>
    <col min="7195" max="7195" width="11.7109375" style="3" bestFit="1" customWidth="1"/>
    <col min="7196" max="7196" width="14.28515625" style="3" customWidth="1"/>
    <col min="7197" max="7197" width="11.7109375" style="3" bestFit="1" customWidth="1"/>
    <col min="7198" max="7198" width="14.140625" style="3" bestFit="1" customWidth="1"/>
    <col min="7199" max="7199" width="16.7109375" style="3" customWidth="1"/>
    <col min="7200" max="7200" width="16.5703125" style="3" customWidth="1"/>
    <col min="7201" max="7202" width="7.85546875" style="3" bestFit="1" customWidth="1"/>
    <col min="7203" max="7203" width="8" style="3" bestFit="1" customWidth="1"/>
    <col min="7204" max="7205" width="7.85546875" style="3" bestFit="1" customWidth="1"/>
    <col min="7206" max="7206" width="9.7109375" style="3" customWidth="1"/>
    <col min="7207" max="7207" width="12.85546875" style="3" customWidth="1"/>
    <col min="7208" max="7444" width="9.140625" style="3"/>
    <col min="7445" max="7445" width="9" style="3" bestFit="1" customWidth="1"/>
    <col min="7446" max="7446" width="9.85546875" style="3" bestFit="1" customWidth="1"/>
    <col min="7447" max="7447" width="9.140625" style="3" bestFit="1" customWidth="1"/>
    <col min="7448" max="7448" width="16" style="3" bestFit="1" customWidth="1"/>
    <col min="7449" max="7449" width="9" style="3" bestFit="1" customWidth="1"/>
    <col min="7450" max="7450" width="7.85546875" style="3" bestFit="1" customWidth="1"/>
    <col min="7451" max="7451" width="11.7109375" style="3" bestFit="1" customWidth="1"/>
    <col min="7452" max="7452" width="14.28515625" style="3" customWidth="1"/>
    <col min="7453" max="7453" width="11.7109375" style="3" bestFit="1" customWidth="1"/>
    <col min="7454" max="7454" width="14.140625" style="3" bestFit="1" customWidth="1"/>
    <col min="7455" max="7455" width="16.7109375" style="3" customWidth="1"/>
    <col min="7456" max="7456" width="16.5703125" style="3" customWidth="1"/>
    <col min="7457" max="7458" width="7.85546875" style="3" bestFit="1" customWidth="1"/>
    <col min="7459" max="7459" width="8" style="3" bestFit="1" customWidth="1"/>
    <col min="7460" max="7461" width="7.85546875" style="3" bestFit="1" customWidth="1"/>
    <col min="7462" max="7462" width="9.7109375" style="3" customWidth="1"/>
    <col min="7463" max="7463" width="12.85546875" style="3" customWidth="1"/>
    <col min="7464" max="7700" width="9.140625" style="3"/>
    <col min="7701" max="7701" width="9" style="3" bestFit="1" customWidth="1"/>
    <col min="7702" max="7702" width="9.85546875" style="3" bestFit="1" customWidth="1"/>
    <col min="7703" max="7703" width="9.140625" style="3" bestFit="1" customWidth="1"/>
    <col min="7704" max="7704" width="16" style="3" bestFit="1" customWidth="1"/>
    <col min="7705" max="7705" width="9" style="3" bestFit="1" customWidth="1"/>
    <col min="7706" max="7706" width="7.85546875" style="3" bestFit="1" customWidth="1"/>
    <col min="7707" max="7707" width="11.7109375" style="3" bestFit="1" customWidth="1"/>
    <col min="7708" max="7708" width="14.28515625" style="3" customWidth="1"/>
    <col min="7709" max="7709" width="11.7109375" style="3" bestFit="1" customWidth="1"/>
    <col min="7710" max="7710" width="14.140625" style="3" bestFit="1" customWidth="1"/>
    <col min="7711" max="7711" width="16.7109375" style="3" customWidth="1"/>
    <col min="7712" max="7712" width="16.5703125" style="3" customWidth="1"/>
    <col min="7713" max="7714" width="7.85546875" style="3" bestFit="1" customWidth="1"/>
    <col min="7715" max="7715" width="8" style="3" bestFit="1" customWidth="1"/>
    <col min="7716" max="7717" width="7.85546875" style="3" bestFit="1" customWidth="1"/>
    <col min="7718" max="7718" width="9.7109375" style="3" customWidth="1"/>
    <col min="7719" max="7719" width="12.85546875" style="3" customWidth="1"/>
    <col min="7720" max="7956" width="9.140625" style="3"/>
    <col min="7957" max="7957" width="9" style="3" bestFit="1" customWidth="1"/>
    <col min="7958" max="7958" width="9.85546875" style="3" bestFit="1" customWidth="1"/>
    <col min="7959" max="7959" width="9.140625" style="3" bestFit="1" customWidth="1"/>
    <col min="7960" max="7960" width="16" style="3" bestFit="1" customWidth="1"/>
    <col min="7961" max="7961" width="9" style="3" bestFit="1" customWidth="1"/>
    <col min="7962" max="7962" width="7.85546875" style="3" bestFit="1" customWidth="1"/>
    <col min="7963" max="7963" width="11.7109375" style="3" bestFit="1" customWidth="1"/>
    <col min="7964" max="7964" width="14.28515625" style="3" customWidth="1"/>
    <col min="7965" max="7965" width="11.7109375" style="3" bestFit="1" customWidth="1"/>
    <col min="7966" max="7966" width="14.140625" style="3" bestFit="1" customWidth="1"/>
    <col min="7967" max="7967" width="16.7109375" style="3" customWidth="1"/>
    <col min="7968" max="7968" width="16.5703125" style="3" customWidth="1"/>
    <col min="7969" max="7970" width="7.85546875" style="3" bestFit="1" customWidth="1"/>
    <col min="7971" max="7971" width="8" style="3" bestFit="1" customWidth="1"/>
    <col min="7972" max="7973" width="7.85546875" style="3" bestFit="1" customWidth="1"/>
    <col min="7974" max="7974" width="9.7109375" style="3" customWidth="1"/>
    <col min="7975" max="7975" width="12.85546875" style="3" customWidth="1"/>
    <col min="7976" max="8212" width="9.140625" style="3"/>
    <col min="8213" max="8213" width="9" style="3" bestFit="1" customWidth="1"/>
    <col min="8214" max="8214" width="9.85546875" style="3" bestFit="1" customWidth="1"/>
    <col min="8215" max="8215" width="9.140625" style="3" bestFit="1" customWidth="1"/>
    <col min="8216" max="8216" width="16" style="3" bestFit="1" customWidth="1"/>
    <col min="8217" max="8217" width="9" style="3" bestFit="1" customWidth="1"/>
    <col min="8218" max="8218" width="7.85546875" style="3" bestFit="1" customWidth="1"/>
    <col min="8219" max="8219" width="11.7109375" style="3" bestFit="1" customWidth="1"/>
    <col min="8220" max="8220" width="14.28515625" style="3" customWidth="1"/>
    <col min="8221" max="8221" width="11.7109375" style="3" bestFit="1" customWidth="1"/>
    <col min="8222" max="8222" width="14.140625" style="3" bestFit="1" customWidth="1"/>
    <col min="8223" max="8223" width="16.7109375" style="3" customWidth="1"/>
    <col min="8224" max="8224" width="16.5703125" style="3" customWidth="1"/>
    <col min="8225" max="8226" width="7.85546875" style="3" bestFit="1" customWidth="1"/>
    <col min="8227" max="8227" width="8" style="3" bestFit="1" customWidth="1"/>
    <col min="8228" max="8229" width="7.85546875" style="3" bestFit="1" customWidth="1"/>
    <col min="8230" max="8230" width="9.7109375" style="3" customWidth="1"/>
    <col min="8231" max="8231" width="12.85546875" style="3" customWidth="1"/>
    <col min="8232" max="8468" width="9.140625" style="3"/>
    <col min="8469" max="8469" width="9" style="3" bestFit="1" customWidth="1"/>
    <col min="8470" max="8470" width="9.85546875" style="3" bestFit="1" customWidth="1"/>
    <col min="8471" max="8471" width="9.140625" style="3" bestFit="1" customWidth="1"/>
    <col min="8472" max="8472" width="16" style="3" bestFit="1" customWidth="1"/>
    <col min="8473" max="8473" width="9" style="3" bestFit="1" customWidth="1"/>
    <col min="8474" max="8474" width="7.85546875" style="3" bestFit="1" customWidth="1"/>
    <col min="8475" max="8475" width="11.7109375" style="3" bestFit="1" customWidth="1"/>
    <col min="8476" max="8476" width="14.28515625" style="3" customWidth="1"/>
    <col min="8477" max="8477" width="11.7109375" style="3" bestFit="1" customWidth="1"/>
    <col min="8478" max="8478" width="14.140625" style="3" bestFit="1" customWidth="1"/>
    <col min="8479" max="8479" width="16.7109375" style="3" customWidth="1"/>
    <col min="8480" max="8480" width="16.5703125" style="3" customWidth="1"/>
    <col min="8481" max="8482" width="7.85546875" style="3" bestFit="1" customWidth="1"/>
    <col min="8483" max="8483" width="8" style="3" bestFit="1" customWidth="1"/>
    <col min="8484" max="8485" width="7.85546875" style="3" bestFit="1" customWidth="1"/>
    <col min="8486" max="8486" width="9.7109375" style="3" customWidth="1"/>
    <col min="8487" max="8487" width="12.85546875" style="3" customWidth="1"/>
    <col min="8488" max="8724" width="9.140625" style="3"/>
    <col min="8725" max="8725" width="9" style="3" bestFit="1" customWidth="1"/>
    <col min="8726" max="8726" width="9.85546875" style="3" bestFit="1" customWidth="1"/>
    <col min="8727" max="8727" width="9.140625" style="3" bestFit="1" customWidth="1"/>
    <col min="8728" max="8728" width="16" style="3" bestFit="1" customWidth="1"/>
    <col min="8729" max="8729" width="9" style="3" bestFit="1" customWidth="1"/>
    <col min="8730" max="8730" width="7.85546875" style="3" bestFit="1" customWidth="1"/>
    <col min="8731" max="8731" width="11.7109375" style="3" bestFit="1" customWidth="1"/>
    <col min="8732" max="8732" width="14.28515625" style="3" customWidth="1"/>
    <col min="8733" max="8733" width="11.7109375" style="3" bestFit="1" customWidth="1"/>
    <col min="8734" max="8734" width="14.140625" style="3" bestFit="1" customWidth="1"/>
    <col min="8735" max="8735" width="16.7109375" style="3" customWidth="1"/>
    <col min="8736" max="8736" width="16.5703125" style="3" customWidth="1"/>
    <col min="8737" max="8738" width="7.85546875" style="3" bestFit="1" customWidth="1"/>
    <col min="8739" max="8739" width="8" style="3" bestFit="1" customWidth="1"/>
    <col min="8740" max="8741" width="7.85546875" style="3" bestFit="1" customWidth="1"/>
    <col min="8742" max="8742" width="9.7109375" style="3" customWidth="1"/>
    <col min="8743" max="8743" width="12.85546875" style="3" customWidth="1"/>
    <col min="8744" max="8980" width="9.140625" style="3"/>
    <col min="8981" max="8981" width="9" style="3" bestFit="1" customWidth="1"/>
    <col min="8982" max="8982" width="9.85546875" style="3" bestFit="1" customWidth="1"/>
    <col min="8983" max="8983" width="9.140625" style="3" bestFit="1" customWidth="1"/>
    <col min="8984" max="8984" width="16" style="3" bestFit="1" customWidth="1"/>
    <col min="8985" max="8985" width="9" style="3" bestFit="1" customWidth="1"/>
    <col min="8986" max="8986" width="7.85546875" style="3" bestFit="1" customWidth="1"/>
    <col min="8987" max="8987" width="11.7109375" style="3" bestFit="1" customWidth="1"/>
    <col min="8988" max="8988" width="14.28515625" style="3" customWidth="1"/>
    <col min="8989" max="8989" width="11.7109375" style="3" bestFit="1" customWidth="1"/>
    <col min="8990" max="8990" width="14.140625" style="3" bestFit="1" customWidth="1"/>
    <col min="8991" max="8991" width="16.7109375" style="3" customWidth="1"/>
    <col min="8992" max="8992" width="16.5703125" style="3" customWidth="1"/>
    <col min="8993" max="8994" width="7.85546875" style="3" bestFit="1" customWidth="1"/>
    <col min="8995" max="8995" width="8" style="3" bestFit="1" customWidth="1"/>
    <col min="8996" max="8997" width="7.85546875" style="3" bestFit="1" customWidth="1"/>
    <col min="8998" max="8998" width="9.7109375" style="3" customWidth="1"/>
    <col min="8999" max="8999" width="12.85546875" style="3" customWidth="1"/>
    <col min="9000" max="9236" width="9.140625" style="3"/>
    <col min="9237" max="9237" width="9" style="3" bestFit="1" customWidth="1"/>
    <col min="9238" max="9238" width="9.85546875" style="3" bestFit="1" customWidth="1"/>
    <col min="9239" max="9239" width="9.140625" style="3" bestFit="1" customWidth="1"/>
    <col min="9240" max="9240" width="16" style="3" bestFit="1" customWidth="1"/>
    <col min="9241" max="9241" width="9" style="3" bestFit="1" customWidth="1"/>
    <col min="9242" max="9242" width="7.85546875" style="3" bestFit="1" customWidth="1"/>
    <col min="9243" max="9243" width="11.7109375" style="3" bestFit="1" customWidth="1"/>
    <col min="9244" max="9244" width="14.28515625" style="3" customWidth="1"/>
    <col min="9245" max="9245" width="11.7109375" style="3" bestFit="1" customWidth="1"/>
    <col min="9246" max="9246" width="14.140625" style="3" bestFit="1" customWidth="1"/>
    <col min="9247" max="9247" width="16.7109375" style="3" customWidth="1"/>
    <col min="9248" max="9248" width="16.5703125" style="3" customWidth="1"/>
    <col min="9249" max="9250" width="7.85546875" style="3" bestFit="1" customWidth="1"/>
    <col min="9251" max="9251" width="8" style="3" bestFit="1" customWidth="1"/>
    <col min="9252" max="9253" width="7.85546875" style="3" bestFit="1" customWidth="1"/>
    <col min="9254" max="9254" width="9.7109375" style="3" customWidth="1"/>
    <col min="9255" max="9255" width="12.85546875" style="3" customWidth="1"/>
    <col min="9256" max="9492" width="9.140625" style="3"/>
    <col min="9493" max="9493" width="9" style="3" bestFit="1" customWidth="1"/>
    <col min="9494" max="9494" width="9.85546875" style="3" bestFit="1" customWidth="1"/>
    <col min="9495" max="9495" width="9.140625" style="3" bestFit="1" customWidth="1"/>
    <col min="9496" max="9496" width="16" style="3" bestFit="1" customWidth="1"/>
    <col min="9497" max="9497" width="9" style="3" bestFit="1" customWidth="1"/>
    <col min="9498" max="9498" width="7.85546875" style="3" bestFit="1" customWidth="1"/>
    <col min="9499" max="9499" width="11.7109375" style="3" bestFit="1" customWidth="1"/>
    <col min="9500" max="9500" width="14.28515625" style="3" customWidth="1"/>
    <col min="9501" max="9501" width="11.7109375" style="3" bestFit="1" customWidth="1"/>
    <col min="9502" max="9502" width="14.140625" style="3" bestFit="1" customWidth="1"/>
    <col min="9503" max="9503" width="16.7109375" style="3" customWidth="1"/>
    <col min="9504" max="9504" width="16.5703125" style="3" customWidth="1"/>
    <col min="9505" max="9506" width="7.85546875" style="3" bestFit="1" customWidth="1"/>
    <col min="9507" max="9507" width="8" style="3" bestFit="1" customWidth="1"/>
    <col min="9508" max="9509" width="7.85546875" style="3" bestFit="1" customWidth="1"/>
    <col min="9510" max="9510" width="9.7109375" style="3" customWidth="1"/>
    <col min="9511" max="9511" width="12.85546875" style="3" customWidth="1"/>
    <col min="9512" max="9748" width="9.140625" style="3"/>
    <col min="9749" max="9749" width="9" style="3" bestFit="1" customWidth="1"/>
    <col min="9750" max="9750" width="9.85546875" style="3" bestFit="1" customWidth="1"/>
    <col min="9751" max="9751" width="9.140625" style="3" bestFit="1" customWidth="1"/>
    <col min="9752" max="9752" width="16" style="3" bestFit="1" customWidth="1"/>
    <col min="9753" max="9753" width="9" style="3" bestFit="1" customWidth="1"/>
    <col min="9754" max="9754" width="7.85546875" style="3" bestFit="1" customWidth="1"/>
    <col min="9755" max="9755" width="11.7109375" style="3" bestFit="1" customWidth="1"/>
    <col min="9756" max="9756" width="14.28515625" style="3" customWidth="1"/>
    <col min="9757" max="9757" width="11.7109375" style="3" bestFit="1" customWidth="1"/>
    <col min="9758" max="9758" width="14.140625" style="3" bestFit="1" customWidth="1"/>
    <col min="9759" max="9759" width="16.7109375" style="3" customWidth="1"/>
    <col min="9760" max="9760" width="16.5703125" style="3" customWidth="1"/>
    <col min="9761" max="9762" width="7.85546875" style="3" bestFit="1" customWidth="1"/>
    <col min="9763" max="9763" width="8" style="3" bestFit="1" customWidth="1"/>
    <col min="9764" max="9765" width="7.85546875" style="3" bestFit="1" customWidth="1"/>
    <col min="9766" max="9766" width="9.7109375" style="3" customWidth="1"/>
    <col min="9767" max="9767" width="12.85546875" style="3" customWidth="1"/>
    <col min="9768" max="10004" width="9.140625" style="3"/>
    <col min="10005" max="10005" width="9" style="3" bestFit="1" customWidth="1"/>
    <col min="10006" max="10006" width="9.85546875" style="3" bestFit="1" customWidth="1"/>
    <col min="10007" max="10007" width="9.140625" style="3" bestFit="1" customWidth="1"/>
    <col min="10008" max="10008" width="16" style="3" bestFit="1" customWidth="1"/>
    <col min="10009" max="10009" width="9" style="3" bestFit="1" customWidth="1"/>
    <col min="10010" max="10010" width="7.85546875" style="3" bestFit="1" customWidth="1"/>
    <col min="10011" max="10011" width="11.7109375" style="3" bestFit="1" customWidth="1"/>
    <col min="10012" max="10012" width="14.28515625" style="3" customWidth="1"/>
    <col min="10013" max="10013" width="11.7109375" style="3" bestFit="1" customWidth="1"/>
    <col min="10014" max="10014" width="14.140625" style="3" bestFit="1" customWidth="1"/>
    <col min="10015" max="10015" width="16.7109375" style="3" customWidth="1"/>
    <col min="10016" max="10016" width="16.5703125" style="3" customWidth="1"/>
    <col min="10017" max="10018" width="7.85546875" style="3" bestFit="1" customWidth="1"/>
    <col min="10019" max="10019" width="8" style="3" bestFit="1" customWidth="1"/>
    <col min="10020" max="10021" width="7.85546875" style="3" bestFit="1" customWidth="1"/>
    <col min="10022" max="10022" width="9.7109375" style="3" customWidth="1"/>
    <col min="10023" max="10023" width="12.85546875" style="3" customWidth="1"/>
    <col min="10024" max="10260" width="9.140625" style="3"/>
    <col min="10261" max="10261" width="9" style="3" bestFit="1" customWidth="1"/>
    <col min="10262" max="10262" width="9.85546875" style="3" bestFit="1" customWidth="1"/>
    <col min="10263" max="10263" width="9.140625" style="3" bestFit="1" customWidth="1"/>
    <col min="10264" max="10264" width="16" style="3" bestFit="1" customWidth="1"/>
    <col min="10265" max="10265" width="9" style="3" bestFit="1" customWidth="1"/>
    <col min="10266" max="10266" width="7.85546875" style="3" bestFit="1" customWidth="1"/>
    <col min="10267" max="10267" width="11.7109375" style="3" bestFit="1" customWidth="1"/>
    <col min="10268" max="10268" width="14.28515625" style="3" customWidth="1"/>
    <col min="10269" max="10269" width="11.7109375" style="3" bestFit="1" customWidth="1"/>
    <col min="10270" max="10270" width="14.140625" style="3" bestFit="1" customWidth="1"/>
    <col min="10271" max="10271" width="16.7109375" style="3" customWidth="1"/>
    <col min="10272" max="10272" width="16.5703125" style="3" customWidth="1"/>
    <col min="10273" max="10274" width="7.85546875" style="3" bestFit="1" customWidth="1"/>
    <col min="10275" max="10275" width="8" style="3" bestFit="1" customWidth="1"/>
    <col min="10276" max="10277" width="7.85546875" style="3" bestFit="1" customWidth="1"/>
    <col min="10278" max="10278" width="9.7109375" style="3" customWidth="1"/>
    <col min="10279" max="10279" width="12.85546875" style="3" customWidth="1"/>
    <col min="10280" max="10516" width="9.140625" style="3"/>
    <col min="10517" max="10517" width="9" style="3" bestFit="1" customWidth="1"/>
    <col min="10518" max="10518" width="9.85546875" style="3" bestFit="1" customWidth="1"/>
    <col min="10519" max="10519" width="9.140625" style="3" bestFit="1" customWidth="1"/>
    <col min="10520" max="10520" width="16" style="3" bestFit="1" customWidth="1"/>
    <col min="10521" max="10521" width="9" style="3" bestFit="1" customWidth="1"/>
    <col min="10522" max="10522" width="7.85546875" style="3" bestFit="1" customWidth="1"/>
    <col min="10523" max="10523" width="11.7109375" style="3" bestFit="1" customWidth="1"/>
    <col min="10524" max="10524" width="14.28515625" style="3" customWidth="1"/>
    <col min="10525" max="10525" width="11.7109375" style="3" bestFit="1" customWidth="1"/>
    <col min="10526" max="10526" width="14.140625" style="3" bestFit="1" customWidth="1"/>
    <col min="10527" max="10527" width="16.7109375" style="3" customWidth="1"/>
    <col min="10528" max="10528" width="16.5703125" style="3" customWidth="1"/>
    <col min="10529" max="10530" width="7.85546875" style="3" bestFit="1" customWidth="1"/>
    <col min="10531" max="10531" width="8" style="3" bestFit="1" customWidth="1"/>
    <col min="10532" max="10533" width="7.85546875" style="3" bestFit="1" customWidth="1"/>
    <col min="10534" max="10534" width="9.7109375" style="3" customWidth="1"/>
    <col min="10535" max="10535" width="12.85546875" style="3" customWidth="1"/>
    <col min="10536" max="10772" width="9.140625" style="3"/>
    <col min="10773" max="10773" width="9" style="3" bestFit="1" customWidth="1"/>
    <col min="10774" max="10774" width="9.85546875" style="3" bestFit="1" customWidth="1"/>
    <col min="10775" max="10775" width="9.140625" style="3" bestFit="1" customWidth="1"/>
    <col min="10776" max="10776" width="16" style="3" bestFit="1" customWidth="1"/>
    <col min="10777" max="10777" width="9" style="3" bestFit="1" customWidth="1"/>
    <col min="10778" max="10778" width="7.85546875" style="3" bestFit="1" customWidth="1"/>
    <col min="10779" max="10779" width="11.7109375" style="3" bestFit="1" customWidth="1"/>
    <col min="10780" max="10780" width="14.28515625" style="3" customWidth="1"/>
    <col min="10781" max="10781" width="11.7109375" style="3" bestFit="1" customWidth="1"/>
    <col min="10782" max="10782" width="14.140625" style="3" bestFit="1" customWidth="1"/>
    <col min="10783" max="10783" width="16.7109375" style="3" customWidth="1"/>
    <col min="10784" max="10784" width="16.5703125" style="3" customWidth="1"/>
    <col min="10785" max="10786" width="7.85546875" style="3" bestFit="1" customWidth="1"/>
    <col min="10787" max="10787" width="8" style="3" bestFit="1" customWidth="1"/>
    <col min="10788" max="10789" width="7.85546875" style="3" bestFit="1" customWidth="1"/>
    <col min="10790" max="10790" width="9.7109375" style="3" customWidth="1"/>
    <col min="10791" max="10791" width="12.85546875" style="3" customWidth="1"/>
    <col min="10792" max="11028" width="9.140625" style="3"/>
    <col min="11029" max="11029" width="9" style="3" bestFit="1" customWidth="1"/>
    <col min="11030" max="11030" width="9.85546875" style="3" bestFit="1" customWidth="1"/>
    <col min="11031" max="11031" width="9.140625" style="3" bestFit="1" customWidth="1"/>
    <col min="11032" max="11032" width="16" style="3" bestFit="1" customWidth="1"/>
    <col min="11033" max="11033" width="9" style="3" bestFit="1" customWidth="1"/>
    <col min="11034" max="11034" width="7.85546875" style="3" bestFit="1" customWidth="1"/>
    <col min="11035" max="11035" width="11.7109375" style="3" bestFit="1" customWidth="1"/>
    <col min="11036" max="11036" width="14.28515625" style="3" customWidth="1"/>
    <col min="11037" max="11037" width="11.7109375" style="3" bestFit="1" customWidth="1"/>
    <col min="11038" max="11038" width="14.140625" style="3" bestFit="1" customWidth="1"/>
    <col min="11039" max="11039" width="16.7109375" style="3" customWidth="1"/>
    <col min="11040" max="11040" width="16.5703125" style="3" customWidth="1"/>
    <col min="11041" max="11042" width="7.85546875" style="3" bestFit="1" customWidth="1"/>
    <col min="11043" max="11043" width="8" style="3" bestFit="1" customWidth="1"/>
    <col min="11044" max="11045" width="7.85546875" style="3" bestFit="1" customWidth="1"/>
    <col min="11046" max="11046" width="9.7109375" style="3" customWidth="1"/>
    <col min="11047" max="11047" width="12.85546875" style="3" customWidth="1"/>
    <col min="11048" max="11284" width="9.140625" style="3"/>
    <col min="11285" max="11285" width="9" style="3" bestFit="1" customWidth="1"/>
    <col min="11286" max="11286" width="9.85546875" style="3" bestFit="1" customWidth="1"/>
    <col min="11287" max="11287" width="9.140625" style="3" bestFit="1" customWidth="1"/>
    <col min="11288" max="11288" width="16" style="3" bestFit="1" customWidth="1"/>
    <col min="11289" max="11289" width="9" style="3" bestFit="1" customWidth="1"/>
    <col min="11290" max="11290" width="7.85546875" style="3" bestFit="1" customWidth="1"/>
    <col min="11291" max="11291" width="11.7109375" style="3" bestFit="1" customWidth="1"/>
    <col min="11292" max="11292" width="14.28515625" style="3" customWidth="1"/>
    <col min="11293" max="11293" width="11.7109375" style="3" bestFit="1" customWidth="1"/>
    <col min="11294" max="11294" width="14.140625" style="3" bestFit="1" customWidth="1"/>
    <col min="11295" max="11295" width="16.7109375" style="3" customWidth="1"/>
    <col min="11296" max="11296" width="16.5703125" style="3" customWidth="1"/>
    <col min="11297" max="11298" width="7.85546875" style="3" bestFit="1" customWidth="1"/>
    <col min="11299" max="11299" width="8" style="3" bestFit="1" customWidth="1"/>
    <col min="11300" max="11301" width="7.85546875" style="3" bestFit="1" customWidth="1"/>
    <col min="11302" max="11302" width="9.7109375" style="3" customWidth="1"/>
    <col min="11303" max="11303" width="12.85546875" style="3" customWidth="1"/>
    <col min="11304" max="11540" width="9.140625" style="3"/>
    <col min="11541" max="11541" width="9" style="3" bestFit="1" customWidth="1"/>
    <col min="11542" max="11542" width="9.85546875" style="3" bestFit="1" customWidth="1"/>
    <col min="11543" max="11543" width="9.140625" style="3" bestFit="1" customWidth="1"/>
    <col min="11544" max="11544" width="16" style="3" bestFit="1" customWidth="1"/>
    <col min="11545" max="11545" width="9" style="3" bestFit="1" customWidth="1"/>
    <col min="11546" max="11546" width="7.85546875" style="3" bestFit="1" customWidth="1"/>
    <col min="11547" max="11547" width="11.7109375" style="3" bestFit="1" customWidth="1"/>
    <col min="11548" max="11548" width="14.28515625" style="3" customWidth="1"/>
    <col min="11549" max="11549" width="11.7109375" style="3" bestFit="1" customWidth="1"/>
    <col min="11550" max="11550" width="14.140625" style="3" bestFit="1" customWidth="1"/>
    <col min="11551" max="11551" width="16.7109375" style="3" customWidth="1"/>
    <col min="11552" max="11552" width="16.5703125" style="3" customWidth="1"/>
    <col min="11553" max="11554" width="7.85546875" style="3" bestFit="1" customWidth="1"/>
    <col min="11555" max="11555" width="8" style="3" bestFit="1" customWidth="1"/>
    <col min="11556" max="11557" width="7.85546875" style="3" bestFit="1" customWidth="1"/>
    <col min="11558" max="11558" width="9.7109375" style="3" customWidth="1"/>
    <col min="11559" max="11559" width="12.85546875" style="3" customWidth="1"/>
    <col min="11560" max="11796" width="9.140625" style="3"/>
    <col min="11797" max="11797" width="9" style="3" bestFit="1" customWidth="1"/>
    <col min="11798" max="11798" width="9.85546875" style="3" bestFit="1" customWidth="1"/>
    <col min="11799" max="11799" width="9.140625" style="3" bestFit="1" customWidth="1"/>
    <col min="11800" max="11800" width="16" style="3" bestFit="1" customWidth="1"/>
    <col min="11801" max="11801" width="9" style="3" bestFit="1" customWidth="1"/>
    <col min="11802" max="11802" width="7.85546875" style="3" bestFit="1" customWidth="1"/>
    <col min="11803" max="11803" width="11.7109375" style="3" bestFit="1" customWidth="1"/>
    <col min="11804" max="11804" width="14.28515625" style="3" customWidth="1"/>
    <col min="11805" max="11805" width="11.7109375" style="3" bestFit="1" customWidth="1"/>
    <col min="11806" max="11806" width="14.140625" style="3" bestFit="1" customWidth="1"/>
    <col min="11807" max="11807" width="16.7109375" style="3" customWidth="1"/>
    <col min="11808" max="11808" width="16.5703125" style="3" customWidth="1"/>
    <col min="11809" max="11810" width="7.85546875" style="3" bestFit="1" customWidth="1"/>
    <col min="11811" max="11811" width="8" style="3" bestFit="1" customWidth="1"/>
    <col min="11812" max="11813" width="7.85546875" style="3" bestFit="1" customWidth="1"/>
    <col min="11814" max="11814" width="9.7109375" style="3" customWidth="1"/>
    <col min="11815" max="11815" width="12.85546875" style="3" customWidth="1"/>
    <col min="11816" max="12052" width="9.140625" style="3"/>
    <col min="12053" max="12053" width="9" style="3" bestFit="1" customWidth="1"/>
    <col min="12054" max="12054" width="9.85546875" style="3" bestFit="1" customWidth="1"/>
    <col min="12055" max="12055" width="9.140625" style="3" bestFit="1" customWidth="1"/>
    <col min="12056" max="12056" width="16" style="3" bestFit="1" customWidth="1"/>
    <col min="12057" max="12057" width="9" style="3" bestFit="1" customWidth="1"/>
    <col min="12058" max="12058" width="7.85546875" style="3" bestFit="1" customWidth="1"/>
    <col min="12059" max="12059" width="11.7109375" style="3" bestFit="1" customWidth="1"/>
    <col min="12060" max="12060" width="14.28515625" style="3" customWidth="1"/>
    <col min="12061" max="12061" width="11.7109375" style="3" bestFit="1" customWidth="1"/>
    <col min="12062" max="12062" width="14.140625" style="3" bestFit="1" customWidth="1"/>
    <col min="12063" max="12063" width="16.7109375" style="3" customWidth="1"/>
    <col min="12064" max="12064" width="16.5703125" style="3" customWidth="1"/>
    <col min="12065" max="12066" width="7.85546875" style="3" bestFit="1" customWidth="1"/>
    <col min="12067" max="12067" width="8" style="3" bestFit="1" customWidth="1"/>
    <col min="12068" max="12069" width="7.85546875" style="3" bestFit="1" customWidth="1"/>
    <col min="12070" max="12070" width="9.7109375" style="3" customWidth="1"/>
    <col min="12071" max="12071" width="12.85546875" style="3" customWidth="1"/>
    <col min="12072" max="12308" width="9.140625" style="3"/>
    <col min="12309" max="12309" width="9" style="3" bestFit="1" customWidth="1"/>
    <col min="12310" max="12310" width="9.85546875" style="3" bestFit="1" customWidth="1"/>
    <col min="12311" max="12311" width="9.140625" style="3" bestFit="1" customWidth="1"/>
    <col min="12312" max="12312" width="16" style="3" bestFit="1" customWidth="1"/>
    <col min="12313" max="12313" width="9" style="3" bestFit="1" customWidth="1"/>
    <col min="12314" max="12314" width="7.85546875" style="3" bestFit="1" customWidth="1"/>
    <col min="12315" max="12315" width="11.7109375" style="3" bestFit="1" customWidth="1"/>
    <col min="12316" max="12316" width="14.28515625" style="3" customWidth="1"/>
    <col min="12317" max="12317" width="11.7109375" style="3" bestFit="1" customWidth="1"/>
    <col min="12318" max="12318" width="14.140625" style="3" bestFit="1" customWidth="1"/>
    <col min="12319" max="12319" width="16.7109375" style="3" customWidth="1"/>
    <col min="12320" max="12320" width="16.5703125" style="3" customWidth="1"/>
    <col min="12321" max="12322" width="7.85546875" style="3" bestFit="1" customWidth="1"/>
    <col min="12323" max="12323" width="8" style="3" bestFit="1" customWidth="1"/>
    <col min="12324" max="12325" width="7.85546875" style="3" bestFit="1" customWidth="1"/>
    <col min="12326" max="12326" width="9.7109375" style="3" customWidth="1"/>
    <col min="12327" max="12327" width="12.85546875" style="3" customWidth="1"/>
    <col min="12328" max="12564" width="9.140625" style="3"/>
    <col min="12565" max="12565" width="9" style="3" bestFit="1" customWidth="1"/>
    <col min="12566" max="12566" width="9.85546875" style="3" bestFit="1" customWidth="1"/>
    <col min="12567" max="12567" width="9.140625" style="3" bestFit="1" customWidth="1"/>
    <col min="12568" max="12568" width="16" style="3" bestFit="1" customWidth="1"/>
    <col min="12569" max="12569" width="9" style="3" bestFit="1" customWidth="1"/>
    <col min="12570" max="12570" width="7.85546875" style="3" bestFit="1" customWidth="1"/>
    <col min="12571" max="12571" width="11.7109375" style="3" bestFit="1" customWidth="1"/>
    <col min="12572" max="12572" width="14.28515625" style="3" customWidth="1"/>
    <col min="12573" max="12573" width="11.7109375" style="3" bestFit="1" customWidth="1"/>
    <col min="12574" max="12574" width="14.140625" style="3" bestFit="1" customWidth="1"/>
    <col min="12575" max="12575" width="16.7109375" style="3" customWidth="1"/>
    <col min="12576" max="12576" width="16.5703125" style="3" customWidth="1"/>
    <col min="12577" max="12578" width="7.85546875" style="3" bestFit="1" customWidth="1"/>
    <col min="12579" max="12579" width="8" style="3" bestFit="1" customWidth="1"/>
    <col min="12580" max="12581" width="7.85546875" style="3" bestFit="1" customWidth="1"/>
    <col min="12582" max="12582" width="9.7109375" style="3" customWidth="1"/>
    <col min="12583" max="12583" width="12.85546875" style="3" customWidth="1"/>
    <col min="12584" max="12820" width="9.140625" style="3"/>
    <col min="12821" max="12821" width="9" style="3" bestFit="1" customWidth="1"/>
    <col min="12822" max="12822" width="9.85546875" style="3" bestFit="1" customWidth="1"/>
    <col min="12823" max="12823" width="9.140625" style="3" bestFit="1" customWidth="1"/>
    <col min="12824" max="12824" width="16" style="3" bestFit="1" customWidth="1"/>
    <col min="12825" max="12825" width="9" style="3" bestFit="1" customWidth="1"/>
    <col min="12826" max="12826" width="7.85546875" style="3" bestFit="1" customWidth="1"/>
    <col min="12827" max="12827" width="11.7109375" style="3" bestFit="1" customWidth="1"/>
    <col min="12828" max="12828" width="14.28515625" style="3" customWidth="1"/>
    <col min="12829" max="12829" width="11.7109375" style="3" bestFit="1" customWidth="1"/>
    <col min="12830" max="12830" width="14.140625" style="3" bestFit="1" customWidth="1"/>
    <col min="12831" max="12831" width="16.7109375" style="3" customWidth="1"/>
    <col min="12832" max="12832" width="16.5703125" style="3" customWidth="1"/>
    <col min="12833" max="12834" width="7.85546875" style="3" bestFit="1" customWidth="1"/>
    <col min="12835" max="12835" width="8" style="3" bestFit="1" customWidth="1"/>
    <col min="12836" max="12837" width="7.85546875" style="3" bestFit="1" customWidth="1"/>
    <col min="12838" max="12838" width="9.7109375" style="3" customWidth="1"/>
    <col min="12839" max="12839" width="12.85546875" style="3" customWidth="1"/>
    <col min="12840" max="13076" width="9.140625" style="3"/>
    <col min="13077" max="13077" width="9" style="3" bestFit="1" customWidth="1"/>
    <col min="13078" max="13078" width="9.85546875" style="3" bestFit="1" customWidth="1"/>
    <col min="13079" max="13079" width="9.140625" style="3" bestFit="1" customWidth="1"/>
    <col min="13080" max="13080" width="16" style="3" bestFit="1" customWidth="1"/>
    <col min="13081" max="13081" width="9" style="3" bestFit="1" customWidth="1"/>
    <col min="13082" max="13082" width="7.85546875" style="3" bestFit="1" customWidth="1"/>
    <col min="13083" max="13083" width="11.7109375" style="3" bestFit="1" customWidth="1"/>
    <col min="13084" max="13084" width="14.28515625" style="3" customWidth="1"/>
    <col min="13085" max="13085" width="11.7109375" style="3" bestFit="1" customWidth="1"/>
    <col min="13086" max="13086" width="14.140625" style="3" bestFit="1" customWidth="1"/>
    <col min="13087" max="13087" width="16.7109375" style="3" customWidth="1"/>
    <col min="13088" max="13088" width="16.5703125" style="3" customWidth="1"/>
    <col min="13089" max="13090" width="7.85546875" style="3" bestFit="1" customWidth="1"/>
    <col min="13091" max="13091" width="8" style="3" bestFit="1" customWidth="1"/>
    <col min="13092" max="13093" width="7.85546875" style="3" bestFit="1" customWidth="1"/>
    <col min="13094" max="13094" width="9.7109375" style="3" customWidth="1"/>
    <col min="13095" max="13095" width="12.85546875" style="3" customWidth="1"/>
    <col min="13096" max="13332" width="9.140625" style="3"/>
    <col min="13333" max="13333" width="9" style="3" bestFit="1" customWidth="1"/>
    <col min="13334" max="13334" width="9.85546875" style="3" bestFit="1" customWidth="1"/>
    <col min="13335" max="13335" width="9.140625" style="3" bestFit="1" customWidth="1"/>
    <col min="13336" max="13336" width="16" style="3" bestFit="1" customWidth="1"/>
    <col min="13337" max="13337" width="9" style="3" bestFit="1" customWidth="1"/>
    <col min="13338" max="13338" width="7.85546875" style="3" bestFit="1" customWidth="1"/>
    <col min="13339" max="13339" width="11.7109375" style="3" bestFit="1" customWidth="1"/>
    <col min="13340" max="13340" width="14.28515625" style="3" customWidth="1"/>
    <col min="13341" max="13341" width="11.7109375" style="3" bestFit="1" customWidth="1"/>
    <col min="13342" max="13342" width="14.140625" style="3" bestFit="1" customWidth="1"/>
    <col min="13343" max="13343" width="16.7109375" style="3" customWidth="1"/>
    <col min="13344" max="13344" width="16.5703125" style="3" customWidth="1"/>
    <col min="13345" max="13346" width="7.85546875" style="3" bestFit="1" customWidth="1"/>
    <col min="13347" max="13347" width="8" style="3" bestFit="1" customWidth="1"/>
    <col min="13348" max="13349" width="7.85546875" style="3" bestFit="1" customWidth="1"/>
    <col min="13350" max="13350" width="9.7109375" style="3" customWidth="1"/>
    <col min="13351" max="13351" width="12.85546875" style="3" customWidth="1"/>
    <col min="13352" max="13588" width="9.140625" style="3"/>
    <col min="13589" max="13589" width="9" style="3" bestFit="1" customWidth="1"/>
    <col min="13590" max="13590" width="9.85546875" style="3" bestFit="1" customWidth="1"/>
    <col min="13591" max="13591" width="9.140625" style="3" bestFit="1" customWidth="1"/>
    <col min="13592" max="13592" width="16" style="3" bestFit="1" customWidth="1"/>
    <col min="13593" max="13593" width="9" style="3" bestFit="1" customWidth="1"/>
    <col min="13594" max="13594" width="7.85546875" style="3" bestFit="1" customWidth="1"/>
    <col min="13595" max="13595" width="11.7109375" style="3" bestFit="1" customWidth="1"/>
    <col min="13596" max="13596" width="14.28515625" style="3" customWidth="1"/>
    <col min="13597" max="13597" width="11.7109375" style="3" bestFit="1" customWidth="1"/>
    <col min="13598" max="13598" width="14.140625" style="3" bestFit="1" customWidth="1"/>
    <col min="13599" max="13599" width="16.7109375" style="3" customWidth="1"/>
    <col min="13600" max="13600" width="16.5703125" style="3" customWidth="1"/>
    <col min="13601" max="13602" width="7.85546875" style="3" bestFit="1" customWidth="1"/>
    <col min="13603" max="13603" width="8" style="3" bestFit="1" customWidth="1"/>
    <col min="13604" max="13605" width="7.85546875" style="3" bestFit="1" customWidth="1"/>
    <col min="13606" max="13606" width="9.7109375" style="3" customWidth="1"/>
    <col min="13607" max="13607" width="12.85546875" style="3" customWidth="1"/>
    <col min="13608" max="13844" width="9.140625" style="3"/>
    <col min="13845" max="13845" width="9" style="3" bestFit="1" customWidth="1"/>
    <col min="13846" max="13846" width="9.85546875" style="3" bestFit="1" customWidth="1"/>
    <col min="13847" max="13847" width="9.140625" style="3" bestFit="1" customWidth="1"/>
    <col min="13848" max="13848" width="16" style="3" bestFit="1" customWidth="1"/>
    <col min="13849" max="13849" width="9" style="3" bestFit="1" customWidth="1"/>
    <col min="13850" max="13850" width="7.85546875" style="3" bestFit="1" customWidth="1"/>
    <col min="13851" max="13851" width="11.7109375" style="3" bestFit="1" customWidth="1"/>
    <col min="13852" max="13852" width="14.28515625" style="3" customWidth="1"/>
    <col min="13853" max="13853" width="11.7109375" style="3" bestFit="1" customWidth="1"/>
    <col min="13854" max="13854" width="14.140625" style="3" bestFit="1" customWidth="1"/>
    <col min="13855" max="13855" width="16.7109375" style="3" customWidth="1"/>
    <col min="13856" max="13856" width="16.5703125" style="3" customWidth="1"/>
    <col min="13857" max="13858" width="7.85546875" style="3" bestFit="1" customWidth="1"/>
    <col min="13859" max="13859" width="8" style="3" bestFit="1" customWidth="1"/>
    <col min="13860" max="13861" width="7.85546875" style="3" bestFit="1" customWidth="1"/>
    <col min="13862" max="13862" width="9.7109375" style="3" customWidth="1"/>
    <col min="13863" max="13863" width="12.85546875" style="3" customWidth="1"/>
    <col min="13864" max="14100" width="9.140625" style="3"/>
    <col min="14101" max="14101" width="9" style="3" bestFit="1" customWidth="1"/>
    <col min="14102" max="14102" width="9.85546875" style="3" bestFit="1" customWidth="1"/>
    <col min="14103" max="14103" width="9.140625" style="3" bestFit="1" customWidth="1"/>
    <col min="14104" max="14104" width="16" style="3" bestFit="1" customWidth="1"/>
    <col min="14105" max="14105" width="9" style="3" bestFit="1" customWidth="1"/>
    <col min="14106" max="14106" width="7.85546875" style="3" bestFit="1" customWidth="1"/>
    <col min="14107" max="14107" width="11.7109375" style="3" bestFit="1" customWidth="1"/>
    <col min="14108" max="14108" width="14.28515625" style="3" customWidth="1"/>
    <col min="14109" max="14109" width="11.7109375" style="3" bestFit="1" customWidth="1"/>
    <col min="14110" max="14110" width="14.140625" style="3" bestFit="1" customWidth="1"/>
    <col min="14111" max="14111" width="16.7109375" style="3" customWidth="1"/>
    <col min="14112" max="14112" width="16.5703125" style="3" customWidth="1"/>
    <col min="14113" max="14114" width="7.85546875" style="3" bestFit="1" customWidth="1"/>
    <col min="14115" max="14115" width="8" style="3" bestFit="1" customWidth="1"/>
    <col min="14116" max="14117" width="7.85546875" style="3" bestFit="1" customWidth="1"/>
    <col min="14118" max="14118" width="9.7109375" style="3" customWidth="1"/>
    <col min="14119" max="14119" width="12.85546875" style="3" customWidth="1"/>
    <col min="14120" max="14356" width="9.140625" style="3"/>
    <col min="14357" max="14357" width="9" style="3" bestFit="1" customWidth="1"/>
    <col min="14358" max="14358" width="9.85546875" style="3" bestFit="1" customWidth="1"/>
    <col min="14359" max="14359" width="9.140625" style="3" bestFit="1" customWidth="1"/>
    <col min="14360" max="14360" width="16" style="3" bestFit="1" customWidth="1"/>
    <col min="14361" max="14361" width="9" style="3" bestFit="1" customWidth="1"/>
    <col min="14362" max="14362" width="7.85546875" style="3" bestFit="1" customWidth="1"/>
    <col min="14363" max="14363" width="11.7109375" style="3" bestFit="1" customWidth="1"/>
    <col min="14364" max="14364" width="14.28515625" style="3" customWidth="1"/>
    <col min="14365" max="14365" width="11.7109375" style="3" bestFit="1" customWidth="1"/>
    <col min="14366" max="14366" width="14.140625" style="3" bestFit="1" customWidth="1"/>
    <col min="14367" max="14367" width="16.7109375" style="3" customWidth="1"/>
    <col min="14368" max="14368" width="16.5703125" style="3" customWidth="1"/>
    <col min="14369" max="14370" width="7.85546875" style="3" bestFit="1" customWidth="1"/>
    <col min="14371" max="14371" width="8" style="3" bestFit="1" customWidth="1"/>
    <col min="14372" max="14373" width="7.85546875" style="3" bestFit="1" customWidth="1"/>
    <col min="14374" max="14374" width="9.7109375" style="3" customWidth="1"/>
    <col min="14375" max="14375" width="12.85546875" style="3" customWidth="1"/>
    <col min="14376" max="14612" width="9.140625" style="3"/>
    <col min="14613" max="14613" width="9" style="3" bestFit="1" customWidth="1"/>
    <col min="14614" max="14614" width="9.85546875" style="3" bestFit="1" customWidth="1"/>
    <col min="14615" max="14615" width="9.140625" style="3" bestFit="1" customWidth="1"/>
    <col min="14616" max="14616" width="16" style="3" bestFit="1" customWidth="1"/>
    <col min="14617" max="14617" width="9" style="3" bestFit="1" customWidth="1"/>
    <col min="14618" max="14618" width="7.85546875" style="3" bestFit="1" customWidth="1"/>
    <col min="14619" max="14619" width="11.7109375" style="3" bestFit="1" customWidth="1"/>
    <col min="14620" max="14620" width="14.28515625" style="3" customWidth="1"/>
    <col min="14621" max="14621" width="11.7109375" style="3" bestFit="1" customWidth="1"/>
    <col min="14622" max="14622" width="14.140625" style="3" bestFit="1" customWidth="1"/>
    <col min="14623" max="14623" width="16.7109375" style="3" customWidth="1"/>
    <col min="14624" max="14624" width="16.5703125" style="3" customWidth="1"/>
    <col min="14625" max="14626" width="7.85546875" style="3" bestFit="1" customWidth="1"/>
    <col min="14627" max="14627" width="8" style="3" bestFit="1" customWidth="1"/>
    <col min="14628" max="14629" width="7.85546875" style="3" bestFit="1" customWidth="1"/>
    <col min="14630" max="14630" width="9.7109375" style="3" customWidth="1"/>
    <col min="14631" max="14631" width="12.85546875" style="3" customWidth="1"/>
    <col min="14632" max="14868" width="9.140625" style="3"/>
    <col min="14869" max="14869" width="9" style="3" bestFit="1" customWidth="1"/>
    <col min="14870" max="14870" width="9.85546875" style="3" bestFit="1" customWidth="1"/>
    <col min="14871" max="14871" width="9.140625" style="3" bestFit="1" customWidth="1"/>
    <col min="14872" max="14872" width="16" style="3" bestFit="1" customWidth="1"/>
    <col min="14873" max="14873" width="9" style="3" bestFit="1" customWidth="1"/>
    <col min="14874" max="14874" width="7.85546875" style="3" bestFit="1" customWidth="1"/>
    <col min="14875" max="14875" width="11.7109375" style="3" bestFit="1" customWidth="1"/>
    <col min="14876" max="14876" width="14.28515625" style="3" customWidth="1"/>
    <col min="14877" max="14877" width="11.7109375" style="3" bestFit="1" customWidth="1"/>
    <col min="14878" max="14878" width="14.140625" style="3" bestFit="1" customWidth="1"/>
    <col min="14879" max="14879" width="16.7109375" style="3" customWidth="1"/>
    <col min="14880" max="14880" width="16.5703125" style="3" customWidth="1"/>
    <col min="14881" max="14882" width="7.85546875" style="3" bestFit="1" customWidth="1"/>
    <col min="14883" max="14883" width="8" style="3" bestFit="1" customWidth="1"/>
    <col min="14884" max="14885" width="7.85546875" style="3" bestFit="1" customWidth="1"/>
    <col min="14886" max="14886" width="9.7109375" style="3" customWidth="1"/>
    <col min="14887" max="14887" width="12.85546875" style="3" customWidth="1"/>
    <col min="14888" max="15124" width="9.140625" style="3"/>
    <col min="15125" max="15125" width="9" style="3" bestFit="1" customWidth="1"/>
    <col min="15126" max="15126" width="9.85546875" style="3" bestFit="1" customWidth="1"/>
    <col min="15127" max="15127" width="9.140625" style="3" bestFit="1" customWidth="1"/>
    <col min="15128" max="15128" width="16" style="3" bestFit="1" customWidth="1"/>
    <col min="15129" max="15129" width="9" style="3" bestFit="1" customWidth="1"/>
    <col min="15130" max="15130" width="7.85546875" style="3" bestFit="1" customWidth="1"/>
    <col min="15131" max="15131" width="11.7109375" style="3" bestFit="1" customWidth="1"/>
    <col min="15132" max="15132" width="14.28515625" style="3" customWidth="1"/>
    <col min="15133" max="15133" width="11.7109375" style="3" bestFit="1" customWidth="1"/>
    <col min="15134" max="15134" width="14.140625" style="3" bestFit="1" customWidth="1"/>
    <col min="15135" max="15135" width="16.7109375" style="3" customWidth="1"/>
    <col min="15136" max="15136" width="16.5703125" style="3" customWidth="1"/>
    <col min="15137" max="15138" width="7.85546875" style="3" bestFit="1" customWidth="1"/>
    <col min="15139" max="15139" width="8" style="3" bestFit="1" customWidth="1"/>
    <col min="15140" max="15141" width="7.85546875" style="3" bestFit="1" customWidth="1"/>
    <col min="15142" max="15142" width="9.7109375" style="3" customWidth="1"/>
    <col min="15143" max="15143" width="12.85546875" style="3" customWidth="1"/>
    <col min="15144" max="15380" width="9.140625" style="3"/>
    <col min="15381" max="15381" width="9" style="3" bestFit="1" customWidth="1"/>
    <col min="15382" max="15382" width="9.85546875" style="3" bestFit="1" customWidth="1"/>
    <col min="15383" max="15383" width="9.140625" style="3" bestFit="1" customWidth="1"/>
    <col min="15384" max="15384" width="16" style="3" bestFit="1" customWidth="1"/>
    <col min="15385" max="15385" width="9" style="3" bestFit="1" customWidth="1"/>
    <col min="15386" max="15386" width="7.85546875" style="3" bestFit="1" customWidth="1"/>
    <col min="15387" max="15387" width="11.7109375" style="3" bestFit="1" customWidth="1"/>
    <col min="15388" max="15388" width="14.28515625" style="3" customWidth="1"/>
    <col min="15389" max="15389" width="11.7109375" style="3" bestFit="1" customWidth="1"/>
    <col min="15390" max="15390" width="14.140625" style="3" bestFit="1" customWidth="1"/>
    <col min="15391" max="15391" width="16.7109375" style="3" customWidth="1"/>
    <col min="15392" max="15392" width="16.5703125" style="3" customWidth="1"/>
    <col min="15393" max="15394" width="7.85546875" style="3" bestFit="1" customWidth="1"/>
    <col min="15395" max="15395" width="8" style="3" bestFit="1" customWidth="1"/>
    <col min="15396" max="15397" width="7.85546875" style="3" bestFit="1" customWidth="1"/>
    <col min="15398" max="15398" width="9.7109375" style="3" customWidth="1"/>
    <col min="15399" max="15399" width="12.85546875" style="3" customWidth="1"/>
    <col min="15400" max="15636" width="9.140625" style="3"/>
    <col min="15637" max="15637" width="9" style="3" bestFit="1" customWidth="1"/>
    <col min="15638" max="15638" width="9.85546875" style="3" bestFit="1" customWidth="1"/>
    <col min="15639" max="15639" width="9.140625" style="3" bestFit="1" customWidth="1"/>
    <col min="15640" max="15640" width="16" style="3" bestFit="1" customWidth="1"/>
    <col min="15641" max="15641" width="9" style="3" bestFit="1" customWidth="1"/>
    <col min="15642" max="15642" width="7.85546875" style="3" bestFit="1" customWidth="1"/>
    <col min="15643" max="15643" width="11.7109375" style="3" bestFit="1" customWidth="1"/>
    <col min="15644" max="15644" width="14.28515625" style="3" customWidth="1"/>
    <col min="15645" max="15645" width="11.7109375" style="3" bestFit="1" customWidth="1"/>
    <col min="15646" max="15646" width="14.140625" style="3" bestFit="1" customWidth="1"/>
    <col min="15647" max="15647" width="16.7109375" style="3" customWidth="1"/>
    <col min="15648" max="15648" width="16.5703125" style="3" customWidth="1"/>
    <col min="15649" max="15650" width="7.85546875" style="3" bestFit="1" customWidth="1"/>
    <col min="15651" max="15651" width="8" style="3" bestFit="1" customWidth="1"/>
    <col min="15652" max="15653" width="7.85546875" style="3" bestFit="1" customWidth="1"/>
    <col min="15654" max="15654" width="9.7109375" style="3" customWidth="1"/>
    <col min="15655" max="15655" width="12.85546875" style="3" customWidth="1"/>
    <col min="15656" max="15892" width="9.140625" style="3"/>
    <col min="15893" max="15893" width="9" style="3" bestFit="1" customWidth="1"/>
    <col min="15894" max="15894" width="9.85546875" style="3" bestFit="1" customWidth="1"/>
    <col min="15895" max="15895" width="9.140625" style="3" bestFit="1" customWidth="1"/>
    <col min="15896" max="15896" width="16" style="3" bestFit="1" customWidth="1"/>
    <col min="15897" max="15897" width="9" style="3" bestFit="1" customWidth="1"/>
    <col min="15898" max="15898" width="7.85546875" style="3" bestFit="1" customWidth="1"/>
    <col min="15899" max="15899" width="11.7109375" style="3" bestFit="1" customWidth="1"/>
    <col min="15900" max="15900" width="14.28515625" style="3" customWidth="1"/>
    <col min="15901" max="15901" width="11.7109375" style="3" bestFit="1" customWidth="1"/>
    <col min="15902" max="15902" width="14.140625" style="3" bestFit="1" customWidth="1"/>
    <col min="15903" max="15903" width="16.7109375" style="3" customWidth="1"/>
    <col min="15904" max="15904" width="16.5703125" style="3" customWidth="1"/>
    <col min="15905" max="15906" width="7.85546875" style="3" bestFit="1" customWidth="1"/>
    <col min="15907" max="15907" width="8" style="3" bestFit="1" customWidth="1"/>
    <col min="15908" max="15909" width="7.85546875" style="3" bestFit="1" customWidth="1"/>
    <col min="15910" max="15910" width="9.7109375" style="3" customWidth="1"/>
    <col min="15911" max="15911" width="12.85546875" style="3" customWidth="1"/>
    <col min="15912" max="16148" width="9.140625" style="3"/>
    <col min="16149" max="16149" width="9" style="3" bestFit="1" customWidth="1"/>
    <col min="16150" max="16150" width="9.85546875" style="3" bestFit="1" customWidth="1"/>
    <col min="16151" max="16151" width="9.140625" style="3" bestFit="1" customWidth="1"/>
    <col min="16152" max="16152" width="16" style="3" bestFit="1" customWidth="1"/>
    <col min="16153" max="16153" width="9" style="3" bestFit="1" customWidth="1"/>
    <col min="16154" max="16154" width="7.85546875" style="3" bestFit="1" customWidth="1"/>
    <col min="16155" max="16155" width="11.7109375" style="3" bestFit="1" customWidth="1"/>
    <col min="16156" max="16156" width="14.28515625" style="3" customWidth="1"/>
    <col min="16157" max="16157" width="11.7109375" style="3" bestFit="1" customWidth="1"/>
    <col min="16158" max="16158" width="14.140625" style="3" bestFit="1" customWidth="1"/>
    <col min="16159" max="16159" width="16.7109375" style="3" customWidth="1"/>
    <col min="16160" max="16160" width="16.5703125" style="3" customWidth="1"/>
    <col min="16161" max="16162" width="7.85546875" style="3" bestFit="1" customWidth="1"/>
    <col min="16163" max="16163" width="8" style="3" bestFit="1" customWidth="1"/>
    <col min="16164" max="16165" width="7.85546875" style="3" bestFit="1" customWidth="1"/>
    <col min="16166" max="16166" width="9.7109375" style="3" customWidth="1"/>
    <col min="16167" max="16167" width="12.85546875" style="3" customWidth="1"/>
    <col min="16168" max="16384" width="9.140625" style="3"/>
  </cols>
  <sheetData>
    <row r="1" spans="1:80" s="6" customFormat="1" ht="15.75" customHeight="1">
      <c r="A1" s="638" t="s">
        <v>1</v>
      </c>
      <c r="B1" s="590"/>
      <c r="C1" s="827" t="s">
        <v>0</v>
      </c>
      <c r="D1" s="830" t="s">
        <v>94</v>
      </c>
      <c r="E1" s="831"/>
      <c r="F1" s="813" t="s">
        <v>95</v>
      </c>
      <c r="G1" s="813"/>
      <c r="H1" s="813"/>
      <c r="I1" s="814" t="s">
        <v>176</v>
      </c>
      <c r="J1" s="814"/>
      <c r="K1" s="813" t="s">
        <v>180</v>
      </c>
      <c r="L1" s="813"/>
      <c r="M1" s="813"/>
      <c r="N1" s="813"/>
      <c r="O1" s="813"/>
      <c r="P1" s="813"/>
      <c r="Q1" s="813"/>
      <c r="R1" s="813"/>
      <c r="S1" s="813"/>
      <c r="T1" s="813"/>
      <c r="U1" s="813"/>
      <c r="V1" s="813"/>
      <c r="W1" s="813"/>
      <c r="X1" s="813"/>
      <c r="Y1" s="813"/>
      <c r="Z1" s="813"/>
      <c r="AA1" s="813"/>
      <c r="AB1" s="813"/>
      <c r="AC1" s="813"/>
      <c r="AD1" s="813"/>
      <c r="AE1" s="813"/>
      <c r="AF1" s="813"/>
      <c r="AG1" s="813"/>
      <c r="AH1" s="813"/>
      <c r="AI1" s="813"/>
      <c r="AJ1" s="829" t="s">
        <v>181</v>
      </c>
      <c r="AK1" s="829"/>
      <c r="AL1" s="829"/>
      <c r="AM1" s="829"/>
      <c r="AN1" s="829"/>
      <c r="AO1" s="829"/>
      <c r="AP1" s="829"/>
      <c r="AQ1" s="829"/>
      <c r="AR1" s="829"/>
      <c r="AS1" s="829"/>
      <c r="AT1" s="829"/>
      <c r="AU1" s="829"/>
      <c r="AV1" s="829"/>
      <c r="AW1" s="829"/>
      <c r="AX1" s="829"/>
      <c r="AY1" s="815" t="s">
        <v>197</v>
      </c>
      <c r="AZ1" s="816"/>
      <c r="BA1" s="816"/>
      <c r="BB1" s="816"/>
      <c r="BC1" s="816"/>
      <c r="BD1" s="817"/>
      <c r="BE1" s="818" t="s">
        <v>201</v>
      </c>
      <c r="BF1" s="819"/>
      <c r="BG1" s="819"/>
      <c r="BH1" s="820"/>
      <c r="BI1" s="826" t="s">
        <v>189</v>
      </c>
      <c r="BJ1" s="826"/>
      <c r="BK1" s="826"/>
      <c r="BL1" s="826"/>
      <c r="BM1" s="826"/>
      <c r="BN1" s="826"/>
      <c r="BO1" s="826"/>
      <c r="BP1" s="826"/>
      <c r="BQ1" s="826"/>
      <c r="BR1" s="826"/>
      <c r="BS1" s="826"/>
      <c r="BT1" s="823" t="s">
        <v>520</v>
      </c>
      <c r="BU1" s="824"/>
      <c r="BV1" s="824"/>
      <c r="BW1" s="824"/>
      <c r="BX1" s="824"/>
      <c r="BY1" s="825"/>
      <c r="BZ1" s="821" t="s">
        <v>300</v>
      </c>
      <c r="CA1" s="822"/>
      <c r="CB1" s="822"/>
    </row>
    <row r="2" spans="1:80" ht="23.25" thickBot="1">
      <c r="A2" s="639"/>
      <c r="B2" s="591"/>
      <c r="C2" s="828"/>
      <c r="D2" s="162"/>
      <c r="E2" s="180" t="s">
        <v>92</v>
      </c>
      <c r="F2" s="144"/>
      <c r="G2" s="181" t="s">
        <v>92</v>
      </c>
      <c r="H2" s="143" t="s">
        <v>175</v>
      </c>
      <c r="I2" s="144"/>
      <c r="J2" s="208" t="s">
        <v>92</v>
      </c>
      <c r="K2" s="144" t="s">
        <v>255</v>
      </c>
      <c r="L2" s="144" t="s">
        <v>256</v>
      </c>
      <c r="M2" s="144" t="s">
        <v>257</v>
      </c>
      <c r="N2" s="144" t="s">
        <v>258</v>
      </c>
      <c r="O2" s="144" t="s">
        <v>259</v>
      </c>
      <c r="P2" s="144" t="s">
        <v>459</v>
      </c>
      <c r="Q2" s="144" t="s">
        <v>468</v>
      </c>
      <c r="R2" s="144" t="s">
        <v>472</v>
      </c>
      <c r="S2" s="144" t="s">
        <v>535</v>
      </c>
      <c r="T2" s="144" t="s">
        <v>260</v>
      </c>
      <c r="U2" s="144" t="s">
        <v>424</v>
      </c>
      <c r="V2" s="144" t="s">
        <v>425</v>
      </c>
      <c r="W2" s="144" t="s">
        <v>453</v>
      </c>
      <c r="X2" s="144" t="s">
        <v>462</v>
      </c>
      <c r="Y2" s="144" t="s">
        <v>542</v>
      </c>
      <c r="Z2" s="144" t="s">
        <v>261</v>
      </c>
      <c r="AA2" s="144" t="s">
        <v>262</v>
      </c>
      <c r="AB2" s="144" t="s">
        <v>263</v>
      </c>
      <c r="AC2" s="144" t="s">
        <v>295</v>
      </c>
      <c r="AD2" s="144" t="s">
        <v>293</v>
      </c>
      <c r="AE2" s="144" t="s">
        <v>294</v>
      </c>
      <c r="AF2" s="144"/>
      <c r="AG2" s="144" t="s">
        <v>544</v>
      </c>
      <c r="AH2" s="144" t="s">
        <v>47</v>
      </c>
      <c r="AI2" s="142" t="s">
        <v>29</v>
      </c>
      <c r="AJ2" s="144" t="s">
        <v>182</v>
      </c>
      <c r="AK2" s="144" t="s">
        <v>183</v>
      </c>
      <c r="AL2" s="144" t="s">
        <v>184</v>
      </c>
      <c r="AM2" s="144" t="s">
        <v>186</v>
      </c>
      <c r="AN2" s="144" t="s">
        <v>187</v>
      </c>
      <c r="AO2" s="144" t="s">
        <v>188</v>
      </c>
      <c r="AP2" s="144" t="s">
        <v>281</v>
      </c>
      <c r="AQ2" s="144" t="s">
        <v>282</v>
      </c>
      <c r="AR2" s="144" t="s">
        <v>283</v>
      </c>
      <c r="AS2" s="144" t="s">
        <v>475</v>
      </c>
      <c r="AT2" s="144" t="s">
        <v>455</v>
      </c>
      <c r="AU2" s="144" t="s">
        <v>456</v>
      </c>
      <c r="AV2" s="144"/>
      <c r="AW2" s="144"/>
      <c r="AX2" s="147" t="s">
        <v>47</v>
      </c>
      <c r="AY2" s="144" t="s">
        <v>194</v>
      </c>
      <c r="AZ2" s="144" t="s">
        <v>195</v>
      </c>
      <c r="BA2" s="144" t="s">
        <v>198</v>
      </c>
      <c r="BB2" s="144" t="s">
        <v>196</v>
      </c>
      <c r="BC2" s="144" t="s">
        <v>200</v>
      </c>
      <c r="BD2" s="142" t="s">
        <v>47</v>
      </c>
      <c r="BE2" s="144" t="s">
        <v>205</v>
      </c>
      <c r="BF2" s="144" t="s">
        <v>206</v>
      </c>
      <c r="BG2" s="144" t="s">
        <v>207</v>
      </c>
      <c r="BH2" s="145" t="s">
        <v>47</v>
      </c>
      <c r="BI2" s="144" t="s">
        <v>216</v>
      </c>
      <c r="BJ2" s="144" t="s">
        <v>217</v>
      </c>
      <c r="BK2" s="144" t="s">
        <v>220</v>
      </c>
      <c r="BL2" s="144" t="s">
        <v>225</v>
      </c>
      <c r="BM2" s="144" t="s">
        <v>226</v>
      </c>
      <c r="BN2" s="144" t="s">
        <v>227</v>
      </c>
      <c r="BO2" s="144" t="s">
        <v>296</v>
      </c>
      <c r="BP2" s="144" t="s">
        <v>297</v>
      </c>
      <c r="BQ2" s="144" t="s">
        <v>442</v>
      </c>
      <c r="BR2" s="144" t="s">
        <v>443</v>
      </c>
      <c r="BS2" s="142" t="s">
        <v>47</v>
      </c>
      <c r="BT2" s="162" t="s">
        <v>521</v>
      </c>
      <c r="BU2" s="162" t="s">
        <v>522</v>
      </c>
      <c r="BV2" s="162" t="s">
        <v>523</v>
      </c>
      <c r="BW2" s="162" t="s">
        <v>524</v>
      </c>
      <c r="BX2" s="162" t="s">
        <v>525</v>
      </c>
      <c r="BY2" s="386" t="s">
        <v>526</v>
      </c>
      <c r="BZ2" s="162" t="s">
        <v>141</v>
      </c>
      <c r="CA2" s="300" t="s">
        <v>467</v>
      </c>
      <c r="CB2" s="387" t="s">
        <v>527</v>
      </c>
    </row>
    <row r="3" spans="1:80" s="5" customFormat="1" ht="12" thickBot="1">
      <c r="A3" s="474" t="str">
        <f>'1-συμβολαια'!A3</f>
        <v>10ο</v>
      </c>
      <c r="B3" s="510">
        <f>'1-συμβολαια'!B3</f>
        <v>40785</v>
      </c>
      <c r="C3" s="511" t="str">
        <f>'1-συμβολαια'!C3</f>
        <v>πληρεξούσιο</v>
      </c>
      <c r="D3" s="551">
        <f>'5-αντίγρ'!AN3</f>
        <v>0</v>
      </c>
      <c r="E3" s="551">
        <f>'5-αντίγρ'!AM3</f>
        <v>0</v>
      </c>
      <c r="F3" s="586">
        <f>'6-μεταγρ'!P3</f>
        <v>0</v>
      </c>
      <c r="G3" s="586">
        <f>'6-μεταγρ'!N3</f>
        <v>0</v>
      </c>
      <c r="H3" s="586">
        <f>'6-μεταγρ'!Q3</f>
        <v>0</v>
      </c>
      <c r="I3" s="586">
        <f>'7-προςΔΟΥ'!W3</f>
        <v>0</v>
      </c>
      <c r="J3" s="587">
        <f>'7-προςΔΟΥ'!L3</f>
        <v>0</v>
      </c>
      <c r="K3" s="596"/>
      <c r="L3" s="596"/>
      <c r="M3" s="596"/>
      <c r="N3" s="596"/>
      <c r="O3" s="596"/>
      <c r="P3" s="596"/>
      <c r="Q3" s="596"/>
      <c r="R3" s="596"/>
      <c r="S3" s="596"/>
      <c r="T3" s="596"/>
      <c r="U3" s="596"/>
      <c r="V3" s="596"/>
      <c r="W3" s="596"/>
      <c r="X3" s="596"/>
      <c r="Y3" s="596"/>
      <c r="Z3" s="596"/>
      <c r="AA3" s="596"/>
      <c r="AB3" s="596"/>
      <c r="AC3" s="596"/>
      <c r="AD3" s="596"/>
      <c r="AE3" s="597"/>
      <c r="AF3" s="597"/>
      <c r="AG3" s="597"/>
      <c r="AH3" s="596">
        <f t="shared" ref="AH3" si="0">SUM(K3:AG3)</f>
        <v>0</v>
      </c>
      <c r="AI3" s="597"/>
      <c r="AJ3" s="596"/>
      <c r="AK3" s="596"/>
      <c r="AL3" s="596"/>
      <c r="AM3" s="596"/>
      <c r="AN3" s="596"/>
      <c r="AO3" s="596"/>
      <c r="AP3" s="596"/>
      <c r="AQ3" s="596"/>
      <c r="AR3" s="596"/>
      <c r="AS3" s="596"/>
      <c r="AT3" s="596"/>
      <c r="AU3" s="596"/>
      <c r="AV3" s="597"/>
      <c r="AW3" s="597"/>
      <c r="AX3" s="596">
        <f t="shared" ref="AX3" si="1">SUM(AJ3:AW3)</f>
        <v>0</v>
      </c>
      <c r="AY3" s="596"/>
      <c r="AZ3" s="597"/>
      <c r="BA3" s="596"/>
      <c r="BB3" s="597"/>
      <c r="BC3" s="597"/>
      <c r="BD3" s="596">
        <f t="shared" ref="BD3" si="2">SUM(AY3:BC3)</f>
        <v>0</v>
      </c>
      <c r="BE3" s="597"/>
      <c r="BF3" s="597"/>
      <c r="BG3" s="596"/>
      <c r="BH3" s="597">
        <f t="shared" ref="BH3" si="3">SUM(BE3:BG3)</f>
        <v>0</v>
      </c>
      <c r="BI3" s="597"/>
      <c r="BJ3" s="597"/>
      <c r="BK3" s="597"/>
      <c r="BL3" s="597"/>
      <c r="BM3" s="597"/>
      <c r="BN3" s="597"/>
      <c r="BO3" s="596"/>
      <c r="BP3" s="596"/>
      <c r="BQ3" s="596"/>
      <c r="BR3" s="596">
        <v>0.6</v>
      </c>
      <c r="BS3" s="596">
        <f t="shared" ref="BS3" si="4">SUM(BI3:BR3)</f>
        <v>0.6</v>
      </c>
      <c r="BT3" s="596"/>
      <c r="BU3" s="596"/>
      <c r="BV3" s="596"/>
      <c r="BW3" s="596"/>
      <c r="BX3" s="596"/>
      <c r="BY3" s="596">
        <f t="shared" ref="BY3" si="5">SUM(BT3:BX3)</f>
        <v>0</v>
      </c>
      <c r="BZ3" s="598">
        <f t="shared" ref="BZ3" si="6">D3+F3+H3+I3+AH3+AX3+BD3+BH3+BS3+BY3-CA3</f>
        <v>0.6</v>
      </c>
      <c r="CA3" s="598">
        <f t="shared" ref="CA3" si="7">E3+G3+J3+BX3</f>
        <v>0</v>
      </c>
      <c r="CB3" s="599">
        <f t="shared" ref="CB3" si="8">BZ3*16%</f>
        <v>9.6000000000000002E-2</v>
      </c>
    </row>
    <row r="4" spans="1:80" s="5" customFormat="1">
      <c r="A4" s="533" t="str">
        <f>'1-συμβολαια'!A4</f>
        <v>11ο</v>
      </c>
      <c r="B4" s="593">
        <f>'1-συμβολαια'!B4</f>
        <v>40812</v>
      </c>
      <c r="C4" s="419" t="str">
        <f>'1-συμβολαια'!C4</f>
        <v>γονική [αγροτεμάχιο Θεολόγος -''βαλανίδια'' 16.832,18μ2</v>
      </c>
      <c r="D4" s="432">
        <f>'5-αντίγρ'!AN4</f>
        <v>55</v>
      </c>
      <c r="E4" s="432">
        <f>'5-αντίγρ'!AM4</f>
        <v>1.98</v>
      </c>
      <c r="F4" s="299">
        <f>'6-μεταγρ'!P4</f>
        <v>20</v>
      </c>
      <c r="G4" s="299">
        <f>'6-μεταγρ'!N4</f>
        <v>1.98</v>
      </c>
      <c r="H4" s="299">
        <f>'6-μεταγρ'!Q4</f>
        <v>0</v>
      </c>
      <c r="I4" s="299">
        <f>'7-προςΔΟΥ'!W4</f>
        <v>145</v>
      </c>
      <c r="J4" s="267">
        <f>'7-προςΔΟΥ'!L4</f>
        <v>0</v>
      </c>
      <c r="K4" s="299">
        <f>10+10+10</f>
        <v>30</v>
      </c>
      <c r="L4" s="299"/>
      <c r="M4" s="299"/>
      <c r="N4" s="299"/>
      <c r="O4" s="299"/>
      <c r="P4" s="299">
        <v>10</v>
      </c>
      <c r="Q4" s="299"/>
      <c r="R4" s="299"/>
      <c r="S4" s="299"/>
      <c r="T4" s="299">
        <f t="shared" ref="T4:T6" si="9">10+10+10</f>
        <v>30</v>
      </c>
      <c r="U4" s="299">
        <v>10</v>
      </c>
      <c r="V4" s="299">
        <v>10</v>
      </c>
      <c r="W4" s="299"/>
      <c r="X4" s="299"/>
      <c r="Y4" s="299">
        <f>25+25+10</f>
        <v>60</v>
      </c>
      <c r="Z4" s="299"/>
      <c r="AA4" s="299"/>
      <c r="AB4" s="299"/>
      <c r="AC4" s="299"/>
      <c r="AD4" s="299"/>
      <c r="AE4" s="433"/>
      <c r="AF4" s="433"/>
      <c r="AG4" s="433">
        <f>2*200</f>
        <v>400</v>
      </c>
      <c r="AH4" s="299">
        <f t="shared" ref="AH4:AH18" si="10">SUM(K4:AG4)</f>
        <v>550</v>
      </c>
      <c r="AI4" s="433"/>
      <c r="AJ4" s="299">
        <v>20</v>
      </c>
      <c r="AK4" s="299">
        <v>20</v>
      </c>
      <c r="AL4" s="299">
        <v>20</v>
      </c>
      <c r="AM4" s="299"/>
      <c r="AN4" s="299"/>
      <c r="AO4" s="299"/>
      <c r="AP4" s="299"/>
      <c r="AQ4" s="299">
        <v>10</v>
      </c>
      <c r="AR4" s="299">
        <v>10</v>
      </c>
      <c r="AS4" s="299"/>
      <c r="AT4" s="299"/>
      <c r="AU4" s="299"/>
      <c r="AV4" s="433"/>
      <c r="AW4" s="433"/>
      <c r="AX4" s="299">
        <f t="shared" ref="AX4:AX18" si="11">SUM(AJ4:AW4)</f>
        <v>80</v>
      </c>
      <c r="AY4" s="299">
        <f>10+20</f>
        <v>30</v>
      </c>
      <c r="AZ4" s="433"/>
      <c r="BA4" s="299">
        <f>10+20</f>
        <v>30</v>
      </c>
      <c r="BB4" s="433"/>
      <c r="BC4" s="299">
        <v>20</v>
      </c>
      <c r="BD4" s="299">
        <f t="shared" ref="BD4:BD18" si="12">SUM(AY4:BC4)</f>
        <v>80</v>
      </c>
      <c r="BE4" s="433"/>
      <c r="BF4" s="433"/>
      <c r="BG4" s="299">
        <f t="shared" ref="BG4:BG12" si="13">10+10+10</f>
        <v>30</v>
      </c>
      <c r="BH4" s="433">
        <f t="shared" ref="BH4:BH18" si="14">SUM(BE4:BG4)</f>
        <v>30</v>
      </c>
      <c r="BI4" s="433"/>
      <c r="BJ4" s="433"/>
      <c r="BK4" s="433"/>
      <c r="BL4" s="433"/>
      <c r="BM4" s="433"/>
      <c r="BN4" s="433"/>
      <c r="BO4" s="299"/>
      <c r="BP4" s="299">
        <v>5</v>
      </c>
      <c r="BQ4" s="299">
        <v>0.3</v>
      </c>
      <c r="BR4" s="299">
        <v>0.6</v>
      </c>
      <c r="BS4" s="299">
        <f t="shared" ref="BS4:BS18" si="15">SUM(BI4:BR4)</f>
        <v>5.8999999999999995</v>
      </c>
      <c r="BT4" s="299"/>
      <c r="BU4" s="299"/>
      <c r="BV4" s="299"/>
      <c r="BW4" s="299"/>
      <c r="BX4" s="299"/>
      <c r="BY4" s="299">
        <f t="shared" ref="BY4:BY18" si="16">SUM(BT4:BX4)</f>
        <v>0</v>
      </c>
      <c r="BZ4" s="431">
        <f t="shared" ref="BZ4:BZ18" si="17">D4+F4+H4+I4+AH4+AX4+BD4+BH4+BS4+BY4-CA4</f>
        <v>961.93999999999994</v>
      </c>
      <c r="CA4" s="431">
        <f t="shared" ref="CA4:CA18" si="18">E4+G4+J4+BX4</f>
        <v>3.96</v>
      </c>
      <c r="CB4" s="434">
        <f t="shared" ref="CB4:CB18" si="19">BZ4*16%</f>
        <v>153.91039999999998</v>
      </c>
    </row>
    <row r="5" spans="1:80" s="5" customFormat="1" ht="12" thickBot="1">
      <c r="A5" s="535">
        <f>'1-συμβολαια'!A5</f>
        <v>0</v>
      </c>
      <c r="B5" s="592"/>
      <c r="C5" s="537" t="str">
        <f>'1-συμβολαια'!C5</f>
        <v>χρησικτησία = 1961 πατρός ΔΩΡΕΑ άτυπος</v>
      </c>
      <c r="D5" s="554">
        <f>'5-αντίγρ'!AN5</f>
        <v>0</v>
      </c>
      <c r="E5" s="554">
        <f>'5-αντίγρ'!AM5</f>
        <v>0</v>
      </c>
      <c r="F5" s="588">
        <f>'6-μεταγρ'!P5</f>
        <v>0</v>
      </c>
      <c r="G5" s="588">
        <f>'6-μεταγρ'!N5</f>
        <v>0</v>
      </c>
      <c r="H5" s="588">
        <f>'6-μεταγρ'!Q5</f>
        <v>0</v>
      </c>
      <c r="I5" s="588">
        <f>'7-προςΔΟΥ'!W5</f>
        <v>0</v>
      </c>
      <c r="J5" s="589">
        <f>'7-προςΔΟΥ'!L5</f>
        <v>0</v>
      </c>
      <c r="K5" s="588"/>
      <c r="L5" s="588"/>
      <c r="M5" s="588"/>
      <c r="N5" s="588"/>
      <c r="O5" s="588"/>
      <c r="P5" s="588"/>
      <c r="Q5" s="588"/>
      <c r="R5" s="588"/>
      <c r="S5" s="588"/>
      <c r="T5" s="588"/>
      <c r="U5" s="588"/>
      <c r="V5" s="588"/>
      <c r="W5" s="588"/>
      <c r="X5" s="588"/>
      <c r="Y5" s="588"/>
      <c r="Z5" s="588"/>
      <c r="AA5" s="588"/>
      <c r="AB5" s="588"/>
      <c r="AC5" s="588"/>
      <c r="AD5" s="588"/>
      <c r="AE5" s="600"/>
      <c r="AF5" s="600"/>
      <c r="AG5" s="600"/>
      <c r="AH5" s="588">
        <f t="shared" si="10"/>
        <v>0</v>
      </c>
      <c r="AI5" s="600"/>
      <c r="AJ5" s="588"/>
      <c r="AK5" s="588"/>
      <c r="AL5" s="588"/>
      <c r="AM5" s="588"/>
      <c r="AN5" s="588"/>
      <c r="AO5" s="588"/>
      <c r="AP5" s="588"/>
      <c r="AQ5" s="588"/>
      <c r="AR5" s="588"/>
      <c r="AS5" s="588"/>
      <c r="AT5" s="588"/>
      <c r="AU5" s="588"/>
      <c r="AV5" s="600"/>
      <c r="AW5" s="600"/>
      <c r="AX5" s="588">
        <f t="shared" si="11"/>
        <v>0</v>
      </c>
      <c r="AY5" s="588"/>
      <c r="AZ5" s="600"/>
      <c r="BA5" s="588"/>
      <c r="BB5" s="600"/>
      <c r="BC5" s="588"/>
      <c r="BD5" s="588">
        <f t="shared" si="12"/>
        <v>0</v>
      </c>
      <c r="BE5" s="600"/>
      <c r="BF5" s="600"/>
      <c r="BG5" s="588"/>
      <c r="BH5" s="600">
        <f t="shared" si="14"/>
        <v>0</v>
      </c>
      <c r="BI5" s="600"/>
      <c r="BJ5" s="600"/>
      <c r="BK5" s="600"/>
      <c r="BL5" s="600"/>
      <c r="BM5" s="600"/>
      <c r="BN5" s="600"/>
      <c r="BO5" s="588"/>
      <c r="BP5" s="588"/>
      <c r="BQ5" s="588"/>
      <c r="BR5" s="588"/>
      <c r="BS5" s="588">
        <f t="shared" si="15"/>
        <v>0</v>
      </c>
      <c r="BT5" s="588"/>
      <c r="BU5" s="588"/>
      <c r="BV5" s="588"/>
      <c r="BW5" s="588"/>
      <c r="BX5" s="588"/>
      <c r="BY5" s="588">
        <f t="shared" si="16"/>
        <v>0</v>
      </c>
      <c r="BZ5" s="601">
        <f t="shared" si="17"/>
        <v>0</v>
      </c>
      <c r="CA5" s="601">
        <f t="shared" si="18"/>
        <v>0</v>
      </c>
      <c r="CB5" s="602">
        <f t="shared" si="19"/>
        <v>0</v>
      </c>
    </row>
    <row r="6" spans="1:80" s="5" customFormat="1">
      <c r="A6" s="534" t="str">
        <f>'1-συμβολαια'!A6</f>
        <v>12ο</v>
      </c>
      <c r="B6" s="594">
        <f>'1-συμβολαια'!B6</f>
        <v>41114</v>
      </c>
      <c r="C6" s="419" t="str">
        <f>'1-συμβολαια'!C6</f>
        <v>κληρονομιάς ΑΠΟΔΟΧΗ [οικόπεδο 226μ2 ΜΕ 2όροφο οιίκημα 150μ2 &amp; αποθήκη 15μ2 Θεολόγος</v>
      </c>
      <c r="D6" s="432">
        <f>'5-αντίγρ'!AN6</f>
        <v>35</v>
      </c>
      <c r="E6" s="432">
        <f>'5-αντίγρ'!AM6</f>
        <v>1.98</v>
      </c>
      <c r="F6" s="299">
        <f>'6-μεταγρ'!P6</f>
        <v>20</v>
      </c>
      <c r="G6" s="299">
        <f>'6-μεταγρ'!N6</f>
        <v>1.98</v>
      </c>
      <c r="H6" s="299">
        <f>'6-μεταγρ'!Q6</f>
        <v>0</v>
      </c>
      <c r="I6" s="299">
        <f>'7-προςΔΟΥ'!W6</f>
        <v>295</v>
      </c>
      <c r="J6" s="267">
        <f>'7-προςΔΟΥ'!L6</f>
        <v>0</v>
      </c>
      <c r="K6" s="299"/>
      <c r="L6" s="299">
        <v>10</v>
      </c>
      <c r="M6" s="299">
        <v>10</v>
      </c>
      <c r="N6" s="299"/>
      <c r="O6" s="299">
        <v>10</v>
      </c>
      <c r="P6" s="299"/>
      <c r="Q6" s="299">
        <v>10</v>
      </c>
      <c r="R6" s="299"/>
      <c r="S6" s="299">
        <v>10</v>
      </c>
      <c r="T6" s="299">
        <f t="shared" si="9"/>
        <v>30</v>
      </c>
      <c r="U6" s="299">
        <v>10</v>
      </c>
      <c r="V6" s="299"/>
      <c r="W6" s="299">
        <v>10</v>
      </c>
      <c r="X6" s="299"/>
      <c r="Y6" s="299"/>
      <c r="Z6" s="299">
        <f>25+25+10</f>
        <v>60</v>
      </c>
      <c r="AA6" s="299">
        <f>10+10+10</f>
        <v>30</v>
      </c>
      <c r="AB6" s="299">
        <v>2</v>
      </c>
      <c r="AC6" s="299"/>
      <c r="AD6" s="299"/>
      <c r="AE6" s="433"/>
      <c r="AF6" s="433"/>
      <c r="AG6" s="433">
        <f>2*200</f>
        <v>400</v>
      </c>
      <c r="AH6" s="299">
        <f t="shared" si="10"/>
        <v>592</v>
      </c>
      <c r="AI6" s="433"/>
      <c r="AJ6" s="299">
        <v>20</v>
      </c>
      <c r="AK6" s="299"/>
      <c r="AL6" s="299">
        <v>20</v>
      </c>
      <c r="AM6" s="299">
        <v>10</v>
      </c>
      <c r="AN6" s="299"/>
      <c r="AO6" s="299">
        <v>10</v>
      </c>
      <c r="AP6" s="299"/>
      <c r="AQ6" s="299">
        <v>10</v>
      </c>
      <c r="AR6" s="299">
        <v>10</v>
      </c>
      <c r="AS6" s="299"/>
      <c r="AT6" s="299"/>
      <c r="AU6" s="299"/>
      <c r="AV6" s="433"/>
      <c r="AW6" s="433"/>
      <c r="AX6" s="299">
        <f t="shared" si="11"/>
        <v>80</v>
      </c>
      <c r="AY6" s="299">
        <f>10+20</f>
        <v>30</v>
      </c>
      <c r="AZ6" s="433"/>
      <c r="BA6" s="299">
        <f>10+20</f>
        <v>30</v>
      </c>
      <c r="BB6" s="433"/>
      <c r="BC6" s="299">
        <v>20</v>
      </c>
      <c r="BD6" s="299">
        <f t="shared" si="12"/>
        <v>80</v>
      </c>
      <c r="BE6" s="433"/>
      <c r="BF6" s="433"/>
      <c r="BG6" s="299"/>
      <c r="BH6" s="433">
        <f t="shared" si="14"/>
        <v>0</v>
      </c>
      <c r="BI6" s="433"/>
      <c r="BJ6" s="433"/>
      <c r="BK6" s="433"/>
      <c r="BL6" s="433"/>
      <c r="BM6" s="433"/>
      <c r="BN6" s="433"/>
      <c r="BO6" s="299"/>
      <c r="BP6" s="299">
        <v>5</v>
      </c>
      <c r="BQ6" s="299">
        <v>0.3</v>
      </c>
      <c r="BR6" s="299">
        <v>0.6</v>
      </c>
      <c r="BS6" s="299">
        <f t="shared" si="15"/>
        <v>5.8999999999999995</v>
      </c>
      <c r="BT6" s="299"/>
      <c r="BU6" s="299"/>
      <c r="BV6" s="299"/>
      <c r="BW6" s="299"/>
      <c r="BX6" s="299"/>
      <c r="BY6" s="299">
        <f t="shared" si="16"/>
        <v>0</v>
      </c>
      <c r="BZ6" s="431">
        <f t="shared" si="17"/>
        <v>1103.94</v>
      </c>
      <c r="CA6" s="431">
        <f t="shared" si="18"/>
        <v>3.96</v>
      </c>
      <c r="CB6" s="434">
        <f t="shared" si="19"/>
        <v>176.63040000000001</v>
      </c>
    </row>
    <row r="7" spans="1:80" s="5" customFormat="1">
      <c r="A7" s="534">
        <f>'1-συμβολαια'!A7</f>
        <v>0</v>
      </c>
      <c r="B7" s="595"/>
      <c r="C7" s="419" t="str">
        <f>'1-συμβολαια'!C7</f>
        <v>χρησικτησία οικοπέδου &amp; οικήματος = 1950 πατρός ΚΛΗΡΟΝΟΜΙΑ άτυπη</v>
      </c>
      <c r="D7" s="432">
        <f>'5-αντίγρ'!AN7</f>
        <v>0</v>
      </c>
      <c r="E7" s="432">
        <f>'5-αντίγρ'!AM7</f>
        <v>0</v>
      </c>
      <c r="F7" s="299">
        <f>'6-μεταγρ'!P7</f>
        <v>0</v>
      </c>
      <c r="G7" s="299">
        <f>'6-μεταγρ'!N7</f>
        <v>0</v>
      </c>
      <c r="H7" s="299">
        <f>'6-μεταγρ'!Q7</f>
        <v>0</v>
      </c>
      <c r="I7" s="299">
        <f>'7-προςΔΟΥ'!W7</f>
        <v>0</v>
      </c>
      <c r="J7" s="267">
        <f>'7-προςΔΟΥ'!L7</f>
        <v>0</v>
      </c>
      <c r="K7" s="299"/>
      <c r="L7" s="299"/>
      <c r="M7" s="299"/>
      <c r="N7" s="299"/>
      <c r="O7" s="299"/>
      <c r="P7" s="299"/>
      <c r="Q7" s="299"/>
      <c r="R7" s="299"/>
      <c r="S7" s="299"/>
      <c r="T7" s="299"/>
      <c r="U7" s="299"/>
      <c r="V7" s="299"/>
      <c r="W7" s="299"/>
      <c r="X7" s="299"/>
      <c r="Y7" s="299"/>
      <c r="Z7" s="299"/>
      <c r="AA7" s="299"/>
      <c r="AB7" s="299"/>
      <c r="AC7" s="299"/>
      <c r="AD7" s="299"/>
      <c r="AE7" s="433"/>
      <c r="AF7" s="433"/>
      <c r="AG7" s="433"/>
      <c r="AH7" s="299">
        <f t="shared" si="10"/>
        <v>0</v>
      </c>
      <c r="AI7" s="433"/>
      <c r="AJ7" s="299"/>
      <c r="AK7" s="299"/>
      <c r="AL7" s="299"/>
      <c r="AM7" s="299"/>
      <c r="AN7" s="299"/>
      <c r="AO7" s="299"/>
      <c r="AP7" s="299"/>
      <c r="AQ7" s="299"/>
      <c r="AR7" s="299"/>
      <c r="AS7" s="299"/>
      <c r="AT7" s="299"/>
      <c r="AU7" s="299"/>
      <c r="AV7" s="433"/>
      <c r="AW7" s="433"/>
      <c r="AX7" s="299">
        <f t="shared" si="11"/>
        <v>0</v>
      </c>
      <c r="AY7" s="299"/>
      <c r="AZ7" s="433"/>
      <c r="BA7" s="299"/>
      <c r="BB7" s="433"/>
      <c r="BC7" s="299"/>
      <c r="BD7" s="299">
        <f t="shared" si="12"/>
        <v>0</v>
      </c>
      <c r="BE7" s="433"/>
      <c r="BF7" s="433"/>
      <c r="BG7" s="299">
        <f t="shared" si="13"/>
        <v>30</v>
      </c>
      <c r="BH7" s="433">
        <f t="shared" si="14"/>
        <v>30</v>
      </c>
      <c r="BI7" s="433"/>
      <c r="BJ7" s="433"/>
      <c r="BK7" s="433"/>
      <c r="BL7" s="433"/>
      <c r="BM7" s="433"/>
      <c r="BN7" s="433"/>
      <c r="BO7" s="299"/>
      <c r="BP7" s="299"/>
      <c r="BQ7" s="299"/>
      <c r="BR7" s="299"/>
      <c r="BS7" s="299">
        <f t="shared" si="15"/>
        <v>0</v>
      </c>
      <c r="BT7" s="299"/>
      <c r="BU7" s="299"/>
      <c r="BV7" s="299"/>
      <c r="BW7" s="299"/>
      <c r="BX7" s="299"/>
      <c r="BY7" s="299">
        <f t="shared" si="16"/>
        <v>0</v>
      </c>
      <c r="BZ7" s="431">
        <f t="shared" si="17"/>
        <v>30</v>
      </c>
      <c r="CA7" s="431">
        <f t="shared" si="18"/>
        <v>0</v>
      </c>
      <c r="CB7" s="434">
        <f t="shared" si="19"/>
        <v>4.8</v>
      </c>
    </row>
    <row r="8" spans="1:80" s="5" customFormat="1">
      <c r="A8" s="534">
        <f>'1-συμβολαια'!A8</f>
        <v>0</v>
      </c>
      <c r="B8" s="595"/>
      <c r="C8" s="419" t="str">
        <f>'1-συμβολαια'!C8</f>
        <v>χρησικτησία οικοπέδου &amp; οικήματος = 1950 ΔΙΑΝΟΜΗ άτυπη</v>
      </c>
      <c r="D8" s="432">
        <f>'5-αντίγρ'!AN8</f>
        <v>20</v>
      </c>
      <c r="E8" s="432">
        <f>'5-αντίγρ'!AM8</f>
        <v>0</v>
      </c>
      <c r="F8" s="299">
        <f>'6-μεταγρ'!P8</f>
        <v>20</v>
      </c>
      <c r="G8" s="299">
        <f>'6-μεταγρ'!N8</f>
        <v>1.98</v>
      </c>
      <c r="H8" s="299">
        <f>'6-μεταγρ'!Q8</f>
        <v>0</v>
      </c>
      <c r="I8" s="299">
        <f>'7-προςΔΟΥ'!W8</f>
        <v>275</v>
      </c>
      <c r="J8" s="267">
        <f>'7-προςΔΟΥ'!L8</f>
        <v>0</v>
      </c>
      <c r="K8" s="299"/>
      <c r="L8" s="299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299"/>
      <c r="AA8" s="299"/>
      <c r="AB8" s="299"/>
      <c r="AC8" s="299"/>
      <c r="AD8" s="299"/>
      <c r="AE8" s="433"/>
      <c r="AF8" s="433"/>
      <c r="AG8" s="433"/>
      <c r="AH8" s="299">
        <f t="shared" si="10"/>
        <v>0</v>
      </c>
      <c r="AI8" s="433"/>
      <c r="AJ8" s="299"/>
      <c r="AK8" s="299"/>
      <c r="AL8" s="299"/>
      <c r="AM8" s="299"/>
      <c r="AN8" s="299"/>
      <c r="AO8" s="299"/>
      <c r="AP8" s="299"/>
      <c r="AQ8" s="299"/>
      <c r="AR8" s="299"/>
      <c r="AS8" s="299"/>
      <c r="AT8" s="299"/>
      <c r="AU8" s="299"/>
      <c r="AV8" s="433"/>
      <c r="AW8" s="433"/>
      <c r="AX8" s="299">
        <f t="shared" si="11"/>
        <v>0</v>
      </c>
      <c r="AY8" s="299"/>
      <c r="AZ8" s="433"/>
      <c r="BA8" s="299"/>
      <c r="BB8" s="433"/>
      <c r="BC8" s="299"/>
      <c r="BD8" s="299">
        <f t="shared" si="12"/>
        <v>0</v>
      </c>
      <c r="BE8" s="433"/>
      <c r="BF8" s="433"/>
      <c r="BG8" s="299"/>
      <c r="BH8" s="433">
        <f t="shared" si="14"/>
        <v>0</v>
      </c>
      <c r="BI8" s="433"/>
      <c r="BJ8" s="433"/>
      <c r="BK8" s="433"/>
      <c r="BL8" s="433"/>
      <c r="BM8" s="433"/>
      <c r="BN8" s="433"/>
      <c r="BO8" s="299"/>
      <c r="BP8" s="299"/>
      <c r="BQ8" s="299"/>
      <c r="BR8" s="299"/>
      <c r="BS8" s="299">
        <f t="shared" si="15"/>
        <v>0</v>
      </c>
      <c r="BT8" s="299"/>
      <c r="BU8" s="299"/>
      <c r="BV8" s="299"/>
      <c r="BW8" s="299"/>
      <c r="BX8" s="299"/>
      <c r="BY8" s="299">
        <f t="shared" si="16"/>
        <v>0</v>
      </c>
      <c r="BZ8" s="431">
        <f t="shared" si="17"/>
        <v>313.02</v>
      </c>
      <c r="CA8" s="431">
        <f t="shared" si="18"/>
        <v>1.98</v>
      </c>
      <c r="CB8" s="434">
        <f t="shared" si="19"/>
        <v>50.083199999999998</v>
      </c>
    </row>
    <row r="9" spans="1:80" s="5" customFormat="1" ht="12" thickBot="1">
      <c r="A9" s="539">
        <f>'1-συμβολαια'!A9</f>
        <v>0</v>
      </c>
      <c r="B9" s="592"/>
      <c r="C9" s="537" t="str">
        <f>'1-συμβολαια'!C9</f>
        <v xml:space="preserve">εξισορόπηση διαφοράς διανεμομένων </v>
      </c>
      <c r="D9" s="554">
        <f>'5-αντίγρ'!AN9</f>
        <v>0</v>
      </c>
      <c r="E9" s="554">
        <f>'5-αντίγρ'!AM9</f>
        <v>0</v>
      </c>
      <c r="F9" s="588">
        <f>'6-μεταγρ'!P9</f>
        <v>0</v>
      </c>
      <c r="G9" s="588">
        <f>'6-μεταγρ'!N9</f>
        <v>0</v>
      </c>
      <c r="H9" s="588">
        <f>'6-μεταγρ'!Q9</f>
        <v>0</v>
      </c>
      <c r="I9" s="588">
        <f>'7-προςΔΟΥ'!W9</f>
        <v>0</v>
      </c>
      <c r="J9" s="589">
        <f>'7-προςΔΟΥ'!L9</f>
        <v>0</v>
      </c>
      <c r="K9" s="588"/>
      <c r="L9" s="588"/>
      <c r="M9" s="588"/>
      <c r="N9" s="588"/>
      <c r="O9" s="588"/>
      <c r="P9" s="588"/>
      <c r="Q9" s="588"/>
      <c r="R9" s="588"/>
      <c r="S9" s="588"/>
      <c r="T9" s="588"/>
      <c r="U9" s="588"/>
      <c r="V9" s="588"/>
      <c r="W9" s="588"/>
      <c r="X9" s="588"/>
      <c r="Y9" s="588"/>
      <c r="Z9" s="588"/>
      <c r="AA9" s="588"/>
      <c r="AB9" s="588"/>
      <c r="AC9" s="588"/>
      <c r="AD9" s="588"/>
      <c r="AE9" s="600"/>
      <c r="AF9" s="600"/>
      <c r="AG9" s="600"/>
      <c r="AH9" s="588">
        <f t="shared" si="10"/>
        <v>0</v>
      </c>
      <c r="AI9" s="600"/>
      <c r="AJ9" s="588"/>
      <c r="AK9" s="588"/>
      <c r="AL9" s="588"/>
      <c r="AM9" s="588"/>
      <c r="AN9" s="588"/>
      <c r="AO9" s="588"/>
      <c r="AP9" s="588"/>
      <c r="AQ9" s="588"/>
      <c r="AR9" s="588"/>
      <c r="AS9" s="588"/>
      <c r="AT9" s="588"/>
      <c r="AU9" s="588"/>
      <c r="AV9" s="600"/>
      <c r="AW9" s="600"/>
      <c r="AX9" s="588">
        <f t="shared" si="11"/>
        <v>0</v>
      </c>
      <c r="AY9" s="588"/>
      <c r="AZ9" s="600"/>
      <c r="BA9" s="588"/>
      <c r="BB9" s="600"/>
      <c r="BC9" s="588"/>
      <c r="BD9" s="588">
        <f t="shared" si="12"/>
        <v>0</v>
      </c>
      <c r="BE9" s="600"/>
      <c r="BF9" s="600"/>
      <c r="BG9" s="588">
        <v>10</v>
      </c>
      <c r="BH9" s="600">
        <f t="shared" si="14"/>
        <v>10</v>
      </c>
      <c r="BI9" s="600"/>
      <c r="BJ9" s="600"/>
      <c r="BK9" s="600"/>
      <c r="BL9" s="600"/>
      <c r="BM9" s="600"/>
      <c r="BN9" s="600"/>
      <c r="BO9" s="588"/>
      <c r="BP9" s="588"/>
      <c r="BQ9" s="588"/>
      <c r="BR9" s="588"/>
      <c r="BS9" s="588">
        <f t="shared" si="15"/>
        <v>0</v>
      </c>
      <c r="BT9" s="588"/>
      <c r="BU9" s="588"/>
      <c r="BV9" s="588"/>
      <c r="BW9" s="588"/>
      <c r="BX9" s="588"/>
      <c r="BY9" s="588">
        <f t="shared" si="16"/>
        <v>0</v>
      </c>
      <c r="BZ9" s="601">
        <f t="shared" si="17"/>
        <v>10</v>
      </c>
      <c r="CA9" s="601">
        <f t="shared" si="18"/>
        <v>0</v>
      </c>
      <c r="CB9" s="602">
        <f t="shared" si="19"/>
        <v>1.6</v>
      </c>
    </row>
    <row r="10" spans="1:80" s="5" customFormat="1">
      <c r="A10" s="406" t="str">
        <f>'1-συμβολαια'!A10</f>
        <v>13ο</v>
      </c>
      <c r="B10" s="594">
        <f>'1-συμβολαια'!B10</f>
        <v>41370</v>
      </c>
      <c r="C10" s="419" t="str">
        <f>'1-συμβολαια'!C10</f>
        <v>πληρεξούσιο</v>
      </c>
      <c r="D10" s="432">
        <f>'5-αντίγρ'!AN10</f>
        <v>0</v>
      </c>
      <c r="E10" s="432">
        <f>'5-αντίγρ'!AM10</f>
        <v>0</v>
      </c>
      <c r="F10" s="299">
        <f>'6-μεταγρ'!P10</f>
        <v>0</v>
      </c>
      <c r="G10" s="299">
        <f>'6-μεταγρ'!N10</f>
        <v>0</v>
      </c>
      <c r="H10" s="299">
        <f>'6-μεταγρ'!Q10</f>
        <v>0</v>
      </c>
      <c r="I10" s="299">
        <f>'7-προςΔΟΥ'!W10</f>
        <v>0</v>
      </c>
      <c r="J10" s="267">
        <f>'7-προςΔΟΥ'!L10</f>
        <v>0</v>
      </c>
      <c r="K10" s="299"/>
      <c r="L10" s="299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299"/>
      <c r="AA10" s="299"/>
      <c r="AB10" s="299"/>
      <c r="AC10" s="299"/>
      <c r="AD10" s="299"/>
      <c r="AE10" s="433"/>
      <c r="AF10" s="433"/>
      <c r="AG10" s="433"/>
      <c r="AH10" s="299">
        <f t="shared" si="10"/>
        <v>0</v>
      </c>
      <c r="AI10" s="433"/>
      <c r="AJ10" s="299"/>
      <c r="AK10" s="299"/>
      <c r="AL10" s="299"/>
      <c r="AM10" s="299"/>
      <c r="AN10" s="299"/>
      <c r="AO10" s="299"/>
      <c r="AP10" s="299"/>
      <c r="AQ10" s="299"/>
      <c r="AR10" s="299"/>
      <c r="AS10" s="299"/>
      <c r="AT10" s="299"/>
      <c r="AU10" s="299"/>
      <c r="AV10" s="433"/>
      <c r="AW10" s="433"/>
      <c r="AX10" s="299">
        <f t="shared" si="11"/>
        <v>0</v>
      </c>
      <c r="AY10" s="299"/>
      <c r="AZ10" s="433"/>
      <c r="BA10" s="299"/>
      <c r="BB10" s="433"/>
      <c r="BC10" s="299"/>
      <c r="BD10" s="299">
        <f t="shared" si="12"/>
        <v>0</v>
      </c>
      <c r="BE10" s="433"/>
      <c r="BF10" s="433"/>
      <c r="BG10" s="299"/>
      <c r="BH10" s="433">
        <f t="shared" si="14"/>
        <v>0</v>
      </c>
      <c r="BI10" s="433"/>
      <c r="BJ10" s="433"/>
      <c r="BK10" s="433"/>
      <c r="BL10" s="433"/>
      <c r="BM10" s="433"/>
      <c r="BN10" s="433"/>
      <c r="BO10" s="299"/>
      <c r="BP10" s="299"/>
      <c r="BQ10" s="299"/>
      <c r="BR10" s="299">
        <v>0.6</v>
      </c>
      <c r="BS10" s="299">
        <f t="shared" si="15"/>
        <v>0.6</v>
      </c>
      <c r="BT10" s="299"/>
      <c r="BU10" s="299"/>
      <c r="BV10" s="299"/>
      <c r="BW10" s="299"/>
      <c r="BX10" s="299"/>
      <c r="BY10" s="299">
        <f t="shared" si="16"/>
        <v>0</v>
      </c>
      <c r="BZ10" s="431">
        <f t="shared" si="17"/>
        <v>0.6</v>
      </c>
      <c r="CA10" s="431">
        <f t="shared" si="18"/>
        <v>0</v>
      </c>
      <c r="CB10" s="434">
        <f t="shared" si="19"/>
        <v>9.6000000000000002E-2</v>
      </c>
    </row>
    <row r="11" spans="1:80" s="5" customFormat="1">
      <c r="A11" s="406" t="str">
        <f>'1-συμβολαια'!A11</f>
        <v>14ο</v>
      </c>
      <c r="B11" s="595">
        <f>'1-συμβολαια'!B11</f>
        <v>41372</v>
      </c>
      <c r="C11" s="419" t="str">
        <f>'1-συμβολαια'!C11</f>
        <v>αγοραπωλησία</v>
      </c>
      <c r="D11" s="432">
        <f>'5-αντίγρ'!AN11</f>
        <v>115</v>
      </c>
      <c r="E11" s="432">
        <f>'5-αντίγρ'!AM11</f>
        <v>1.98</v>
      </c>
      <c r="F11" s="299">
        <f>'6-μεταγρ'!P11</f>
        <v>20</v>
      </c>
      <c r="G11" s="299">
        <f>'6-μεταγρ'!N11</f>
        <v>1.98</v>
      </c>
      <c r="H11" s="299">
        <f>'6-μεταγρ'!Q11</f>
        <v>0</v>
      </c>
      <c r="I11" s="299">
        <f>'7-προςΔΟΥ'!W11</f>
        <v>1445</v>
      </c>
      <c r="J11" s="267">
        <f>'7-προςΔΟΥ'!L11</f>
        <v>0</v>
      </c>
      <c r="K11" s="299">
        <f>10+10+10</f>
        <v>30</v>
      </c>
      <c r="L11" s="299"/>
      <c r="M11" s="299"/>
      <c r="N11" s="299"/>
      <c r="O11" s="299"/>
      <c r="P11" s="299"/>
      <c r="Q11" s="299"/>
      <c r="R11" s="299"/>
      <c r="S11" s="299"/>
      <c r="T11" s="299">
        <f>25+25+10</f>
        <v>60</v>
      </c>
      <c r="U11" s="299">
        <v>10</v>
      </c>
      <c r="V11" s="299"/>
      <c r="W11" s="299"/>
      <c r="X11" s="299"/>
      <c r="Y11" s="299">
        <f>25+25+2*10</f>
        <v>70</v>
      </c>
      <c r="Z11" s="299"/>
      <c r="AA11" s="299"/>
      <c r="AB11" s="299"/>
      <c r="AC11" s="299"/>
      <c r="AD11" s="299"/>
      <c r="AE11" s="433"/>
      <c r="AF11" s="433"/>
      <c r="AG11" s="433">
        <f>2*2*300</f>
        <v>1200</v>
      </c>
      <c r="AH11" s="299">
        <f t="shared" si="10"/>
        <v>1370</v>
      </c>
      <c r="AI11" s="433"/>
      <c r="AJ11" s="299">
        <v>20</v>
      </c>
      <c r="AK11" s="299"/>
      <c r="AL11" s="299">
        <v>20</v>
      </c>
      <c r="AM11" s="299">
        <v>10</v>
      </c>
      <c r="AN11" s="299"/>
      <c r="AO11" s="299">
        <v>40</v>
      </c>
      <c r="AP11" s="299">
        <v>20</v>
      </c>
      <c r="AQ11" s="299">
        <v>10</v>
      </c>
      <c r="AR11" s="299"/>
      <c r="AS11" s="299"/>
      <c r="AT11" s="299"/>
      <c r="AU11" s="299"/>
      <c r="AV11" s="433"/>
      <c r="AW11" s="433"/>
      <c r="AX11" s="299">
        <f t="shared" si="11"/>
        <v>120</v>
      </c>
      <c r="AY11" s="299">
        <f>25+20</f>
        <v>45</v>
      </c>
      <c r="AZ11" s="433"/>
      <c r="BA11" s="299">
        <f>10+20</f>
        <v>30</v>
      </c>
      <c r="BB11" s="433"/>
      <c r="BC11" s="299">
        <v>20</v>
      </c>
      <c r="BD11" s="299">
        <f t="shared" si="12"/>
        <v>95</v>
      </c>
      <c r="BE11" s="433"/>
      <c r="BF11" s="433"/>
      <c r="BG11" s="299"/>
      <c r="BH11" s="433">
        <f t="shared" si="14"/>
        <v>0</v>
      </c>
      <c r="BI11" s="433"/>
      <c r="BJ11" s="433"/>
      <c r="BK11" s="433"/>
      <c r="BL11" s="433"/>
      <c r="BM11" s="433"/>
      <c r="BN11" s="433"/>
      <c r="BO11" s="299">
        <v>69</v>
      </c>
      <c r="BP11" s="299">
        <v>10</v>
      </c>
      <c r="BQ11" s="299"/>
      <c r="BR11" s="299">
        <v>0.6</v>
      </c>
      <c r="BS11" s="299">
        <f t="shared" si="15"/>
        <v>79.599999999999994</v>
      </c>
      <c r="BT11" s="299"/>
      <c r="BU11" s="299"/>
      <c r="BV11" s="299"/>
      <c r="BW11" s="299"/>
      <c r="BX11" s="299"/>
      <c r="BY11" s="299">
        <f t="shared" si="16"/>
        <v>0</v>
      </c>
      <c r="BZ11" s="431">
        <f t="shared" si="17"/>
        <v>3240.64</v>
      </c>
      <c r="CA11" s="431">
        <f t="shared" si="18"/>
        <v>3.96</v>
      </c>
      <c r="CB11" s="434">
        <f t="shared" si="19"/>
        <v>518.50239999999997</v>
      </c>
    </row>
    <row r="12" spans="1:80" s="5" customFormat="1">
      <c r="A12" s="406" t="str">
        <f>'1-συμβολαια'!A12</f>
        <v>15ο</v>
      </c>
      <c r="B12" s="595">
        <f>'1-συμβολαια'!B12</f>
        <v>41372</v>
      </c>
      <c r="C12" s="419" t="str">
        <f>'1-συμβολαια'!C12</f>
        <v>δωρεά</v>
      </c>
      <c r="D12" s="432">
        <f>'5-αντίγρ'!AN12</f>
        <v>115</v>
      </c>
      <c r="E12" s="432">
        <f>'5-αντίγρ'!AM12</f>
        <v>1.98</v>
      </c>
      <c r="F12" s="299">
        <f>'6-μεταγρ'!P12</f>
        <v>0</v>
      </c>
      <c r="G12" s="299">
        <f>'6-μεταγρ'!N12</f>
        <v>1.98</v>
      </c>
      <c r="H12" s="299">
        <f>'6-μεταγρ'!Q12</f>
        <v>0</v>
      </c>
      <c r="I12" s="299">
        <f>'7-προςΔΟΥ'!W12</f>
        <v>870</v>
      </c>
      <c r="J12" s="267">
        <f>'7-προςΔΟΥ'!L12</f>
        <v>0</v>
      </c>
      <c r="K12" s="299">
        <f>2*10</f>
        <v>20</v>
      </c>
      <c r="L12" s="299"/>
      <c r="M12" s="299"/>
      <c r="N12" s="299"/>
      <c r="O12" s="299"/>
      <c r="P12" s="299"/>
      <c r="Q12" s="299"/>
      <c r="R12" s="299"/>
      <c r="S12" s="299"/>
      <c r="T12" s="299">
        <v>10</v>
      </c>
      <c r="U12" s="299">
        <v>10</v>
      </c>
      <c r="V12" s="299">
        <v>10</v>
      </c>
      <c r="W12" s="299"/>
      <c r="X12" s="299"/>
      <c r="Y12" s="299">
        <f>2*10</f>
        <v>20</v>
      </c>
      <c r="Z12" s="299"/>
      <c r="AA12" s="299"/>
      <c r="AB12" s="299"/>
      <c r="AC12" s="299"/>
      <c r="AD12" s="299"/>
      <c r="AE12" s="433"/>
      <c r="AF12" s="433"/>
      <c r="AG12" s="433"/>
      <c r="AH12" s="299">
        <f t="shared" si="10"/>
        <v>70</v>
      </c>
      <c r="AI12" s="433"/>
      <c r="AJ12" s="299">
        <v>20</v>
      </c>
      <c r="AK12" s="299"/>
      <c r="AL12" s="299">
        <v>20</v>
      </c>
      <c r="AM12" s="299">
        <v>10</v>
      </c>
      <c r="AN12" s="299"/>
      <c r="AO12" s="299">
        <v>40</v>
      </c>
      <c r="AP12" s="299"/>
      <c r="AQ12" s="299">
        <v>10</v>
      </c>
      <c r="AR12" s="299">
        <v>10</v>
      </c>
      <c r="AS12" s="299"/>
      <c r="AT12" s="299"/>
      <c r="AU12" s="299"/>
      <c r="AV12" s="433"/>
      <c r="AW12" s="433"/>
      <c r="AX12" s="299">
        <f t="shared" si="11"/>
        <v>110</v>
      </c>
      <c r="AY12" s="299">
        <v>20</v>
      </c>
      <c r="AZ12" s="433"/>
      <c r="BA12" s="299">
        <v>20</v>
      </c>
      <c r="BB12" s="433"/>
      <c r="BC12" s="299">
        <v>20</v>
      </c>
      <c r="BD12" s="299">
        <f t="shared" si="12"/>
        <v>60</v>
      </c>
      <c r="BE12" s="433"/>
      <c r="BF12" s="433"/>
      <c r="BG12" s="299">
        <f t="shared" si="13"/>
        <v>30</v>
      </c>
      <c r="BH12" s="433">
        <f t="shared" si="14"/>
        <v>30</v>
      </c>
      <c r="BI12" s="433"/>
      <c r="BJ12" s="433"/>
      <c r="BK12" s="433"/>
      <c r="BL12" s="433"/>
      <c r="BM12" s="433"/>
      <c r="BN12" s="433"/>
      <c r="BO12" s="299">
        <v>69</v>
      </c>
      <c r="BP12" s="299">
        <v>10</v>
      </c>
      <c r="BQ12" s="299">
        <v>0.3</v>
      </c>
      <c r="BR12" s="299">
        <v>0.6</v>
      </c>
      <c r="BS12" s="299">
        <f t="shared" si="15"/>
        <v>79.899999999999991</v>
      </c>
      <c r="BT12" s="299"/>
      <c r="BU12" s="299"/>
      <c r="BV12" s="299"/>
      <c r="BW12" s="299"/>
      <c r="BX12" s="299"/>
      <c r="BY12" s="299">
        <f t="shared" si="16"/>
        <v>0</v>
      </c>
      <c r="BZ12" s="431">
        <f t="shared" si="17"/>
        <v>1330.94</v>
      </c>
      <c r="CA12" s="431">
        <f t="shared" si="18"/>
        <v>3.96</v>
      </c>
      <c r="CB12" s="434">
        <f t="shared" si="19"/>
        <v>212.9504</v>
      </c>
    </row>
    <row r="13" spans="1:80" s="5" customFormat="1">
      <c r="A13" s="406" t="str">
        <f>'1-συμβολαια'!A13</f>
        <v>16ο</v>
      </c>
      <c r="B13" s="595">
        <f>'1-συμβολαια'!B13</f>
        <v>41372</v>
      </c>
      <c r="C13" s="419" t="str">
        <f>'1-συμβολαια'!C13</f>
        <v>γονική</v>
      </c>
      <c r="D13" s="432">
        <f>'5-αντίγρ'!AN13</f>
        <v>115</v>
      </c>
      <c r="E13" s="432">
        <f>'5-αντίγρ'!AM13</f>
        <v>1.98</v>
      </c>
      <c r="F13" s="299">
        <f>'6-μεταγρ'!P13</f>
        <v>0</v>
      </c>
      <c r="G13" s="299">
        <f>'6-μεταγρ'!N13</f>
        <v>1.98</v>
      </c>
      <c r="H13" s="299">
        <f>'6-μεταγρ'!Q13</f>
        <v>0</v>
      </c>
      <c r="I13" s="299">
        <f>'7-προςΔΟΥ'!W13</f>
        <v>870</v>
      </c>
      <c r="J13" s="267">
        <f>'7-προςΔΟΥ'!L13</f>
        <v>0</v>
      </c>
      <c r="K13" s="299">
        <f t="shared" ref="K13:K15" si="20">2*10</f>
        <v>20</v>
      </c>
      <c r="L13" s="299"/>
      <c r="M13" s="299"/>
      <c r="N13" s="299"/>
      <c r="O13" s="299"/>
      <c r="P13" s="299">
        <v>10</v>
      </c>
      <c r="Q13" s="299"/>
      <c r="R13" s="299"/>
      <c r="S13" s="299"/>
      <c r="T13" s="299">
        <v>10</v>
      </c>
      <c r="U13" s="299">
        <v>10</v>
      </c>
      <c r="V13" s="299">
        <v>10</v>
      </c>
      <c r="W13" s="299"/>
      <c r="X13" s="299"/>
      <c r="Y13" s="299">
        <f t="shared" ref="Y13:Y15" si="21">2*10</f>
        <v>20</v>
      </c>
      <c r="Z13" s="299"/>
      <c r="AA13" s="299"/>
      <c r="AB13" s="299"/>
      <c r="AC13" s="299"/>
      <c r="AD13" s="299"/>
      <c r="AE13" s="433"/>
      <c r="AF13" s="433"/>
      <c r="AG13" s="433"/>
      <c r="AH13" s="299">
        <f t="shared" si="10"/>
        <v>80</v>
      </c>
      <c r="AI13" s="433"/>
      <c r="AJ13" s="299">
        <v>20</v>
      </c>
      <c r="AK13" s="299"/>
      <c r="AL13" s="299">
        <v>20</v>
      </c>
      <c r="AM13" s="299">
        <v>10</v>
      </c>
      <c r="AN13" s="299"/>
      <c r="AO13" s="299">
        <v>40</v>
      </c>
      <c r="AP13" s="299"/>
      <c r="AQ13" s="299">
        <v>10</v>
      </c>
      <c r="AR13" s="299">
        <v>10</v>
      </c>
      <c r="AS13" s="299"/>
      <c r="AT13" s="299"/>
      <c r="AU13" s="299"/>
      <c r="AV13" s="433"/>
      <c r="AW13" s="433"/>
      <c r="AX13" s="299">
        <f t="shared" si="11"/>
        <v>110</v>
      </c>
      <c r="AY13" s="299">
        <v>20</v>
      </c>
      <c r="AZ13" s="433"/>
      <c r="BA13" s="299">
        <v>20</v>
      </c>
      <c r="BB13" s="433"/>
      <c r="BC13" s="299">
        <v>20</v>
      </c>
      <c r="BD13" s="299">
        <f t="shared" si="12"/>
        <v>60</v>
      </c>
      <c r="BE13" s="433"/>
      <c r="BF13" s="433"/>
      <c r="BG13" s="299">
        <v>20</v>
      </c>
      <c r="BH13" s="433">
        <f t="shared" si="14"/>
        <v>20</v>
      </c>
      <c r="BI13" s="433"/>
      <c r="BJ13" s="433"/>
      <c r="BK13" s="433"/>
      <c r="BL13" s="433"/>
      <c r="BM13" s="433"/>
      <c r="BN13" s="433"/>
      <c r="BO13" s="299">
        <v>69</v>
      </c>
      <c r="BP13" s="299">
        <v>10</v>
      </c>
      <c r="BQ13" s="299">
        <v>0.3</v>
      </c>
      <c r="BR13" s="299">
        <v>0.6</v>
      </c>
      <c r="BS13" s="299">
        <f t="shared" si="15"/>
        <v>79.899999999999991</v>
      </c>
      <c r="BT13" s="299"/>
      <c r="BU13" s="299"/>
      <c r="BV13" s="299"/>
      <c r="BW13" s="299"/>
      <c r="BX13" s="299"/>
      <c r="BY13" s="299">
        <f t="shared" si="16"/>
        <v>0</v>
      </c>
      <c r="BZ13" s="431">
        <f t="shared" si="17"/>
        <v>1330.94</v>
      </c>
      <c r="CA13" s="431">
        <f t="shared" si="18"/>
        <v>3.96</v>
      </c>
      <c r="CB13" s="434">
        <f t="shared" si="19"/>
        <v>212.9504</v>
      </c>
    </row>
    <row r="14" spans="1:80" s="5" customFormat="1">
      <c r="A14" s="406" t="str">
        <f>'1-συμβολαια'!A14</f>
        <v>17ο</v>
      </c>
      <c r="B14" s="595">
        <f>'1-συμβολαια'!B14</f>
        <v>41372</v>
      </c>
      <c r="C14" s="419" t="str">
        <f>'1-συμβολαια'!C14</f>
        <v>δωρεά</v>
      </c>
      <c r="D14" s="432">
        <f>'5-αντίγρ'!AN14</f>
        <v>115</v>
      </c>
      <c r="E14" s="432">
        <f>'5-αντίγρ'!AM14</f>
        <v>1.98</v>
      </c>
      <c r="F14" s="299">
        <f>'6-μεταγρ'!P14</f>
        <v>0</v>
      </c>
      <c r="G14" s="299">
        <f>'6-μεταγρ'!N14</f>
        <v>3.96</v>
      </c>
      <c r="H14" s="299">
        <f>'6-μεταγρ'!Q14</f>
        <v>0</v>
      </c>
      <c r="I14" s="299">
        <f>'7-προςΔΟΥ'!W14</f>
        <v>870</v>
      </c>
      <c r="J14" s="267">
        <f>'7-προςΔΟΥ'!L14</f>
        <v>0</v>
      </c>
      <c r="K14" s="299">
        <f t="shared" si="20"/>
        <v>20</v>
      </c>
      <c r="L14" s="299"/>
      <c r="M14" s="299"/>
      <c r="N14" s="299"/>
      <c r="O14" s="299"/>
      <c r="P14" s="299"/>
      <c r="Q14" s="299"/>
      <c r="R14" s="299"/>
      <c r="S14" s="299"/>
      <c r="T14" s="299">
        <v>10</v>
      </c>
      <c r="U14" s="299">
        <v>10</v>
      </c>
      <c r="V14" s="299">
        <v>10</v>
      </c>
      <c r="W14" s="299"/>
      <c r="X14" s="299"/>
      <c r="Y14" s="299">
        <f t="shared" si="21"/>
        <v>20</v>
      </c>
      <c r="Z14" s="299"/>
      <c r="AA14" s="299"/>
      <c r="AB14" s="299"/>
      <c r="AC14" s="299"/>
      <c r="AD14" s="299"/>
      <c r="AE14" s="433"/>
      <c r="AF14" s="433"/>
      <c r="AG14" s="433"/>
      <c r="AH14" s="299">
        <f t="shared" si="10"/>
        <v>70</v>
      </c>
      <c r="AI14" s="433"/>
      <c r="AJ14" s="299">
        <v>30</v>
      </c>
      <c r="AK14" s="299"/>
      <c r="AL14" s="299">
        <v>30</v>
      </c>
      <c r="AM14" s="299">
        <v>10</v>
      </c>
      <c r="AN14" s="299"/>
      <c r="AO14" s="299">
        <v>40</v>
      </c>
      <c r="AP14" s="299"/>
      <c r="AQ14" s="299">
        <v>10</v>
      </c>
      <c r="AR14" s="299">
        <v>10</v>
      </c>
      <c r="AS14" s="299"/>
      <c r="AT14" s="299"/>
      <c r="AU14" s="299"/>
      <c r="AV14" s="433"/>
      <c r="AW14" s="433"/>
      <c r="AX14" s="299">
        <f t="shared" si="11"/>
        <v>130</v>
      </c>
      <c r="AY14" s="299">
        <v>30</v>
      </c>
      <c r="AZ14" s="433"/>
      <c r="BA14" s="299">
        <v>30</v>
      </c>
      <c r="BB14" s="433"/>
      <c r="BC14" s="299">
        <v>30</v>
      </c>
      <c r="BD14" s="299">
        <f t="shared" si="12"/>
        <v>90</v>
      </c>
      <c r="BE14" s="433"/>
      <c r="BF14" s="433"/>
      <c r="BG14" s="299">
        <v>20</v>
      </c>
      <c r="BH14" s="433">
        <f t="shared" si="14"/>
        <v>20</v>
      </c>
      <c r="BI14" s="433"/>
      <c r="BJ14" s="433"/>
      <c r="BK14" s="433"/>
      <c r="BL14" s="433"/>
      <c r="BM14" s="433"/>
      <c r="BN14" s="433"/>
      <c r="BO14" s="299">
        <v>69</v>
      </c>
      <c r="BP14" s="299">
        <v>10</v>
      </c>
      <c r="BQ14" s="299">
        <v>0.3</v>
      </c>
      <c r="BR14" s="299">
        <v>0.9</v>
      </c>
      <c r="BS14" s="299">
        <f t="shared" si="15"/>
        <v>80.2</v>
      </c>
      <c r="BT14" s="299"/>
      <c r="BU14" s="299"/>
      <c r="BV14" s="299"/>
      <c r="BW14" s="299"/>
      <c r="BX14" s="299"/>
      <c r="BY14" s="299">
        <f t="shared" si="16"/>
        <v>0</v>
      </c>
      <c r="BZ14" s="431">
        <f t="shared" si="17"/>
        <v>1369.26</v>
      </c>
      <c r="CA14" s="431">
        <f t="shared" si="18"/>
        <v>5.9399999999999995</v>
      </c>
      <c r="CB14" s="434">
        <f t="shared" si="19"/>
        <v>219.08160000000001</v>
      </c>
    </row>
    <row r="15" spans="1:80" s="5" customFormat="1">
      <c r="A15" s="406" t="str">
        <f>'1-συμβολαια'!A15</f>
        <v>18ο</v>
      </c>
      <c r="B15" s="595">
        <f>'1-συμβολαια'!B15</f>
        <v>41372</v>
      </c>
      <c r="C15" s="419" t="str">
        <f>'1-συμβολαια'!C15</f>
        <v>γονική</v>
      </c>
      <c r="D15" s="432">
        <f>'5-αντίγρ'!AN15</f>
        <v>115</v>
      </c>
      <c r="E15" s="432">
        <f>'5-αντίγρ'!AM15</f>
        <v>1.98</v>
      </c>
      <c r="F15" s="299">
        <f>'6-μεταγρ'!P15</f>
        <v>0</v>
      </c>
      <c r="G15" s="299">
        <f>'6-μεταγρ'!N15</f>
        <v>3.96</v>
      </c>
      <c r="H15" s="299">
        <f>'6-μεταγρ'!Q15</f>
        <v>0</v>
      </c>
      <c r="I15" s="299">
        <f>'7-προςΔΟΥ'!W15</f>
        <v>870</v>
      </c>
      <c r="J15" s="267">
        <f>'7-προςΔΟΥ'!L15</f>
        <v>0</v>
      </c>
      <c r="K15" s="299">
        <f t="shared" si="20"/>
        <v>20</v>
      </c>
      <c r="L15" s="299"/>
      <c r="M15" s="299"/>
      <c r="N15" s="299"/>
      <c r="O15" s="299"/>
      <c r="P15" s="299">
        <v>10</v>
      </c>
      <c r="Q15" s="299"/>
      <c r="R15" s="299"/>
      <c r="S15" s="299"/>
      <c r="T15" s="299">
        <v>10</v>
      </c>
      <c r="U15" s="299">
        <v>10</v>
      </c>
      <c r="V15" s="299">
        <v>10</v>
      </c>
      <c r="W15" s="299"/>
      <c r="X15" s="299"/>
      <c r="Y15" s="299">
        <f t="shared" si="21"/>
        <v>20</v>
      </c>
      <c r="Z15" s="299"/>
      <c r="AA15" s="299"/>
      <c r="AB15" s="299"/>
      <c r="AC15" s="299"/>
      <c r="AD15" s="299"/>
      <c r="AE15" s="433"/>
      <c r="AF15" s="433"/>
      <c r="AG15" s="433"/>
      <c r="AH15" s="299">
        <f t="shared" si="10"/>
        <v>80</v>
      </c>
      <c r="AI15" s="433"/>
      <c r="AJ15" s="299">
        <v>30</v>
      </c>
      <c r="AK15" s="299"/>
      <c r="AL15" s="299">
        <v>30</v>
      </c>
      <c r="AM15" s="299">
        <v>10</v>
      </c>
      <c r="AN15" s="299"/>
      <c r="AO15" s="299">
        <v>40</v>
      </c>
      <c r="AP15" s="299"/>
      <c r="AQ15" s="299">
        <v>10</v>
      </c>
      <c r="AR15" s="299">
        <v>10</v>
      </c>
      <c r="AS15" s="299"/>
      <c r="AT15" s="299"/>
      <c r="AU15" s="299"/>
      <c r="AV15" s="433"/>
      <c r="AW15" s="433"/>
      <c r="AX15" s="299">
        <f t="shared" si="11"/>
        <v>130</v>
      </c>
      <c r="AY15" s="299">
        <v>30</v>
      </c>
      <c r="AZ15" s="433"/>
      <c r="BA15" s="299">
        <v>30</v>
      </c>
      <c r="BB15" s="433"/>
      <c r="BC15" s="299">
        <v>30</v>
      </c>
      <c r="BD15" s="299">
        <f t="shared" si="12"/>
        <v>90</v>
      </c>
      <c r="BE15" s="433"/>
      <c r="BF15" s="433"/>
      <c r="BG15" s="299">
        <v>20</v>
      </c>
      <c r="BH15" s="433">
        <f t="shared" si="14"/>
        <v>20</v>
      </c>
      <c r="BI15" s="433"/>
      <c r="BJ15" s="433"/>
      <c r="BK15" s="433"/>
      <c r="BL15" s="433"/>
      <c r="BM15" s="433"/>
      <c r="BN15" s="433"/>
      <c r="BO15" s="299">
        <v>69</v>
      </c>
      <c r="BP15" s="299">
        <v>10</v>
      </c>
      <c r="BQ15" s="299">
        <v>0.3</v>
      </c>
      <c r="BR15" s="299">
        <v>0.9</v>
      </c>
      <c r="BS15" s="299">
        <f t="shared" si="15"/>
        <v>80.2</v>
      </c>
      <c r="BT15" s="299"/>
      <c r="BU15" s="299"/>
      <c r="BV15" s="299"/>
      <c r="BW15" s="299"/>
      <c r="BX15" s="299"/>
      <c r="BY15" s="299">
        <f t="shared" si="16"/>
        <v>0</v>
      </c>
      <c r="BZ15" s="431">
        <f t="shared" si="17"/>
        <v>1379.26</v>
      </c>
      <c r="CA15" s="431">
        <f t="shared" si="18"/>
        <v>5.9399999999999995</v>
      </c>
      <c r="CB15" s="434">
        <f t="shared" si="19"/>
        <v>220.6816</v>
      </c>
    </row>
    <row r="16" spans="1:80" s="5" customFormat="1">
      <c r="A16" s="406" t="str">
        <f>'1-συμβολαια'!A16</f>
        <v>19ο</v>
      </c>
      <c r="B16" s="595">
        <f>'1-συμβολαια'!B16</f>
        <v>41372</v>
      </c>
      <c r="C16" s="419" t="str">
        <f>'1-συμβολαια'!C16</f>
        <v>σύσταση δουλείας</v>
      </c>
      <c r="D16" s="432">
        <f>'5-αντίγρ'!AN16</f>
        <v>115</v>
      </c>
      <c r="E16" s="432">
        <f>'5-αντίγρ'!AM16</f>
        <v>1.98</v>
      </c>
      <c r="F16" s="299">
        <f>'6-μεταγρ'!P16</f>
        <v>0</v>
      </c>
      <c r="G16" s="299">
        <f>'6-μεταγρ'!N16</f>
        <v>1.98</v>
      </c>
      <c r="H16" s="299">
        <f>'6-μεταγρ'!Q16</f>
        <v>0</v>
      </c>
      <c r="I16" s="299">
        <f>'7-προςΔΟΥ'!W16</f>
        <v>125</v>
      </c>
      <c r="J16" s="267">
        <f>'7-προςΔΟΥ'!L16</f>
        <v>0</v>
      </c>
      <c r="K16" s="299">
        <v>10</v>
      </c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>
        <v>10</v>
      </c>
      <c r="W16" s="299"/>
      <c r="X16" s="299"/>
      <c r="Y16" s="299"/>
      <c r="Z16" s="299"/>
      <c r="AA16" s="299"/>
      <c r="AB16" s="299"/>
      <c r="AC16" s="299"/>
      <c r="AD16" s="299"/>
      <c r="AE16" s="433"/>
      <c r="AF16" s="433"/>
      <c r="AG16" s="433"/>
      <c r="AH16" s="299">
        <f t="shared" si="10"/>
        <v>20</v>
      </c>
      <c r="AI16" s="433"/>
      <c r="AJ16" s="299">
        <v>30</v>
      </c>
      <c r="AK16" s="299"/>
      <c r="AL16" s="299">
        <v>30</v>
      </c>
      <c r="AM16" s="299">
        <v>30</v>
      </c>
      <c r="AN16" s="299"/>
      <c r="AO16" s="299"/>
      <c r="AP16" s="299"/>
      <c r="AQ16" s="299"/>
      <c r="AR16" s="299"/>
      <c r="AS16" s="299"/>
      <c r="AT16" s="299"/>
      <c r="AU16" s="299"/>
      <c r="AV16" s="433"/>
      <c r="AW16" s="433"/>
      <c r="AX16" s="299">
        <f t="shared" si="11"/>
        <v>90</v>
      </c>
      <c r="AY16" s="299">
        <v>30</v>
      </c>
      <c r="AZ16" s="433"/>
      <c r="BA16" s="299">
        <v>30</v>
      </c>
      <c r="BB16" s="433"/>
      <c r="BC16" s="299">
        <v>30</v>
      </c>
      <c r="BD16" s="299">
        <f t="shared" si="12"/>
        <v>90</v>
      </c>
      <c r="BE16" s="433"/>
      <c r="BF16" s="433"/>
      <c r="BG16" s="299"/>
      <c r="BH16" s="433">
        <f t="shared" si="14"/>
        <v>0</v>
      </c>
      <c r="BI16" s="433"/>
      <c r="BJ16" s="433"/>
      <c r="BK16" s="433"/>
      <c r="BL16" s="433"/>
      <c r="BM16" s="433"/>
      <c r="BN16" s="433"/>
      <c r="BO16" s="299"/>
      <c r="BP16" s="299">
        <v>10</v>
      </c>
      <c r="BQ16" s="299">
        <v>0.3</v>
      </c>
      <c r="BR16" s="299">
        <v>0.9</v>
      </c>
      <c r="BS16" s="299">
        <f t="shared" si="15"/>
        <v>11.200000000000001</v>
      </c>
      <c r="BT16" s="299"/>
      <c r="BU16" s="299"/>
      <c r="BV16" s="299"/>
      <c r="BW16" s="299"/>
      <c r="BX16" s="299"/>
      <c r="BY16" s="299">
        <f t="shared" si="16"/>
        <v>0</v>
      </c>
      <c r="BZ16" s="431">
        <f t="shared" si="17"/>
        <v>447.24</v>
      </c>
      <c r="CA16" s="431">
        <f t="shared" si="18"/>
        <v>3.96</v>
      </c>
      <c r="CB16" s="434">
        <f t="shared" si="19"/>
        <v>71.558400000000006</v>
      </c>
    </row>
    <row r="17" spans="1:80" s="5" customFormat="1">
      <c r="A17" s="406" t="str">
        <f>'1-συμβολαια'!A17</f>
        <v>20ο</v>
      </c>
      <c r="B17" s="595">
        <f>'1-συμβολαια'!B17</f>
        <v>41372</v>
      </c>
      <c r="C17" s="419" t="str">
        <f>'1-συμβολαια'!C17</f>
        <v>σύσταση δουλείας</v>
      </c>
      <c r="D17" s="432">
        <f>'5-αντίγρ'!AN17</f>
        <v>100</v>
      </c>
      <c r="E17" s="432">
        <f>'5-αντίγρ'!AM17</f>
        <v>1.98</v>
      </c>
      <c r="F17" s="299">
        <f>'6-μεταγρ'!P17</f>
        <v>0</v>
      </c>
      <c r="G17" s="299">
        <f>'6-μεταγρ'!N17</f>
        <v>1.98</v>
      </c>
      <c r="H17" s="299">
        <f>'6-μεταγρ'!Q17</f>
        <v>0</v>
      </c>
      <c r="I17" s="299">
        <f>'7-προςΔΟΥ'!W17</f>
        <v>125</v>
      </c>
      <c r="J17" s="267">
        <f>'7-προςΔΟΥ'!L17</f>
        <v>0</v>
      </c>
      <c r="K17" s="299">
        <v>10</v>
      </c>
      <c r="L17" s="299"/>
      <c r="M17" s="299"/>
      <c r="N17" s="299"/>
      <c r="O17" s="299"/>
      <c r="P17" s="299"/>
      <c r="Q17" s="299"/>
      <c r="R17" s="299"/>
      <c r="S17" s="299"/>
      <c r="T17" s="299"/>
      <c r="U17" s="299"/>
      <c r="V17" s="299">
        <v>10</v>
      </c>
      <c r="W17" s="299"/>
      <c r="X17" s="299"/>
      <c r="Y17" s="299"/>
      <c r="Z17" s="299"/>
      <c r="AA17" s="299"/>
      <c r="AB17" s="299"/>
      <c r="AC17" s="299"/>
      <c r="AD17" s="299"/>
      <c r="AE17" s="433"/>
      <c r="AF17" s="433"/>
      <c r="AG17" s="433"/>
      <c r="AH17" s="299">
        <f t="shared" si="10"/>
        <v>20</v>
      </c>
      <c r="AI17" s="433"/>
      <c r="AJ17" s="299">
        <v>30</v>
      </c>
      <c r="AK17" s="299"/>
      <c r="AL17" s="299">
        <v>30</v>
      </c>
      <c r="AM17" s="299">
        <v>10</v>
      </c>
      <c r="AN17" s="299"/>
      <c r="AO17" s="299"/>
      <c r="AP17" s="299"/>
      <c r="AQ17" s="299"/>
      <c r="AR17" s="299"/>
      <c r="AS17" s="299"/>
      <c r="AT17" s="299"/>
      <c r="AU17" s="299"/>
      <c r="AV17" s="433"/>
      <c r="AW17" s="433"/>
      <c r="AX17" s="299">
        <f t="shared" si="11"/>
        <v>70</v>
      </c>
      <c r="AY17" s="299">
        <v>30</v>
      </c>
      <c r="AZ17" s="433"/>
      <c r="BA17" s="299">
        <v>30</v>
      </c>
      <c r="BB17" s="433"/>
      <c r="BC17" s="299">
        <v>30</v>
      </c>
      <c r="BD17" s="299">
        <f t="shared" si="12"/>
        <v>90</v>
      </c>
      <c r="BE17" s="433"/>
      <c r="BF17" s="433"/>
      <c r="BG17" s="299"/>
      <c r="BH17" s="433">
        <f t="shared" si="14"/>
        <v>0</v>
      </c>
      <c r="BI17" s="433"/>
      <c r="BJ17" s="433"/>
      <c r="BK17" s="433"/>
      <c r="BL17" s="433"/>
      <c r="BM17" s="433"/>
      <c r="BN17" s="433"/>
      <c r="BO17" s="299"/>
      <c r="BP17" s="299">
        <v>10</v>
      </c>
      <c r="BQ17" s="299">
        <v>0.3</v>
      </c>
      <c r="BR17" s="299">
        <v>0.9</v>
      </c>
      <c r="BS17" s="299">
        <f t="shared" si="15"/>
        <v>11.200000000000001</v>
      </c>
      <c r="BT17" s="299"/>
      <c r="BU17" s="299"/>
      <c r="BV17" s="299"/>
      <c r="BW17" s="299"/>
      <c r="BX17" s="299"/>
      <c r="BY17" s="299">
        <f t="shared" si="16"/>
        <v>0</v>
      </c>
      <c r="BZ17" s="431">
        <f t="shared" si="17"/>
        <v>412.24</v>
      </c>
      <c r="CA17" s="431">
        <f t="shared" si="18"/>
        <v>3.96</v>
      </c>
      <c r="CB17" s="434">
        <f t="shared" si="19"/>
        <v>65.958399999999997</v>
      </c>
    </row>
    <row r="18" spans="1:80" s="5" customFormat="1">
      <c r="A18" s="406" t="str">
        <f>'1-συμβολαια'!A18</f>
        <v>21ο</v>
      </c>
      <c r="B18" s="595">
        <f>'1-συμβολαια'!B18</f>
        <v>41373</v>
      </c>
      <c r="C18" s="419" t="str">
        <f>'1-συμβολαια'!C18</f>
        <v>χρήσης ακινήτου ΚΑΝΟΝΙΣΜΟΣ</v>
      </c>
      <c r="D18" s="432">
        <f>'5-αντίγρ'!AN18</f>
        <v>145</v>
      </c>
      <c r="E18" s="432">
        <f>'5-αντίγρ'!AM18</f>
        <v>1.98</v>
      </c>
      <c r="F18" s="299">
        <f>'6-μεταγρ'!P18</f>
        <v>0</v>
      </c>
      <c r="G18" s="299">
        <f>'6-μεταγρ'!N18</f>
        <v>1.98</v>
      </c>
      <c r="H18" s="299">
        <f>'6-μεταγρ'!Q18</f>
        <v>0</v>
      </c>
      <c r="I18" s="299">
        <f>'7-προςΔΟΥ'!W18</f>
        <v>0</v>
      </c>
      <c r="J18" s="267">
        <f>'7-προςΔΟΥ'!L18</f>
        <v>0</v>
      </c>
      <c r="K18" s="299">
        <v>10</v>
      </c>
      <c r="L18" s="299"/>
      <c r="M18" s="299"/>
      <c r="N18" s="299"/>
      <c r="O18" s="299"/>
      <c r="P18" s="299"/>
      <c r="Q18" s="299"/>
      <c r="R18" s="299"/>
      <c r="S18" s="299"/>
      <c r="T18" s="299"/>
      <c r="U18" s="299"/>
      <c r="V18" s="299"/>
      <c r="W18" s="299"/>
      <c r="X18" s="299"/>
      <c r="Y18" s="299"/>
      <c r="Z18" s="299"/>
      <c r="AA18" s="299"/>
      <c r="AB18" s="299"/>
      <c r="AC18" s="299"/>
      <c r="AD18" s="299"/>
      <c r="AE18" s="433"/>
      <c r="AF18" s="433"/>
      <c r="AG18" s="433"/>
      <c r="AH18" s="299">
        <f t="shared" si="10"/>
        <v>10</v>
      </c>
      <c r="AI18" s="433"/>
      <c r="AJ18" s="299">
        <v>30</v>
      </c>
      <c r="AK18" s="299"/>
      <c r="AL18" s="299">
        <v>30</v>
      </c>
      <c r="AM18" s="299">
        <v>30</v>
      </c>
      <c r="AN18" s="299"/>
      <c r="AO18" s="299"/>
      <c r="AP18" s="299"/>
      <c r="AQ18" s="299"/>
      <c r="AR18" s="299"/>
      <c r="AS18" s="299"/>
      <c r="AT18" s="299"/>
      <c r="AU18" s="299"/>
      <c r="AV18" s="433"/>
      <c r="AW18" s="433"/>
      <c r="AX18" s="299">
        <f t="shared" si="11"/>
        <v>90</v>
      </c>
      <c r="AY18" s="299">
        <v>30</v>
      </c>
      <c r="AZ18" s="433"/>
      <c r="BA18" s="299">
        <v>30</v>
      </c>
      <c r="BB18" s="433"/>
      <c r="BC18" s="299">
        <v>30</v>
      </c>
      <c r="BD18" s="299">
        <f t="shared" si="12"/>
        <v>90</v>
      </c>
      <c r="BE18" s="433"/>
      <c r="BF18" s="433"/>
      <c r="BG18" s="299"/>
      <c r="BH18" s="433">
        <f t="shared" si="14"/>
        <v>0</v>
      </c>
      <c r="BI18" s="433"/>
      <c r="BJ18" s="433"/>
      <c r="BK18" s="433"/>
      <c r="BL18" s="433"/>
      <c r="BM18" s="433"/>
      <c r="BN18" s="433"/>
      <c r="BO18" s="299"/>
      <c r="BP18" s="299">
        <v>10</v>
      </c>
      <c r="BQ18" s="299">
        <v>0.3</v>
      </c>
      <c r="BR18" s="299">
        <v>0.9</v>
      </c>
      <c r="BS18" s="299">
        <f t="shared" si="15"/>
        <v>11.200000000000001</v>
      </c>
      <c r="BT18" s="299"/>
      <c r="BU18" s="299"/>
      <c r="BV18" s="299"/>
      <c r="BW18" s="299"/>
      <c r="BX18" s="299"/>
      <c r="BY18" s="299">
        <f t="shared" si="16"/>
        <v>0</v>
      </c>
      <c r="BZ18" s="431">
        <f t="shared" si="17"/>
        <v>342.24</v>
      </c>
      <c r="CA18" s="431">
        <f t="shared" si="18"/>
        <v>3.96</v>
      </c>
      <c r="CB18" s="434">
        <f t="shared" si="19"/>
        <v>54.758400000000002</v>
      </c>
    </row>
    <row r="19" spans="1:80">
      <c r="A19" s="661" t="s">
        <v>47</v>
      </c>
      <c r="B19" s="631"/>
      <c r="C19" s="662"/>
      <c r="D19" s="38">
        <f t="shared" ref="D19:AH19" si="22">SUM(D3:D18)</f>
        <v>1045</v>
      </c>
      <c r="E19" s="38">
        <f t="shared" si="22"/>
        <v>19.8</v>
      </c>
      <c r="F19" s="38">
        <f t="shared" si="22"/>
        <v>80</v>
      </c>
      <c r="G19" s="38">
        <f t="shared" si="22"/>
        <v>25.740000000000002</v>
      </c>
      <c r="H19" s="38">
        <f t="shared" si="22"/>
        <v>0</v>
      </c>
      <c r="I19" s="38">
        <f t="shared" si="22"/>
        <v>5890</v>
      </c>
      <c r="J19" s="38">
        <f t="shared" si="22"/>
        <v>0</v>
      </c>
      <c r="K19" s="38">
        <f t="shared" si="22"/>
        <v>170</v>
      </c>
      <c r="L19" s="38">
        <f t="shared" si="22"/>
        <v>10</v>
      </c>
      <c r="M19" s="38">
        <f t="shared" si="22"/>
        <v>10</v>
      </c>
      <c r="N19" s="38">
        <f t="shared" si="22"/>
        <v>0</v>
      </c>
      <c r="O19" s="38">
        <f t="shared" si="22"/>
        <v>10</v>
      </c>
      <c r="P19" s="38">
        <f t="shared" si="22"/>
        <v>30</v>
      </c>
      <c r="Q19" s="38">
        <f t="shared" si="22"/>
        <v>10</v>
      </c>
      <c r="R19" s="38">
        <f t="shared" si="22"/>
        <v>0</v>
      </c>
      <c r="S19" s="38">
        <f t="shared" si="22"/>
        <v>10</v>
      </c>
      <c r="T19" s="38">
        <f t="shared" si="22"/>
        <v>160</v>
      </c>
      <c r="U19" s="38">
        <f t="shared" si="22"/>
        <v>70</v>
      </c>
      <c r="V19" s="38">
        <f t="shared" si="22"/>
        <v>70</v>
      </c>
      <c r="W19" s="38">
        <f t="shared" si="22"/>
        <v>10</v>
      </c>
      <c r="X19" s="38">
        <f t="shared" si="22"/>
        <v>0</v>
      </c>
      <c r="Y19" s="38">
        <f t="shared" si="22"/>
        <v>210</v>
      </c>
      <c r="Z19" s="38">
        <f t="shared" si="22"/>
        <v>60</v>
      </c>
      <c r="AA19" s="38">
        <f t="shared" si="22"/>
        <v>30</v>
      </c>
      <c r="AB19" s="38">
        <f t="shared" si="22"/>
        <v>2</v>
      </c>
      <c r="AC19" s="38">
        <f t="shared" si="22"/>
        <v>0</v>
      </c>
      <c r="AD19" s="38">
        <f t="shared" si="22"/>
        <v>0</v>
      </c>
      <c r="AE19" s="38">
        <f t="shared" si="22"/>
        <v>0</v>
      </c>
      <c r="AF19" s="38">
        <f t="shared" si="22"/>
        <v>0</v>
      </c>
      <c r="AG19" s="38">
        <f t="shared" si="22"/>
        <v>2000</v>
      </c>
      <c r="AH19" s="38">
        <f t="shared" si="22"/>
        <v>2862</v>
      </c>
      <c r="AI19" s="38"/>
      <c r="AJ19" s="38">
        <f t="shared" ref="AJ19:AU19" si="23">SUM(AJ3:AJ18)</f>
        <v>250</v>
      </c>
      <c r="AK19" s="38">
        <f t="shared" si="23"/>
        <v>20</v>
      </c>
      <c r="AL19" s="38">
        <f t="shared" si="23"/>
        <v>250</v>
      </c>
      <c r="AM19" s="38">
        <f t="shared" si="23"/>
        <v>130</v>
      </c>
      <c r="AN19" s="38">
        <f t="shared" si="23"/>
        <v>0</v>
      </c>
      <c r="AO19" s="38">
        <f t="shared" si="23"/>
        <v>210</v>
      </c>
      <c r="AP19" s="38">
        <f t="shared" si="23"/>
        <v>20</v>
      </c>
      <c r="AQ19" s="38">
        <f t="shared" si="23"/>
        <v>70</v>
      </c>
      <c r="AR19" s="38">
        <f t="shared" si="23"/>
        <v>60</v>
      </c>
      <c r="AS19" s="38">
        <f t="shared" si="23"/>
        <v>0</v>
      </c>
      <c r="AT19" s="38">
        <f t="shared" si="23"/>
        <v>0</v>
      </c>
      <c r="AU19" s="38">
        <f t="shared" si="23"/>
        <v>0</v>
      </c>
      <c r="AV19" s="38"/>
      <c r="AW19" s="38">
        <f t="shared" ref="AW19:CB19" si="24">SUM(AW3:AW18)</f>
        <v>0</v>
      </c>
      <c r="AX19" s="38">
        <f t="shared" si="24"/>
        <v>1010</v>
      </c>
      <c r="AY19" s="38">
        <f t="shared" si="24"/>
        <v>295</v>
      </c>
      <c r="AZ19" s="237">
        <f t="shared" si="24"/>
        <v>0</v>
      </c>
      <c r="BA19" s="38">
        <f t="shared" si="24"/>
        <v>280</v>
      </c>
      <c r="BB19" s="237">
        <f t="shared" si="24"/>
        <v>0</v>
      </c>
      <c r="BC19" s="237">
        <f t="shared" si="24"/>
        <v>250</v>
      </c>
      <c r="BD19" s="38">
        <f t="shared" si="24"/>
        <v>825</v>
      </c>
      <c r="BE19" s="38">
        <f t="shared" si="24"/>
        <v>0</v>
      </c>
      <c r="BF19" s="237">
        <f t="shared" si="24"/>
        <v>0</v>
      </c>
      <c r="BG19" s="38">
        <f t="shared" si="24"/>
        <v>160</v>
      </c>
      <c r="BH19" s="38">
        <f t="shared" si="24"/>
        <v>160</v>
      </c>
      <c r="BI19" s="38">
        <f t="shared" si="24"/>
        <v>0</v>
      </c>
      <c r="BJ19" s="38">
        <f t="shared" si="24"/>
        <v>0</v>
      </c>
      <c r="BK19" s="38">
        <f t="shared" si="24"/>
        <v>0</v>
      </c>
      <c r="BL19" s="38">
        <f t="shared" si="24"/>
        <v>0</v>
      </c>
      <c r="BM19" s="38">
        <f t="shared" si="24"/>
        <v>0</v>
      </c>
      <c r="BN19" s="38">
        <f t="shared" si="24"/>
        <v>0</v>
      </c>
      <c r="BO19" s="38">
        <f t="shared" si="24"/>
        <v>345</v>
      </c>
      <c r="BP19" s="38">
        <f t="shared" si="24"/>
        <v>90</v>
      </c>
      <c r="BQ19" s="38">
        <f t="shared" si="24"/>
        <v>2.6999999999999997</v>
      </c>
      <c r="BR19" s="38">
        <f t="shared" si="24"/>
        <v>8.7000000000000011</v>
      </c>
      <c r="BS19" s="38">
        <f t="shared" si="24"/>
        <v>446.39999999999992</v>
      </c>
      <c r="BT19" s="38">
        <f t="shared" si="24"/>
        <v>0</v>
      </c>
      <c r="BU19" s="38">
        <f t="shared" si="24"/>
        <v>0</v>
      </c>
      <c r="BV19" s="38">
        <f t="shared" si="24"/>
        <v>0</v>
      </c>
      <c r="BW19" s="38">
        <f t="shared" si="24"/>
        <v>0</v>
      </c>
      <c r="BX19" s="38">
        <f t="shared" si="24"/>
        <v>0</v>
      </c>
      <c r="BY19" s="38">
        <f t="shared" si="24"/>
        <v>0</v>
      </c>
      <c r="BZ19" s="38">
        <f t="shared" si="24"/>
        <v>12272.86</v>
      </c>
      <c r="CA19" s="38">
        <f t="shared" si="24"/>
        <v>45.54</v>
      </c>
      <c r="CB19" s="38">
        <f t="shared" si="24"/>
        <v>1963.6575999999998</v>
      </c>
    </row>
    <row r="20" spans="1:80" ht="11.25" customHeight="1"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</row>
    <row r="21" spans="1:80" ht="11.25" customHeight="1">
      <c r="D21" s="127"/>
      <c r="E21" s="127"/>
      <c r="F21" s="2"/>
      <c r="G21" s="2"/>
      <c r="H21" s="2"/>
      <c r="I21" s="2"/>
      <c r="J21" s="2"/>
      <c r="K21" s="159" t="s">
        <v>489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18" t="s">
        <v>413</v>
      </c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151" t="s">
        <v>190</v>
      </c>
      <c r="AZ21" s="2"/>
      <c r="BA21" s="2"/>
      <c r="BB21" s="2"/>
      <c r="BC21" s="2"/>
      <c r="BD21" s="2"/>
      <c r="BE21" s="151" t="s">
        <v>202</v>
      </c>
      <c r="BF21" s="2"/>
      <c r="BG21" s="2"/>
      <c r="BH21" s="2"/>
      <c r="BI21" s="151" t="s">
        <v>215</v>
      </c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 t="s">
        <v>529</v>
      </c>
      <c r="BU21" s="2"/>
      <c r="BV21" s="2"/>
      <c r="BW21" s="2"/>
      <c r="BX21" s="2"/>
      <c r="BY21" s="2"/>
      <c r="BZ21" s="2"/>
      <c r="CA21" s="2"/>
    </row>
    <row r="22" spans="1:80" ht="11.25" customHeight="1">
      <c r="C22" s="92"/>
      <c r="D22" s="78" t="s">
        <v>605</v>
      </c>
      <c r="E22" s="127"/>
      <c r="F22" s="2"/>
      <c r="G22" s="2"/>
      <c r="H22" s="2"/>
      <c r="I22" s="2"/>
      <c r="J22" s="2"/>
      <c r="K22" s="4"/>
      <c r="L22" s="301" t="s">
        <v>490</v>
      </c>
      <c r="M22" s="302"/>
      <c r="N22" s="302"/>
      <c r="O22" s="302"/>
      <c r="P22" s="302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2"/>
      <c r="AJ22" s="2"/>
      <c r="AK22" s="159" t="s">
        <v>185</v>
      </c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36" t="s">
        <v>193</v>
      </c>
      <c r="BA22" s="2"/>
      <c r="BB22" s="2"/>
      <c r="BC22" s="2"/>
      <c r="BD22" s="2"/>
      <c r="BE22" s="2"/>
      <c r="BF22" s="235" t="s">
        <v>203</v>
      </c>
      <c r="BG22" s="2"/>
      <c r="BH22" s="2"/>
      <c r="BI22" s="2"/>
      <c r="BJ22" s="167" t="s">
        <v>218</v>
      </c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 t="s">
        <v>530</v>
      </c>
      <c r="BV22" s="2"/>
      <c r="BW22" s="2"/>
      <c r="BX22" s="2"/>
      <c r="BY22" s="2"/>
      <c r="BZ22" s="2"/>
      <c r="CA22" s="2"/>
    </row>
    <row r="23" spans="1:80" ht="11.25" customHeight="1">
      <c r="C23" s="92"/>
      <c r="D23" s="470" t="s">
        <v>559</v>
      </c>
      <c r="E23" s="3"/>
      <c r="F23" s="2"/>
      <c r="G23" s="2"/>
      <c r="H23" s="2"/>
      <c r="I23" s="2"/>
      <c r="J23" s="2"/>
      <c r="K23" s="4"/>
      <c r="L23" s="302"/>
      <c r="M23" s="301" t="s">
        <v>405</v>
      </c>
      <c r="N23" s="302"/>
      <c r="O23" s="302"/>
      <c r="P23" s="302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2"/>
      <c r="AI23" s="2"/>
      <c r="AJ23" s="2"/>
      <c r="AK23" s="2"/>
      <c r="AL23" s="18" t="s">
        <v>414</v>
      </c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4" t="s">
        <v>191</v>
      </c>
      <c r="BB23" s="2"/>
      <c r="BC23" s="2"/>
      <c r="BD23" s="2"/>
      <c r="BE23" s="2"/>
      <c r="BF23" s="2"/>
      <c r="BG23" s="151" t="s">
        <v>204</v>
      </c>
      <c r="BH23" s="2"/>
      <c r="BI23" s="2"/>
      <c r="BJ23" s="2"/>
      <c r="BK23" s="151" t="s">
        <v>219</v>
      </c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 t="s">
        <v>531</v>
      </c>
      <c r="BW23" s="2"/>
      <c r="BX23" s="2"/>
      <c r="BY23" s="2"/>
      <c r="BZ23" s="2"/>
      <c r="CA23" s="2"/>
    </row>
    <row r="24" spans="1:80" ht="11.25" customHeight="1">
      <c r="C24" s="92"/>
      <c r="D24" s="470" t="s">
        <v>560</v>
      </c>
      <c r="E24" s="3"/>
      <c r="F24" s="2"/>
      <c r="G24" s="2"/>
      <c r="H24" s="2"/>
      <c r="I24" s="2"/>
      <c r="J24" s="2"/>
      <c r="K24" s="4"/>
      <c r="L24" s="302"/>
      <c r="M24" s="302"/>
      <c r="N24" s="302" t="s">
        <v>406</v>
      </c>
      <c r="O24" s="302"/>
      <c r="P24" s="302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2"/>
      <c r="AI24" s="2"/>
      <c r="AJ24" s="78">
        <v>10311</v>
      </c>
      <c r="AK24" s="2"/>
      <c r="AL24" s="2"/>
      <c r="AM24" s="116" t="s">
        <v>415</v>
      </c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36" t="s">
        <v>192</v>
      </c>
      <c r="BC24" s="2"/>
      <c r="BD24" s="2"/>
      <c r="BE24" s="2"/>
      <c r="BF24" s="2"/>
      <c r="BG24" s="2"/>
      <c r="BH24" s="2"/>
      <c r="BI24" s="2"/>
      <c r="BJ24" s="2"/>
      <c r="BK24" s="2"/>
      <c r="BL24" s="167" t="s">
        <v>221</v>
      </c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 t="s">
        <v>532</v>
      </c>
      <c r="BX24" s="2"/>
      <c r="BY24" s="2"/>
      <c r="BZ24" s="2"/>
      <c r="CA24" s="2"/>
    </row>
    <row r="25" spans="1:80" ht="11.25" customHeight="1">
      <c r="C25" s="92"/>
      <c r="E25" s="3"/>
      <c r="F25" s="2"/>
      <c r="G25" s="2"/>
      <c r="H25" s="2"/>
      <c r="I25" s="2"/>
      <c r="J25" s="2"/>
      <c r="K25" s="4"/>
      <c r="L25" s="4"/>
      <c r="M25" s="4"/>
      <c r="N25" s="4"/>
      <c r="O25" s="4" t="s">
        <v>407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2"/>
      <c r="AI25" s="2"/>
      <c r="AJ25" s="470" t="s">
        <v>560</v>
      </c>
      <c r="AK25" s="2"/>
      <c r="AL25" s="2"/>
      <c r="AM25" s="2"/>
      <c r="AN25" s="18" t="s">
        <v>416</v>
      </c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4" t="s">
        <v>199</v>
      </c>
      <c r="BD25" s="2"/>
      <c r="BE25" s="2"/>
      <c r="BF25" s="2"/>
      <c r="BG25" s="2"/>
      <c r="BH25" s="2"/>
      <c r="BI25" s="2"/>
      <c r="BJ25" s="2"/>
      <c r="BK25" s="2"/>
      <c r="BL25" s="2"/>
      <c r="BM25" s="151" t="s">
        <v>222</v>
      </c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 t="s">
        <v>533</v>
      </c>
      <c r="BY25" s="2"/>
      <c r="BZ25" s="3"/>
      <c r="CA25" s="3"/>
    </row>
    <row r="26" spans="1:80" ht="11.25" customHeight="1">
      <c r="C26" s="130"/>
      <c r="D26" s="78" t="s">
        <v>606</v>
      </c>
      <c r="E26" s="3"/>
      <c r="F26" s="2"/>
      <c r="G26" s="2"/>
      <c r="H26" s="2"/>
      <c r="I26" s="2"/>
      <c r="J26" s="2"/>
      <c r="K26" s="4"/>
      <c r="L26" s="4"/>
      <c r="M26" s="4"/>
      <c r="N26" s="4"/>
      <c r="O26" s="4"/>
      <c r="P26" s="4" t="s">
        <v>460</v>
      </c>
      <c r="Q26" s="4"/>
      <c r="R26" s="4"/>
      <c r="S26" s="4"/>
      <c r="T26" s="4"/>
      <c r="U26" s="169"/>
      <c r="V26" s="169"/>
      <c r="W26" s="169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2"/>
      <c r="AI26" s="2"/>
      <c r="AJ26" s="2"/>
      <c r="AK26" s="2"/>
      <c r="AL26" s="2"/>
      <c r="AM26" s="2"/>
      <c r="AN26" s="2"/>
      <c r="AO26" s="159" t="s">
        <v>417</v>
      </c>
      <c r="AP26" s="116"/>
      <c r="AQ26" s="116"/>
      <c r="AR26" s="116"/>
      <c r="AS26" s="116"/>
      <c r="AT26" s="116"/>
      <c r="AU26" s="116"/>
      <c r="AV26" s="116"/>
      <c r="AW26" s="116"/>
      <c r="AX26" s="2"/>
      <c r="AY26" s="2"/>
      <c r="AZ26" s="2"/>
      <c r="BA26" s="2"/>
      <c r="BB26" s="2"/>
      <c r="BC26" s="2"/>
      <c r="BD26" s="2"/>
      <c r="BE26" s="2"/>
      <c r="BF26" s="2"/>
      <c r="BG26" s="151" t="s">
        <v>210</v>
      </c>
      <c r="BH26" s="2"/>
      <c r="BI26" s="2"/>
      <c r="BJ26" s="2"/>
      <c r="BK26" s="2"/>
      <c r="BL26" s="2"/>
      <c r="BM26" s="2"/>
      <c r="BN26" s="167" t="s">
        <v>223</v>
      </c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3"/>
      <c r="CA26" s="3"/>
    </row>
    <row r="27" spans="1:80" ht="11.25" customHeight="1">
      <c r="C27" s="131"/>
      <c r="D27" s="470" t="s">
        <v>578</v>
      </c>
      <c r="E27" s="3"/>
      <c r="F27" s="2"/>
      <c r="G27" s="2"/>
      <c r="H27" s="2"/>
      <c r="I27" s="2"/>
      <c r="J27" s="2"/>
      <c r="K27" s="4"/>
      <c r="L27" s="4"/>
      <c r="M27" s="4"/>
      <c r="N27" s="4"/>
      <c r="O27" s="4"/>
      <c r="P27" s="4"/>
      <c r="Q27" s="4" t="s">
        <v>469</v>
      </c>
      <c r="R27" s="4"/>
      <c r="S27" s="4"/>
      <c r="T27" s="4"/>
      <c r="U27" s="169"/>
      <c r="V27" s="169"/>
      <c r="W27" s="169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2"/>
      <c r="AI27" s="2"/>
      <c r="AJ27" s="78">
        <v>10378</v>
      </c>
      <c r="AK27" s="2"/>
      <c r="AL27" s="2"/>
      <c r="AM27" s="2"/>
      <c r="AN27" s="2"/>
      <c r="AO27" s="2"/>
      <c r="AP27" s="158" t="s">
        <v>418</v>
      </c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36" t="s">
        <v>208</v>
      </c>
      <c r="BH27" s="2"/>
      <c r="BI27" s="2"/>
      <c r="BJ27" s="2"/>
      <c r="BK27" s="2"/>
      <c r="BL27" s="2"/>
      <c r="BM27" s="2"/>
      <c r="BN27" s="167"/>
      <c r="BO27" s="151" t="s">
        <v>224</v>
      </c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3"/>
      <c r="CA27" s="3"/>
    </row>
    <row r="28" spans="1:80" ht="11.25" customHeight="1">
      <c r="C28" s="92"/>
      <c r="D28" s="470" t="s">
        <v>560</v>
      </c>
      <c r="E28" s="3"/>
      <c r="F28" s="2"/>
      <c r="G28" s="2"/>
      <c r="H28" s="2"/>
      <c r="I28" s="2"/>
      <c r="J28" s="2"/>
      <c r="K28" s="4"/>
      <c r="L28" s="4"/>
      <c r="M28" s="4"/>
      <c r="N28" s="4"/>
      <c r="O28" s="4"/>
      <c r="P28" s="4"/>
      <c r="Q28" s="4"/>
      <c r="R28" s="4" t="s">
        <v>473</v>
      </c>
      <c r="S28" s="4"/>
      <c r="T28" s="4"/>
      <c r="U28" s="169"/>
      <c r="V28" s="169"/>
      <c r="W28" s="169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2"/>
      <c r="AI28" s="2"/>
      <c r="AJ28" s="470" t="s">
        <v>560</v>
      </c>
      <c r="AK28" s="2"/>
      <c r="AL28" s="2"/>
      <c r="AM28" s="2"/>
      <c r="AN28" s="2"/>
      <c r="AO28" s="2"/>
      <c r="AP28" s="2"/>
      <c r="AQ28" s="116" t="s">
        <v>457</v>
      </c>
      <c r="AR28" s="116"/>
      <c r="AS28" s="116"/>
      <c r="AT28" s="116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151" t="s">
        <v>209</v>
      </c>
      <c r="BH28" s="2"/>
      <c r="BI28" s="2"/>
      <c r="BJ28" s="2"/>
      <c r="BK28" s="2"/>
      <c r="BL28" s="2"/>
      <c r="BM28" s="2"/>
      <c r="BN28" s="167"/>
      <c r="BO28" s="4"/>
      <c r="BP28" s="167" t="s">
        <v>528</v>
      </c>
      <c r="BQ28" s="167"/>
      <c r="BR28" s="167"/>
      <c r="BS28" s="2"/>
      <c r="BT28" s="2"/>
      <c r="BU28" s="2"/>
      <c r="BV28" s="2"/>
      <c r="BW28" s="2"/>
      <c r="BX28" s="2"/>
      <c r="BY28" s="2"/>
      <c r="BZ28" s="3"/>
      <c r="CA28" s="3"/>
    </row>
    <row r="29" spans="1:80">
      <c r="C29" s="92"/>
      <c r="E29" s="3"/>
      <c r="F29" s="2"/>
      <c r="G29" s="2"/>
      <c r="H29" s="2"/>
      <c r="I29" s="2"/>
      <c r="J29" s="2"/>
      <c r="K29" s="4"/>
      <c r="L29" s="4"/>
      <c r="M29" s="4"/>
      <c r="N29" s="4"/>
      <c r="O29" s="4"/>
      <c r="P29" s="4"/>
      <c r="Q29" s="4"/>
      <c r="R29" s="4"/>
      <c r="S29" s="151" t="s">
        <v>536</v>
      </c>
      <c r="T29" s="169"/>
      <c r="U29" s="169"/>
      <c r="V29" s="169"/>
      <c r="W29" s="169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158" t="s">
        <v>458</v>
      </c>
      <c r="AS29" s="2"/>
      <c r="AT29" s="158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167" t="s">
        <v>211</v>
      </c>
      <c r="BH29" s="2"/>
      <c r="BI29" s="2"/>
      <c r="BJ29" s="2"/>
      <c r="BK29" s="2"/>
      <c r="BL29" s="2"/>
      <c r="BM29" s="2"/>
      <c r="BN29" s="2"/>
      <c r="BO29" s="2"/>
      <c r="BP29" s="2"/>
      <c r="BQ29" s="151" t="s">
        <v>445</v>
      </c>
      <c r="BR29" s="151"/>
      <c r="BS29" s="2"/>
      <c r="BT29" s="2"/>
      <c r="BU29" s="2"/>
      <c r="BV29" s="2"/>
      <c r="BW29" s="2"/>
      <c r="BX29" s="2"/>
      <c r="BY29" s="2"/>
      <c r="BZ29" s="3"/>
      <c r="CA29" s="3"/>
    </row>
    <row r="30" spans="1:80">
      <c r="C30" s="3" t="s">
        <v>572</v>
      </c>
      <c r="D30" s="78" t="s">
        <v>607</v>
      </c>
      <c r="E30" s="3"/>
      <c r="F30" s="2"/>
      <c r="G30" s="2"/>
      <c r="H30" s="2"/>
      <c r="I30" s="2"/>
      <c r="J30" s="2"/>
      <c r="K30" s="4"/>
      <c r="L30" s="4"/>
      <c r="M30" s="4"/>
      <c r="N30" s="4"/>
      <c r="O30" s="4"/>
      <c r="P30" s="4"/>
      <c r="Q30" s="4"/>
      <c r="R30" s="4"/>
      <c r="S30" s="4"/>
      <c r="T30" s="169" t="s">
        <v>408</v>
      </c>
      <c r="U30" s="169"/>
      <c r="V30" s="169"/>
      <c r="W30" s="169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2"/>
      <c r="AI30" s="2"/>
      <c r="AJ30" s="78">
        <v>10677</v>
      </c>
      <c r="AK30" s="2"/>
      <c r="AL30" s="2"/>
      <c r="AM30" s="2"/>
      <c r="AN30" s="2"/>
      <c r="AO30" s="2"/>
      <c r="AP30" s="2"/>
      <c r="AQ30" s="87"/>
      <c r="AR30" s="87"/>
      <c r="AS30" s="116" t="s">
        <v>474</v>
      </c>
      <c r="AT30" s="116"/>
      <c r="AU30" s="87"/>
      <c r="AV30" s="8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173" t="s">
        <v>264</v>
      </c>
      <c r="BH30" s="2"/>
      <c r="BI30" s="2"/>
      <c r="BJ30" s="2"/>
      <c r="BK30" s="2"/>
      <c r="BL30" s="2"/>
      <c r="BM30" s="2"/>
      <c r="BN30" s="2"/>
      <c r="BO30" s="2"/>
      <c r="BP30" s="87"/>
      <c r="BQ30" s="87"/>
      <c r="BR30" s="169" t="s">
        <v>444</v>
      </c>
      <c r="BS30" s="2"/>
      <c r="BT30" s="2"/>
      <c r="BU30" s="2"/>
      <c r="BV30" s="2"/>
      <c r="BW30" s="2"/>
      <c r="BX30" s="2"/>
      <c r="BY30" s="2"/>
      <c r="BZ30" s="3"/>
      <c r="CA30" s="3"/>
    </row>
    <row r="31" spans="1:80">
      <c r="C31" s="526" t="s">
        <v>573</v>
      </c>
      <c r="D31" s="470" t="s">
        <v>559</v>
      </c>
      <c r="E31" s="3"/>
      <c r="F31" s="2"/>
      <c r="G31" s="2"/>
      <c r="H31" s="2"/>
      <c r="I31" s="2"/>
      <c r="J31" s="2"/>
      <c r="K31" s="4"/>
      <c r="L31" s="4"/>
      <c r="M31" s="4"/>
      <c r="N31" s="4"/>
      <c r="O31" s="4"/>
      <c r="P31" s="4"/>
      <c r="Q31" s="4"/>
      <c r="R31" s="4"/>
      <c r="S31" s="4"/>
      <c r="T31" s="4"/>
      <c r="U31" s="4" t="s">
        <v>426</v>
      </c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2"/>
      <c r="AI31" s="2"/>
      <c r="AJ31" s="470" t="s">
        <v>560</v>
      </c>
      <c r="AK31" s="2"/>
      <c r="AL31" s="2"/>
      <c r="AM31" s="2"/>
      <c r="AN31" s="2"/>
      <c r="AO31" s="2"/>
      <c r="AP31" s="87"/>
      <c r="AQ31" s="87"/>
      <c r="AR31" s="87"/>
      <c r="AS31" s="2"/>
      <c r="AT31" s="116" t="s">
        <v>470</v>
      </c>
      <c r="AU31" s="116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174" t="s">
        <v>265</v>
      </c>
      <c r="BH31" s="2"/>
      <c r="BI31" s="2"/>
      <c r="BJ31" s="2"/>
      <c r="BK31" s="2"/>
      <c r="BL31" s="2"/>
      <c r="BM31" s="2"/>
      <c r="BN31" s="2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3"/>
    </row>
    <row r="32" spans="1:80">
      <c r="C32" s="526" t="s">
        <v>574</v>
      </c>
      <c r="D32" s="470" t="s">
        <v>560</v>
      </c>
      <c r="E32" s="3"/>
      <c r="F32" s="87"/>
      <c r="G32" s="87"/>
      <c r="H32" s="87"/>
      <c r="I32" s="87"/>
      <c r="J32" s="87"/>
      <c r="K32" s="87"/>
      <c r="L32" s="87"/>
      <c r="M32" s="87"/>
      <c r="N32" s="87"/>
      <c r="O32" s="4"/>
      <c r="P32" s="4"/>
      <c r="Q32" s="4"/>
      <c r="R32" s="4"/>
      <c r="S32" s="4"/>
      <c r="T32" s="4"/>
      <c r="U32" s="4"/>
      <c r="V32" s="302" t="s">
        <v>427</v>
      </c>
      <c r="W32" s="169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2"/>
      <c r="AI32" s="2"/>
      <c r="AJ32" s="2"/>
      <c r="AK32" s="2"/>
      <c r="AL32" s="87"/>
      <c r="AM32" s="87"/>
      <c r="AN32" s="87"/>
      <c r="AO32" s="87"/>
      <c r="AP32" s="87"/>
      <c r="AQ32" s="87"/>
      <c r="AR32" s="87"/>
      <c r="AS32" s="2"/>
      <c r="AT32" s="2"/>
      <c r="AU32" s="158" t="s">
        <v>471</v>
      </c>
      <c r="AV32" s="2"/>
      <c r="AW32" s="2"/>
      <c r="AX32" s="2"/>
      <c r="AY32" s="87"/>
      <c r="AZ32" s="87"/>
      <c r="BA32" s="87"/>
      <c r="BB32" s="87"/>
      <c r="BC32" s="87"/>
      <c r="BD32" s="87"/>
      <c r="BE32" s="87"/>
      <c r="BF32" s="87"/>
      <c r="BG32" s="430" t="s">
        <v>266</v>
      </c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3"/>
      <c r="CA32" s="3"/>
    </row>
    <row r="33" spans="3:79">
      <c r="C33" s="92"/>
      <c r="E33" s="82"/>
      <c r="K33" s="87"/>
      <c r="L33" s="87"/>
      <c r="M33" s="87"/>
      <c r="N33" s="87"/>
      <c r="O33" s="87"/>
      <c r="P33" s="87"/>
      <c r="Q33" s="87"/>
      <c r="R33" s="87"/>
      <c r="S33" s="87"/>
      <c r="T33" s="4"/>
      <c r="U33" s="4"/>
      <c r="V33" s="4"/>
      <c r="W33" s="151" t="s">
        <v>454</v>
      </c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2"/>
      <c r="AI33" s="87"/>
      <c r="AJ33" s="78">
        <v>11070</v>
      </c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3"/>
      <c r="CA33" s="3"/>
    </row>
    <row r="34" spans="3:79">
      <c r="C34" s="92"/>
      <c r="D34" s="78" t="s">
        <v>608</v>
      </c>
      <c r="E34" s="82"/>
      <c r="M34" s="87"/>
      <c r="N34" s="87"/>
      <c r="O34" s="87"/>
      <c r="P34" s="87"/>
      <c r="Q34" s="87"/>
      <c r="R34" s="87"/>
      <c r="S34" s="87"/>
      <c r="T34" s="4"/>
      <c r="U34" s="4"/>
      <c r="V34" s="4"/>
      <c r="W34" s="4"/>
      <c r="X34" s="169" t="s">
        <v>461</v>
      </c>
      <c r="Y34" s="169"/>
      <c r="Z34" s="4"/>
      <c r="AA34" s="4"/>
      <c r="AB34" s="4"/>
      <c r="AC34" s="4"/>
      <c r="AD34" s="4"/>
      <c r="AE34" s="4"/>
      <c r="AF34" s="4"/>
      <c r="AG34" s="4"/>
      <c r="AH34" s="2"/>
      <c r="AI34" s="87"/>
      <c r="AJ34" s="470" t="s">
        <v>560</v>
      </c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  <c r="BZ34" s="3"/>
      <c r="CA34" s="3"/>
    </row>
    <row r="35" spans="3:79">
      <c r="C35" s="92"/>
      <c r="D35" s="470" t="s">
        <v>559</v>
      </c>
      <c r="E35" s="82"/>
      <c r="M35" s="87"/>
      <c r="N35" s="87"/>
      <c r="O35" s="87"/>
      <c r="P35" s="87"/>
      <c r="Q35" s="87"/>
      <c r="R35" s="87"/>
      <c r="S35" s="87"/>
      <c r="T35" s="4"/>
      <c r="U35" s="4"/>
      <c r="V35" s="4"/>
      <c r="W35" s="4"/>
      <c r="X35" s="4"/>
      <c r="Y35" s="4" t="s">
        <v>543</v>
      </c>
      <c r="Z35" s="169"/>
      <c r="AA35" s="4"/>
      <c r="AB35" s="4"/>
      <c r="AC35" s="4"/>
      <c r="AD35" s="4"/>
      <c r="AE35" s="4"/>
      <c r="AF35" s="4"/>
      <c r="AG35" s="4"/>
      <c r="AH35" s="87"/>
      <c r="AI35" s="87"/>
      <c r="AJ35" s="2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3"/>
      <c r="CA35" s="3"/>
    </row>
    <row r="36" spans="3:79">
      <c r="C36" s="92"/>
      <c r="D36" s="470" t="s">
        <v>560</v>
      </c>
      <c r="E36" s="82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4"/>
      <c r="Y36" s="4"/>
      <c r="Z36" s="169" t="s">
        <v>409</v>
      </c>
      <c r="AA36" s="4"/>
      <c r="AB36" s="4"/>
      <c r="AC36" s="4"/>
      <c r="AD36" s="4"/>
      <c r="AE36" s="4"/>
      <c r="AF36" s="4"/>
      <c r="AG36" s="4"/>
      <c r="AH36" s="87"/>
      <c r="AI36" s="87"/>
      <c r="AJ36" s="78">
        <v>11072</v>
      </c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3"/>
      <c r="CA36" s="3"/>
    </row>
    <row r="37" spans="3:79">
      <c r="C37" s="92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4"/>
      <c r="Y37" s="4"/>
      <c r="Z37" s="4"/>
      <c r="AA37" s="4" t="s">
        <v>410</v>
      </c>
      <c r="AB37" s="4"/>
      <c r="AC37" s="4"/>
      <c r="AD37" s="4"/>
      <c r="AE37" s="4"/>
      <c r="AF37" s="4"/>
      <c r="AG37" s="87"/>
      <c r="AH37" s="87"/>
      <c r="AI37" s="87"/>
      <c r="AJ37" s="470" t="s">
        <v>560</v>
      </c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</row>
    <row r="38" spans="3:79">
      <c r="C38" s="3" t="s">
        <v>617</v>
      </c>
      <c r="D38" s="78" t="s">
        <v>609</v>
      </c>
      <c r="L38" s="3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4"/>
      <c r="Y38" s="4"/>
      <c r="Z38" s="4"/>
      <c r="AA38" s="4"/>
      <c r="AB38" s="168" t="s">
        <v>411</v>
      </c>
      <c r="AC38" s="4"/>
      <c r="AD38" s="4"/>
      <c r="AE38" s="4"/>
      <c r="AF38" s="87"/>
      <c r="AG38" s="87"/>
      <c r="AH38" s="87"/>
      <c r="AI38" s="87"/>
      <c r="AJ38" s="2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</row>
    <row r="39" spans="3:79">
      <c r="C39" s="9" t="s">
        <v>579</v>
      </c>
      <c r="D39" s="470" t="s">
        <v>591</v>
      </c>
      <c r="L39" s="3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4"/>
      <c r="AA39" s="4"/>
      <c r="AB39" s="4"/>
      <c r="AC39" s="169" t="s">
        <v>477</v>
      </c>
      <c r="AD39" s="87"/>
      <c r="AE39" s="87"/>
      <c r="AF39" s="87"/>
      <c r="AG39" s="87"/>
      <c r="AH39" s="87"/>
      <c r="AI39" s="87"/>
      <c r="AJ39" s="78">
        <v>11073</v>
      </c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</row>
    <row r="40" spans="3:79">
      <c r="C40" s="526" t="s">
        <v>580</v>
      </c>
      <c r="D40" s="470" t="s">
        <v>560</v>
      </c>
      <c r="L40" s="3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151" t="s">
        <v>478</v>
      </c>
      <c r="AE40" s="87"/>
      <c r="AF40" s="87"/>
      <c r="AG40" s="87"/>
      <c r="AH40" s="87"/>
      <c r="AI40" s="87"/>
      <c r="AJ40" s="470" t="s">
        <v>560</v>
      </c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</row>
    <row r="41" spans="3:79">
      <c r="C41" s="526" t="s">
        <v>581</v>
      </c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169" t="s">
        <v>412</v>
      </c>
      <c r="AF41" s="87"/>
      <c r="AG41" s="87"/>
      <c r="AH41" s="87"/>
      <c r="AI41" s="87"/>
      <c r="AJ41" s="2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</row>
    <row r="42" spans="3:79">
      <c r="C42" s="9" t="s">
        <v>582</v>
      </c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 t="s">
        <v>545</v>
      </c>
      <c r="AH42" s="87"/>
      <c r="AI42" s="87"/>
      <c r="AJ42" s="78">
        <v>11074</v>
      </c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</row>
    <row r="43" spans="3:79">
      <c r="C43" s="9" t="s">
        <v>583</v>
      </c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470" t="s">
        <v>560</v>
      </c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</row>
    <row r="44" spans="3:79">
      <c r="C44" s="9" t="s">
        <v>584</v>
      </c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470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</row>
    <row r="45" spans="3:79">
      <c r="C45" s="9" t="s">
        <v>585</v>
      </c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78">
        <v>11075</v>
      </c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</row>
    <row r="46" spans="3:79">
      <c r="C46" s="9" t="s">
        <v>586</v>
      </c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470" t="s">
        <v>593</v>
      </c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87"/>
      <c r="BS46" s="87"/>
      <c r="BT46" s="87"/>
      <c r="BU46" s="87"/>
      <c r="BV46" s="87"/>
      <c r="BW46" s="87"/>
      <c r="BX46" s="87"/>
      <c r="BY46" s="87"/>
    </row>
    <row r="47" spans="3:79">
      <c r="C47" s="9" t="s">
        <v>587</v>
      </c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470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</row>
    <row r="48" spans="3:79">
      <c r="C48" s="9" t="s">
        <v>588</v>
      </c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78">
        <v>11076</v>
      </c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  <c r="BR48" s="87"/>
      <c r="BS48" s="87"/>
      <c r="BT48" s="87"/>
      <c r="BU48" s="87"/>
      <c r="BV48" s="87"/>
      <c r="BW48" s="87"/>
      <c r="BX48" s="87"/>
      <c r="BY48" s="87"/>
    </row>
    <row r="49" spans="3:77">
      <c r="C49" s="9" t="s">
        <v>589</v>
      </c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470" t="s">
        <v>593</v>
      </c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</row>
    <row r="50" spans="3:77">
      <c r="C50" s="92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2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  <c r="BR50" s="87"/>
      <c r="BS50" s="87"/>
      <c r="BT50" s="87"/>
      <c r="BU50" s="87"/>
      <c r="BV50" s="87"/>
      <c r="BW50" s="87"/>
      <c r="BX50" s="87"/>
      <c r="BY50" s="87"/>
    </row>
    <row r="51" spans="3:77">
      <c r="C51" s="3" t="s">
        <v>620</v>
      </c>
      <c r="D51" s="78" t="s">
        <v>610</v>
      </c>
      <c r="AJ51" s="78">
        <v>11077</v>
      </c>
    </row>
    <row r="52" spans="3:77">
      <c r="C52" s="9" t="s">
        <v>579</v>
      </c>
      <c r="D52" s="470" t="s">
        <v>592</v>
      </c>
      <c r="AJ52" s="470" t="s">
        <v>595</v>
      </c>
    </row>
    <row r="53" spans="3:77">
      <c r="C53" s="526" t="s">
        <v>580</v>
      </c>
      <c r="D53" s="470" t="s">
        <v>560</v>
      </c>
      <c r="AJ53" s="470"/>
    </row>
    <row r="54" spans="3:77">
      <c r="C54" s="526" t="s">
        <v>581</v>
      </c>
      <c r="AJ54" s="78">
        <v>11078</v>
      </c>
    </row>
    <row r="55" spans="3:77">
      <c r="C55" s="9" t="s">
        <v>582</v>
      </c>
      <c r="AJ55" s="470" t="s">
        <v>593</v>
      </c>
    </row>
    <row r="56" spans="3:77">
      <c r="C56" s="9" t="s">
        <v>583</v>
      </c>
      <c r="AJ56" s="470"/>
    </row>
    <row r="57" spans="3:77">
      <c r="C57" s="9" t="s">
        <v>584</v>
      </c>
      <c r="AJ57" s="78">
        <v>11084</v>
      </c>
    </row>
    <row r="58" spans="3:77">
      <c r="C58" s="9" t="s">
        <v>585</v>
      </c>
      <c r="AJ58" s="470" t="s">
        <v>595</v>
      </c>
    </row>
    <row r="59" spans="3:77">
      <c r="C59" s="9" t="s">
        <v>586</v>
      </c>
      <c r="AJ59" s="78"/>
    </row>
    <row r="60" spans="3:77">
      <c r="C60" s="9" t="s">
        <v>587</v>
      </c>
      <c r="AJ60" s="470"/>
    </row>
    <row r="61" spans="3:77">
      <c r="C61" s="9" t="s">
        <v>588</v>
      </c>
      <c r="AJ61" s="470"/>
    </row>
    <row r="62" spans="3:77">
      <c r="C62" s="9" t="s">
        <v>589</v>
      </c>
      <c r="AJ62" s="2"/>
    </row>
    <row r="63" spans="3:77">
      <c r="C63" s="3" t="s">
        <v>618</v>
      </c>
    </row>
    <row r="64" spans="3:77">
      <c r="C64" s="92"/>
    </row>
    <row r="65" spans="3:36">
      <c r="C65" s="3" t="s">
        <v>620</v>
      </c>
      <c r="D65" s="78" t="s">
        <v>611</v>
      </c>
    </row>
    <row r="66" spans="3:36">
      <c r="C66" s="9" t="s">
        <v>579</v>
      </c>
      <c r="D66" s="470" t="s">
        <v>592</v>
      </c>
    </row>
    <row r="67" spans="3:36">
      <c r="C67" s="526" t="s">
        <v>580</v>
      </c>
      <c r="D67" s="470" t="s">
        <v>560</v>
      </c>
    </row>
    <row r="68" spans="3:36">
      <c r="C68" s="526" t="s">
        <v>581</v>
      </c>
    </row>
    <row r="69" spans="3:36">
      <c r="C69" s="9" t="s">
        <v>582</v>
      </c>
    </row>
    <row r="70" spans="3:36">
      <c r="C70" s="9" t="s">
        <v>583</v>
      </c>
    </row>
    <row r="71" spans="3:36">
      <c r="C71" s="9" t="s">
        <v>584</v>
      </c>
    </row>
    <row r="72" spans="3:36">
      <c r="C72" s="9" t="s">
        <v>585</v>
      </c>
    </row>
    <row r="73" spans="3:36">
      <c r="C73" s="9" t="s">
        <v>586</v>
      </c>
    </row>
    <row r="74" spans="3:36">
      <c r="C74" s="9" t="s">
        <v>587</v>
      </c>
    </row>
    <row r="75" spans="3:36">
      <c r="C75" s="9" t="s">
        <v>588</v>
      </c>
    </row>
    <row r="76" spans="3:36">
      <c r="C76" s="9" t="s">
        <v>589</v>
      </c>
      <c r="AJ76" s="470"/>
    </row>
    <row r="77" spans="3:36">
      <c r="C77" s="3" t="s">
        <v>618</v>
      </c>
      <c r="AJ77" s="2"/>
    </row>
    <row r="78" spans="3:36">
      <c r="C78" s="92"/>
    </row>
    <row r="79" spans="3:36">
      <c r="C79" s="3" t="s">
        <v>621</v>
      </c>
      <c r="D79" s="78" t="s">
        <v>612</v>
      </c>
    </row>
    <row r="80" spans="3:36">
      <c r="C80" s="9" t="s">
        <v>579</v>
      </c>
      <c r="D80" s="470" t="s">
        <v>592</v>
      </c>
    </row>
    <row r="81" spans="3:36">
      <c r="C81" s="526" t="s">
        <v>580</v>
      </c>
      <c r="D81" s="470" t="s">
        <v>593</v>
      </c>
    </row>
    <row r="82" spans="3:36">
      <c r="C82" s="526" t="s">
        <v>581</v>
      </c>
    </row>
    <row r="83" spans="3:36">
      <c r="C83" s="9" t="s">
        <v>582</v>
      </c>
    </row>
    <row r="84" spans="3:36">
      <c r="C84" s="9" t="s">
        <v>583</v>
      </c>
    </row>
    <row r="85" spans="3:36">
      <c r="C85" s="9" t="s">
        <v>584</v>
      </c>
    </row>
    <row r="86" spans="3:36">
      <c r="C86" s="9" t="s">
        <v>585</v>
      </c>
      <c r="AJ86" s="470"/>
    </row>
    <row r="87" spans="3:36">
      <c r="C87" s="9" t="s">
        <v>586</v>
      </c>
      <c r="AJ87" s="2"/>
    </row>
    <row r="88" spans="3:36">
      <c r="C88" s="9" t="s">
        <v>587</v>
      </c>
    </row>
    <row r="89" spans="3:36">
      <c r="C89" s="9" t="s">
        <v>588</v>
      </c>
    </row>
    <row r="90" spans="3:36">
      <c r="C90" s="9" t="s">
        <v>589</v>
      </c>
    </row>
    <row r="91" spans="3:36">
      <c r="C91" s="3" t="s">
        <v>619</v>
      </c>
    </row>
    <row r="92" spans="3:36">
      <c r="C92" s="92"/>
    </row>
    <row r="93" spans="3:36">
      <c r="C93" s="3" t="s">
        <v>620</v>
      </c>
      <c r="D93" s="78" t="s">
        <v>613</v>
      </c>
    </row>
    <row r="94" spans="3:36">
      <c r="C94" s="9" t="s">
        <v>579</v>
      </c>
      <c r="D94" s="470" t="s">
        <v>592</v>
      </c>
    </row>
    <row r="95" spans="3:36">
      <c r="C95" s="526" t="s">
        <v>580</v>
      </c>
      <c r="D95" s="470" t="s">
        <v>593</v>
      </c>
    </row>
    <row r="96" spans="3:36">
      <c r="C96" s="526" t="s">
        <v>581</v>
      </c>
    </row>
    <row r="97" spans="3:4">
      <c r="C97" s="9" t="s">
        <v>582</v>
      </c>
    </row>
    <row r="98" spans="3:4">
      <c r="C98" s="9" t="s">
        <v>583</v>
      </c>
    </row>
    <row r="99" spans="3:4">
      <c r="C99" s="9" t="s">
        <v>584</v>
      </c>
    </row>
    <row r="100" spans="3:4">
      <c r="C100" s="9" t="s">
        <v>585</v>
      </c>
    </row>
    <row r="101" spans="3:4">
      <c r="C101" s="9" t="s">
        <v>586</v>
      </c>
    </row>
    <row r="102" spans="3:4">
      <c r="C102" s="9" t="s">
        <v>587</v>
      </c>
    </row>
    <row r="103" spans="3:4">
      <c r="C103" s="9" t="s">
        <v>588</v>
      </c>
    </row>
    <row r="104" spans="3:4">
      <c r="C104" s="9" t="s">
        <v>589</v>
      </c>
    </row>
    <row r="105" spans="3:4">
      <c r="C105" s="3" t="s">
        <v>618</v>
      </c>
    </row>
    <row r="106" spans="3:4">
      <c r="C106" s="92"/>
    </row>
    <row r="107" spans="3:4">
      <c r="C107" s="92"/>
      <c r="D107" s="78" t="s">
        <v>614</v>
      </c>
    </row>
    <row r="108" spans="3:4">
      <c r="C108" s="92"/>
      <c r="D108" s="470" t="s">
        <v>594</v>
      </c>
    </row>
    <row r="109" spans="3:4">
      <c r="C109" s="92"/>
      <c r="D109" s="470" t="s">
        <v>595</v>
      </c>
    </row>
    <row r="110" spans="3:4">
      <c r="C110" s="92"/>
    </row>
    <row r="111" spans="3:4">
      <c r="C111" s="92"/>
    </row>
    <row r="112" spans="3:4">
      <c r="C112" s="92"/>
      <c r="D112" s="78" t="s">
        <v>615</v>
      </c>
    </row>
    <row r="113" spans="3:4">
      <c r="C113" s="92"/>
      <c r="D113" s="470" t="s">
        <v>597</v>
      </c>
    </row>
    <row r="114" spans="3:4">
      <c r="C114" s="92"/>
      <c r="D114" s="470" t="s">
        <v>593</v>
      </c>
    </row>
    <row r="115" spans="3:4">
      <c r="C115" s="92"/>
    </row>
    <row r="116" spans="3:4">
      <c r="C116" s="92"/>
    </row>
    <row r="117" spans="3:4">
      <c r="C117" s="92"/>
      <c r="D117" s="78" t="s">
        <v>616</v>
      </c>
    </row>
    <row r="118" spans="3:4">
      <c r="C118" s="92"/>
      <c r="D118" s="470" t="s">
        <v>592</v>
      </c>
    </row>
    <row r="119" spans="3:4">
      <c r="C119" s="92"/>
      <c r="D119" s="470" t="s">
        <v>595</v>
      </c>
    </row>
    <row r="120" spans="3:4">
      <c r="C120" s="92"/>
    </row>
    <row r="121" spans="3:4">
      <c r="C121" s="92"/>
    </row>
    <row r="122" spans="3:4">
      <c r="C122" s="92"/>
    </row>
    <row r="123" spans="3:4">
      <c r="C123" s="92"/>
    </row>
    <row r="124" spans="3:4">
      <c r="C124" s="90"/>
      <c r="D124" s="3"/>
    </row>
  </sheetData>
  <mergeCells count="13">
    <mergeCell ref="BZ1:CB1"/>
    <mergeCell ref="BT1:BY1"/>
    <mergeCell ref="BI1:BS1"/>
    <mergeCell ref="A1:A2"/>
    <mergeCell ref="C1:C2"/>
    <mergeCell ref="K1:AI1"/>
    <mergeCell ref="AJ1:AX1"/>
    <mergeCell ref="D1:E1"/>
    <mergeCell ref="A19:C19"/>
    <mergeCell ref="F1:H1"/>
    <mergeCell ref="I1:J1"/>
    <mergeCell ref="AY1:BD1"/>
    <mergeCell ref="BE1:BH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26"/>
  <sheetViews>
    <sheetView workbookViewId="0">
      <pane ySplit="2" topLeftCell="A3" activePane="bottomLeft" state="frozen"/>
      <selection pane="bottomLeft" activeCell="M31" sqref="M31"/>
    </sheetView>
  </sheetViews>
  <sheetFormatPr defaultRowHeight="11.25"/>
  <cols>
    <col min="1" max="1" width="10.42578125" style="8" bestFit="1" customWidth="1"/>
    <col min="2" max="2" width="10" style="134" customWidth="1"/>
    <col min="3" max="3" width="53.28515625" style="90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4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28" ht="15.75" customHeight="1">
      <c r="A1" s="837" t="s">
        <v>1</v>
      </c>
      <c r="B1" s="839" t="s">
        <v>2</v>
      </c>
      <c r="C1" s="841" t="s">
        <v>0</v>
      </c>
      <c r="D1" s="843" t="s">
        <v>7</v>
      </c>
      <c r="E1" s="832" t="s">
        <v>6</v>
      </c>
      <c r="F1" s="833"/>
      <c r="G1" s="834" t="s">
        <v>5</v>
      </c>
      <c r="H1" s="835"/>
      <c r="I1" s="832" t="s">
        <v>65</v>
      </c>
      <c r="J1" s="833"/>
      <c r="K1" s="698" t="s">
        <v>9</v>
      </c>
      <c r="L1" s="646" t="s">
        <v>419</v>
      </c>
      <c r="M1" s="848"/>
      <c r="N1" s="849" t="s">
        <v>549</v>
      </c>
      <c r="O1" s="646" t="s">
        <v>83</v>
      </c>
      <c r="P1" s="647"/>
      <c r="Q1" s="647"/>
      <c r="R1" s="647"/>
      <c r="S1" s="647"/>
      <c r="T1" s="647"/>
      <c r="U1" s="848"/>
      <c r="V1" s="844" t="s">
        <v>85</v>
      </c>
      <c r="W1" s="844"/>
      <c r="X1" s="844"/>
      <c r="Y1" s="844"/>
      <c r="Z1" s="844"/>
      <c r="AA1" s="844"/>
      <c r="AB1" s="844"/>
    </row>
    <row r="2" spans="1:28" ht="15.75" customHeight="1" thickBot="1">
      <c r="A2" s="838"/>
      <c r="B2" s="840"/>
      <c r="C2" s="842"/>
      <c r="D2" s="645"/>
      <c r="E2" s="62"/>
      <c r="F2" s="37" t="s">
        <v>9</v>
      </c>
      <c r="G2" s="62"/>
      <c r="H2" s="63" t="s">
        <v>9</v>
      </c>
      <c r="I2" s="62"/>
      <c r="J2" s="37" t="s">
        <v>9</v>
      </c>
      <c r="K2" s="699"/>
      <c r="L2" s="307"/>
      <c r="M2" s="172" t="s">
        <v>9</v>
      </c>
      <c r="N2" s="850"/>
      <c r="O2" s="175" t="s">
        <v>142</v>
      </c>
      <c r="P2" s="175" t="s">
        <v>419</v>
      </c>
      <c r="Q2" s="175" t="s">
        <v>371</v>
      </c>
      <c r="R2" s="175" t="s">
        <v>62</v>
      </c>
      <c r="S2" s="175" t="s">
        <v>59</v>
      </c>
      <c r="T2" s="175" t="s">
        <v>141</v>
      </c>
      <c r="U2" s="176" t="s">
        <v>299</v>
      </c>
      <c r="V2" s="845" t="s">
        <v>423</v>
      </c>
      <c r="W2" s="846"/>
      <c r="X2" s="846"/>
      <c r="Y2" s="846"/>
      <c r="Z2" s="846"/>
      <c r="AA2" s="847"/>
      <c r="AB2" s="177" t="s">
        <v>47</v>
      </c>
    </row>
    <row r="3" spans="1:28" s="5" customFormat="1" ht="12" thickBot="1">
      <c r="A3" s="474" t="str">
        <f>'1-συμβολαια'!A3</f>
        <v>10ο</v>
      </c>
      <c r="B3" s="510">
        <f>'1-συμβολαια'!B3</f>
        <v>40785</v>
      </c>
      <c r="C3" s="511" t="str">
        <f>'1-συμβολαια'!C3</f>
        <v>πληρεξούσιο</v>
      </c>
      <c r="D3" s="512">
        <f>'1-συμβολαια'!D3</f>
        <v>0</v>
      </c>
      <c r="E3" s="458"/>
      <c r="F3" s="458"/>
      <c r="G3" s="458"/>
      <c r="H3" s="458"/>
      <c r="I3" s="458"/>
      <c r="J3" s="458"/>
      <c r="K3" s="459"/>
      <c r="L3" s="459">
        <f>'2-δικαιώμ'!N3+'5-αντίγρ'!O3</f>
        <v>3.85</v>
      </c>
      <c r="M3" s="459">
        <v>2.2000000000000002</v>
      </c>
      <c r="N3" s="459">
        <f>'10-φπα'!F3</f>
        <v>3.2</v>
      </c>
      <c r="O3" s="459">
        <f>'1-συμβολαια'!O3</f>
        <v>12.849999999999998</v>
      </c>
      <c r="P3" s="459">
        <f t="shared" ref="P3" si="0">L3-M3</f>
        <v>1.65</v>
      </c>
      <c r="Q3" s="459">
        <f>'8-κ-15-17'!AG3</f>
        <v>0</v>
      </c>
      <c r="R3" s="459">
        <f>'10-φπα'!G3</f>
        <v>4.3199999999999994</v>
      </c>
      <c r="S3" s="459">
        <f>'11-χαρτόσ'!H3+'13-ντιΜιΧο'!CA3</f>
        <v>1</v>
      </c>
      <c r="T3" s="459">
        <f>'13-ντιΜιΧο'!BZ3</f>
        <v>0.6</v>
      </c>
      <c r="U3" s="459">
        <f>'10-φπα'!H3</f>
        <v>9.6000000000000002E-2</v>
      </c>
      <c r="V3" s="268"/>
      <c r="W3" s="265"/>
      <c r="X3" s="265"/>
      <c r="Y3" s="261"/>
      <c r="Z3" s="261"/>
      <c r="AA3" s="261"/>
      <c r="AB3" s="264"/>
    </row>
    <row r="4" spans="1:28" s="5" customFormat="1">
      <c r="A4" s="533" t="str">
        <f>'1-συμβολαια'!A4</f>
        <v>11ο</v>
      </c>
      <c r="B4" s="363">
        <f>'1-συμβολαια'!B4</f>
        <v>40812</v>
      </c>
      <c r="C4" s="419" t="str">
        <f>'1-συμβολαια'!C4</f>
        <v>γονική [αγροτεμάχιο Θεολόγος -''βαλανίδια'' 16.832,18μ2</v>
      </c>
      <c r="D4" s="420">
        <f>'1-συμβολαια'!D4</f>
        <v>4165.96</v>
      </c>
      <c r="E4" s="316"/>
      <c r="F4" s="316"/>
      <c r="G4" s="316"/>
      <c r="H4" s="316"/>
      <c r="I4" s="316"/>
      <c r="J4" s="316"/>
      <c r="K4" s="311">
        <f>'1-συμβολαια'!N4</f>
        <v>0.90000000000000213</v>
      </c>
      <c r="L4" s="311">
        <f>'2-δικαιώμ'!N4+'5-αντίγρ'!O4</f>
        <v>13.94894</v>
      </c>
      <c r="M4" s="311">
        <v>11.22</v>
      </c>
      <c r="N4" s="311">
        <f>'10-φπα'!F4</f>
        <v>17.3</v>
      </c>
      <c r="O4" s="311">
        <f>'1-συμβολαια'!O4</f>
        <v>200.81066000000001</v>
      </c>
      <c r="P4" s="311">
        <f t="shared" ref="P4:P18" si="1">L4-M4</f>
        <v>2.7289399999999997</v>
      </c>
      <c r="Q4" s="311">
        <f>'8-κ-15-17'!AG4</f>
        <v>-3.8099999999943179E-3</v>
      </c>
      <c r="R4" s="311">
        <f>'10-φπα'!G4</f>
        <v>17.205536000000006</v>
      </c>
      <c r="S4" s="311">
        <f>'11-χαρτόσ'!H4+'13-ντιΜιΧο'!CA4</f>
        <v>10.96</v>
      </c>
      <c r="T4" s="311">
        <f>'13-ντιΜιΧο'!BZ4</f>
        <v>961.93999999999994</v>
      </c>
      <c r="U4" s="311">
        <f>'10-φπα'!H4</f>
        <v>153.91039999999998</v>
      </c>
      <c r="V4" s="268"/>
      <c r="W4" s="261"/>
      <c r="X4" s="261"/>
      <c r="Y4" s="261"/>
      <c r="Z4" s="261"/>
      <c r="AA4" s="261"/>
      <c r="AB4" s="264"/>
    </row>
    <row r="5" spans="1:28" s="5" customFormat="1" ht="12" thickBot="1">
      <c r="A5" s="535">
        <f>'1-συμβολαια'!A5</f>
        <v>0</v>
      </c>
      <c r="B5" s="536"/>
      <c r="C5" s="537" t="str">
        <f>'1-συμβολαια'!C5</f>
        <v>χρησικτησία = 1961 πατρός ΔΩΡΕΑ άτυπος</v>
      </c>
      <c r="D5" s="538">
        <f>'1-συμβολαια'!D5</f>
        <v>4165.96</v>
      </c>
      <c r="E5" s="388"/>
      <c r="F5" s="388"/>
      <c r="G5" s="388"/>
      <c r="H5" s="388"/>
      <c r="I5" s="388"/>
      <c r="J5" s="388"/>
      <c r="K5" s="389">
        <f>'1-συμβολαια'!N5</f>
        <v>0</v>
      </c>
      <c r="L5" s="389">
        <f>'2-δικαιώμ'!N5+'5-αντίγρ'!O5</f>
        <v>8.4489400000000003</v>
      </c>
      <c r="M5" s="389"/>
      <c r="N5" s="389">
        <f>'10-φπα'!F5</f>
        <v>0</v>
      </c>
      <c r="O5" s="389">
        <f>'1-συμβολαια'!O5</f>
        <v>97.210660000000004</v>
      </c>
      <c r="P5" s="389">
        <f t="shared" si="1"/>
        <v>8.4489400000000003</v>
      </c>
      <c r="Q5" s="389">
        <f>'8-κ-15-17'!AG5</f>
        <v>32.286190000000005</v>
      </c>
      <c r="R5" s="389">
        <f>'10-φπα'!G5</f>
        <v>16.905536000000001</v>
      </c>
      <c r="S5" s="389">
        <f>'11-χαρτόσ'!H5+'13-ντιΜιΧο'!CA5</f>
        <v>3</v>
      </c>
      <c r="T5" s="389">
        <f>'13-ντιΜιΧο'!BZ5</f>
        <v>0</v>
      </c>
      <c r="U5" s="389">
        <f>'10-φπα'!H5</f>
        <v>0</v>
      </c>
      <c r="V5" s="268"/>
      <c r="W5" s="261"/>
      <c r="X5" s="261"/>
      <c r="Y5" s="261"/>
      <c r="Z5" s="261"/>
      <c r="AA5" s="261"/>
      <c r="AB5" s="264"/>
    </row>
    <row r="6" spans="1:28" s="5" customFormat="1">
      <c r="A6" s="534" t="str">
        <f>'1-συμβολαια'!A6</f>
        <v>12ο</v>
      </c>
      <c r="B6" s="363">
        <f>'1-συμβολαια'!B6</f>
        <v>41114</v>
      </c>
      <c r="C6" s="419" t="str">
        <f>'1-συμβολαια'!C6</f>
        <v>κληρονομιάς ΑΠΟΔΟΧΗ [οικόπεδο 226μ2 ΜΕ 2όροφο οιίκημα 150μ2 &amp; αποθήκη 15μ2 Θεολόγος</v>
      </c>
      <c r="D6" s="420">
        <f>'1-συμβολαια'!D6</f>
        <v>0</v>
      </c>
      <c r="E6" s="316"/>
      <c r="F6" s="316"/>
      <c r="G6" s="316"/>
      <c r="H6" s="316"/>
      <c r="I6" s="316"/>
      <c r="J6" s="316"/>
      <c r="K6" s="311">
        <f>'1-συμβολαια'!N6</f>
        <v>16.91</v>
      </c>
      <c r="L6" s="311">
        <f>'2-δικαιώμ'!N6+'5-αντίγρ'!O6</f>
        <v>2.09</v>
      </c>
      <c r="M6" s="311">
        <v>2.09</v>
      </c>
      <c r="N6" s="311">
        <f>'10-φπα'!F6</f>
        <v>3.04</v>
      </c>
      <c r="O6" s="311">
        <f>'1-συμβολαια'!O6</f>
        <v>82</v>
      </c>
      <c r="P6" s="311">
        <f t="shared" si="1"/>
        <v>0</v>
      </c>
      <c r="Q6" s="311">
        <f>'8-κ-15-17'!AG6</f>
        <v>0</v>
      </c>
      <c r="R6" s="311">
        <f>'10-φπα'!G6</f>
        <v>13.120000000000001</v>
      </c>
      <c r="S6" s="311">
        <f>'11-χαρτόσ'!H6+'13-ντιΜιΧο'!CA6</f>
        <v>7.46</v>
      </c>
      <c r="T6" s="311">
        <f>'13-ντιΜιΧο'!BZ6</f>
        <v>1103.94</v>
      </c>
      <c r="U6" s="311">
        <f>'10-φπα'!H6</f>
        <v>176.63040000000001</v>
      </c>
      <c r="V6" s="268"/>
      <c r="W6" s="261"/>
      <c r="X6" s="261"/>
      <c r="Y6" s="261"/>
      <c r="Z6" s="261"/>
      <c r="AA6" s="261"/>
      <c r="AB6" s="264"/>
    </row>
    <row r="7" spans="1:28" s="5" customFormat="1">
      <c r="A7" s="532">
        <f>'1-συμβολαια'!A7</f>
        <v>0</v>
      </c>
      <c r="B7" s="363"/>
      <c r="C7" s="359" t="str">
        <f>'1-συμβολαια'!C7</f>
        <v>χρησικτησία οικοπέδου &amp; οικήματος = 1950 πατρός ΚΛΗΡΟΝΟΜΙΑ άτυπη</v>
      </c>
      <c r="D7" s="360">
        <f>'1-συμβολαια'!D7</f>
        <v>6629.4</v>
      </c>
      <c r="E7" s="309"/>
      <c r="F7" s="309"/>
      <c r="G7" s="309"/>
      <c r="H7" s="309"/>
      <c r="I7" s="309"/>
      <c r="J7" s="309"/>
      <c r="K7" s="311">
        <f>'1-συμβολαια'!N7</f>
        <v>0</v>
      </c>
      <c r="L7" s="311">
        <f>'2-δικαιώμ'!N7+'5-αντίγρ'!O7</f>
        <v>12.1441</v>
      </c>
      <c r="M7" s="311"/>
      <c r="N7" s="311">
        <f>'10-φπα'!F7</f>
        <v>0</v>
      </c>
      <c r="O7" s="311">
        <f>'1-συμβολαια'!O7</f>
        <v>106.1499</v>
      </c>
      <c r="P7" s="311">
        <f t="shared" si="1"/>
        <v>12.1441</v>
      </c>
      <c r="Q7" s="311">
        <f>'8-κ-15-17'!AG7</f>
        <v>51.377850000000002</v>
      </c>
      <c r="R7" s="311">
        <f>'10-φπα'!G7</f>
        <v>18.927039999999998</v>
      </c>
      <c r="S7" s="311">
        <f>'11-χαρτόσ'!H7+'13-ντιΜιΧο'!CA7</f>
        <v>3</v>
      </c>
      <c r="T7" s="311">
        <f>'13-ντιΜιΧο'!BZ7</f>
        <v>30</v>
      </c>
      <c r="U7" s="311">
        <f>'10-φπα'!H7</f>
        <v>4.8</v>
      </c>
      <c r="V7" s="268"/>
      <c r="W7" s="261"/>
      <c r="X7" s="261"/>
      <c r="Y7" s="261"/>
      <c r="Z7" s="261"/>
      <c r="AA7" s="261"/>
      <c r="AB7" s="264"/>
    </row>
    <row r="8" spans="1:28" s="5" customFormat="1">
      <c r="A8" s="532">
        <f>'1-συμβολαια'!A8</f>
        <v>0</v>
      </c>
      <c r="B8" s="363"/>
      <c r="C8" s="359" t="str">
        <f>'1-συμβολαια'!C8</f>
        <v>χρησικτησία οικοπέδου &amp; οικήματος = 1950 ΔΙΑΝΟΜΗ άτυπη</v>
      </c>
      <c r="D8" s="360">
        <f>'1-συμβολαια'!D8</f>
        <v>11396.88</v>
      </c>
      <c r="E8" s="309"/>
      <c r="F8" s="309"/>
      <c r="G8" s="309"/>
      <c r="H8" s="309"/>
      <c r="I8" s="309"/>
      <c r="J8" s="309"/>
      <c r="K8" s="311">
        <f>'1-συμβολαια'!N8</f>
        <v>0</v>
      </c>
      <c r="L8" s="311">
        <f>'2-δικαιώμ'!N8+'5-αντίγρ'!O8</f>
        <v>19.295319999999997</v>
      </c>
      <c r="M8" s="311"/>
      <c r="N8" s="311">
        <f>'10-φπα'!F8</f>
        <v>0</v>
      </c>
      <c r="O8" s="311">
        <f>'1-συμβολαια'!O8</f>
        <v>196.67347999999998</v>
      </c>
      <c r="P8" s="311">
        <f t="shared" si="1"/>
        <v>19.295319999999997</v>
      </c>
      <c r="Q8" s="311">
        <f>'8-κ-15-17'!AG8</f>
        <v>0</v>
      </c>
      <c r="R8" s="311">
        <f>'10-φπα'!G8</f>
        <v>34.555007999999994</v>
      </c>
      <c r="S8" s="311">
        <f>'11-χαρτόσ'!H8+'13-ντιΜιΧο'!CA8</f>
        <v>4.9800000000000004</v>
      </c>
      <c r="T8" s="311">
        <f>'13-ντιΜιΧο'!BZ8</f>
        <v>313.02</v>
      </c>
      <c r="U8" s="311">
        <f>'10-φπα'!H8</f>
        <v>50.083199999999998</v>
      </c>
      <c r="V8" s="268"/>
      <c r="W8" s="261"/>
      <c r="X8" s="261"/>
      <c r="Y8" s="261"/>
      <c r="Z8" s="261"/>
      <c r="AA8" s="261"/>
      <c r="AB8" s="264"/>
    </row>
    <row r="9" spans="1:28" s="5" customFormat="1" ht="12" thickBot="1">
      <c r="A9" s="539">
        <f>'1-συμβολαια'!A9</f>
        <v>0</v>
      </c>
      <c r="B9" s="536"/>
      <c r="C9" s="537" t="str">
        <f>'1-συμβολαια'!C9</f>
        <v xml:space="preserve">εξισορόπηση διαφοράς διανεμομένων </v>
      </c>
      <c r="D9" s="538">
        <f>'1-συμβολαια'!D9</f>
        <v>930.96</v>
      </c>
      <c r="E9" s="388"/>
      <c r="F9" s="388"/>
      <c r="G9" s="388"/>
      <c r="H9" s="388"/>
      <c r="I9" s="388"/>
      <c r="J9" s="388"/>
      <c r="K9" s="389">
        <f>'1-συμβολαια'!N9</f>
        <v>0</v>
      </c>
      <c r="L9" s="389">
        <f>'2-δικαιώμ'!N9+'5-αντίγρ'!O9</f>
        <v>3.5964400000000003</v>
      </c>
      <c r="M9" s="389"/>
      <c r="N9" s="389">
        <f>'10-φπα'!F9</f>
        <v>0</v>
      </c>
      <c r="O9" s="389">
        <f>'1-συμβολαια'!O9</f>
        <v>57.713160000000002</v>
      </c>
      <c r="P9" s="389">
        <f t="shared" si="1"/>
        <v>3.5964400000000003</v>
      </c>
      <c r="Q9" s="389">
        <f>'8-κ-15-17'!AG9</f>
        <v>12.102480000000002</v>
      </c>
      <c r="R9" s="389">
        <f>'10-φπα'!G9</f>
        <v>9.8095360000000014</v>
      </c>
      <c r="S9" s="389">
        <f>'11-χαρτόσ'!H9+'13-ντιΜιΧο'!CA9</f>
        <v>3</v>
      </c>
      <c r="T9" s="389">
        <f>'13-ντιΜιΧο'!BZ9</f>
        <v>10</v>
      </c>
      <c r="U9" s="389">
        <f>'10-φπα'!H9</f>
        <v>1.6</v>
      </c>
      <c r="V9" s="268"/>
      <c r="W9" s="261"/>
      <c r="X9" s="261"/>
      <c r="Y9" s="261"/>
      <c r="Z9" s="261"/>
      <c r="AA9" s="261"/>
      <c r="AB9" s="264"/>
    </row>
    <row r="10" spans="1:28" s="5" customFormat="1">
      <c r="A10" s="406" t="str">
        <f>'1-συμβολαια'!A10</f>
        <v>13ο</v>
      </c>
      <c r="B10" s="363">
        <f>'1-συμβολαια'!B10</f>
        <v>41370</v>
      </c>
      <c r="C10" s="419" t="str">
        <f>'1-συμβολαια'!C10</f>
        <v>πληρεξούσιο</v>
      </c>
      <c r="D10" s="420">
        <f>'1-συμβολαια'!D10</f>
        <v>0</v>
      </c>
      <c r="E10" s="316"/>
      <c r="F10" s="316"/>
      <c r="G10" s="316"/>
      <c r="H10" s="316"/>
      <c r="I10" s="316"/>
      <c r="J10" s="316"/>
      <c r="K10" s="311">
        <f>'1-συμβολαια'!N10</f>
        <v>17.3</v>
      </c>
      <c r="L10" s="311">
        <f>'2-δικαιώμ'!N10+'5-αντίγρ'!O10</f>
        <v>3.85</v>
      </c>
      <c r="M10" s="311">
        <v>2.2000000000000002</v>
      </c>
      <c r="N10" s="311">
        <f>'10-φπα'!F10</f>
        <v>3.2</v>
      </c>
      <c r="O10" s="311">
        <f>'1-συμβολαια'!O10</f>
        <v>25.849999999999998</v>
      </c>
      <c r="P10" s="311">
        <f t="shared" si="1"/>
        <v>1.65</v>
      </c>
      <c r="Q10" s="311">
        <f>'8-κ-15-17'!AG10</f>
        <v>0</v>
      </c>
      <c r="R10" s="311">
        <f>'10-φπα'!G10</f>
        <v>4.3199999999999994</v>
      </c>
      <c r="S10" s="311">
        <f>'11-χαρτόσ'!H10+'13-ντιΜιΧο'!CA10</f>
        <v>0.5</v>
      </c>
      <c r="T10" s="311">
        <f>'13-ντιΜιΧο'!BZ10</f>
        <v>0.6</v>
      </c>
      <c r="U10" s="311">
        <f>'10-φπα'!H10</f>
        <v>9.6000000000000002E-2</v>
      </c>
      <c r="V10" s="268"/>
      <c r="W10" s="261"/>
      <c r="X10" s="261"/>
      <c r="Y10" s="261"/>
      <c r="Z10" s="261"/>
      <c r="AA10" s="261"/>
      <c r="AB10" s="264"/>
    </row>
    <row r="11" spans="1:28" s="5" customFormat="1">
      <c r="A11" s="333" t="str">
        <f>'1-συμβολαια'!A11</f>
        <v>14ο</v>
      </c>
      <c r="B11" s="363">
        <f>'1-συμβολαια'!B11</f>
        <v>41372</v>
      </c>
      <c r="C11" s="359" t="str">
        <f>'1-συμβολαια'!C11</f>
        <v>αγοραπωλησία</v>
      </c>
      <c r="D11" s="360">
        <f>'1-συμβολαια'!D11</f>
        <v>20269.88</v>
      </c>
      <c r="E11" s="309"/>
      <c r="F11" s="309"/>
      <c r="G11" s="309"/>
      <c r="H11" s="309"/>
      <c r="I11" s="309"/>
      <c r="J11" s="309"/>
      <c r="K11" s="311">
        <f>'1-συμβολαια'!N11</f>
        <v>311.48</v>
      </c>
      <c r="L11" s="311">
        <f>'2-δικαιώμ'!N11+'5-αντίγρ'!O11</f>
        <v>41.404820000000001</v>
      </c>
      <c r="M11" s="311">
        <v>33.21</v>
      </c>
      <c r="N11" s="311">
        <f>'10-φπα'!F11</f>
        <v>48.43</v>
      </c>
      <c r="O11" s="311">
        <f>'1-συμβολαια'!O11</f>
        <v>81.813979999999958</v>
      </c>
      <c r="P11" s="311">
        <f t="shared" si="1"/>
        <v>8.19482</v>
      </c>
      <c r="Q11" s="311">
        <f>'8-κ-15-17'!AG11</f>
        <v>0</v>
      </c>
      <c r="R11" s="311">
        <f>'10-φπα'!G11</f>
        <v>21.121807999999994</v>
      </c>
      <c r="S11" s="311">
        <f>'11-χαρτόσ'!H11+'13-ντιΜιΧο'!CA11</f>
        <v>7.96</v>
      </c>
      <c r="T11" s="311">
        <f>'13-ντιΜιΧο'!BZ11</f>
        <v>3240.64</v>
      </c>
      <c r="U11" s="311">
        <f>'10-φπα'!H11</f>
        <v>518.50239999999997</v>
      </c>
      <c r="V11" s="268"/>
      <c r="W11" s="261"/>
      <c r="X11" s="261"/>
      <c r="Y11" s="261"/>
      <c r="Z11" s="261"/>
      <c r="AA11" s="261"/>
      <c r="AB11" s="264"/>
    </row>
    <row r="12" spans="1:28" s="5" customFormat="1">
      <c r="A12" s="333" t="str">
        <f>'1-συμβολαια'!A12</f>
        <v>15ο</v>
      </c>
      <c r="B12" s="363">
        <f>'1-συμβολαια'!B12</f>
        <v>41372</v>
      </c>
      <c r="C12" s="359" t="str">
        <f>'1-συμβολαια'!C12</f>
        <v>δωρεά</v>
      </c>
      <c r="D12" s="360">
        <f>'1-συμβολαια'!D12</f>
        <v>21765.16</v>
      </c>
      <c r="E12" s="309"/>
      <c r="F12" s="309"/>
      <c r="G12" s="309"/>
      <c r="H12" s="309"/>
      <c r="I12" s="309"/>
      <c r="J12" s="309"/>
      <c r="K12" s="311">
        <f>'1-συμβολαια'!N12</f>
        <v>330.33</v>
      </c>
      <c r="L12" s="311">
        <f>'2-δικαιώμ'!N12+'5-αντίγρ'!O12</f>
        <v>44.74774</v>
      </c>
      <c r="M12" s="311">
        <v>45.55</v>
      </c>
      <c r="N12" s="311">
        <f>'10-φπα'!F12</f>
        <v>52.42</v>
      </c>
      <c r="O12" s="311">
        <f>'1-συμβολαια'!O12</f>
        <v>90.573860000000025</v>
      </c>
      <c r="P12" s="311">
        <f t="shared" si="1"/>
        <v>-0.80225999999999686</v>
      </c>
      <c r="Q12" s="311">
        <f>'8-κ-15-17'!AG12</f>
        <v>-1.0000000003174137E-5</v>
      </c>
      <c r="R12" s="311">
        <f>'10-φπα'!G12</f>
        <v>22.084256000000011</v>
      </c>
      <c r="S12" s="311">
        <f>'11-χαρτόσ'!H12+'13-ντιΜιΧο'!CA12</f>
        <v>7.96</v>
      </c>
      <c r="T12" s="311">
        <f>'13-ντιΜιΧο'!BZ12</f>
        <v>1330.94</v>
      </c>
      <c r="U12" s="311">
        <f>'10-φπα'!H12</f>
        <v>212.9504</v>
      </c>
      <c r="V12" s="268"/>
      <c r="W12" s="261"/>
      <c r="X12" s="261"/>
      <c r="Y12" s="261"/>
      <c r="Z12" s="261"/>
      <c r="AA12" s="261"/>
      <c r="AB12" s="264"/>
    </row>
    <row r="13" spans="1:28" s="5" customFormat="1">
      <c r="A13" s="333" t="str">
        <f>'1-συμβολαια'!A13</f>
        <v>16ο</v>
      </c>
      <c r="B13" s="363">
        <f>'1-συμβολαια'!B13</f>
        <v>41372</v>
      </c>
      <c r="C13" s="359" t="str">
        <f>'1-συμβολαια'!C13</f>
        <v>γονική</v>
      </c>
      <c r="D13" s="360">
        <f>'1-συμβολαια'!D13</f>
        <v>84070.06</v>
      </c>
      <c r="E13" s="309"/>
      <c r="F13" s="309"/>
      <c r="G13" s="309"/>
      <c r="H13" s="309"/>
      <c r="I13" s="309"/>
      <c r="J13" s="309"/>
      <c r="K13" s="311">
        <f>'1-συμβολαια'!N13</f>
        <v>839.93</v>
      </c>
      <c r="L13" s="311">
        <f>'2-δικαιώμ'!N13+'5-αντίγρ'!O13</f>
        <v>138.20509000000001</v>
      </c>
      <c r="M13" s="311">
        <v>162.01</v>
      </c>
      <c r="N13" s="311">
        <f>'10-φπα'!F13</f>
        <v>152.11000000000001</v>
      </c>
      <c r="O13" s="311">
        <f>'1-συμβολαια'!O13</f>
        <v>110.56551000000013</v>
      </c>
      <c r="P13" s="311">
        <f t="shared" si="1"/>
        <v>-23.804909999999978</v>
      </c>
      <c r="Q13" s="311">
        <f>'8-κ-15-17'!AG13</f>
        <v>2.9650000001311128E-3</v>
      </c>
      <c r="R13" s="311">
        <f>'10-φπα'!G13</f>
        <v>22.082096000000007</v>
      </c>
      <c r="S13" s="311">
        <f>'11-χαρτόσ'!H13+'13-ντιΜιΧο'!CA13</f>
        <v>7.96</v>
      </c>
      <c r="T13" s="311">
        <f>'13-ντιΜιΧο'!BZ13</f>
        <v>1330.94</v>
      </c>
      <c r="U13" s="311">
        <f>'10-φπα'!H13</f>
        <v>212.9504</v>
      </c>
      <c r="V13" s="268"/>
      <c r="W13" s="261"/>
      <c r="X13" s="261"/>
      <c r="Y13" s="261"/>
      <c r="Z13" s="261"/>
      <c r="AA13" s="261"/>
      <c r="AB13" s="264"/>
    </row>
    <row r="14" spans="1:28" s="5" customFormat="1">
      <c r="A14" s="333" t="str">
        <f>'1-συμβολαια'!A14</f>
        <v>17ο</v>
      </c>
      <c r="B14" s="363">
        <f>'1-συμβολαια'!B14</f>
        <v>41372</v>
      </c>
      <c r="C14" s="359" t="str">
        <f>'1-συμβολαια'!C14</f>
        <v>δωρεά</v>
      </c>
      <c r="D14" s="360">
        <f>'1-συμβολαια'!D14</f>
        <v>42035.040000000001</v>
      </c>
      <c r="E14" s="309"/>
      <c r="F14" s="309"/>
      <c r="G14" s="309"/>
      <c r="H14" s="309"/>
      <c r="I14" s="309"/>
      <c r="J14" s="309"/>
      <c r="K14" s="311">
        <f>'1-συμβολαια'!N14</f>
        <v>703.53000000000009</v>
      </c>
      <c r="L14" s="311">
        <f>'2-δικαιώμ'!N14+'5-αντίγρ'!O14</f>
        <v>75.152560000000008</v>
      </c>
      <c r="M14" s="311">
        <v>75.05</v>
      </c>
      <c r="N14" s="311">
        <f>'10-φπα'!F14</f>
        <v>84.86</v>
      </c>
      <c r="O14" s="311">
        <f>'1-συμβολαια'!O14</f>
        <v>7.6678399999999556</v>
      </c>
      <c r="P14" s="311">
        <f t="shared" si="1"/>
        <v>0.10256000000001109</v>
      </c>
      <c r="Q14" s="311">
        <f>'8-κ-15-17'!AG14</f>
        <v>1.5600000000404179E-3</v>
      </c>
      <c r="R14" s="311">
        <f>'10-φπα'!G14</f>
        <v>40.956064000000012</v>
      </c>
      <c r="S14" s="311">
        <f>'11-χαρτόσ'!H14+'13-ντιΜιΧο'!CA14</f>
        <v>9.94</v>
      </c>
      <c r="T14" s="311">
        <f>'13-ντιΜιΧο'!BZ14</f>
        <v>1369.26</v>
      </c>
      <c r="U14" s="311">
        <f>'10-φπα'!H14</f>
        <v>219.08160000000001</v>
      </c>
      <c r="V14" s="268"/>
      <c r="W14" s="261"/>
      <c r="X14" s="261"/>
      <c r="Y14" s="261"/>
      <c r="Z14" s="261"/>
      <c r="AA14" s="261"/>
      <c r="AB14" s="264"/>
    </row>
    <row r="15" spans="1:28" s="5" customFormat="1">
      <c r="A15" s="333" t="str">
        <f>'1-συμβολαια'!A15</f>
        <v>18ο</v>
      </c>
      <c r="B15" s="363">
        <f>'1-συμβολαια'!B15</f>
        <v>41372</v>
      </c>
      <c r="C15" s="359" t="str">
        <f>'1-συμβολαια'!C15</f>
        <v>γονική</v>
      </c>
      <c r="D15" s="360">
        <f>'1-συμβολαια'!D15</f>
        <v>84070.06</v>
      </c>
      <c r="E15" s="309"/>
      <c r="F15" s="309"/>
      <c r="G15" s="309"/>
      <c r="H15" s="309"/>
      <c r="I15" s="309"/>
      <c r="J15" s="309"/>
      <c r="K15" s="311">
        <f>'1-συμβολαια'!N15</f>
        <v>836.82999999999993</v>
      </c>
      <c r="L15" s="311">
        <f>'2-δικαιώμ'!N15+'5-αντίγρ'!O15</f>
        <v>138.20509000000001</v>
      </c>
      <c r="M15" s="311">
        <v>162.11000000000001</v>
      </c>
      <c r="N15" s="311">
        <f>'10-φπα'!F15</f>
        <v>152.11000000000001</v>
      </c>
      <c r="O15" s="311">
        <f>'1-συμβολαια'!O15</f>
        <v>231.66551000000027</v>
      </c>
      <c r="P15" s="311">
        <f t="shared" si="1"/>
        <v>-23.904910000000001</v>
      </c>
      <c r="Q15" s="311">
        <f>'8-κ-15-17'!AG15</f>
        <v>2.9650000001311128E-3</v>
      </c>
      <c r="R15" s="311">
        <f>'10-φπα'!G15</f>
        <v>40.962096000000003</v>
      </c>
      <c r="S15" s="311">
        <f>'11-χαρτόσ'!H15+'13-ντιΜιΧο'!CA15</f>
        <v>9.94</v>
      </c>
      <c r="T15" s="311">
        <f>'13-ντιΜιΧο'!BZ15</f>
        <v>1379.26</v>
      </c>
      <c r="U15" s="311">
        <f>'10-φπα'!H15</f>
        <v>220.6816</v>
      </c>
      <c r="V15" s="268"/>
      <c r="W15" s="261"/>
      <c r="X15" s="261"/>
      <c r="Y15" s="261"/>
      <c r="Z15" s="261"/>
      <c r="AA15" s="261"/>
      <c r="AB15" s="264"/>
    </row>
    <row r="16" spans="1:28" s="5" customFormat="1">
      <c r="A16" s="333" t="str">
        <f>'1-συμβολαια'!A16</f>
        <v>19ο</v>
      </c>
      <c r="B16" s="363">
        <f>'1-συμβολαια'!B16</f>
        <v>41372</v>
      </c>
      <c r="C16" s="359" t="str">
        <f>'1-συμβολαια'!C16</f>
        <v>σύσταση δουλείας</v>
      </c>
      <c r="D16" s="360">
        <f>'1-συμβολαια'!D16</f>
        <v>203.07</v>
      </c>
      <c r="E16" s="309"/>
      <c r="F16" s="309"/>
      <c r="G16" s="309"/>
      <c r="H16" s="309"/>
      <c r="I16" s="309"/>
      <c r="J16" s="309"/>
      <c r="K16" s="311">
        <f>'1-συμβολαια'!N16</f>
        <v>120.83</v>
      </c>
      <c r="L16" s="311">
        <f>'2-δικαιώμ'!N16+'5-αντίγρ'!O16</f>
        <v>14.054605</v>
      </c>
      <c r="M16" s="311">
        <v>10.199999999999999</v>
      </c>
      <c r="N16" s="311">
        <f>'10-φπα'!F16</f>
        <v>20.48</v>
      </c>
      <c r="O16" s="311">
        <f>'1-συμβολαια'!O16</f>
        <v>220.146095</v>
      </c>
      <c r="P16" s="311">
        <f t="shared" si="1"/>
        <v>3.8546050000000012</v>
      </c>
      <c r="Q16" s="311">
        <f>'8-κ-15-17'!AG16</f>
        <v>0</v>
      </c>
      <c r="R16" s="311">
        <f>'10-φπα'!G16</f>
        <v>36.324911999999998</v>
      </c>
      <c r="S16" s="311">
        <f>'11-χαρτόσ'!H16+'13-ντιΜιΧο'!CA16</f>
        <v>7.96</v>
      </c>
      <c r="T16" s="311">
        <f>'13-ντιΜιΧο'!BZ16</f>
        <v>447.24</v>
      </c>
      <c r="U16" s="311">
        <f>'10-φπα'!H16</f>
        <v>71.558400000000006</v>
      </c>
      <c r="V16" s="268"/>
      <c r="W16" s="261"/>
      <c r="X16" s="261"/>
      <c r="Y16" s="261"/>
      <c r="Z16" s="261"/>
      <c r="AA16" s="261"/>
      <c r="AB16" s="264"/>
    </row>
    <row r="17" spans="1:32" s="5" customFormat="1">
      <c r="A17" s="333" t="str">
        <f>'1-συμβολαια'!A17</f>
        <v>20ο</v>
      </c>
      <c r="B17" s="363">
        <f>'1-συμβολαια'!B17</f>
        <v>41372</v>
      </c>
      <c r="C17" s="359" t="str">
        <f>'1-συμβολαια'!C17</f>
        <v>σύσταση δουλείας</v>
      </c>
      <c r="D17" s="360">
        <f>'1-συμβολαια'!D17</f>
        <v>186.07</v>
      </c>
      <c r="E17" s="309"/>
      <c r="F17" s="309"/>
      <c r="G17" s="309"/>
      <c r="H17" s="309"/>
      <c r="I17" s="309"/>
      <c r="J17" s="309"/>
      <c r="K17" s="311">
        <f>'1-συμβολαια'!N17</f>
        <v>75.98</v>
      </c>
      <c r="L17" s="311">
        <f>'2-δικαιώμ'!N17+'5-αντίγρ'!O17</f>
        <v>9.0791050000000002</v>
      </c>
      <c r="M17" s="311">
        <v>6.88</v>
      </c>
      <c r="N17" s="311">
        <f>'10-φπα'!F17</f>
        <v>12.78</v>
      </c>
      <c r="O17" s="311">
        <f>'1-συμβολαια'!O17</f>
        <v>160.80159500000002</v>
      </c>
      <c r="P17" s="311">
        <f t="shared" si="1"/>
        <v>2.1991050000000003</v>
      </c>
      <c r="Q17" s="311">
        <f>'8-κ-15-17'!AG17</f>
        <v>0</v>
      </c>
      <c r="R17" s="311">
        <f>'10-φπα'!G17</f>
        <v>26.557712000000002</v>
      </c>
      <c r="S17" s="311">
        <f>'11-χαρτόσ'!H17+'13-ντιΜιΧο'!CA17</f>
        <v>7.96</v>
      </c>
      <c r="T17" s="311">
        <f>'13-ντιΜιΧο'!BZ17</f>
        <v>412.24</v>
      </c>
      <c r="U17" s="311">
        <f>'10-φπα'!H17</f>
        <v>65.958399999999997</v>
      </c>
      <c r="V17" s="268"/>
      <c r="W17" s="261"/>
      <c r="X17" s="261"/>
      <c r="Y17" s="261"/>
      <c r="Z17" s="261"/>
      <c r="AA17" s="261"/>
      <c r="AB17" s="264"/>
    </row>
    <row r="18" spans="1:32" s="5" customFormat="1">
      <c r="A18" s="333" t="str">
        <f>'1-συμβολαια'!A18</f>
        <v>21ο</v>
      </c>
      <c r="B18" s="363">
        <f>'1-συμβολαια'!B18</f>
        <v>41373</v>
      </c>
      <c r="C18" s="359" t="str">
        <f>'1-συμβολαια'!C18</f>
        <v>χρήσης ακινήτου ΚΑΝΟΝΙΣΜΟΣ</v>
      </c>
      <c r="D18" s="360">
        <f>'1-συμβολαια'!D18</f>
        <v>0</v>
      </c>
      <c r="E18" s="309"/>
      <c r="F18" s="309"/>
      <c r="G18" s="309"/>
      <c r="H18" s="309"/>
      <c r="I18" s="309"/>
      <c r="J18" s="309"/>
      <c r="K18" s="311">
        <f>'1-συμβολαια'!N18</f>
        <v>146.40000000000003</v>
      </c>
      <c r="L18" s="311">
        <f>'2-δικαιώμ'!N18+'5-αντίγρ'!O18</f>
        <v>17.05</v>
      </c>
      <c r="M18" s="311">
        <v>12.1</v>
      </c>
      <c r="N18" s="311">
        <f>'10-φπα'!F18</f>
        <v>25.58</v>
      </c>
      <c r="O18" s="311">
        <f>'1-συμβολαια'!O18</f>
        <v>245.55</v>
      </c>
      <c r="P18" s="311">
        <f t="shared" si="1"/>
        <v>4.9500000000000011</v>
      </c>
      <c r="Q18" s="311">
        <f>'8-κ-15-17'!AG18</f>
        <v>0</v>
      </c>
      <c r="R18" s="311">
        <f>'10-φπα'!G18</f>
        <v>39.860000000000014</v>
      </c>
      <c r="S18" s="311">
        <f>'11-χαρτόσ'!H18+'13-ντιΜιΧο'!CA18</f>
        <v>5.46</v>
      </c>
      <c r="T18" s="311">
        <f>'13-ντιΜιΧο'!BZ18</f>
        <v>342.24</v>
      </c>
      <c r="U18" s="311">
        <f>'10-φπα'!H18</f>
        <v>54.758400000000002</v>
      </c>
      <c r="V18" s="268"/>
      <c r="W18" s="261"/>
      <c r="X18" s="261"/>
      <c r="Y18" s="261"/>
      <c r="Z18" s="261"/>
      <c r="AA18" s="261"/>
      <c r="AB18" s="264"/>
    </row>
    <row r="19" spans="1:32">
      <c r="A19" s="836" t="s">
        <v>56</v>
      </c>
      <c r="B19" s="836"/>
      <c r="C19" s="836"/>
      <c r="D19" s="836"/>
      <c r="E19" s="11">
        <f t="shared" ref="E19:AB19" si="2">SUM(E3:E18)</f>
        <v>0</v>
      </c>
      <c r="F19" s="11">
        <f t="shared" si="2"/>
        <v>0</v>
      </c>
      <c r="G19" s="11">
        <f t="shared" si="2"/>
        <v>0</v>
      </c>
      <c r="H19" s="11">
        <f t="shared" si="2"/>
        <v>0</v>
      </c>
      <c r="I19" s="11">
        <f t="shared" si="2"/>
        <v>0</v>
      </c>
      <c r="J19" s="11">
        <f t="shared" si="2"/>
        <v>0</v>
      </c>
      <c r="K19" s="11">
        <f t="shared" si="2"/>
        <v>3400.42</v>
      </c>
      <c r="L19" s="11">
        <f t="shared" si="2"/>
        <v>545.12275</v>
      </c>
      <c r="M19" s="11">
        <f t="shared" si="2"/>
        <v>524.82000000000005</v>
      </c>
      <c r="N19" s="442">
        <f t="shared" si="2"/>
        <v>575.5100000000001</v>
      </c>
      <c r="O19" s="11">
        <f t="shared" si="2"/>
        <v>1928.0422500000002</v>
      </c>
      <c r="P19" s="11">
        <f t="shared" si="2"/>
        <v>20.302750000000039</v>
      </c>
      <c r="Q19" s="11">
        <f t="shared" si="2"/>
        <v>95.770190000000312</v>
      </c>
      <c r="R19" s="442">
        <f t="shared" si="2"/>
        <v>369.11159999999995</v>
      </c>
      <c r="S19" s="443">
        <f t="shared" si="2"/>
        <v>99.039999999999992</v>
      </c>
      <c r="T19" s="11">
        <f t="shared" si="2"/>
        <v>12272.86</v>
      </c>
      <c r="U19" s="442">
        <f t="shared" si="2"/>
        <v>1963.6575999999998</v>
      </c>
      <c r="V19" s="269">
        <f t="shared" si="2"/>
        <v>0</v>
      </c>
      <c r="W19" s="269">
        <f t="shared" si="2"/>
        <v>0</v>
      </c>
      <c r="X19" s="269">
        <f t="shared" si="2"/>
        <v>0</v>
      </c>
      <c r="Y19" s="269">
        <f t="shared" si="2"/>
        <v>0</v>
      </c>
      <c r="Z19" s="269">
        <f t="shared" si="2"/>
        <v>0</v>
      </c>
      <c r="AA19" s="269">
        <f t="shared" si="2"/>
        <v>0</v>
      </c>
      <c r="AB19" s="270">
        <f t="shared" si="2"/>
        <v>0</v>
      </c>
    </row>
    <row r="21" spans="1:32">
      <c r="W21" s="84"/>
      <c r="X21" s="84"/>
      <c r="Y21" s="84"/>
      <c r="Z21" s="84"/>
      <c r="AA21" s="84"/>
      <c r="AB21" s="84"/>
      <c r="AC21" s="84"/>
      <c r="AD21" s="84"/>
      <c r="AE21" s="84"/>
      <c r="AF21" s="84"/>
    </row>
    <row r="22" spans="1:32">
      <c r="W22" s="84"/>
      <c r="X22" s="84"/>
      <c r="Y22" s="84"/>
      <c r="Z22" s="84"/>
      <c r="AA22" s="84"/>
      <c r="AB22" s="84"/>
      <c r="AC22" s="84"/>
      <c r="AD22" s="84"/>
      <c r="AE22" s="84"/>
      <c r="AF22" s="84"/>
    </row>
    <row r="23" spans="1:32" s="5" customFormat="1">
      <c r="A23" s="58"/>
      <c r="B23" s="112"/>
      <c r="C23" s="11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</row>
    <row r="24" spans="1:32">
      <c r="L24" s="4"/>
    </row>
    <row r="25" spans="1:32">
      <c r="L25" s="4"/>
    </row>
    <row r="26" spans="1:32">
      <c r="L26" s="4"/>
    </row>
  </sheetData>
  <mergeCells count="14">
    <mergeCell ref="V1:AB1"/>
    <mergeCell ref="V2:AA2"/>
    <mergeCell ref="O1:U1"/>
    <mergeCell ref="N1:N2"/>
    <mergeCell ref="K1:K2"/>
    <mergeCell ref="L1:M1"/>
    <mergeCell ref="E1:F1"/>
    <mergeCell ref="G1:H1"/>
    <mergeCell ref="I1:J1"/>
    <mergeCell ref="A19:D1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pane ySplit="2" topLeftCell="A3" activePane="bottomLeft" state="frozen"/>
      <selection pane="bottomLeft" activeCell="A26" sqref="A2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54" t="s">
        <v>77</v>
      </c>
      <c r="B1" s="854"/>
      <c r="C1" s="854"/>
      <c r="D1" s="854"/>
      <c r="E1" s="854"/>
      <c r="F1" s="854"/>
      <c r="G1" s="854"/>
      <c r="H1" s="854"/>
      <c r="I1" s="854"/>
      <c r="J1" s="854"/>
      <c r="K1" s="854"/>
      <c r="L1" s="854"/>
      <c r="M1" s="854"/>
      <c r="N1" s="854"/>
      <c r="O1" s="854"/>
      <c r="P1" s="854"/>
      <c r="Q1" s="854"/>
    </row>
    <row r="2" spans="1:17" s="9" customFormat="1" ht="23.25" customHeight="1" thickBot="1">
      <c r="A2" s="241" t="s">
        <v>19</v>
      </c>
      <c r="B2" s="855" t="s">
        <v>29</v>
      </c>
      <c r="C2" s="856"/>
      <c r="D2" s="857"/>
      <c r="E2" s="858" t="s">
        <v>85</v>
      </c>
      <c r="F2" s="859"/>
      <c r="G2" s="859"/>
      <c r="H2" s="860"/>
      <c r="I2" s="861" t="s">
        <v>85</v>
      </c>
      <c r="J2" s="862"/>
      <c r="K2" s="862"/>
      <c r="L2" s="863"/>
      <c r="M2" s="242" t="s">
        <v>38</v>
      </c>
      <c r="N2" s="242" t="s">
        <v>39</v>
      </c>
      <c r="O2" s="242" t="s">
        <v>40</v>
      </c>
      <c r="P2" s="242" t="s">
        <v>41</v>
      </c>
      <c r="Q2" s="242" t="s">
        <v>42</v>
      </c>
    </row>
    <row r="3" spans="1:17" s="18" customFormat="1">
      <c r="A3" s="30" t="str">
        <f>'1-συμβολαια'!A3</f>
        <v>10ο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0" t="str">
        <f>'1-συμβολαια'!A4</f>
        <v>11ο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0" t="str">
        <f>'1-συμβολαια'!A6</f>
        <v>12ο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0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0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30" t="str">
        <f>'1-συμβολαια'!A10</f>
        <v>13ο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30" t="str">
        <f>'1-συμβολαια'!A11</f>
        <v>14ο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>
      <c r="A12" s="30" t="str">
        <f>'1-συμβολαια'!A12</f>
        <v>15ο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>
      <c r="A13" s="30" t="str">
        <f>'1-συμβολαια'!A13</f>
        <v>16ο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>
      <c r="A14" s="30" t="str">
        <f>'1-συμβολαια'!A14</f>
        <v>17ο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1:17" s="18" customFormat="1">
      <c r="A15" s="30" t="str">
        <f>'1-συμβολαια'!A15</f>
        <v>18ο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1:17" s="18" customFormat="1">
      <c r="A16" s="30" t="str">
        <f>'1-συμβολαια'!A16</f>
        <v>19ο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7" spans="1:23" s="18" customFormat="1">
      <c r="A17" s="30" t="str">
        <f>'1-συμβολαια'!A17</f>
        <v>20ο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</row>
    <row r="18" spans="1:23" s="18" customFormat="1">
      <c r="A18" s="30" t="str">
        <f>'1-συμβολαια'!A18</f>
        <v>21ο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</row>
    <row r="20" spans="1:23" ht="15.75" customHeight="1">
      <c r="B20" s="851" t="s">
        <v>106</v>
      </c>
      <c r="C20" s="851"/>
      <c r="D20" s="851"/>
      <c r="E20" s="851"/>
      <c r="F20" s="851"/>
      <c r="G20" s="851"/>
      <c r="H20" s="851"/>
      <c r="I20" s="851"/>
      <c r="J20" s="851"/>
      <c r="K20" s="851"/>
      <c r="L20" s="3"/>
      <c r="M20" s="3"/>
      <c r="N20" s="3"/>
      <c r="O20" s="3"/>
      <c r="P20" s="3"/>
      <c r="Q20" s="3"/>
    </row>
    <row r="21" spans="1:23" ht="15.75" customHeight="1">
      <c r="C21" s="853" t="s">
        <v>107</v>
      </c>
      <c r="D21" s="853"/>
      <c r="E21" s="853"/>
      <c r="F21" s="853"/>
      <c r="G21" s="853"/>
      <c r="H21" s="853"/>
      <c r="I21" s="853"/>
      <c r="J21" s="853"/>
      <c r="K21" s="853"/>
      <c r="L21" s="3"/>
      <c r="M21" s="3"/>
      <c r="N21" s="3"/>
      <c r="O21" s="3"/>
      <c r="P21" s="3"/>
      <c r="Q21" s="3"/>
    </row>
    <row r="22" spans="1:23" ht="15.75" customHeight="1">
      <c r="D22" s="851" t="s">
        <v>298</v>
      </c>
      <c r="E22" s="851"/>
      <c r="F22" s="851"/>
      <c r="G22" s="851"/>
      <c r="H22" s="851"/>
      <c r="I22" s="851"/>
      <c r="J22" s="851"/>
      <c r="K22" s="851"/>
      <c r="L22" s="851"/>
      <c r="M22" s="851"/>
      <c r="N22" s="851"/>
      <c r="O22" s="851"/>
      <c r="P22" s="3"/>
      <c r="Q22" s="3"/>
    </row>
    <row r="23" spans="1:23" s="5" customFormat="1" ht="15.75" customHeight="1">
      <c r="A23" s="58"/>
      <c r="B23" s="239"/>
      <c r="C23" s="239"/>
      <c r="D23" s="240"/>
      <c r="E23" s="853" t="s">
        <v>420</v>
      </c>
      <c r="F23" s="853"/>
      <c r="G23" s="853"/>
      <c r="H23" s="853"/>
      <c r="I23" s="853"/>
      <c r="J23" s="853"/>
      <c r="K23" s="853"/>
      <c r="L23" s="853"/>
      <c r="M23" s="853"/>
      <c r="N23" s="3"/>
      <c r="O23" s="3"/>
      <c r="P23" s="3"/>
      <c r="Q23" s="3"/>
    </row>
    <row r="24" spans="1:23" s="5" customFormat="1" ht="15.75" customHeight="1">
      <c r="A24" s="58"/>
      <c r="B24" s="239"/>
      <c r="C24" s="239"/>
      <c r="D24" s="240"/>
      <c r="E24" s="6"/>
      <c r="F24" s="851" t="s">
        <v>129</v>
      </c>
      <c r="G24" s="851"/>
      <c r="H24" s="851"/>
      <c r="I24" s="851"/>
      <c r="J24" s="851"/>
      <c r="K24" s="851"/>
      <c r="L24" s="851"/>
      <c r="M24" s="851"/>
      <c r="N24" s="851"/>
      <c r="O24" s="851"/>
      <c r="P24" s="851"/>
      <c r="Q24" s="3"/>
    </row>
    <row r="25" spans="1:23" s="5" customFormat="1" ht="15.75" customHeight="1">
      <c r="A25" s="58"/>
      <c r="B25" s="239"/>
      <c r="C25" s="239"/>
      <c r="D25" s="240"/>
      <c r="E25" s="6"/>
      <c r="F25" s="6"/>
      <c r="G25" s="853" t="s">
        <v>421</v>
      </c>
      <c r="H25" s="853"/>
      <c r="I25" s="853"/>
      <c r="J25" s="853"/>
      <c r="K25" s="853"/>
      <c r="L25" s="853"/>
      <c r="M25" s="853"/>
      <c r="N25" s="853"/>
      <c r="O25" s="853"/>
      <c r="P25" s="853"/>
      <c r="Q25" s="853"/>
    </row>
    <row r="26" spans="1:23" s="5" customFormat="1" ht="15.75" customHeight="1">
      <c r="A26" s="58"/>
      <c r="B26" s="239"/>
      <c r="C26" s="239"/>
      <c r="D26" s="240"/>
      <c r="E26" s="6"/>
      <c r="F26" s="6"/>
      <c r="G26" s="233"/>
      <c r="H26" s="851" t="s">
        <v>108</v>
      </c>
      <c r="I26" s="851"/>
      <c r="J26" s="851"/>
      <c r="K26" s="851"/>
      <c r="L26" s="851"/>
      <c r="M26" s="851"/>
      <c r="N26" s="851"/>
      <c r="O26" s="3"/>
      <c r="P26" s="3"/>
      <c r="Q26" s="3"/>
      <c r="R26" s="3"/>
      <c r="S26" s="3"/>
      <c r="T26" s="3"/>
      <c r="U26" s="3"/>
      <c r="V26" s="3"/>
      <c r="W26" s="3"/>
    </row>
    <row r="27" spans="1:23" s="5" customFormat="1" ht="15.75" customHeight="1">
      <c r="A27" s="58"/>
      <c r="B27" s="239"/>
      <c r="C27" s="239"/>
      <c r="D27" s="240"/>
      <c r="E27" s="6"/>
      <c r="F27" s="6"/>
      <c r="G27" s="233"/>
      <c r="H27" s="6"/>
      <c r="I27" s="853" t="s">
        <v>109</v>
      </c>
      <c r="J27" s="853"/>
      <c r="K27" s="853"/>
      <c r="L27" s="853"/>
      <c r="M27" s="853"/>
      <c r="N27" s="853"/>
      <c r="O27" s="853"/>
      <c r="P27" s="853"/>
      <c r="Q27" s="853"/>
      <c r="R27" s="853"/>
      <c r="S27" s="3"/>
      <c r="T27" s="3"/>
      <c r="U27" s="3"/>
      <c r="V27" s="3"/>
      <c r="W27" s="3"/>
    </row>
    <row r="28" spans="1:23" s="5" customFormat="1" ht="15.75" customHeight="1">
      <c r="A28" s="58"/>
      <c r="B28" s="239"/>
      <c r="C28" s="239"/>
      <c r="D28" s="240"/>
      <c r="E28" s="6"/>
      <c r="F28" s="6"/>
      <c r="G28" s="233"/>
      <c r="H28" s="6"/>
      <c r="I28" s="6"/>
      <c r="J28" s="851" t="s">
        <v>110</v>
      </c>
      <c r="K28" s="851"/>
      <c r="L28" s="851"/>
      <c r="M28" s="851"/>
      <c r="N28" s="851"/>
      <c r="O28" s="851"/>
      <c r="P28" s="851"/>
      <c r="Q28" s="851"/>
      <c r="R28" s="3"/>
      <c r="S28" s="3"/>
      <c r="T28" s="3"/>
      <c r="U28" s="3"/>
      <c r="V28" s="3"/>
      <c r="W28" s="3"/>
    </row>
    <row r="29" spans="1:23" s="5" customFormat="1" ht="15.75" customHeight="1">
      <c r="A29" s="58"/>
      <c r="B29" s="239"/>
      <c r="C29" s="239"/>
      <c r="D29" s="240"/>
      <c r="E29" s="6"/>
      <c r="F29" s="6"/>
      <c r="G29" s="233"/>
      <c r="H29" s="6"/>
      <c r="I29" s="6"/>
      <c r="J29" s="6"/>
      <c r="K29" s="852" t="s">
        <v>130</v>
      </c>
      <c r="L29" s="852"/>
      <c r="M29" s="852"/>
      <c r="N29" s="852"/>
      <c r="O29" s="852"/>
      <c r="P29" s="852"/>
      <c r="Q29" s="852"/>
      <c r="R29" s="852"/>
      <c r="S29" s="852"/>
      <c r="T29" s="852"/>
      <c r="U29" s="852"/>
      <c r="V29" s="3"/>
      <c r="W29" s="3"/>
    </row>
    <row r="30" spans="1:23" s="5" customFormat="1" ht="15.75" customHeight="1">
      <c r="A30" s="58"/>
      <c r="B30" s="239"/>
      <c r="C30" s="239"/>
      <c r="D30" s="240"/>
      <c r="E30" s="6"/>
      <c r="F30" s="6"/>
      <c r="G30" s="233"/>
      <c r="H30" s="6"/>
      <c r="I30" s="6"/>
      <c r="J30" s="6"/>
      <c r="K30" s="6"/>
      <c r="L30" s="851" t="s">
        <v>111</v>
      </c>
      <c r="M30" s="851"/>
      <c r="N30" s="851"/>
      <c r="O30" s="851"/>
      <c r="P30" s="851"/>
      <c r="Q30" s="851"/>
      <c r="R30" s="851"/>
      <c r="S30" s="851"/>
      <c r="T30" s="3"/>
      <c r="U30" s="3"/>
      <c r="V30" s="3"/>
      <c r="W30" s="3"/>
    </row>
    <row r="31" spans="1:23" s="5" customFormat="1" ht="15.75" customHeight="1">
      <c r="A31" s="58"/>
      <c r="B31" s="239"/>
      <c r="C31" s="239"/>
      <c r="D31" s="240"/>
      <c r="E31" s="6"/>
      <c r="F31" s="6"/>
      <c r="G31" s="233"/>
      <c r="H31" s="6"/>
      <c r="I31" s="6"/>
      <c r="J31" s="6"/>
      <c r="K31" s="6"/>
      <c r="L31" s="3"/>
      <c r="M31" s="853" t="s">
        <v>112</v>
      </c>
      <c r="N31" s="853"/>
      <c r="O31" s="853"/>
      <c r="P31" s="853"/>
      <c r="Q31" s="853"/>
      <c r="R31" s="853"/>
      <c r="S31" s="853"/>
      <c r="T31" s="853"/>
      <c r="U31" s="3"/>
      <c r="V31" s="3"/>
      <c r="W31" s="3"/>
    </row>
    <row r="32" spans="1:23" s="5" customFormat="1" ht="15.75" customHeight="1">
      <c r="A32" s="58"/>
      <c r="B32" s="239"/>
      <c r="C32" s="239"/>
      <c r="D32" s="240"/>
      <c r="E32" s="6"/>
      <c r="F32" s="6"/>
      <c r="G32" s="233"/>
      <c r="H32" s="6"/>
      <c r="I32" s="6"/>
      <c r="J32" s="6"/>
      <c r="K32" s="6"/>
      <c r="L32" s="3"/>
      <c r="M32" s="3"/>
      <c r="N32" s="851" t="s">
        <v>113</v>
      </c>
      <c r="O32" s="851"/>
      <c r="P32" s="851"/>
      <c r="Q32" s="851"/>
      <c r="R32" s="851"/>
      <c r="S32" s="851"/>
      <c r="T32" s="851"/>
      <c r="U32" s="851"/>
      <c r="V32" s="851"/>
      <c r="W32" s="851"/>
    </row>
    <row r="33" spans="1:17" s="5" customFormat="1" ht="15.75" customHeight="1">
      <c r="A33" s="58"/>
      <c r="B33" s="239"/>
      <c r="C33" s="239"/>
      <c r="D33" s="240"/>
      <c r="E33" s="6"/>
      <c r="F33" s="6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</row>
  </sheetData>
  <mergeCells count="17">
    <mergeCell ref="H26:N26"/>
    <mergeCell ref="I27:R27"/>
    <mergeCell ref="C21:K21"/>
    <mergeCell ref="D22:O22"/>
    <mergeCell ref="E23:M23"/>
    <mergeCell ref="F24:P24"/>
    <mergeCell ref="G25:Q25"/>
    <mergeCell ref="A1:Q1"/>
    <mergeCell ref="B2:D2"/>
    <mergeCell ref="E2:H2"/>
    <mergeCell ref="I2:L2"/>
    <mergeCell ref="B20:K20"/>
    <mergeCell ref="J28:Q28"/>
    <mergeCell ref="K29:U29"/>
    <mergeCell ref="L30:S30"/>
    <mergeCell ref="M31:T31"/>
    <mergeCell ref="N32:W3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27"/>
  <sheetViews>
    <sheetView workbookViewId="0">
      <pane ySplit="2" topLeftCell="A3" activePane="bottomLeft" state="frozen"/>
      <selection pane="bottomLeft" activeCell="D29" sqref="D29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854" t="s">
        <v>77</v>
      </c>
      <c r="B1" s="854"/>
      <c r="C1" s="854"/>
      <c r="D1" s="854"/>
      <c r="E1" s="854"/>
      <c r="F1" s="854"/>
      <c r="G1" s="854"/>
      <c r="H1" s="854"/>
      <c r="I1" s="854"/>
      <c r="J1" s="854"/>
      <c r="K1" s="854"/>
      <c r="L1" s="854"/>
      <c r="M1" s="854"/>
      <c r="N1" s="854"/>
      <c r="O1" s="854"/>
      <c r="P1" s="854"/>
      <c r="Q1" s="854"/>
      <c r="R1" s="854"/>
      <c r="S1" s="854"/>
      <c r="T1" s="854"/>
    </row>
    <row r="2" spans="1:20" s="9" customFormat="1" ht="23.25" customHeight="1" thickBot="1">
      <c r="A2" s="241" t="s">
        <v>19</v>
      </c>
      <c r="B2" s="855" t="s">
        <v>29</v>
      </c>
      <c r="C2" s="856"/>
      <c r="D2" s="857"/>
      <c r="E2" s="858" t="s">
        <v>85</v>
      </c>
      <c r="F2" s="859"/>
      <c r="G2" s="860"/>
      <c r="H2" s="865" t="s">
        <v>85</v>
      </c>
      <c r="I2" s="866"/>
      <c r="J2" s="867"/>
      <c r="K2" s="861" t="s">
        <v>85</v>
      </c>
      <c r="L2" s="862"/>
      <c r="M2" s="863"/>
      <c r="N2" s="242" t="s">
        <v>36</v>
      </c>
      <c r="O2" s="242" t="s">
        <v>37</v>
      </c>
      <c r="P2" s="242" t="s">
        <v>38</v>
      </c>
      <c r="Q2" s="242" t="s">
        <v>39</v>
      </c>
      <c r="R2" s="242" t="s">
        <v>40</v>
      </c>
      <c r="S2" s="242" t="s">
        <v>41</v>
      </c>
      <c r="T2" s="242" t="s">
        <v>42</v>
      </c>
    </row>
    <row r="3" spans="1:20" s="18" customFormat="1">
      <c r="A3" s="30" t="str">
        <f>'1-συμβολαια'!A3</f>
        <v>10ο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30" t="str">
        <f>'1-συμβολαια'!A4</f>
        <v>11ο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30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30" t="str">
        <f>'1-συμβολαια'!A6</f>
        <v>12ο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30">
        <f>'1-συμβολαια'!A7</f>
        <v>0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30">
        <f>'1-συμβολαια'!A8</f>
        <v>0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8" customFormat="1">
      <c r="A9" s="30">
        <f>'1-συμβολαια'!A9</f>
        <v>0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8" customFormat="1">
      <c r="A10" s="30" t="str">
        <f>'1-συμβολαια'!A10</f>
        <v>13ο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8" customFormat="1">
      <c r="A11" s="30" t="str">
        <f>'1-συμβολαια'!A11</f>
        <v>14ο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s="18" customFormat="1">
      <c r="A12" s="30" t="str">
        <f>'1-συμβολαια'!A12</f>
        <v>15ο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</row>
    <row r="13" spans="1:20" s="18" customFormat="1">
      <c r="A13" s="30" t="str">
        <f>'1-συμβολαια'!A13</f>
        <v>16ο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</row>
    <row r="14" spans="1:20" s="18" customFormat="1">
      <c r="A14" s="30" t="str">
        <f>'1-συμβολαια'!A14</f>
        <v>17ο</v>
      </c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</row>
    <row r="15" spans="1:20" s="18" customFormat="1">
      <c r="A15" s="30" t="str">
        <f>'1-συμβολαια'!A15</f>
        <v>18ο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</row>
    <row r="16" spans="1:20" s="18" customFormat="1">
      <c r="A16" s="30" t="str">
        <f>'1-συμβολαια'!A16</f>
        <v>19ο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</row>
    <row r="17" spans="1:20" s="18" customFormat="1">
      <c r="A17" s="30" t="str">
        <f>'1-συμβολαια'!A17</f>
        <v>20ο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</row>
    <row r="18" spans="1:20" s="18" customFormat="1">
      <c r="A18" s="30" t="str">
        <f>'1-συμβολαια'!A18</f>
        <v>21ο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</row>
    <row r="20" spans="1:20" ht="15.75">
      <c r="B20" s="851" t="s">
        <v>114</v>
      </c>
      <c r="C20" s="851"/>
      <c r="D20" s="851"/>
      <c r="E20" s="851"/>
      <c r="F20" s="851"/>
      <c r="G20" s="851"/>
      <c r="H20" s="851"/>
      <c r="I20" s="120"/>
      <c r="J20" s="6"/>
      <c r="K20" s="6"/>
      <c r="L20" s="3"/>
      <c r="M20" s="3"/>
      <c r="N20" s="3"/>
      <c r="O20" s="3"/>
    </row>
    <row r="21" spans="1:20" ht="15.75">
      <c r="B21" s="6"/>
      <c r="C21" s="853" t="s">
        <v>115</v>
      </c>
      <c r="D21" s="853"/>
      <c r="E21" s="853"/>
      <c r="F21" s="853"/>
      <c r="G21" s="853"/>
      <c r="H21" s="853"/>
      <c r="I21" s="853"/>
      <c r="J21" s="6"/>
      <c r="K21" s="6"/>
      <c r="L21" s="3"/>
      <c r="M21" s="3"/>
      <c r="N21" s="3"/>
      <c r="O21" s="3"/>
    </row>
    <row r="22" spans="1:20" ht="15.75" customHeight="1">
      <c r="B22" s="6"/>
      <c r="C22" s="6"/>
      <c r="D22" s="851" t="s">
        <v>116</v>
      </c>
      <c r="E22" s="851"/>
      <c r="F22" s="851"/>
      <c r="G22" s="851"/>
      <c r="H22" s="851"/>
      <c r="I22" s="851"/>
      <c r="J22" s="851"/>
      <c r="K22" s="851"/>
      <c r="L22" s="3"/>
      <c r="M22" s="3"/>
      <c r="N22" s="3"/>
      <c r="O22" s="3"/>
    </row>
    <row r="23" spans="1:20" ht="15.75" customHeight="1">
      <c r="B23" s="6"/>
      <c r="C23" s="6"/>
      <c r="D23" s="6"/>
      <c r="E23" s="864" t="s">
        <v>121</v>
      </c>
      <c r="F23" s="864"/>
      <c r="G23" s="864"/>
      <c r="H23" s="864"/>
      <c r="I23" s="864"/>
      <c r="J23" s="864"/>
      <c r="K23" s="864"/>
      <c r="L23" s="864"/>
      <c r="M23" s="3"/>
      <c r="N23" s="3"/>
      <c r="O23" s="3"/>
    </row>
    <row r="24" spans="1:20" ht="15.75" customHeight="1">
      <c r="B24" s="6"/>
      <c r="C24" s="6"/>
      <c r="D24" s="6"/>
      <c r="E24" s="6"/>
      <c r="F24" s="851" t="s">
        <v>117</v>
      </c>
      <c r="G24" s="851"/>
      <c r="H24" s="851"/>
      <c r="I24" s="851"/>
      <c r="J24" s="851"/>
      <c r="K24" s="851"/>
      <c r="L24" s="851"/>
      <c r="M24" s="3"/>
      <c r="N24" s="3"/>
      <c r="O24" s="3"/>
    </row>
    <row r="25" spans="1:20" ht="15.75" customHeight="1">
      <c r="B25" s="6"/>
      <c r="C25" s="6"/>
      <c r="D25" s="6"/>
      <c r="E25" s="6"/>
      <c r="F25" s="6"/>
      <c r="G25" s="853" t="s">
        <v>118</v>
      </c>
      <c r="H25" s="853"/>
      <c r="I25" s="853"/>
      <c r="J25" s="853"/>
      <c r="K25" s="853"/>
      <c r="L25" s="853"/>
      <c r="M25" s="853"/>
      <c r="N25" s="3"/>
      <c r="O25" s="3"/>
    </row>
    <row r="26" spans="1:20" ht="15.75">
      <c r="B26" s="6"/>
      <c r="C26" s="6"/>
      <c r="D26" s="6"/>
      <c r="E26" s="6"/>
      <c r="F26" s="6"/>
      <c r="G26" s="6"/>
      <c r="H26" s="851" t="s">
        <v>119</v>
      </c>
      <c r="I26" s="851"/>
      <c r="J26" s="851"/>
      <c r="K26" s="851"/>
      <c r="L26" s="851"/>
      <c r="M26" s="851"/>
      <c r="N26" s="851"/>
      <c r="O26" s="3"/>
    </row>
    <row r="27" spans="1:20" ht="15.75">
      <c r="B27" s="6"/>
      <c r="C27" s="6"/>
      <c r="D27" s="6"/>
      <c r="E27" s="6"/>
      <c r="F27" s="6"/>
      <c r="G27" s="6"/>
      <c r="H27" s="6"/>
      <c r="I27" s="853" t="s">
        <v>120</v>
      </c>
      <c r="J27" s="853"/>
      <c r="K27" s="853"/>
      <c r="L27" s="853"/>
      <c r="M27" s="853"/>
      <c r="N27" s="853"/>
      <c r="O27" s="853"/>
    </row>
  </sheetData>
  <mergeCells count="13">
    <mergeCell ref="A1:T1"/>
    <mergeCell ref="B2:D2"/>
    <mergeCell ref="E2:G2"/>
    <mergeCell ref="H2:J2"/>
    <mergeCell ref="K2:M2"/>
    <mergeCell ref="G25:M25"/>
    <mergeCell ref="H26:N26"/>
    <mergeCell ref="I27:O27"/>
    <mergeCell ref="B20:H20"/>
    <mergeCell ref="C21:I21"/>
    <mergeCell ref="D22:K22"/>
    <mergeCell ref="E23:L23"/>
    <mergeCell ref="F24:L2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27"/>
  <sheetViews>
    <sheetView zoomScaleNormal="100"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8.8554687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696" t="s">
        <v>67</v>
      </c>
      <c r="B1" s="696"/>
      <c r="C1" s="874" t="s">
        <v>68</v>
      </c>
      <c r="D1" s="874"/>
      <c r="E1" s="696" t="s">
        <v>0</v>
      </c>
      <c r="F1" s="696"/>
      <c r="G1" s="872" t="s">
        <v>10</v>
      </c>
      <c r="H1" s="872"/>
      <c r="I1" s="872"/>
      <c r="J1" s="696" t="s">
        <v>8</v>
      </c>
      <c r="K1" s="696"/>
      <c r="L1" s="875" t="s">
        <v>422</v>
      </c>
      <c r="M1" s="876"/>
      <c r="N1" s="876"/>
      <c r="O1" s="877"/>
      <c r="P1" s="873" t="s">
        <v>66</v>
      </c>
      <c r="Q1" s="873"/>
      <c r="R1" s="872" t="s">
        <v>55</v>
      </c>
      <c r="S1" s="872"/>
      <c r="T1" s="870" t="s">
        <v>46</v>
      </c>
      <c r="U1" s="868" t="s">
        <v>85</v>
      </c>
      <c r="V1" s="868"/>
      <c r="W1" s="868"/>
      <c r="X1" s="868"/>
      <c r="Y1" s="868"/>
      <c r="Z1" s="868"/>
      <c r="AA1" s="868"/>
      <c r="AB1" s="868"/>
      <c r="AC1" s="868"/>
    </row>
    <row r="2" spans="1:29" s="12" customFormat="1" ht="15.75" customHeight="1" thickBot="1">
      <c r="A2" s="95"/>
      <c r="B2" s="51"/>
      <c r="C2" s="85"/>
      <c r="D2" s="54" t="s">
        <v>69</v>
      </c>
      <c r="E2" s="96"/>
      <c r="F2" s="52" t="s">
        <v>69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69</v>
      </c>
      <c r="L2" s="73" t="s">
        <v>328</v>
      </c>
      <c r="M2" s="73" t="s">
        <v>329</v>
      </c>
      <c r="N2" s="73" t="s">
        <v>330</v>
      </c>
      <c r="O2" s="238" t="s">
        <v>29</v>
      </c>
      <c r="P2" s="60" t="s">
        <v>23</v>
      </c>
      <c r="Q2" s="53" t="s">
        <v>69</v>
      </c>
      <c r="R2" s="73" t="s">
        <v>23</v>
      </c>
      <c r="S2" s="36" t="s">
        <v>69</v>
      </c>
      <c r="T2" s="871"/>
      <c r="U2" s="869"/>
      <c r="V2" s="869"/>
      <c r="W2" s="869"/>
      <c r="X2" s="869"/>
      <c r="Y2" s="869"/>
      <c r="Z2" s="869"/>
      <c r="AA2" s="869"/>
      <c r="AB2" s="869"/>
      <c r="AC2" s="869"/>
    </row>
    <row r="3" spans="1:29" s="18" customFormat="1">
      <c r="A3" s="13" t="str">
        <f>'1-συμβολαια'!A3</f>
        <v>10ο</v>
      </c>
      <c r="B3" s="50"/>
      <c r="C3" s="80">
        <f>'1-συμβολαια'!B3</f>
        <v>40785</v>
      </c>
      <c r="D3" s="19"/>
      <c r="E3" s="91" t="str">
        <f>'1-συμβολαια'!C3</f>
        <v>πληρεξούσιο</v>
      </c>
      <c r="F3" s="14"/>
      <c r="G3" s="15" t="str">
        <f>'4-πολλυπρ'!D3</f>
        <v>219-14</v>
      </c>
      <c r="H3" s="15" t="str">
        <f>'4-πολλυπρ'!I3</f>
        <v>;;;???</v>
      </c>
      <c r="I3" s="20"/>
      <c r="J3" s="20">
        <f>'1-συμβολαια'!D3</f>
        <v>0</v>
      </c>
      <c r="K3" s="20"/>
      <c r="L3" s="27">
        <f>'11-χαρτόσ'!D3</f>
        <v>0.5</v>
      </c>
      <c r="M3" s="27"/>
      <c r="N3" s="27"/>
      <c r="O3" s="21"/>
      <c r="P3" s="17" t="e">
        <f>#REF!-R3</f>
        <v>#REF!</v>
      </c>
      <c r="Q3" s="16"/>
      <c r="R3" s="22">
        <f>'5-αντίγρ'!Q3</f>
        <v>1.65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29" s="18" customFormat="1">
      <c r="A4" s="13" t="str">
        <f>'1-συμβολαια'!A4</f>
        <v>11ο</v>
      </c>
      <c r="B4" s="50"/>
      <c r="C4" s="80">
        <f>'1-συμβολαια'!B4</f>
        <v>40812</v>
      </c>
      <c r="D4" s="19"/>
      <c r="E4" s="91" t="str">
        <f>'1-συμβολαια'!C4</f>
        <v>γονική [αγροτεμάχιο Θεολόγος -''βαλανίδια'' 16.832,18μ2</v>
      </c>
      <c r="F4" s="14"/>
      <c r="G4" s="15" t="str">
        <f>'4-πολλυπρ'!D4</f>
        <v>219-14</v>
      </c>
      <c r="H4" s="15" t="str">
        <f>'4-πολλυπρ'!I4</f>
        <v>219-14</v>
      </c>
      <c r="I4" s="20"/>
      <c r="J4" s="20">
        <f>'1-συμβολαια'!D4</f>
        <v>4165.96</v>
      </c>
      <c r="K4" s="20"/>
      <c r="L4" s="27">
        <f>'11-χαρτόσ'!D4</f>
        <v>3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29" s="18" customFormat="1">
      <c r="A5" s="13">
        <f>'1-συμβολαια'!A5</f>
        <v>0</v>
      </c>
      <c r="B5" s="50"/>
      <c r="C5" s="80">
        <f>'1-συμβολαια'!B5</f>
        <v>0</v>
      </c>
      <c r="D5" s="19"/>
      <c r="E5" s="91" t="str">
        <f>'1-συμβολαια'!C5</f>
        <v>χρησικτησία = 1961 πατρός ΔΩΡΕΑ άτυπος</v>
      </c>
      <c r="F5" s="14"/>
      <c r="G5" s="15" t="str">
        <f>'4-πολλυπρ'!D5</f>
        <v>πατήρ</v>
      </c>
      <c r="H5" s="15" t="str">
        <f>'4-πολλυπρ'!I5</f>
        <v>219-14</v>
      </c>
      <c r="I5" s="20"/>
      <c r="J5" s="20">
        <f>'1-συμβολαια'!D5</f>
        <v>4165.96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6"/>
      <c r="V5" s="86"/>
      <c r="W5" s="81"/>
      <c r="X5" s="25"/>
      <c r="Y5" s="25"/>
      <c r="Z5" s="25"/>
      <c r="AA5" s="25"/>
      <c r="AB5" s="25"/>
      <c r="AC5" s="25"/>
    </row>
    <row r="6" spans="1:29" s="18" customFormat="1">
      <c r="A6" s="13" t="str">
        <f>'1-συμβολαια'!A6</f>
        <v>12ο</v>
      </c>
      <c r="B6" s="50"/>
      <c r="C6" s="80">
        <f>'1-συμβολαια'!B6</f>
        <v>41114</v>
      </c>
      <c r="D6" s="19"/>
      <c r="E6" s="91" t="str">
        <f>'1-συμβολαια'!C6</f>
        <v>κληρονομιάς ΑΠΟΔΟΧΗ [οικόπεδο 226μ2 ΜΕ 2όροφο οιίκημα 150μ2 &amp; αποθήκη 15μ2 Θεολόγος</v>
      </c>
      <c r="F6" s="14"/>
      <c r="G6" s="15" t="str">
        <f>'4-πολλυπρ'!D6</f>
        <v>πατήρ</v>
      </c>
      <c r="H6" s="15" t="str">
        <f>'4-πολλυπρ'!I6</f>
        <v>219-14</v>
      </c>
      <c r="I6" s="20"/>
      <c r="J6" s="20">
        <f>'1-συμβολαια'!D6</f>
        <v>0</v>
      </c>
      <c r="K6" s="20"/>
      <c r="L6" s="27">
        <f>'11-χαρτόσ'!D6</f>
        <v>3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6"/>
      <c r="V6" s="86"/>
      <c r="W6" s="81"/>
      <c r="X6" s="25"/>
      <c r="Y6" s="25"/>
      <c r="Z6" s="25"/>
      <c r="AA6" s="25"/>
      <c r="AB6" s="25"/>
      <c r="AC6" s="25"/>
    </row>
    <row r="7" spans="1:29" s="18" customFormat="1">
      <c r="A7" s="13">
        <f>'1-συμβολαια'!A7</f>
        <v>0</v>
      </c>
      <c r="B7" s="50"/>
      <c r="C7" s="80">
        <f>'1-συμβολαια'!B7</f>
        <v>0</v>
      </c>
      <c r="D7" s="19"/>
      <c r="E7" s="91" t="str">
        <f>'1-συμβολαια'!C7</f>
        <v>χρησικτησία οικοπέδου &amp; οικήματος = 1950 πατρός ΚΛΗΡΟΝΟΜΙΑ άτυπη</v>
      </c>
      <c r="F7" s="14"/>
      <c r="G7" s="15">
        <f>'4-πολλυπρ'!D7</f>
        <v>0</v>
      </c>
      <c r="H7" s="15" t="str">
        <f>'4-πολλυπρ'!I7</f>
        <v>πατήρ</v>
      </c>
      <c r="I7" s="20"/>
      <c r="J7" s="20">
        <f>'1-συμβολαια'!D7</f>
        <v>6629.4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6"/>
      <c r="V7" s="86"/>
      <c r="W7" s="81"/>
      <c r="X7" s="25"/>
      <c r="Y7" s="25"/>
      <c r="Z7" s="25"/>
      <c r="AA7" s="25"/>
      <c r="AB7" s="25"/>
      <c r="AC7" s="25"/>
    </row>
    <row r="8" spans="1:29" s="18" customFormat="1">
      <c r="A8" s="13">
        <f>'1-συμβολαια'!A8</f>
        <v>0</v>
      </c>
      <c r="B8" s="50"/>
      <c r="C8" s="80">
        <f>'1-συμβολαια'!B8</f>
        <v>0</v>
      </c>
      <c r="D8" s="19"/>
      <c r="E8" s="91" t="str">
        <f>'1-συμβολαια'!C8</f>
        <v>χρησικτησία οικοπέδου &amp; οικήματος = 1950 ΔΙΑΝΟΜΗ άτυπη</v>
      </c>
      <c r="F8" s="14"/>
      <c r="G8" s="15">
        <f>'4-πολλυπρ'!D8</f>
        <v>0</v>
      </c>
      <c r="H8" s="15" t="str">
        <f>'4-πολλυπρ'!I8</f>
        <v>πατήρ</v>
      </c>
      <c r="I8" s="20"/>
      <c r="J8" s="20">
        <f>'1-συμβολαια'!D8</f>
        <v>11396.88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6"/>
      <c r="V8" s="86"/>
      <c r="W8" s="81"/>
      <c r="X8" s="25"/>
      <c r="Y8" s="25"/>
      <c r="Z8" s="25"/>
      <c r="AA8" s="25"/>
      <c r="AB8" s="25"/>
      <c r="AC8" s="25"/>
    </row>
    <row r="9" spans="1:29" s="18" customFormat="1">
      <c r="A9" s="13">
        <f>'1-συμβολαια'!A9</f>
        <v>0</v>
      </c>
      <c r="B9" s="50"/>
      <c r="C9" s="80">
        <f>'1-συμβολαια'!B9</f>
        <v>0</v>
      </c>
      <c r="D9" s="19"/>
      <c r="E9" s="91" t="str">
        <f>'1-συμβολαια'!C9</f>
        <v xml:space="preserve">εξισορόπηση διαφοράς διανεμομένων </v>
      </c>
      <c r="F9" s="14"/>
      <c r="G9" s="15">
        <f>'4-πολλυπρ'!D9</f>
        <v>0</v>
      </c>
      <c r="H9" s="15">
        <f>'4-πολλυπρ'!I9</f>
        <v>0</v>
      </c>
      <c r="I9" s="20"/>
      <c r="J9" s="20">
        <f>'1-συμβολαια'!D9</f>
        <v>930.96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86"/>
      <c r="V9" s="86"/>
      <c r="W9" s="81"/>
      <c r="X9" s="25"/>
      <c r="Y9" s="25"/>
      <c r="Z9" s="25"/>
      <c r="AA9" s="25"/>
      <c r="AB9" s="25"/>
      <c r="AC9" s="25"/>
    </row>
    <row r="10" spans="1:29" s="18" customFormat="1">
      <c r="A10" s="13" t="str">
        <f>'1-συμβολαια'!A10</f>
        <v>13ο</v>
      </c>
      <c r="B10" s="50"/>
      <c r="C10" s="80">
        <f>'1-συμβολαια'!B10</f>
        <v>41370</v>
      </c>
      <c r="D10" s="19"/>
      <c r="E10" s="91" t="str">
        <f>'1-συμβολαια'!C10</f>
        <v>πληρεξούσιο</v>
      </c>
      <c r="F10" s="14"/>
      <c r="G10" s="15" t="str">
        <f>'4-πολλυπρ'!D10</f>
        <v>219-14</v>
      </c>
      <c r="H10" s="15" t="str">
        <f>'4-πολλυπρ'!I10</f>
        <v>219-14</v>
      </c>
      <c r="I10" s="20"/>
      <c r="J10" s="20">
        <f>'1-συμβολαια'!D10</f>
        <v>0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1.65</v>
      </c>
      <c r="S10" s="23"/>
      <c r="T10" s="24"/>
      <c r="U10" s="86"/>
      <c r="V10" s="86"/>
      <c r="W10" s="81"/>
      <c r="X10" s="25"/>
      <c r="Y10" s="25"/>
      <c r="Z10" s="25"/>
      <c r="AA10" s="25"/>
      <c r="AB10" s="25"/>
      <c r="AC10" s="25"/>
    </row>
    <row r="11" spans="1:29" s="18" customFormat="1">
      <c r="A11" s="13" t="str">
        <f>'1-συμβολαια'!A11</f>
        <v>14ο</v>
      </c>
      <c r="B11" s="50"/>
      <c r="C11" s="80">
        <f>'1-συμβολαια'!B11</f>
        <v>41372</v>
      </c>
      <c r="D11" s="19"/>
      <c r="E11" s="91" t="str">
        <f>'1-συμβολαια'!C11</f>
        <v>αγοραπωλησία</v>
      </c>
      <c r="F11" s="14"/>
      <c r="G11" s="15" t="str">
        <f>'4-πολλυπρ'!D11</f>
        <v>219-14</v>
      </c>
      <c r="H11" s="15" t="str">
        <f>'4-πολλυπρ'!I11</f>
        <v>219-14</v>
      </c>
      <c r="I11" s="20"/>
      <c r="J11" s="20">
        <f>'1-συμβολαια'!D11</f>
        <v>20269.88</v>
      </c>
      <c r="K11" s="20"/>
      <c r="L11" s="27">
        <f>'11-χαρτόσ'!D11</f>
        <v>3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0</v>
      </c>
      <c r="S11" s="23"/>
      <c r="T11" s="24"/>
      <c r="U11" s="86"/>
      <c r="V11" s="86"/>
      <c r="W11" s="81"/>
      <c r="X11" s="25"/>
      <c r="Y11" s="25"/>
      <c r="Z11" s="25"/>
      <c r="AA11" s="25"/>
      <c r="AB11" s="25"/>
      <c r="AC11" s="25"/>
    </row>
    <row r="12" spans="1:29" s="18" customFormat="1">
      <c r="A12" s="13" t="str">
        <f>'1-συμβολαια'!A12</f>
        <v>15ο</v>
      </c>
      <c r="B12" s="50"/>
      <c r="C12" s="80">
        <f>'1-συμβολαια'!B12</f>
        <v>41372</v>
      </c>
      <c r="D12" s="19"/>
      <c r="E12" s="91" t="str">
        <f>'1-συμβολαια'!C12</f>
        <v>δωρεά</v>
      </c>
      <c r="F12" s="14"/>
      <c r="G12" s="15" t="str">
        <f>'4-πολλυπρ'!D12</f>
        <v>219-14</v>
      </c>
      <c r="H12" s="15" t="str">
        <f>'4-πολλυπρ'!I12</f>
        <v>219-14</v>
      </c>
      <c r="I12" s="20"/>
      <c r="J12" s="20">
        <f>'1-συμβολαια'!D12</f>
        <v>21765.16</v>
      </c>
      <c r="K12" s="20"/>
      <c r="L12" s="27">
        <f>'11-χαρτόσ'!D12</f>
        <v>3</v>
      </c>
      <c r="M12" s="27"/>
      <c r="N12" s="27"/>
      <c r="O12" s="21"/>
      <c r="P12" s="17" t="e">
        <f>#REF!-R12</f>
        <v>#REF!</v>
      </c>
      <c r="Q12" s="16"/>
      <c r="R12" s="22">
        <f>'5-αντίγρ'!Q12</f>
        <v>0</v>
      </c>
      <c r="S12" s="23"/>
      <c r="T12" s="24"/>
      <c r="U12" s="86"/>
      <c r="V12" s="86"/>
      <c r="W12" s="81"/>
      <c r="X12" s="25"/>
      <c r="Y12" s="25"/>
      <c r="Z12" s="25"/>
      <c r="AA12" s="25"/>
      <c r="AB12" s="25"/>
      <c r="AC12" s="25"/>
    </row>
    <row r="13" spans="1:29" s="18" customFormat="1">
      <c r="A13" s="13" t="str">
        <f>'1-συμβολαια'!A13</f>
        <v>16ο</v>
      </c>
      <c r="B13" s="50"/>
      <c r="C13" s="80">
        <f>'1-συμβολαια'!B13</f>
        <v>41372</v>
      </c>
      <c r="D13" s="19"/>
      <c r="E13" s="91" t="str">
        <f>'1-συμβολαια'!C13</f>
        <v>γονική</v>
      </c>
      <c r="F13" s="14"/>
      <c r="G13" s="15" t="str">
        <f>'4-πολλυπρ'!D13</f>
        <v>219-14</v>
      </c>
      <c r="H13" s="15" t="str">
        <f>'4-πολλυπρ'!I13</f>
        <v>219-14</v>
      </c>
      <c r="I13" s="20"/>
      <c r="J13" s="20">
        <f>'1-συμβολαια'!D13</f>
        <v>84070.06</v>
      </c>
      <c r="K13" s="20"/>
      <c r="L13" s="27">
        <f>'11-χαρτόσ'!D13</f>
        <v>3</v>
      </c>
      <c r="M13" s="27"/>
      <c r="N13" s="27"/>
      <c r="O13" s="21"/>
      <c r="P13" s="17" t="e">
        <f>#REF!-R13</f>
        <v>#REF!</v>
      </c>
      <c r="Q13" s="16"/>
      <c r="R13" s="22">
        <f>'5-αντίγρ'!Q13</f>
        <v>0</v>
      </c>
      <c r="S13" s="23"/>
      <c r="T13" s="24"/>
      <c r="U13" s="86"/>
      <c r="V13" s="86"/>
      <c r="W13" s="81"/>
      <c r="X13" s="25"/>
      <c r="Y13" s="25"/>
      <c r="Z13" s="25"/>
      <c r="AA13" s="25"/>
      <c r="AB13" s="25"/>
      <c r="AC13" s="25"/>
    </row>
    <row r="14" spans="1:29" s="18" customFormat="1">
      <c r="A14" s="13" t="str">
        <f>'1-συμβολαια'!A14</f>
        <v>17ο</v>
      </c>
      <c r="B14" s="50"/>
      <c r="C14" s="80">
        <f>'1-συμβολαια'!B14</f>
        <v>41372</v>
      </c>
      <c r="D14" s="19"/>
      <c r="E14" s="91" t="str">
        <f>'1-συμβολαια'!C14</f>
        <v>δωρεά</v>
      </c>
      <c r="F14" s="14"/>
      <c r="G14" s="15" t="str">
        <f>'4-πολλυπρ'!D14</f>
        <v>219-14</v>
      </c>
      <c r="H14" s="15" t="str">
        <f>'4-πολλυπρ'!I14</f>
        <v>219-14</v>
      </c>
      <c r="I14" s="20"/>
      <c r="J14" s="20">
        <f>'1-συμβολαια'!D14</f>
        <v>42035.040000000001</v>
      </c>
      <c r="K14" s="20"/>
      <c r="L14" s="27">
        <f>'11-χαρτόσ'!D14</f>
        <v>3</v>
      </c>
      <c r="M14" s="27"/>
      <c r="N14" s="27"/>
      <c r="O14" s="21"/>
      <c r="P14" s="17" t="e">
        <f>#REF!-R14</f>
        <v>#REF!</v>
      </c>
      <c r="Q14" s="16"/>
      <c r="R14" s="22">
        <f>'5-αντίγρ'!Q14</f>
        <v>0</v>
      </c>
      <c r="S14" s="23"/>
      <c r="T14" s="24"/>
      <c r="U14" s="86"/>
      <c r="V14" s="86"/>
      <c r="W14" s="81"/>
      <c r="X14" s="25"/>
      <c r="Y14" s="25"/>
      <c r="Z14" s="25"/>
      <c r="AA14" s="25"/>
      <c r="AB14" s="25"/>
      <c r="AC14" s="25"/>
    </row>
    <row r="15" spans="1:29" s="18" customFormat="1">
      <c r="A15" s="13" t="str">
        <f>'1-συμβολαια'!A15</f>
        <v>18ο</v>
      </c>
      <c r="B15" s="50"/>
      <c r="C15" s="80">
        <f>'1-συμβολαια'!B15</f>
        <v>41372</v>
      </c>
      <c r="D15" s="19"/>
      <c r="E15" s="91" t="str">
        <f>'1-συμβολαια'!C15</f>
        <v>γονική</v>
      </c>
      <c r="F15" s="14"/>
      <c r="G15" s="15" t="str">
        <f>'4-πολλυπρ'!D15</f>
        <v>219-14</v>
      </c>
      <c r="H15" s="15" t="str">
        <f>'4-πολλυπρ'!I15</f>
        <v>219-14</v>
      </c>
      <c r="I15" s="20"/>
      <c r="J15" s="20">
        <f>'1-συμβολαια'!D15</f>
        <v>84070.06</v>
      </c>
      <c r="K15" s="20"/>
      <c r="L15" s="27">
        <f>'11-χαρτόσ'!D15</f>
        <v>3</v>
      </c>
      <c r="M15" s="27"/>
      <c r="N15" s="27"/>
      <c r="O15" s="21"/>
      <c r="P15" s="17" t="e">
        <f>#REF!-R15</f>
        <v>#REF!</v>
      </c>
      <c r="Q15" s="16"/>
      <c r="R15" s="22">
        <f>'5-αντίγρ'!Q15</f>
        <v>0</v>
      </c>
      <c r="S15" s="23"/>
      <c r="T15" s="24"/>
      <c r="U15" s="86"/>
      <c r="V15" s="86"/>
      <c r="W15" s="81"/>
      <c r="X15" s="25"/>
      <c r="Y15" s="25"/>
      <c r="Z15" s="25"/>
      <c r="AA15" s="25"/>
      <c r="AB15" s="25"/>
      <c r="AC15" s="25"/>
    </row>
    <row r="16" spans="1:29" s="18" customFormat="1">
      <c r="A16" s="13" t="str">
        <f>'1-συμβολαια'!A16</f>
        <v>19ο</v>
      </c>
      <c r="B16" s="50"/>
      <c r="C16" s="80">
        <f>'1-συμβολαια'!B16</f>
        <v>41372</v>
      </c>
      <c r="D16" s="19"/>
      <c r="E16" s="91" t="str">
        <f>'1-συμβολαια'!C16</f>
        <v>σύσταση δουλείας</v>
      </c>
      <c r="F16" s="14"/>
      <c r="G16" s="15" t="str">
        <f>'4-πολλυπρ'!D16</f>
        <v>219-14</v>
      </c>
      <c r="H16" s="15" t="str">
        <f>'4-πολλυπρ'!I16</f>
        <v>219-14</v>
      </c>
      <c r="I16" s="20"/>
      <c r="J16" s="20">
        <f>'1-συμβολαια'!D16</f>
        <v>203.07</v>
      </c>
      <c r="K16" s="20"/>
      <c r="L16" s="27">
        <f>'11-χαρτόσ'!D16</f>
        <v>0</v>
      </c>
      <c r="M16" s="27"/>
      <c r="N16" s="27"/>
      <c r="O16" s="21"/>
      <c r="P16" s="17" t="e">
        <f>#REF!-R16</f>
        <v>#REF!</v>
      </c>
      <c r="Q16" s="16"/>
      <c r="R16" s="22">
        <f>'5-αντίγρ'!Q16</f>
        <v>3.8500000000000005</v>
      </c>
      <c r="S16" s="23"/>
      <c r="T16" s="24"/>
      <c r="U16" s="86"/>
      <c r="V16" s="86"/>
      <c r="W16" s="81"/>
      <c r="X16" s="25"/>
      <c r="Y16" s="25"/>
      <c r="Z16" s="25"/>
      <c r="AA16" s="25"/>
      <c r="AB16" s="25"/>
      <c r="AC16" s="25"/>
    </row>
    <row r="17" spans="1:35" s="18" customFormat="1">
      <c r="A17" s="13" t="str">
        <f>'1-συμβολαια'!A17</f>
        <v>20ο</v>
      </c>
      <c r="B17" s="50"/>
      <c r="C17" s="80">
        <f>'1-συμβολαια'!B17</f>
        <v>41372</v>
      </c>
      <c r="D17" s="19"/>
      <c r="E17" s="91" t="str">
        <f>'1-συμβολαια'!C17</f>
        <v>σύσταση δουλείας</v>
      </c>
      <c r="F17" s="14"/>
      <c r="G17" s="15" t="str">
        <f>'4-πολλυπρ'!D17</f>
        <v>219-14</v>
      </c>
      <c r="H17" s="15" t="str">
        <f>'4-πολλυπρ'!I17</f>
        <v>219-14</v>
      </c>
      <c r="I17" s="20"/>
      <c r="J17" s="20">
        <f>'1-συμβολαια'!D17</f>
        <v>186.07</v>
      </c>
      <c r="K17" s="20"/>
      <c r="L17" s="27">
        <f>'11-χαρτόσ'!D17</f>
        <v>0</v>
      </c>
      <c r="M17" s="27"/>
      <c r="N17" s="27"/>
      <c r="O17" s="21"/>
      <c r="P17" s="17" t="e">
        <f>#REF!-R17</f>
        <v>#REF!</v>
      </c>
      <c r="Q17" s="16"/>
      <c r="R17" s="22">
        <f>'5-αντίγρ'!Q17</f>
        <v>2.1999999999999993</v>
      </c>
      <c r="S17" s="23"/>
      <c r="T17" s="24"/>
      <c r="U17" s="86"/>
      <c r="V17" s="86"/>
      <c r="W17" s="81"/>
      <c r="X17" s="25"/>
      <c r="Y17" s="25"/>
      <c r="Z17" s="25"/>
      <c r="AA17" s="25"/>
      <c r="AB17" s="25"/>
      <c r="AC17" s="25"/>
    </row>
    <row r="18" spans="1:35" s="18" customFormat="1">
      <c r="A18" s="13" t="str">
        <f>'1-συμβολαια'!A18</f>
        <v>21ο</v>
      </c>
      <c r="B18" s="50"/>
      <c r="C18" s="80">
        <f>'1-συμβολαια'!B18</f>
        <v>41373</v>
      </c>
      <c r="D18" s="19"/>
      <c r="E18" s="91" t="str">
        <f>'1-συμβολαια'!C18</f>
        <v>χρήσης ακινήτου ΚΑΝΟΝΙΣΜΟΣ</v>
      </c>
      <c r="F18" s="14"/>
      <c r="G18" s="15" t="str">
        <f>'4-πολλυπρ'!D18</f>
        <v>219-14</v>
      </c>
      <c r="H18" s="15">
        <f>'4-πολλυπρ'!I18</f>
        <v>0</v>
      </c>
      <c r="I18" s="20"/>
      <c r="J18" s="20">
        <f>'1-συμβολαια'!D18</f>
        <v>0</v>
      </c>
      <c r="K18" s="20"/>
      <c r="L18" s="27">
        <f>'11-χαρτόσ'!D18</f>
        <v>0.5</v>
      </c>
      <c r="M18" s="27"/>
      <c r="N18" s="27"/>
      <c r="O18" s="21"/>
      <c r="P18" s="17" t="e">
        <f>#REF!-R18</f>
        <v>#REF!</v>
      </c>
      <c r="Q18" s="16"/>
      <c r="R18" s="22">
        <f>'5-αντίγρ'!Q18</f>
        <v>4.9499999999999993</v>
      </c>
      <c r="S18" s="23"/>
      <c r="T18" s="24"/>
      <c r="U18" s="86"/>
      <c r="V18" s="86"/>
      <c r="W18" s="81"/>
      <c r="X18" s="25"/>
      <c r="Y18" s="25"/>
      <c r="Z18" s="25"/>
      <c r="AA18" s="25"/>
      <c r="AB18" s="25"/>
      <c r="AC18" s="25"/>
    </row>
    <row r="19" spans="1:35">
      <c r="A19" s="661" t="s">
        <v>56</v>
      </c>
      <c r="B19" s="662"/>
      <c r="C19" s="662"/>
      <c r="D19" s="662"/>
      <c r="E19" s="662"/>
      <c r="F19" s="662"/>
      <c r="G19" s="662"/>
      <c r="H19" s="662"/>
      <c r="I19" s="662"/>
      <c r="J19" s="662"/>
      <c r="K19" s="45"/>
      <c r="L19" s="1">
        <f>SUM(L3:L18)</f>
        <v>22</v>
      </c>
      <c r="M19" s="1"/>
      <c r="N19" s="1"/>
      <c r="O19" s="1">
        <f>SUM(O3:O18)</f>
        <v>0</v>
      </c>
      <c r="P19" s="38" t="e">
        <f>SUM(P3:P18)</f>
        <v>#REF!</v>
      </c>
      <c r="Q19" s="1">
        <f>SUM(Q3:Q18)</f>
        <v>0</v>
      </c>
      <c r="R19" s="1">
        <f>SUM(R3:R18)</f>
        <v>14.299999999999999</v>
      </c>
      <c r="S19" s="1">
        <f>SUM(S3:S18)</f>
        <v>0</v>
      </c>
      <c r="T19" s="3"/>
      <c r="U19" s="82"/>
      <c r="V19" s="82"/>
    </row>
    <row r="20" spans="1:35">
      <c r="T20" s="122"/>
    </row>
    <row r="21" spans="1:35" ht="15.75" customHeight="1">
      <c r="T21" s="122"/>
      <c r="U21" s="851" t="s">
        <v>122</v>
      </c>
      <c r="V21" s="851"/>
      <c r="W21" s="851"/>
      <c r="X21" s="851"/>
      <c r="Y21" s="851"/>
      <c r="Z21" s="851"/>
      <c r="AA21" s="851"/>
      <c r="AB21" s="851"/>
      <c r="AC21" s="851"/>
      <c r="AD21" s="120"/>
      <c r="AE21" s="120"/>
      <c r="AF21" s="120"/>
      <c r="AG21" s="120"/>
      <c r="AH21" s="115"/>
      <c r="AI21" s="115"/>
    </row>
    <row r="22" spans="1:35" ht="15.75" customHeight="1">
      <c r="T22" s="122"/>
      <c r="U22" s="121"/>
      <c r="V22" s="853" t="s">
        <v>123</v>
      </c>
      <c r="W22" s="853"/>
      <c r="X22" s="853"/>
      <c r="Y22" s="853"/>
      <c r="Z22" s="853"/>
      <c r="AA22" s="853"/>
      <c r="AB22" s="853"/>
      <c r="AC22" s="853"/>
      <c r="AD22" s="853"/>
      <c r="AE22" s="115"/>
      <c r="AF22" s="115"/>
      <c r="AG22" s="115"/>
      <c r="AH22" s="115"/>
      <c r="AI22" s="115"/>
    </row>
    <row r="23" spans="1:35" ht="15.75" customHeight="1">
      <c r="T23" s="122"/>
      <c r="U23" s="121"/>
      <c r="V23" s="121"/>
      <c r="W23" s="851" t="s">
        <v>124</v>
      </c>
      <c r="X23" s="851"/>
      <c r="Y23" s="851"/>
      <c r="Z23" s="851"/>
      <c r="AA23" s="851"/>
      <c r="AB23" s="851"/>
      <c r="AC23" s="851"/>
      <c r="AD23" s="851"/>
      <c r="AE23" s="851"/>
      <c r="AF23" s="115"/>
      <c r="AG23" s="115"/>
      <c r="AH23" s="115"/>
      <c r="AI23" s="115"/>
    </row>
    <row r="24" spans="1:35" ht="15.75">
      <c r="U24" s="121"/>
      <c r="V24" s="121"/>
      <c r="W24" s="121"/>
      <c r="X24" s="853" t="s">
        <v>125</v>
      </c>
      <c r="Y24" s="853"/>
      <c r="Z24" s="853"/>
      <c r="AA24" s="853"/>
      <c r="AB24" s="853"/>
      <c r="AC24" s="853"/>
      <c r="AD24" s="853"/>
      <c r="AE24" s="853"/>
      <c r="AF24" s="853"/>
      <c r="AG24" s="115"/>
      <c r="AH24" s="115"/>
      <c r="AI24" s="115"/>
    </row>
    <row r="25" spans="1:35" ht="15.75">
      <c r="U25" s="121"/>
      <c r="V25" s="121"/>
      <c r="W25" s="121"/>
      <c r="X25" s="121"/>
      <c r="Y25" s="851" t="s">
        <v>126</v>
      </c>
      <c r="Z25" s="851"/>
      <c r="AA25" s="851"/>
      <c r="AB25" s="851"/>
      <c r="AC25" s="851"/>
      <c r="AD25" s="851"/>
      <c r="AE25" s="851"/>
      <c r="AF25" s="851"/>
      <c r="AG25" s="851"/>
      <c r="AH25" s="115"/>
      <c r="AI25" s="115"/>
    </row>
    <row r="26" spans="1:35" ht="15.75">
      <c r="U26" s="121"/>
      <c r="V26" s="121"/>
      <c r="W26" s="121"/>
      <c r="X26" s="121"/>
      <c r="Y26" s="121"/>
      <c r="Z26" s="853" t="s">
        <v>127</v>
      </c>
      <c r="AA26" s="853"/>
      <c r="AB26" s="853"/>
      <c r="AC26" s="853"/>
      <c r="AD26" s="853"/>
      <c r="AE26" s="853"/>
      <c r="AF26" s="853"/>
      <c r="AG26" s="853"/>
      <c r="AH26" s="853"/>
      <c r="AI26" s="115"/>
    </row>
    <row r="27" spans="1:35" ht="15.75">
      <c r="U27" s="121"/>
      <c r="V27" s="121"/>
      <c r="W27" s="121"/>
      <c r="X27" s="121"/>
      <c r="Y27" s="121"/>
      <c r="Z27" s="121"/>
      <c r="AA27" s="851" t="s">
        <v>128</v>
      </c>
      <c r="AB27" s="851"/>
      <c r="AC27" s="851"/>
      <c r="AD27" s="851"/>
      <c r="AE27" s="851"/>
      <c r="AF27" s="851"/>
      <c r="AG27" s="851"/>
      <c r="AH27" s="851"/>
      <c r="AI27" s="851"/>
    </row>
  </sheetData>
  <mergeCells count="18">
    <mergeCell ref="A19:J19"/>
    <mergeCell ref="E1:F1"/>
    <mergeCell ref="P1:Q1"/>
    <mergeCell ref="A1:B1"/>
    <mergeCell ref="C1:D1"/>
    <mergeCell ref="G1:I1"/>
    <mergeCell ref="J1:K1"/>
    <mergeCell ref="L1:O1"/>
    <mergeCell ref="U21:AC21"/>
    <mergeCell ref="V22:AD22"/>
    <mergeCell ref="U1:AC2"/>
    <mergeCell ref="T1:T2"/>
    <mergeCell ref="R1:S1"/>
    <mergeCell ref="W23:AE23"/>
    <mergeCell ref="X24:AF24"/>
    <mergeCell ref="Y25:AG25"/>
    <mergeCell ref="Z26:AH26"/>
    <mergeCell ref="AA27:AI27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21"/>
  <sheetViews>
    <sheetView workbookViewId="0">
      <pane ySplit="2" topLeftCell="A3" activePane="bottomLeft" state="frozen"/>
      <selection pane="bottomLeft" activeCell="G30" sqref="G3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1" customFormat="1" ht="32.25" customHeight="1">
      <c r="A1" s="882" t="s">
        <v>31</v>
      </c>
      <c r="B1" s="883"/>
      <c r="C1" s="883"/>
      <c r="D1" s="883"/>
      <c r="E1" s="884"/>
      <c r="F1" s="885" t="s">
        <v>301</v>
      </c>
      <c r="G1" s="886"/>
      <c r="H1" s="886"/>
      <c r="I1" s="887"/>
      <c r="J1" s="878" t="s">
        <v>302</v>
      </c>
      <c r="K1" s="879"/>
      <c r="L1" s="879"/>
      <c r="M1" s="879"/>
      <c r="N1" s="879"/>
      <c r="O1" s="879"/>
      <c r="P1" s="879"/>
      <c r="Q1" s="879"/>
      <c r="R1" s="879"/>
      <c r="S1" s="879"/>
      <c r="T1" s="879"/>
      <c r="U1" s="879"/>
      <c r="V1" s="879"/>
      <c r="W1" s="879"/>
      <c r="X1" s="879"/>
      <c r="Y1" s="880"/>
      <c r="Z1" s="888" t="s">
        <v>303</v>
      </c>
      <c r="AA1" s="889"/>
      <c r="AB1" s="889"/>
      <c r="AC1" s="890"/>
      <c r="AD1" s="878" t="s">
        <v>304</v>
      </c>
      <c r="AE1" s="879"/>
      <c r="AF1" s="879"/>
      <c r="AG1" s="879"/>
      <c r="AH1" s="879"/>
      <c r="AI1" s="879"/>
      <c r="AJ1" s="879"/>
      <c r="AK1" s="879"/>
      <c r="AL1" s="879"/>
      <c r="AM1" s="879"/>
      <c r="AN1" s="879"/>
      <c r="AO1" s="879"/>
      <c r="AP1" s="879"/>
      <c r="AQ1" s="879"/>
      <c r="AR1" s="879"/>
      <c r="AS1" s="880"/>
      <c r="AT1" s="885" t="s">
        <v>305</v>
      </c>
      <c r="AU1" s="886"/>
      <c r="AV1" s="886"/>
      <c r="AW1" s="887"/>
      <c r="AX1" s="878" t="s">
        <v>306</v>
      </c>
      <c r="AY1" s="879"/>
      <c r="AZ1" s="879"/>
      <c r="BA1" s="879"/>
      <c r="BB1" s="879"/>
      <c r="BC1" s="879"/>
      <c r="BD1" s="879"/>
      <c r="BE1" s="879"/>
      <c r="BF1" s="879"/>
      <c r="BG1" s="879"/>
      <c r="BH1" s="879"/>
      <c r="BI1" s="879"/>
      <c r="BJ1" s="879"/>
      <c r="BK1" s="879"/>
      <c r="BL1" s="879"/>
      <c r="BM1" s="880"/>
    </row>
    <row r="2" spans="1:65" s="4" customFormat="1" ht="23.25" customHeight="1">
      <c r="A2" s="183" t="s">
        <v>19</v>
      </c>
      <c r="B2" s="183" t="s">
        <v>307</v>
      </c>
      <c r="C2" s="184" t="s">
        <v>308</v>
      </c>
      <c r="D2" s="646" t="s">
        <v>29</v>
      </c>
      <c r="E2" s="848"/>
      <c r="F2" s="185" t="s">
        <v>309</v>
      </c>
      <c r="G2" s="183" t="s">
        <v>18</v>
      </c>
      <c r="H2" s="185" t="s">
        <v>23</v>
      </c>
      <c r="I2" s="186" t="s">
        <v>85</v>
      </c>
      <c r="J2" s="187" t="s">
        <v>310</v>
      </c>
      <c r="K2" s="187" t="s">
        <v>311</v>
      </c>
      <c r="L2" s="185" t="s">
        <v>312</v>
      </c>
      <c r="M2" s="185" t="s">
        <v>313</v>
      </c>
      <c r="N2" s="185" t="s">
        <v>314</v>
      </c>
      <c r="O2" s="185" t="s">
        <v>315</v>
      </c>
      <c r="P2" s="185" t="s">
        <v>316</v>
      </c>
      <c r="Q2" s="185" t="s">
        <v>317</v>
      </c>
      <c r="R2" s="185" t="s">
        <v>318</v>
      </c>
      <c r="S2" s="185" t="s">
        <v>319</v>
      </c>
      <c r="T2" s="185" t="s">
        <v>320</v>
      </c>
      <c r="U2" s="185" t="s">
        <v>23</v>
      </c>
      <c r="V2" s="185" t="s">
        <v>321</v>
      </c>
      <c r="W2" s="185" t="s">
        <v>322</v>
      </c>
      <c r="X2" s="185" t="s">
        <v>323</v>
      </c>
      <c r="Y2" s="188" t="s">
        <v>324</v>
      </c>
      <c r="Z2" s="185" t="s">
        <v>309</v>
      </c>
      <c r="AA2" s="183" t="s">
        <v>18</v>
      </c>
      <c r="AB2" s="185" t="s">
        <v>23</v>
      </c>
      <c r="AC2" s="189" t="s">
        <v>85</v>
      </c>
      <c r="AD2" s="187" t="s">
        <v>310</v>
      </c>
      <c r="AE2" s="187" t="s">
        <v>311</v>
      </c>
      <c r="AF2" s="185" t="s">
        <v>312</v>
      </c>
      <c r="AG2" s="185" t="s">
        <v>313</v>
      </c>
      <c r="AH2" s="185" t="s">
        <v>314</v>
      </c>
      <c r="AI2" s="185" t="s">
        <v>315</v>
      </c>
      <c r="AJ2" s="185" t="s">
        <v>316</v>
      </c>
      <c r="AK2" s="185" t="s">
        <v>317</v>
      </c>
      <c r="AL2" s="185" t="s">
        <v>318</v>
      </c>
      <c r="AM2" s="185" t="s">
        <v>319</v>
      </c>
      <c r="AN2" s="185" t="s">
        <v>320</v>
      </c>
      <c r="AO2" s="185" t="s">
        <v>23</v>
      </c>
      <c r="AP2" s="185" t="s">
        <v>321</v>
      </c>
      <c r="AQ2" s="185" t="s">
        <v>322</v>
      </c>
      <c r="AR2" s="185" t="s">
        <v>323</v>
      </c>
      <c r="AS2" s="188" t="s">
        <v>324</v>
      </c>
      <c r="AT2" s="185" t="s">
        <v>309</v>
      </c>
      <c r="AU2" s="183" t="s">
        <v>18</v>
      </c>
      <c r="AV2" s="185" t="s">
        <v>23</v>
      </c>
      <c r="AW2" s="186" t="s">
        <v>85</v>
      </c>
      <c r="AX2" s="187" t="s">
        <v>310</v>
      </c>
      <c r="AY2" s="187" t="s">
        <v>311</v>
      </c>
      <c r="AZ2" s="185" t="s">
        <v>312</v>
      </c>
      <c r="BA2" s="185" t="s">
        <v>313</v>
      </c>
      <c r="BB2" s="185" t="s">
        <v>314</v>
      </c>
      <c r="BC2" s="185" t="s">
        <v>315</v>
      </c>
      <c r="BD2" s="185" t="s">
        <v>316</v>
      </c>
      <c r="BE2" s="185" t="s">
        <v>317</v>
      </c>
      <c r="BF2" s="185" t="s">
        <v>318</v>
      </c>
      <c r="BG2" s="185" t="s">
        <v>319</v>
      </c>
      <c r="BH2" s="185" t="s">
        <v>320</v>
      </c>
      <c r="BI2" s="185" t="s">
        <v>23</v>
      </c>
      <c r="BJ2" s="185" t="s">
        <v>321</v>
      </c>
      <c r="BK2" s="185" t="s">
        <v>322</v>
      </c>
      <c r="BL2" s="185" t="s">
        <v>325</v>
      </c>
      <c r="BM2" s="188" t="s">
        <v>324</v>
      </c>
    </row>
    <row r="3" spans="1:65" s="34" customFormat="1">
      <c r="A3" s="30" t="str">
        <f>'1-συμβολαια'!A3</f>
        <v>10ο</v>
      </c>
      <c r="B3" s="15" t="str">
        <f>'4-πολλυπρ'!D3</f>
        <v>219-14</v>
      </c>
      <c r="C3" s="15" t="str">
        <f>'4-πολλυπρ'!I3</f>
        <v>;;;???</v>
      </c>
      <c r="D3" s="32"/>
      <c r="E3" s="30"/>
      <c r="F3" s="30"/>
      <c r="G3" s="31"/>
      <c r="H3" s="30"/>
      <c r="I3" s="30"/>
      <c r="J3" s="30"/>
      <c r="K3" s="140" t="s">
        <v>326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0" t="s">
        <v>326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11ο</v>
      </c>
      <c r="B4" s="15" t="str">
        <f>'4-πολλυπρ'!D4</f>
        <v>219-14</v>
      </c>
      <c r="C4" s="15" t="str">
        <f>'4-πολλυπρ'!I4</f>
        <v>219-14</v>
      </c>
      <c r="D4" s="32"/>
      <c r="E4" s="30"/>
      <c r="F4" s="30"/>
      <c r="G4" s="31"/>
      <c r="H4" s="30"/>
      <c r="I4" s="30"/>
      <c r="J4" s="30"/>
      <c r="K4" s="140" t="s">
        <v>326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0" t="s">
        <v>326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πατήρ</v>
      </c>
      <c r="C5" s="15" t="str">
        <f>'4-πολλυπρ'!I5</f>
        <v>219-14</v>
      </c>
      <c r="D5" s="32"/>
      <c r="E5" s="30"/>
      <c r="F5" s="30"/>
      <c r="G5" s="31"/>
      <c r="H5" s="30"/>
      <c r="I5" s="30"/>
      <c r="J5" s="30"/>
      <c r="K5" s="140" t="s">
        <v>326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90" t="s">
        <v>326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 t="str">
        <f>'1-συμβολαια'!A6</f>
        <v>12ο</v>
      </c>
      <c r="B6" s="15" t="str">
        <f>'4-πολλυπρ'!D6</f>
        <v>πατήρ</v>
      </c>
      <c r="C6" s="15" t="str">
        <f>'4-πολλυπρ'!I6</f>
        <v>219-14</v>
      </c>
      <c r="D6" s="32"/>
      <c r="E6" s="30"/>
      <c r="F6" s="30"/>
      <c r="G6" s="31"/>
      <c r="H6" s="30"/>
      <c r="I6" s="30"/>
      <c r="J6" s="30"/>
      <c r="K6" s="140" t="s">
        <v>326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190" t="s">
        <v>326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>
        <f>'1-συμβολαια'!A7</f>
        <v>0</v>
      </c>
      <c r="B7" s="15">
        <f>'4-πολλυπρ'!D7</f>
        <v>0</v>
      </c>
      <c r="C7" s="15" t="str">
        <f>'4-πολλυπρ'!I7</f>
        <v>πατήρ</v>
      </c>
      <c r="D7" s="32"/>
      <c r="E7" s="30"/>
      <c r="F7" s="30"/>
      <c r="G7" s="31"/>
      <c r="H7" s="30"/>
      <c r="I7" s="30"/>
      <c r="J7" s="30"/>
      <c r="K7" s="140" t="s">
        <v>326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190" t="s">
        <v>326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>
        <f>'4-πολλυπρ'!D8</f>
        <v>0</v>
      </c>
      <c r="C8" s="15" t="str">
        <f>'4-πολλυπρ'!I8</f>
        <v>πατήρ</v>
      </c>
      <c r="D8" s="32"/>
      <c r="E8" s="30"/>
      <c r="F8" s="30"/>
      <c r="G8" s="31"/>
      <c r="H8" s="30"/>
      <c r="I8" s="30"/>
      <c r="J8" s="30"/>
      <c r="K8" s="140" t="s">
        <v>326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190" t="s">
        <v>326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9" spans="1:65" s="34" customFormat="1">
      <c r="A9" s="30">
        <f>'1-συμβολαια'!A9</f>
        <v>0</v>
      </c>
      <c r="B9" s="15">
        <f>'4-πολλυπρ'!D9</f>
        <v>0</v>
      </c>
      <c r="C9" s="15">
        <f>'4-πολλυπρ'!I9</f>
        <v>0</v>
      </c>
      <c r="D9" s="32"/>
      <c r="E9" s="30"/>
      <c r="F9" s="30"/>
      <c r="G9" s="31"/>
      <c r="H9" s="30"/>
      <c r="I9" s="30"/>
      <c r="J9" s="30"/>
      <c r="K9" s="140" t="s">
        <v>326</v>
      </c>
      <c r="L9" s="33"/>
      <c r="M9" s="33"/>
      <c r="N9" s="33"/>
      <c r="O9" s="33"/>
      <c r="P9" s="33"/>
      <c r="Q9" s="33"/>
      <c r="R9" s="33"/>
      <c r="S9" s="33"/>
      <c r="T9" s="33"/>
      <c r="U9" s="30"/>
      <c r="V9" s="31"/>
      <c r="W9" s="31"/>
      <c r="X9" s="33"/>
      <c r="Y9" s="33"/>
      <c r="Z9" s="30"/>
      <c r="AA9" s="33"/>
      <c r="AB9" s="30"/>
      <c r="AC9" s="33"/>
      <c r="AD9" s="30"/>
      <c r="AE9" s="190" t="s">
        <v>326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0"/>
      <c r="AU9" s="33"/>
      <c r="AV9" s="30"/>
      <c r="AW9" s="33"/>
      <c r="AX9" s="30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0"/>
      <c r="BJ9" s="33"/>
      <c r="BK9" s="33"/>
      <c r="BL9" s="33"/>
      <c r="BM9" s="33"/>
    </row>
    <row r="10" spans="1:65" s="34" customFormat="1">
      <c r="A10" s="30" t="str">
        <f>'1-συμβολαια'!A10</f>
        <v>13ο</v>
      </c>
      <c r="B10" s="15" t="str">
        <f>'4-πολλυπρ'!D10</f>
        <v>219-14</v>
      </c>
      <c r="C10" s="15" t="str">
        <f>'4-πολλυπρ'!I10</f>
        <v>219-14</v>
      </c>
      <c r="D10" s="32"/>
      <c r="E10" s="30"/>
      <c r="F10" s="30"/>
      <c r="G10" s="31"/>
      <c r="H10" s="30"/>
      <c r="I10" s="30"/>
      <c r="J10" s="30"/>
      <c r="K10" s="140" t="s">
        <v>326</v>
      </c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1"/>
      <c r="W10" s="31"/>
      <c r="X10" s="33"/>
      <c r="Y10" s="33"/>
      <c r="Z10" s="30"/>
      <c r="AA10" s="33"/>
      <c r="AB10" s="30"/>
      <c r="AC10" s="33"/>
      <c r="AD10" s="30"/>
      <c r="AE10" s="190" t="s">
        <v>326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0"/>
      <c r="AU10" s="33"/>
      <c r="AV10" s="30"/>
      <c r="AW10" s="33"/>
      <c r="AX10" s="30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0"/>
      <c r="BJ10" s="33"/>
      <c r="BK10" s="33"/>
      <c r="BL10" s="33"/>
      <c r="BM10" s="33"/>
    </row>
    <row r="11" spans="1:65" s="34" customFormat="1">
      <c r="A11" s="30" t="str">
        <f>'1-συμβολαια'!A11</f>
        <v>14ο</v>
      </c>
      <c r="B11" s="15" t="str">
        <f>'4-πολλυπρ'!D11</f>
        <v>219-14</v>
      </c>
      <c r="C11" s="15" t="str">
        <f>'4-πολλυπρ'!I11</f>
        <v>219-14</v>
      </c>
      <c r="D11" s="32"/>
      <c r="E11" s="30"/>
      <c r="F11" s="30"/>
      <c r="G11" s="31"/>
      <c r="H11" s="30"/>
      <c r="I11" s="30"/>
      <c r="J11" s="30"/>
      <c r="K11" s="140" t="s">
        <v>326</v>
      </c>
      <c r="L11" s="33"/>
      <c r="M11" s="33"/>
      <c r="N11" s="33"/>
      <c r="O11" s="33"/>
      <c r="P11" s="33"/>
      <c r="Q11" s="33"/>
      <c r="R11" s="33"/>
      <c r="S11" s="33"/>
      <c r="T11" s="33"/>
      <c r="U11" s="30"/>
      <c r="V11" s="31"/>
      <c r="W11" s="31"/>
      <c r="X11" s="33"/>
      <c r="Y11" s="33"/>
      <c r="Z11" s="30"/>
      <c r="AA11" s="33"/>
      <c r="AB11" s="30"/>
      <c r="AC11" s="33"/>
      <c r="AD11" s="30"/>
      <c r="AE11" s="190" t="s">
        <v>326</v>
      </c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0"/>
      <c r="AU11" s="33"/>
      <c r="AV11" s="30"/>
      <c r="AW11" s="33"/>
      <c r="AX11" s="30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0"/>
      <c r="BJ11" s="33"/>
      <c r="BK11" s="33"/>
      <c r="BL11" s="33"/>
      <c r="BM11" s="33"/>
    </row>
    <row r="12" spans="1:65" s="34" customFormat="1">
      <c r="A12" s="30" t="str">
        <f>'1-συμβολαια'!A12</f>
        <v>15ο</v>
      </c>
      <c r="B12" s="15" t="str">
        <f>'4-πολλυπρ'!D12</f>
        <v>219-14</v>
      </c>
      <c r="C12" s="15" t="str">
        <f>'4-πολλυπρ'!I12</f>
        <v>219-14</v>
      </c>
      <c r="D12" s="32"/>
      <c r="E12" s="30"/>
      <c r="F12" s="30"/>
      <c r="G12" s="31"/>
      <c r="H12" s="30"/>
      <c r="I12" s="30"/>
      <c r="J12" s="30"/>
      <c r="K12" s="140" t="s">
        <v>326</v>
      </c>
      <c r="L12" s="33"/>
      <c r="M12" s="33"/>
      <c r="N12" s="33"/>
      <c r="O12" s="33"/>
      <c r="P12" s="33"/>
      <c r="Q12" s="33"/>
      <c r="R12" s="33"/>
      <c r="S12" s="33"/>
      <c r="T12" s="33"/>
      <c r="U12" s="30"/>
      <c r="V12" s="31"/>
      <c r="W12" s="31"/>
      <c r="X12" s="33"/>
      <c r="Y12" s="33"/>
      <c r="Z12" s="30"/>
      <c r="AA12" s="33"/>
      <c r="AB12" s="30"/>
      <c r="AC12" s="33"/>
      <c r="AD12" s="30"/>
      <c r="AE12" s="190" t="s">
        <v>326</v>
      </c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0"/>
      <c r="AU12" s="33"/>
      <c r="AV12" s="30"/>
      <c r="AW12" s="33"/>
      <c r="AX12" s="30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0"/>
      <c r="BJ12" s="33"/>
      <c r="BK12" s="33"/>
      <c r="BL12" s="33"/>
      <c r="BM12" s="33"/>
    </row>
    <row r="13" spans="1:65" s="34" customFormat="1">
      <c r="A13" s="30" t="str">
        <f>'1-συμβολαια'!A13</f>
        <v>16ο</v>
      </c>
      <c r="B13" s="15" t="str">
        <f>'4-πολλυπρ'!D13</f>
        <v>219-14</v>
      </c>
      <c r="C13" s="15" t="str">
        <f>'4-πολλυπρ'!I13</f>
        <v>219-14</v>
      </c>
      <c r="D13" s="32"/>
      <c r="E13" s="30"/>
      <c r="F13" s="30"/>
      <c r="G13" s="31"/>
      <c r="H13" s="30"/>
      <c r="I13" s="30"/>
      <c r="J13" s="30"/>
      <c r="K13" s="140" t="s">
        <v>326</v>
      </c>
      <c r="L13" s="33"/>
      <c r="M13" s="33"/>
      <c r="N13" s="33"/>
      <c r="O13" s="33"/>
      <c r="P13" s="33"/>
      <c r="Q13" s="33"/>
      <c r="R13" s="33"/>
      <c r="S13" s="33"/>
      <c r="T13" s="33"/>
      <c r="U13" s="30"/>
      <c r="V13" s="31"/>
      <c r="W13" s="31"/>
      <c r="X13" s="33"/>
      <c r="Y13" s="33"/>
      <c r="Z13" s="30"/>
      <c r="AA13" s="33"/>
      <c r="AB13" s="30"/>
      <c r="AC13" s="33"/>
      <c r="AD13" s="30"/>
      <c r="AE13" s="190" t="s">
        <v>326</v>
      </c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0"/>
      <c r="AU13" s="33"/>
      <c r="AV13" s="30"/>
      <c r="AW13" s="33"/>
      <c r="AX13" s="30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0"/>
      <c r="BJ13" s="33"/>
      <c r="BK13" s="33"/>
      <c r="BL13" s="33"/>
      <c r="BM13" s="33"/>
    </row>
    <row r="14" spans="1:65" s="34" customFormat="1">
      <c r="A14" s="30" t="str">
        <f>'1-συμβολαια'!A14</f>
        <v>17ο</v>
      </c>
      <c r="B14" s="15" t="str">
        <f>'4-πολλυπρ'!D14</f>
        <v>219-14</v>
      </c>
      <c r="C14" s="15" t="str">
        <f>'4-πολλυπρ'!I14</f>
        <v>219-14</v>
      </c>
      <c r="D14" s="32"/>
      <c r="E14" s="30"/>
      <c r="F14" s="30"/>
      <c r="G14" s="31"/>
      <c r="H14" s="30"/>
      <c r="I14" s="30"/>
      <c r="J14" s="30"/>
      <c r="K14" s="140" t="s">
        <v>326</v>
      </c>
      <c r="L14" s="33"/>
      <c r="M14" s="33"/>
      <c r="N14" s="33"/>
      <c r="O14" s="33"/>
      <c r="P14" s="33"/>
      <c r="Q14" s="33"/>
      <c r="R14" s="33"/>
      <c r="S14" s="33"/>
      <c r="T14" s="33"/>
      <c r="U14" s="30"/>
      <c r="V14" s="31"/>
      <c r="W14" s="31"/>
      <c r="X14" s="33"/>
      <c r="Y14" s="33"/>
      <c r="Z14" s="30"/>
      <c r="AA14" s="33"/>
      <c r="AB14" s="30"/>
      <c r="AC14" s="33"/>
      <c r="AD14" s="30"/>
      <c r="AE14" s="190" t="s">
        <v>326</v>
      </c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0"/>
      <c r="AU14" s="33"/>
      <c r="AV14" s="30"/>
      <c r="AW14" s="33"/>
      <c r="AX14" s="30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0"/>
      <c r="BJ14" s="33"/>
      <c r="BK14" s="33"/>
      <c r="BL14" s="33"/>
      <c r="BM14" s="33"/>
    </row>
    <row r="15" spans="1:65" s="34" customFormat="1">
      <c r="A15" s="30" t="str">
        <f>'1-συμβολαια'!A15</f>
        <v>18ο</v>
      </c>
      <c r="B15" s="15" t="str">
        <f>'4-πολλυπρ'!D15</f>
        <v>219-14</v>
      </c>
      <c r="C15" s="15" t="str">
        <f>'4-πολλυπρ'!I15</f>
        <v>219-14</v>
      </c>
      <c r="D15" s="32"/>
      <c r="E15" s="30"/>
      <c r="F15" s="30"/>
      <c r="G15" s="31"/>
      <c r="H15" s="30"/>
      <c r="I15" s="30"/>
      <c r="J15" s="30"/>
      <c r="K15" s="140" t="s">
        <v>326</v>
      </c>
      <c r="L15" s="33"/>
      <c r="M15" s="33"/>
      <c r="N15" s="33"/>
      <c r="O15" s="33"/>
      <c r="P15" s="33"/>
      <c r="Q15" s="33"/>
      <c r="R15" s="33"/>
      <c r="S15" s="33"/>
      <c r="T15" s="33"/>
      <c r="U15" s="30"/>
      <c r="V15" s="31"/>
      <c r="W15" s="31"/>
      <c r="X15" s="33"/>
      <c r="Y15" s="33"/>
      <c r="Z15" s="30"/>
      <c r="AA15" s="33"/>
      <c r="AB15" s="30"/>
      <c r="AC15" s="33"/>
      <c r="AD15" s="30"/>
      <c r="AE15" s="190" t="s">
        <v>326</v>
      </c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0"/>
      <c r="AU15" s="33"/>
      <c r="AV15" s="30"/>
      <c r="AW15" s="33"/>
      <c r="AX15" s="30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0"/>
      <c r="BJ15" s="33"/>
      <c r="BK15" s="33"/>
      <c r="BL15" s="33"/>
      <c r="BM15" s="33"/>
    </row>
    <row r="16" spans="1:65" s="34" customFormat="1">
      <c r="A16" s="30" t="str">
        <f>'1-συμβολαια'!A16</f>
        <v>19ο</v>
      </c>
      <c r="B16" s="15" t="str">
        <f>'4-πολλυπρ'!D16</f>
        <v>219-14</v>
      </c>
      <c r="C16" s="15" t="str">
        <f>'4-πολλυπρ'!I16</f>
        <v>219-14</v>
      </c>
      <c r="D16" s="32"/>
      <c r="E16" s="30"/>
      <c r="F16" s="30"/>
      <c r="G16" s="31"/>
      <c r="H16" s="30"/>
      <c r="I16" s="30"/>
      <c r="J16" s="30"/>
      <c r="K16" s="140" t="s">
        <v>326</v>
      </c>
      <c r="L16" s="33"/>
      <c r="M16" s="33"/>
      <c r="N16" s="33"/>
      <c r="O16" s="33"/>
      <c r="P16" s="33"/>
      <c r="Q16" s="33"/>
      <c r="R16" s="33"/>
      <c r="S16" s="33"/>
      <c r="T16" s="33"/>
      <c r="U16" s="30"/>
      <c r="V16" s="31"/>
      <c r="W16" s="31"/>
      <c r="X16" s="33"/>
      <c r="Y16" s="33"/>
      <c r="Z16" s="30"/>
      <c r="AA16" s="33"/>
      <c r="AB16" s="30"/>
      <c r="AC16" s="33"/>
      <c r="AD16" s="30"/>
      <c r="AE16" s="190" t="s">
        <v>326</v>
      </c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0"/>
      <c r="AU16" s="33"/>
      <c r="AV16" s="30"/>
      <c r="AW16" s="33"/>
      <c r="AX16" s="30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0"/>
      <c r="BJ16" s="33"/>
      <c r="BK16" s="33"/>
      <c r="BL16" s="33"/>
      <c r="BM16" s="33"/>
    </row>
    <row r="17" spans="1:65" s="34" customFormat="1">
      <c r="A17" s="30" t="str">
        <f>'1-συμβολαια'!A17</f>
        <v>20ο</v>
      </c>
      <c r="B17" s="15" t="str">
        <f>'4-πολλυπρ'!D17</f>
        <v>219-14</v>
      </c>
      <c r="C17" s="15" t="str">
        <f>'4-πολλυπρ'!I17</f>
        <v>219-14</v>
      </c>
      <c r="D17" s="32"/>
      <c r="E17" s="30"/>
      <c r="F17" s="30"/>
      <c r="G17" s="31"/>
      <c r="H17" s="30"/>
      <c r="I17" s="30"/>
      <c r="J17" s="30"/>
      <c r="K17" s="140" t="s">
        <v>326</v>
      </c>
      <c r="L17" s="33"/>
      <c r="M17" s="33"/>
      <c r="N17" s="33"/>
      <c r="O17" s="33"/>
      <c r="P17" s="33"/>
      <c r="Q17" s="33"/>
      <c r="R17" s="33"/>
      <c r="S17" s="33"/>
      <c r="T17" s="33"/>
      <c r="U17" s="30"/>
      <c r="V17" s="31"/>
      <c r="W17" s="31"/>
      <c r="X17" s="33"/>
      <c r="Y17" s="33"/>
      <c r="Z17" s="30"/>
      <c r="AA17" s="33"/>
      <c r="AB17" s="30"/>
      <c r="AC17" s="33"/>
      <c r="AD17" s="30"/>
      <c r="AE17" s="190" t="s">
        <v>326</v>
      </c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0"/>
      <c r="AU17" s="33"/>
      <c r="AV17" s="30"/>
      <c r="AW17" s="33"/>
      <c r="AX17" s="30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0"/>
      <c r="BJ17" s="33"/>
      <c r="BK17" s="33"/>
      <c r="BL17" s="33"/>
      <c r="BM17" s="33"/>
    </row>
    <row r="18" spans="1:65" s="34" customFormat="1">
      <c r="A18" s="30" t="str">
        <f>'1-συμβολαια'!A18</f>
        <v>21ο</v>
      </c>
      <c r="B18" s="15" t="str">
        <f>'4-πολλυπρ'!D18</f>
        <v>219-14</v>
      </c>
      <c r="C18" s="15">
        <f>'4-πολλυπρ'!I18</f>
        <v>0</v>
      </c>
      <c r="D18" s="32"/>
      <c r="E18" s="30"/>
      <c r="F18" s="30"/>
      <c r="G18" s="31"/>
      <c r="H18" s="30"/>
      <c r="I18" s="30"/>
      <c r="J18" s="30"/>
      <c r="K18" s="140" t="s">
        <v>326</v>
      </c>
      <c r="L18" s="33"/>
      <c r="M18" s="33"/>
      <c r="N18" s="33"/>
      <c r="O18" s="33"/>
      <c r="P18" s="33"/>
      <c r="Q18" s="33"/>
      <c r="R18" s="33"/>
      <c r="S18" s="33"/>
      <c r="T18" s="33"/>
      <c r="U18" s="30"/>
      <c r="V18" s="31"/>
      <c r="W18" s="31"/>
      <c r="X18" s="33"/>
      <c r="Y18" s="33"/>
      <c r="Z18" s="30"/>
      <c r="AA18" s="33"/>
      <c r="AB18" s="30"/>
      <c r="AC18" s="33"/>
      <c r="AD18" s="30"/>
      <c r="AE18" s="190" t="s">
        <v>326</v>
      </c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0"/>
      <c r="AU18" s="33"/>
      <c r="AV18" s="30"/>
      <c r="AW18" s="33"/>
      <c r="AX18" s="30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0"/>
      <c r="BJ18" s="33"/>
      <c r="BK18" s="33"/>
      <c r="BL18" s="33"/>
      <c r="BM18" s="33"/>
    </row>
    <row r="20" spans="1:65">
      <c r="F20" s="881" t="s">
        <v>327</v>
      </c>
      <c r="G20" s="881"/>
      <c r="H20" s="881"/>
      <c r="I20" s="881"/>
    </row>
    <row r="21" spans="1:65">
      <c r="F21" s="881"/>
      <c r="G21" s="881"/>
      <c r="H21" s="881"/>
      <c r="I21" s="881"/>
    </row>
  </sheetData>
  <mergeCells count="9">
    <mergeCell ref="AX1:BM1"/>
    <mergeCell ref="D2:E2"/>
    <mergeCell ref="F20:I2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1"/>
  <sheetViews>
    <sheetView workbookViewId="0">
      <pane ySplit="1" topLeftCell="A2" activePane="bottomLeft" state="frozen"/>
      <selection pane="bottomLeft" activeCell="F35" sqref="F35"/>
    </sheetView>
  </sheetViews>
  <sheetFormatPr defaultRowHeight="11.25"/>
  <cols>
    <col min="1" max="1" width="8.42578125" style="3" customWidth="1"/>
    <col min="2" max="2" width="69.42578125" style="3" bestFit="1" customWidth="1"/>
    <col min="3" max="3" width="13.5703125" style="2" customWidth="1"/>
    <col min="4" max="8" width="9.140625" style="3"/>
    <col min="9" max="9" width="17.85546875" style="3" bestFit="1" customWidth="1"/>
    <col min="10" max="16384" width="9.140625" style="3"/>
  </cols>
  <sheetData>
    <row r="1" spans="1:13">
      <c r="A1" s="192"/>
      <c r="B1" s="192"/>
      <c r="C1" s="296"/>
      <c r="D1" s="192" t="s">
        <v>328</v>
      </c>
      <c r="E1" s="651" t="s">
        <v>331</v>
      </c>
      <c r="F1" s="652"/>
      <c r="G1" s="652"/>
      <c r="H1" s="652"/>
      <c r="I1" s="653" t="s">
        <v>332</v>
      </c>
      <c r="J1" s="653"/>
      <c r="K1" s="653"/>
      <c r="L1" s="653"/>
      <c r="M1" s="654"/>
    </row>
    <row r="2" spans="1:13" ht="12" thickBot="1">
      <c r="A2" s="479" t="str">
        <f>'1-συμβολαια'!A3</f>
        <v>10ο</v>
      </c>
      <c r="B2" s="480" t="str">
        <f>'1-συμβολαια'!C3</f>
        <v>πληρεξούσιο</v>
      </c>
      <c r="C2" s="481">
        <f>'1-συμβολαια'!D3</f>
        <v>0</v>
      </c>
      <c r="D2" s="482">
        <v>0.5</v>
      </c>
      <c r="E2" s="251"/>
      <c r="F2" s="251"/>
      <c r="G2" s="251"/>
      <c r="H2" s="251"/>
      <c r="I2" s="251"/>
      <c r="J2" s="251"/>
      <c r="K2" s="480"/>
      <c r="L2" s="480"/>
      <c r="M2" s="480"/>
    </row>
    <row r="3" spans="1:13">
      <c r="A3" s="505" t="str">
        <f>'1-συμβολαια'!A4</f>
        <v>11ο</v>
      </c>
      <c r="B3" s="399" t="str">
        <f>'1-συμβολαια'!C4</f>
        <v>γονική [αγροτεμάχιο Θεολόγος -''βαλανίδια'' 16.832,18μ2</v>
      </c>
      <c r="C3" s="400">
        <f>'1-συμβολαια'!D4</f>
        <v>4165.96</v>
      </c>
      <c r="D3" s="400">
        <v>3</v>
      </c>
      <c r="E3" s="453" t="s">
        <v>556</v>
      </c>
      <c r="F3" s="399"/>
      <c r="G3" s="399"/>
      <c r="H3" s="399"/>
      <c r="I3" s="399"/>
      <c r="J3" s="399"/>
      <c r="K3" s="399"/>
      <c r="L3" s="399"/>
      <c r="M3" s="399"/>
    </row>
    <row r="4" spans="1:13" ht="12" thickBot="1">
      <c r="A4" s="507">
        <f>'1-συμβολαια'!A5</f>
        <v>0</v>
      </c>
      <c r="B4" s="251" t="str">
        <f>'1-συμβολαια'!C5</f>
        <v>χρησικτησία = 1961 πατρός ΔΩΡΕΑ άτυπος</v>
      </c>
      <c r="C4" s="482">
        <f>'1-συμβολαια'!D5</f>
        <v>4165.96</v>
      </c>
      <c r="D4" s="482"/>
      <c r="E4" s="251"/>
      <c r="F4" s="251"/>
      <c r="G4" s="251"/>
      <c r="H4" s="251"/>
      <c r="I4" s="251"/>
      <c r="J4" s="251"/>
      <c r="K4" s="251"/>
      <c r="L4" s="251"/>
      <c r="M4" s="251"/>
    </row>
    <row r="5" spans="1:13">
      <c r="A5" s="522" t="str">
        <f>'1-συμβολαια'!A6</f>
        <v>12ο</v>
      </c>
      <c r="B5" s="399" t="str">
        <f>'1-συμβολαια'!C6</f>
        <v>κληρονομιάς ΑΠΟΔΟΧΗ [οικόπεδο 226μ2 ΜΕ 2όροφο οιίκημα 150μ2 &amp; αποθήκη 15μ2 Θεολόγος</v>
      </c>
      <c r="C5" s="400">
        <f>'1-συμβολαια'!D6</f>
        <v>0</v>
      </c>
      <c r="D5" s="448"/>
      <c r="E5" s="506">
        <v>41114</v>
      </c>
      <c r="F5" s="399">
        <v>524</v>
      </c>
      <c r="G5" s="399">
        <v>48</v>
      </c>
      <c r="H5" s="399">
        <v>13.5</v>
      </c>
      <c r="I5" s="399"/>
      <c r="J5" s="399"/>
      <c r="K5" s="399"/>
      <c r="L5" s="399"/>
      <c r="M5" s="399"/>
    </row>
    <row r="6" spans="1:13">
      <c r="A6" s="523">
        <f>'1-συμβολαια'!A7</f>
        <v>0</v>
      </c>
      <c r="B6" s="77" t="str">
        <f>'1-συμβολαια'!C7</f>
        <v>χρησικτησία οικοπέδου &amp; οικήματος = 1950 πατρός ΚΛΗΡΟΝΟΜΙΑ άτυπη</v>
      </c>
      <c r="C6" s="295">
        <f>'1-συμβολαια'!D7</f>
        <v>6629.4</v>
      </c>
      <c r="D6" s="448"/>
      <c r="E6" s="77"/>
      <c r="F6" s="77"/>
      <c r="G6" s="77"/>
      <c r="H6" s="77"/>
      <c r="I6" s="77"/>
      <c r="J6" s="77"/>
      <c r="K6" s="77"/>
      <c r="L6" s="77"/>
      <c r="M6" s="77"/>
    </row>
    <row r="7" spans="1:13">
      <c r="A7" s="523">
        <f>'1-συμβολαια'!A8</f>
        <v>0</v>
      </c>
      <c r="B7" s="77" t="str">
        <f>'1-συμβολαια'!C8</f>
        <v>χρησικτησία οικοπέδου &amp; οικήματος = 1950 ΔΙΑΝΟΜΗ άτυπη</v>
      </c>
      <c r="C7" s="295">
        <f>'1-συμβολαια'!D8</f>
        <v>11396.88</v>
      </c>
      <c r="D7" s="448"/>
      <c r="E7" s="439"/>
      <c r="F7" s="77"/>
      <c r="G7" s="77"/>
      <c r="H7" s="77"/>
      <c r="I7" s="452"/>
      <c r="J7" s="77"/>
      <c r="K7" s="77"/>
      <c r="L7" s="77"/>
      <c r="M7" s="77"/>
    </row>
    <row r="8" spans="1:13" ht="12" thickBot="1">
      <c r="A8" s="524">
        <f>'1-συμβολαια'!A9</f>
        <v>0</v>
      </c>
      <c r="B8" s="251" t="str">
        <f>'1-συμβολαια'!C9</f>
        <v xml:space="preserve">εξισορόπηση διαφοράς διανεμομένων </v>
      </c>
      <c r="C8" s="482">
        <f>'1-συμβολαια'!D9</f>
        <v>930.96</v>
      </c>
      <c r="D8" s="525"/>
      <c r="E8" s="251"/>
      <c r="F8" s="251"/>
      <c r="G8" s="251"/>
      <c r="H8" s="251"/>
      <c r="I8" s="251"/>
      <c r="J8" s="251"/>
      <c r="K8" s="251"/>
      <c r="L8" s="251"/>
      <c r="M8" s="251"/>
    </row>
    <row r="9" spans="1:13">
      <c r="A9" s="260" t="str">
        <f>'1-συμβολαια'!A10</f>
        <v>13ο</v>
      </c>
      <c r="B9" s="399" t="str">
        <f>'1-συμβολαια'!C10</f>
        <v>πληρεξούσιο</v>
      </c>
      <c r="C9" s="400">
        <f>'1-συμβολαια'!D10</f>
        <v>0</v>
      </c>
      <c r="D9" s="400">
        <v>0.5</v>
      </c>
      <c r="E9" s="399"/>
      <c r="F9" s="399"/>
      <c r="G9" s="399"/>
      <c r="H9" s="399"/>
      <c r="I9" s="399"/>
      <c r="J9" s="399"/>
      <c r="K9" s="399"/>
      <c r="L9" s="399"/>
      <c r="M9" s="399"/>
    </row>
    <row r="10" spans="1:13">
      <c r="A10" s="264" t="str">
        <f>'1-συμβολαια'!A11</f>
        <v>14ο</v>
      </c>
      <c r="B10" s="77" t="str">
        <f>'1-συμβολαια'!C11</f>
        <v>αγοραπωλησία</v>
      </c>
      <c r="C10" s="295">
        <f>'1-συμβολαια'!D11</f>
        <v>20269.88</v>
      </c>
      <c r="D10" s="448"/>
      <c r="E10" s="439">
        <v>43713</v>
      </c>
      <c r="F10" s="77">
        <v>610</v>
      </c>
      <c r="G10" s="77">
        <v>47</v>
      </c>
      <c r="H10" s="77"/>
      <c r="I10" s="452" t="s">
        <v>558</v>
      </c>
      <c r="J10" s="77"/>
      <c r="K10" s="77"/>
      <c r="L10" s="77"/>
      <c r="M10" s="77"/>
    </row>
    <row r="11" spans="1:13">
      <c r="A11" s="264" t="str">
        <f>'1-συμβολαια'!A12</f>
        <v>15ο</v>
      </c>
      <c r="B11" s="77" t="str">
        <f>'1-συμβολαια'!C12</f>
        <v>δωρεά</v>
      </c>
      <c r="C11" s="295">
        <f>'1-συμβολαια'!D12</f>
        <v>21765.16</v>
      </c>
      <c r="D11" s="448"/>
      <c r="E11" s="453" t="s">
        <v>556</v>
      </c>
      <c r="F11" s="77"/>
      <c r="G11" s="77"/>
      <c r="H11" s="77"/>
      <c r="I11" s="452" t="s">
        <v>558</v>
      </c>
      <c r="J11" s="77"/>
      <c r="K11" s="77"/>
      <c r="L11" s="77"/>
      <c r="M11" s="77"/>
    </row>
    <row r="12" spans="1:13">
      <c r="A12" s="264" t="str">
        <f>'1-συμβολαια'!A13</f>
        <v>16ο</v>
      </c>
      <c r="B12" s="77" t="str">
        <f>'1-συμβολαια'!C13</f>
        <v>γονική</v>
      </c>
      <c r="C12" s="295">
        <f>'1-συμβολαια'!D13</f>
        <v>84070.06</v>
      </c>
      <c r="D12" s="448"/>
      <c r="E12" s="439">
        <v>43713</v>
      </c>
      <c r="F12" s="77">
        <v>610</v>
      </c>
      <c r="G12" s="77">
        <v>48</v>
      </c>
      <c r="H12" s="77"/>
      <c r="I12" s="452" t="s">
        <v>558</v>
      </c>
      <c r="J12" s="77"/>
      <c r="K12" s="77"/>
      <c r="L12" s="77"/>
      <c r="M12" s="77"/>
    </row>
    <row r="13" spans="1:13">
      <c r="A13" s="264" t="str">
        <f>'1-συμβολαια'!A14</f>
        <v>17ο</v>
      </c>
      <c r="B13" s="77" t="str">
        <f>'1-συμβολαια'!C14</f>
        <v>δωρεά</v>
      </c>
      <c r="C13" s="295">
        <f>'1-συμβολαια'!D14</f>
        <v>42035.040000000001</v>
      </c>
      <c r="D13" s="448"/>
      <c r="E13" s="453" t="s">
        <v>556</v>
      </c>
      <c r="F13" s="77"/>
      <c r="G13" s="77"/>
      <c r="H13" s="77"/>
      <c r="I13" s="452" t="s">
        <v>558</v>
      </c>
      <c r="J13" s="77"/>
      <c r="K13" s="77"/>
      <c r="L13" s="77"/>
      <c r="M13" s="77"/>
    </row>
    <row r="14" spans="1:13">
      <c r="A14" s="264" t="str">
        <f>'1-συμβολαια'!A15</f>
        <v>18ο</v>
      </c>
      <c r="B14" s="77" t="str">
        <f>'1-συμβολαια'!C15</f>
        <v>γονική</v>
      </c>
      <c r="C14" s="295">
        <f>'1-συμβολαια'!D15</f>
        <v>84070.06</v>
      </c>
      <c r="D14" s="448"/>
      <c r="E14" s="439">
        <v>44705</v>
      </c>
      <c r="F14" s="77">
        <v>610</v>
      </c>
      <c r="G14" s="77">
        <v>55</v>
      </c>
      <c r="H14" s="77">
        <v>847.37</v>
      </c>
      <c r="I14" s="452" t="s">
        <v>558</v>
      </c>
      <c r="J14" s="77"/>
      <c r="K14" s="77"/>
      <c r="L14" s="77"/>
      <c r="M14" s="77"/>
    </row>
    <row r="15" spans="1:13">
      <c r="A15" s="264" t="str">
        <f>'1-συμβολαια'!A16</f>
        <v>19ο</v>
      </c>
      <c r="B15" s="77" t="str">
        <f>'1-συμβολαια'!C16</f>
        <v>σύσταση δουλείας</v>
      </c>
      <c r="C15" s="295">
        <f>'1-συμβολαια'!D16</f>
        <v>203.07</v>
      </c>
      <c r="D15" s="448"/>
      <c r="E15" s="453" t="s">
        <v>556</v>
      </c>
      <c r="F15" s="77"/>
      <c r="G15" s="77"/>
      <c r="H15" s="77"/>
      <c r="I15" s="452" t="s">
        <v>558</v>
      </c>
      <c r="J15" s="77"/>
      <c r="K15" s="77"/>
      <c r="L15" s="77"/>
      <c r="M15" s="77"/>
    </row>
    <row r="16" spans="1:13">
      <c r="A16" s="264" t="str">
        <f>'1-συμβολαια'!A17</f>
        <v>20ο</v>
      </c>
      <c r="B16" s="77" t="str">
        <f>'1-συμβολαια'!C17</f>
        <v>σύσταση δουλείας</v>
      </c>
      <c r="C16" s="295">
        <f>'1-συμβολαια'!D17</f>
        <v>186.07</v>
      </c>
      <c r="D16" s="448"/>
      <c r="E16" s="453" t="s">
        <v>556</v>
      </c>
      <c r="F16" s="77"/>
      <c r="G16" s="77"/>
      <c r="H16" s="77"/>
      <c r="I16" s="452" t="s">
        <v>558</v>
      </c>
      <c r="J16" s="77"/>
      <c r="K16" s="77"/>
      <c r="L16" s="77"/>
      <c r="M16" s="77"/>
    </row>
    <row r="17" spans="1:13">
      <c r="A17" s="264" t="str">
        <f>'1-συμβολαια'!A18</f>
        <v>21ο</v>
      </c>
      <c r="B17" s="77" t="str">
        <f>'1-συμβολαια'!C18</f>
        <v>χρήσης ακινήτου ΚΑΝΟΝΙΣΜΟΣ</v>
      </c>
      <c r="C17" s="295">
        <f>'1-συμβολαια'!D18</f>
        <v>0</v>
      </c>
      <c r="D17" s="448"/>
      <c r="E17" s="453" t="s">
        <v>556</v>
      </c>
      <c r="F17" s="77"/>
      <c r="G17" s="77"/>
      <c r="H17" s="77"/>
      <c r="I17" s="452"/>
      <c r="J17" s="77"/>
      <c r="K17" s="77"/>
      <c r="L17" s="77"/>
      <c r="M17" s="77"/>
    </row>
    <row r="18" spans="1:13">
      <c r="A18" s="648" t="str">
        <f>'1-συμβολαια'!A19</f>
        <v>σύνολο</v>
      </c>
      <c r="B18" s="649"/>
      <c r="C18" s="650"/>
      <c r="D18" s="400">
        <f>SUM(D2:D17)</f>
        <v>4</v>
      </c>
    </row>
    <row r="20" spans="1:13">
      <c r="C20" s="2" t="s">
        <v>400</v>
      </c>
      <c r="D20" s="3">
        <v>2.5</v>
      </c>
    </row>
    <row r="28" spans="1:13">
      <c r="C28" s="4"/>
      <c r="D28" s="5"/>
    </row>
    <row r="29" spans="1:13">
      <c r="C29" s="4"/>
      <c r="D29" s="5"/>
    </row>
    <row r="30" spans="1:13">
      <c r="C30" s="4"/>
      <c r="D30" s="5"/>
    </row>
    <row r="31" spans="1:13">
      <c r="C31" s="222"/>
      <c r="D31" s="5"/>
    </row>
    <row r="32" spans="1:13">
      <c r="C32" s="221"/>
      <c r="D32" s="5"/>
    </row>
    <row r="33" spans="3:4">
      <c r="C33" s="4"/>
      <c r="D33" s="5"/>
    </row>
    <row r="34" spans="3:4">
      <c r="D34" s="5"/>
    </row>
    <row r="35" spans="3:4">
      <c r="D35" s="5"/>
    </row>
    <row r="36" spans="3:4">
      <c r="D36" s="5"/>
    </row>
    <row r="37" spans="3:4">
      <c r="D37" s="5"/>
    </row>
    <row r="38" spans="3:4">
      <c r="D38" s="5"/>
    </row>
    <row r="39" spans="3:4">
      <c r="D39" s="5"/>
    </row>
    <row r="40" spans="3:4">
      <c r="D40" s="5"/>
    </row>
    <row r="41" spans="3:4">
      <c r="D41" s="5"/>
    </row>
  </sheetData>
  <mergeCells count="3">
    <mergeCell ref="A18:C18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O92"/>
  <sheetViews>
    <sheetView tabSelected="1" workbookViewId="0">
      <pane ySplit="2" topLeftCell="A3" activePane="bottomLeft" state="frozen"/>
      <selection pane="bottomLeft" activeCell="M33" sqref="M32:M33"/>
    </sheetView>
  </sheetViews>
  <sheetFormatPr defaultRowHeight="11.25"/>
  <cols>
    <col min="1" max="1" width="8.140625" style="8" bestFit="1" customWidth="1"/>
    <col min="2" max="2" width="8.7109375" style="134" bestFit="1" customWidth="1"/>
    <col min="3" max="3" width="69.42578125" style="92" bestFit="1" customWidth="1"/>
    <col min="4" max="4" width="9.42578125" style="3" customWidth="1"/>
    <col min="5" max="5" width="9" style="3" customWidth="1"/>
    <col min="6" max="6" width="8.140625" style="3" customWidth="1"/>
    <col min="7" max="7" width="7.28515625" style="2" customWidth="1"/>
    <col min="8" max="8" width="8" style="2" customWidth="1"/>
    <col min="9" max="16" width="11.140625" style="2" customWidth="1"/>
    <col min="17" max="17" width="9.7109375" style="2" customWidth="1"/>
    <col min="18" max="18" width="10.140625" style="2" customWidth="1"/>
    <col min="19" max="19" width="9.5703125" style="2" customWidth="1"/>
    <col min="20" max="20" width="10.7109375" style="2" customWidth="1"/>
    <col min="21" max="21" width="9.85546875" style="2" customWidth="1"/>
    <col min="22" max="22" width="12.28515625" style="76" customWidth="1"/>
    <col min="23" max="23" width="10.85546875" style="76" customWidth="1"/>
    <col min="24" max="24" width="11" style="2" customWidth="1"/>
    <col min="25" max="25" width="9.42578125" style="2" customWidth="1"/>
    <col min="26" max="26" width="10.85546875" style="2" customWidth="1"/>
    <col min="27" max="27" width="10.5703125" style="2" customWidth="1"/>
    <col min="28" max="28" width="9.42578125" style="8" bestFit="1" customWidth="1"/>
    <col min="29" max="29" width="10.85546875" style="2" customWidth="1"/>
    <col min="30" max="30" width="8.28515625" style="8" bestFit="1" customWidth="1"/>
    <col min="31" max="31" width="10.42578125" style="2" customWidth="1"/>
    <col min="32" max="32" width="9.42578125" style="2" bestFit="1" customWidth="1"/>
    <col min="33" max="33" width="10.7109375" style="2" customWidth="1"/>
    <col min="34" max="34" width="10" style="29" customWidth="1"/>
    <col min="35" max="35" width="11.140625" style="8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16384" width="9.140625" style="3"/>
  </cols>
  <sheetData>
    <row r="1" spans="1:41" ht="33.75" customHeight="1">
      <c r="A1" s="899" t="s">
        <v>1</v>
      </c>
      <c r="B1" s="901" t="s">
        <v>2</v>
      </c>
      <c r="C1" s="898" t="s">
        <v>0</v>
      </c>
      <c r="D1" s="902" t="s">
        <v>11</v>
      </c>
      <c r="E1" s="896" t="s">
        <v>12</v>
      </c>
      <c r="F1" s="904" t="s">
        <v>496</v>
      </c>
      <c r="G1" s="905"/>
      <c r="H1" s="905"/>
      <c r="I1" s="906" t="s">
        <v>497</v>
      </c>
      <c r="J1" s="907" t="s">
        <v>600</v>
      </c>
      <c r="K1" s="908"/>
      <c r="L1" s="908"/>
      <c r="M1" s="908"/>
      <c r="N1" s="908"/>
      <c r="O1" s="908"/>
      <c r="P1" s="909"/>
      <c r="Q1" s="892" t="s">
        <v>498</v>
      </c>
      <c r="R1" s="892"/>
      <c r="S1" s="892"/>
      <c r="T1" s="913" t="s">
        <v>141</v>
      </c>
      <c r="U1" s="917" t="s">
        <v>491</v>
      </c>
      <c r="V1" s="918"/>
      <c r="W1" s="918"/>
      <c r="X1" s="919"/>
      <c r="Y1" s="928" t="s">
        <v>492</v>
      </c>
      <c r="Z1" s="930" t="s">
        <v>499</v>
      </c>
      <c r="AA1" s="922" t="s">
        <v>43</v>
      </c>
      <c r="AB1" s="923"/>
      <c r="AC1" s="793" t="s">
        <v>58</v>
      </c>
      <c r="AD1" s="795"/>
      <c r="AE1" s="920" t="s">
        <v>78</v>
      </c>
      <c r="AF1" s="921"/>
      <c r="AG1" s="921"/>
      <c r="AH1" s="924" t="s">
        <v>54</v>
      </c>
      <c r="AI1" s="926" t="s">
        <v>44</v>
      </c>
      <c r="AJ1" s="915" t="s">
        <v>81</v>
      </c>
      <c r="AK1" s="910" t="s">
        <v>29</v>
      </c>
      <c r="AL1" s="911"/>
      <c r="AM1" s="911"/>
      <c r="AN1" s="911"/>
      <c r="AO1" s="912"/>
    </row>
    <row r="2" spans="1:41" ht="26.25" thickBot="1">
      <c r="A2" s="900"/>
      <c r="B2" s="641"/>
      <c r="C2" s="666"/>
      <c r="D2" s="903"/>
      <c r="E2" s="897"/>
      <c r="F2" s="245" t="s">
        <v>266</v>
      </c>
      <c r="G2" s="244" t="s">
        <v>92</v>
      </c>
      <c r="H2" s="306" t="s">
        <v>47</v>
      </c>
      <c r="I2" s="733"/>
      <c r="J2" s="605" t="s">
        <v>371</v>
      </c>
      <c r="K2" s="605" t="s">
        <v>546</v>
      </c>
      <c r="L2" s="606" t="s">
        <v>599</v>
      </c>
      <c r="M2" s="605" t="s">
        <v>95</v>
      </c>
      <c r="N2" s="605" t="s">
        <v>23</v>
      </c>
      <c r="O2" s="605" t="s">
        <v>546</v>
      </c>
      <c r="P2" s="607" t="s">
        <v>599</v>
      </c>
      <c r="Q2" s="179" t="s">
        <v>466</v>
      </c>
      <c r="R2" s="179" t="s">
        <v>141</v>
      </c>
      <c r="S2" s="608" t="s">
        <v>47</v>
      </c>
      <c r="T2" s="914"/>
      <c r="U2" s="70" t="s">
        <v>23</v>
      </c>
      <c r="V2" s="75" t="s">
        <v>82</v>
      </c>
      <c r="W2" s="75" t="s">
        <v>546</v>
      </c>
      <c r="X2" s="438" t="s">
        <v>547</v>
      </c>
      <c r="Y2" s="929"/>
      <c r="Z2" s="931"/>
      <c r="AA2" s="41" t="s">
        <v>23</v>
      </c>
      <c r="AB2" s="368" t="s">
        <v>34</v>
      </c>
      <c r="AC2" s="41" t="s">
        <v>23</v>
      </c>
      <c r="AD2" s="367" t="s">
        <v>34</v>
      </c>
      <c r="AE2" s="41" t="s">
        <v>494</v>
      </c>
      <c r="AF2" s="10" t="s">
        <v>495</v>
      </c>
      <c r="AG2" s="40" t="s">
        <v>33</v>
      </c>
      <c r="AH2" s="925"/>
      <c r="AI2" s="927"/>
      <c r="AJ2" s="916"/>
      <c r="AK2" s="910"/>
      <c r="AL2" s="911"/>
      <c r="AM2" s="911"/>
      <c r="AN2" s="911"/>
      <c r="AO2" s="912"/>
    </row>
    <row r="3" spans="1:41" s="5" customFormat="1" ht="12" thickBot="1">
      <c r="A3" s="472" t="str">
        <f>'1-συμβολαια'!A3</f>
        <v>10ο</v>
      </c>
      <c r="B3" s="609">
        <f>'1-συμβολαια'!B3</f>
        <v>40785</v>
      </c>
      <c r="C3" s="473" t="str">
        <f>'1-συμβολαια'!C3</f>
        <v>πληρεξούσιο</v>
      </c>
      <c r="D3" s="464" t="str">
        <f>'4-πολλυπρ'!D3</f>
        <v>219-14</v>
      </c>
      <c r="E3" s="464" t="str">
        <f>'4-πολλυπρ'!I3</f>
        <v>;;;???</v>
      </c>
      <c r="F3" s="458">
        <f>'14-βιβλΕσ'!P3</f>
        <v>1.65</v>
      </c>
      <c r="G3" s="483">
        <f>'14-βιβλΕσ'!S3</f>
        <v>1</v>
      </c>
      <c r="H3" s="483">
        <f t="shared" ref="H3" si="0">F3+G3</f>
        <v>2.65</v>
      </c>
      <c r="I3" s="483">
        <f>'8-κ-15-17'!AG3</f>
        <v>0</v>
      </c>
      <c r="J3" s="483"/>
      <c r="K3" s="483"/>
      <c r="L3" s="613"/>
      <c r="M3" s="483"/>
      <c r="N3" s="483"/>
      <c r="O3" s="483"/>
      <c r="P3" s="483"/>
      <c r="Q3" s="483">
        <f>'14-βιβλΕσ'!R3</f>
        <v>4.3199999999999994</v>
      </c>
      <c r="R3" s="483">
        <f>'14-βιβλΕσ'!U3</f>
        <v>9.6000000000000002E-2</v>
      </c>
      <c r="S3" s="483">
        <f t="shared" ref="S3" si="1">Q3+R3</f>
        <v>4.4159999999999995</v>
      </c>
      <c r="T3" s="483">
        <f>'14-βιβλΕσ'!T3</f>
        <v>0.6</v>
      </c>
      <c r="U3" s="483"/>
      <c r="V3" s="614"/>
      <c r="W3" s="483"/>
      <c r="X3" s="483">
        <f>AG3</f>
        <v>16.195999999999998</v>
      </c>
      <c r="Y3" s="615"/>
      <c r="Z3" s="483">
        <f>('14-βιβλΕσ'!O3+'14-βιβλΕσ'!P3+'14-βιβλΕσ'!T3)*26%</f>
        <v>3.9259999999999997</v>
      </c>
      <c r="AA3" s="483">
        <f>AG3</f>
        <v>16.195999999999998</v>
      </c>
      <c r="AB3" s="614">
        <v>208.9374213756754</v>
      </c>
      <c r="AC3" s="616"/>
      <c r="AD3" s="616"/>
      <c r="AE3" s="483">
        <f>'1-συμβολαια'!L3+'1-συμβολαια'!P3+'8-κ-15-17'!AE3+'14-βιβλΕσ'!L3+'14-βιβλΕσ'!N3+'14-βιβλΕσ'!S3+'14-βιβλΕσ'!T3+'14-βιβλΕσ'!U3</f>
        <v>52.396000000000001</v>
      </c>
      <c r="AF3" s="483">
        <f>'1-συμβολαια'!M3+'8-κ-15-17'!AF3</f>
        <v>36.200000000000003</v>
      </c>
      <c r="AG3" s="483">
        <f t="shared" ref="AG3" si="2">AE3-AF3</f>
        <v>16.195999999999998</v>
      </c>
      <c r="AH3" s="619">
        <v>46086</v>
      </c>
      <c r="AI3" s="614">
        <f>AB3+AD3</f>
        <v>208.9374213756754</v>
      </c>
      <c r="AJ3" s="620"/>
      <c r="AK3" s="348"/>
      <c r="AL3" s="348"/>
      <c r="AM3" s="348"/>
      <c r="AN3" s="348"/>
      <c r="AO3" s="348"/>
    </row>
    <row r="4" spans="1:41" s="5" customFormat="1">
      <c r="A4" s="496" t="str">
        <f>'1-συμβολαια'!A4</f>
        <v>11ο</v>
      </c>
      <c r="B4" s="364">
        <f>'1-συμβολαια'!B4</f>
        <v>40812</v>
      </c>
      <c r="C4" s="361" t="str">
        <f>'1-συμβολαια'!C4</f>
        <v>γονική [αγροτεμάχιο Θεολόγος -''βαλανίδια'' 16.832,18μ2</v>
      </c>
      <c r="D4" s="315" t="str">
        <f>'4-πολλυπρ'!D4</f>
        <v>219-14</v>
      </c>
      <c r="E4" s="315" t="str">
        <f>'4-πολλυπρ'!I4</f>
        <v>219-14</v>
      </c>
      <c r="F4" s="316">
        <f>'14-βιβλΕσ'!P4</f>
        <v>2.7289399999999997</v>
      </c>
      <c r="G4" s="312">
        <f>'14-βιβλΕσ'!S4</f>
        <v>10.96</v>
      </c>
      <c r="H4" s="312">
        <f t="shared" ref="H4:H5" si="3">F4+G4</f>
        <v>13.688940000000001</v>
      </c>
      <c r="I4" s="312">
        <f>'8-κ-15-17'!AG4</f>
        <v>-3.8099999999943179E-3</v>
      </c>
      <c r="J4" s="312"/>
      <c r="K4" s="312"/>
      <c r="L4" s="612"/>
      <c r="M4" s="612" t="s">
        <v>556</v>
      </c>
      <c r="N4" s="312"/>
      <c r="O4" s="312"/>
      <c r="P4" s="312"/>
      <c r="Q4" s="312">
        <f>'14-βιβλΕσ'!R4</f>
        <v>17.205536000000006</v>
      </c>
      <c r="R4" s="312">
        <f>'14-βιβλΕσ'!U4</f>
        <v>153.91039999999998</v>
      </c>
      <c r="S4" s="312">
        <f t="shared" ref="S4:S5" si="4">Q4+R4</f>
        <v>171.11593599999998</v>
      </c>
      <c r="T4" s="312">
        <f>'14-βιβλΕσ'!T4</f>
        <v>961.93999999999994</v>
      </c>
      <c r="U4" s="312">
        <f>AF4</f>
        <v>64.710000000000008</v>
      </c>
      <c r="V4" s="612" t="s">
        <v>556</v>
      </c>
      <c r="W4" s="312">
        <v>22.93</v>
      </c>
      <c r="X4" s="312">
        <f t="shared" ref="X4:X5" si="5">AG4</f>
        <v>1330.34619</v>
      </c>
      <c r="Y4" s="440"/>
      <c r="Z4" s="312">
        <f>('14-βιβλΕσ'!O4+'14-βιβλΕσ'!P4+'14-βιβλΕσ'!T4)*26%</f>
        <v>303.02469600000001</v>
      </c>
      <c r="AA4" s="312">
        <f t="shared" ref="AA4:AA5" si="6">AG4</f>
        <v>1330.34619</v>
      </c>
      <c r="AB4" s="260">
        <v>17353.418490343793</v>
      </c>
      <c r="AC4" s="369"/>
      <c r="AD4" s="369"/>
      <c r="AE4" s="312">
        <f>'1-συμβολαια'!L4+'1-συμβολαια'!P4+'8-κ-15-17'!AE4+'14-βιβλΕσ'!L4+'14-βιβλΕσ'!N4+'14-βιβλΕσ'!S4+'14-βιβλΕσ'!T4+'14-βιβλΕσ'!U4</f>
        <v>1395.05619</v>
      </c>
      <c r="AF4" s="312">
        <f>'1-συμβολαια'!M4+'8-κ-15-17'!AF4</f>
        <v>64.710000000000008</v>
      </c>
      <c r="AG4" s="312">
        <f t="shared" ref="AG4:AG5" si="7">AE4-AF4</f>
        <v>1330.34619</v>
      </c>
      <c r="AH4" s="435">
        <v>46086</v>
      </c>
      <c r="AI4" s="260">
        <f t="shared" ref="AI4:AI5" si="8">AB4+AD4</f>
        <v>17353.418490343793</v>
      </c>
      <c r="AJ4" s="436"/>
      <c r="AK4" s="74"/>
      <c r="AL4" s="74"/>
      <c r="AM4" s="74"/>
      <c r="AN4" s="74"/>
      <c r="AO4" s="74"/>
    </row>
    <row r="5" spans="1:41" s="5" customFormat="1" ht="12" thickBot="1">
      <c r="A5" s="497">
        <f>'1-συμβολαια'!A5</f>
        <v>0</v>
      </c>
      <c r="B5" s="610"/>
      <c r="C5" s="407" t="str">
        <f>'1-συμβολαια'!C5</f>
        <v>χρησικτησία = 1961 πατρός ΔΩΡΕΑ άτυπος</v>
      </c>
      <c r="D5" s="402" t="str">
        <f>'4-πολλυπρ'!D5</f>
        <v>πατήρ</v>
      </c>
      <c r="E5" s="402" t="str">
        <f>'4-πολλυπρ'!I5</f>
        <v>219-14</v>
      </c>
      <c r="F5" s="388">
        <f>'14-βιβλΕσ'!P5</f>
        <v>8.4489400000000003</v>
      </c>
      <c r="G5" s="390">
        <f>'14-βιβλΕσ'!S5</f>
        <v>3</v>
      </c>
      <c r="H5" s="390">
        <f t="shared" si="3"/>
        <v>11.44894</v>
      </c>
      <c r="I5" s="390">
        <f>'8-κ-15-17'!AG5</f>
        <v>32.286190000000005</v>
      </c>
      <c r="J5" s="390"/>
      <c r="K5" s="390"/>
      <c r="L5" s="251"/>
      <c r="M5" s="251"/>
      <c r="N5" s="390"/>
      <c r="O5" s="390"/>
      <c r="P5" s="390"/>
      <c r="Q5" s="390">
        <f>'14-βιβλΕσ'!R5</f>
        <v>16.905536000000001</v>
      </c>
      <c r="R5" s="390">
        <f>'14-βιβλΕσ'!U5</f>
        <v>0</v>
      </c>
      <c r="S5" s="390">
        <f t="shared" si="4"/>
        <v>16.905536000000001</v>
      </c>
      <c r="T5" s="390">
        <f>'14-βιβλΕσ'!T5</f>
        <v>0</v>
      </c>
      <c r="U5" s="390"/>
      <c r="V5" s="437"/>
      <c r="W5" s="390"/>
      <c r="X5" s="390">
        <f t="shared" si="5"/>
        <v>140.94578999999999</v>
      </c>
      <c r="Y5" s="621"/>
      <c r="Z5" s="390">
        <f>('14-βιβλΕσ'!O5+'14-βιβλΕσ'!P5+'14-βιβλΕσ'!T5)*26%</f>
        <v>27.471496000000005</v>
      </c>
      <c r="AA5" s="390">
        <f t="shared" si="6"/>
        <v>140.94578999999999</v>
      </c>
      <c r="AB5" s="437">
        <v>1804.5477372373869</v>
      </c>
      <c r="AC5" s="622"/>
      <c r="AD5" s="622"/>
      <c r="AE5" s="390">
        <f>'1-συμβολαια'!L5+'1-συμβολαια'!P5+'8-κ-15-17'!AE5+'14-βιβλΕσ'!L5+'14-βιβλΕσ'!N5+'14-βιβλΕσ'!S5+'14-βιβλΕσ'!T5+'14-βιβλΕσ'!U5</f>
        <v>140.94578999999999</v>
      </c>
      <c r="AF5" s="390">
        <f>'1-συμβολαια'!M5+'8-κ-15-17'!AF5</f>
        <v>0</v>
      </c>
      <c r="AG5" s="390">
        <f t="shared" si="7"/>
        <v>140.94578999999999</v>
      </c>
      <c r="AH5" s="623">
        <v>46086</v>
      </c>
      <c r="AI5" s="437">
        <f t="shared" si="8"/>
        <v>1804.5477372373869</v>
      </c>
      <c r="AJ5" s="624"/>
      <c r="AK5" s="391"/>
      <c r="AL5" s="74"/>
      <c r="AM5" s="74"/>
      <c r="AN5" s="74"/>
      <c r="AO5" s="74"/>
    </row>
    <row r="6" spans="1:41" s="5" customFormat="1">
      <c r="A6" s="517" t="str">
        <f>'1-συμβολαια'!A6</f>
        <v>12ο</v>
      </c>
      <c r="B6" s="364">
        <f>'1-συμβολαια'!B6</f>
        <v>41114</v>
      </c>
      <c r="C6" s="361" t="str">
        <f>'1-συμβολαια'!C6</f>
        <v>κληρονομιάς ΑΠΟΔΟΧΗ [οικόπεδο 226μ2 ΜΕ 2όροφο οιίκημα 150μ2 &amp; αποθήκη 15μ2 Θεολόγος</v>
      </c>
      <c r="D6" s="315" t="str">
        <f>'4-πολλυπρ'!D6</f>
        <v>πατήρ</v>
      </c>
      <c r="E6" s="315" t="str">
        <f>'4-πολλυπρ'!I6</f>
        <v>219-14</v>
      </c>
      <c r="F6" s="316">
        <f>'14-βιβλΕσ'!P6</f>
        <v>0</v>
      </c>
      <c r="G6" s="312">
        <f>'14-βιβλΕσ'!S6</f>
        <v>7.46</v>
      </c>
      <c r="H6" s="312">
        <f t="shared" ref="H6:H18" si="9">F6+G6</f>
        <v>7.46</v>
      </c>
      <c r="I6" s="312">
        <f>'8-κ-15-17'!AG6</f>
        <v>0</v>
      </c>
      <c r="J6" s="312"/>
      <c r="K6" s="312"/>
      <c r="L6" s="506"/>
      <c r="M6" s="506">
        <v>41114</v>
      </c>
      <c r="N6" s="312"/>
      <c r="O6" s="312"/>
      <c r="P6" s="312"/>
      <c r="Q6" s="312">
        <f>'14-βιβλΕσ'!R6</f>
        <v>13.120000000000001</v>
      </c>
      <c r="R6" s="312">
        <f>'14-βιβλΕσ'!U6</f>
        <v>176.63040000000001</v>
      </c>
      <c r="S6" s="312">
        <f t="shared" ref="S6:S18" si="10">Q6+R6</f>
        <v>189.75040000000001</v>
      </c>
      <c r="T6" s="312">
        <f>'14-βιβλΕσ'!T6</f>
        <v>1103.94</v>
      </c>
      <c r="U6" s="312"/>
      <c r="V6" s="436" t="s">
        <v>602</v>
      </c>
      <c r="W6" s="312"/>
      <c r="X6" s="312">
        <f t="shared" ref="X6:X18" si="11">AG6</f>
        <v>1370.0304000000001</v>
      </c>
      <c r="Y6" s="440"/>
      <c r="Z6" s="312">
        <f>('14-βιβλΕσ'!O6+'14-βιβλΕσ'!P6+'14-βιβλΕσ'!T6)*26%</f>
        <v>308.34440000000001</v>
      </c>
      <c r="AA6" s="312">
        <f t="shared" ref="AA6:AA18" si="12">AG6</f>
        <v>1370.0304000000001</v>
      </c>
      <c r="AB6" s="260">
        <v>16314.931967462326</v>
      </c>
      <c r="AC6" s="369"/>
      <c r="AD6" s="369"/>
      <c r="AE6" s="312">
        <f>'1-συμβολαια'!L6+'1-συμβολαια'!P6+'8-κ-15-17'!AE6+'14-βιβλΕσ'!L6+'14-βιβλΕσ'!N6+'14-βιβλΕσ'!S6+'14-βιβλΕσ'!T6+'14-βιβλΕσ'!U6</f>
        <v>1392.0704000000001</v>
      </c>
      <c r="AF6" s="312">
        <f>'1-συμβολαια'!M6+'8-κ-15-17'!AF6</f>
        <v>22.04</v>
      </c>
      <c r="AG6" s="312">
        <f t="shared" ref="AG6:AG18" si="13">AE6-AF6</f>
        <v>1370.0304000000001</v>
      </c>
      <c r="AH6" s="435">
        <v>46086</v>
      </c>
      <c r="AI6" s="260">
        <f t="shared" ref="AI6:AI18" si="14">AB6+AD6</f>
        <v>16314.931967462326</v>
      </c>
      <c r="AJ6" s="436"/>
      <c r="AK6" s="348"/>
      <c r="AL6" s="74"/>
      <c r="AM6" s="74"/>
      <c r="AN6" s="74"/>
      <c r="AO6" s="74"/>
    </row>
    <row r="7" spans="1:41" s="5" customFormat="1">
      <c r="A7" s="517">
        <f>'1-συμβολαια'!A7</f>
        <v>0</v>
      </c>
      <c r="B7" s="364"/>
      <c r="C7" s="361" t="str">
        <f>'1-συμβολαια'!C7</f>
        <v>χρησικτησία οικοπέδου &amp; οικήματος = 1950 πατρός ΚΛΗΡΟΝΟΜΙΑ άτυπη</v>
      </c>
      <c r="D7" s="315">
        <f>'4-πολλυπρ'!D7</f>
        <v>0</v>
      </c>
      <c r="E7" s="315" t="str">
        <f>'4-πολλυπρ'!I7</f>
        <v>πατήρ</v>
      </c>
      <c r="F7" s="316">
        <f>'14-βιβλΕσ'!P7</f>
        <v>12.1441</v>
      </c>
      <c r="G7" s="312">
        <f>'14-βιβλΕσ'!S7</f>
        <v>3</v>
      </c>
      <c r="H7" s="312">
        <f t="shared" si="9"/>
        <v>15.1441</v>
      </c>
      <c r="I7" s="312">
        <f>'8-κ-15-17'!AG7</f>
        <v>51.377850000000002</v>
      </c>
      <c r="J7" s="312"/>
      <c r="K7" s="312"/>
      <c r="L7" s="77"/>
      <c r="M7" s="77"/>
      <c r="N7" s="312"/>
      <c r="O7" s="312"/>
      <c r="P7" s="312"/>
      <c r="Q7" s="312">
        <f>'14-βιβλΕσ'!R7</f>
        <v>18.927039999999998</v>
      </c>
      <c r="R7" s="312">
        <f>'14-βιβλΕσ'!U7</f>
        <v>4.8</v>
      </c>
      <c r="S7" s="312">
        <f t="shared" si="10"/>
        <v>23.727039999999999</v>
      </c>
      <c r="T7" s="312">
        <f>'14-βιβλΕσ'!T7</f>
        <v>30</v>
      </c>
      <c r="U7" s="312"/>
      <c r="V7" s="260"/>
      <c r="W7" s="312"/>
      <c r="X7" s="312">
        <f t="shared" si="11"/>
        <v>207.47185000000002</v>
      </c>
      <c r="Y7" s="440"/>
      <c r="Z7" s="312">
        <f>('14-βιβλΕσ'!O7+'14-βιβλΕσ'!P7+'14-βιβλΕσ'!T7)*26%</f>
        <v>38.556439999999995</v>
      </c>
      <c r="AA7" s="312">
        <f t="shared" si="12"/>
        <v>207.47185000000002</v>
      </c>
      <c r="AB7" s="264">
        <v>2470.6565056751879</v>
      </c>
      <c r="AC7" s="369"/>
      <c r="AD7" s="369"/>
      <c r="AE7" s="312">
        <f>'1-συμβολαια'!L7+'1-συμβολαια'!P7+'8-κ-15-17'!AE7+'14-βιβλΕσ'!L7+'14-βιβλΕσ'!N7+'14-βιβλΕσ'!S7+'14-βιβλΕσ'!T7+'14-βιβλΕσ'!U7</f>
        <v>207.47185000000002</v>
      </c>
      <c r="AF7" s="312">
        <f>'1-συμβολαια'!M7+'8-κ-15-17'!AF7</f>
        <v>0</v>
      </c>
      <c r="AG7" s="312">
        <f t="shared" si="13"/>
        <v>207.47185000000002</v>
      </c>
      <c r="AH7" s="435">
        <v>46086</v>
      </c>
      <c r="AI7" s="260">
        <f t="shared" si="14"/>
        <v>2470.6565056751879</v>
      </c>
      <c r="AJ7" s="362"/>
      <c r="AK7" s="74"/>
      <c r="AL7" s="74"/>
      <c r="AM7" s="74"/>
      <c r="AN7" s="74"/>
      <c r="AO7" s="74"/>
    </row>
    <row r="8" spans="1:41" s="5" customFormat="1">
      <c r="A8" s="517">
        <f>'1-συμβολαια'!A8</f>
        <v>0</v>
      </c>
      <c r="B8" s="364"/>
      <c r="C8" s="361" t="str">
        <f>'1-συμβολαια'!C8</f>
        <v>χρησικτησία οικοπέδου &amp; οικήματος = 1950 ΔΙΑΝΟΜΗ άτυπη</v>
      </c>
      <c r="D8" s="315">
        <f>'4-πολλυπρ'!D8</f>
        <v>0</v>
      </c>
      <c r="E8" s="315" t="str">
        <f>'4-πολλυπρ'!I8</f>
        <v>πατήρ</v>
      </c>
      <c r="F8" s="316">
        <f>'14-βιβλΕσ'!P8</f>
        <v>19.295319999999997</v>
      </c>
      <c r="G8" s="312">
        <f>'14-βιβλΕσ'!S8</f>
        <v>4.9800000000000004</v>
      </c>
      <c r="H8" s="312">
        <f t="shared" si="9"/>
        <v>24.275319999999997</v>
      </c>
      <c r="I8" s="312">
        <f>'8-κ-15-17'!AG8</f>
        <v>0</v>
      </c>
      <c r="J8" s="312"/>
      <c r="K8" s="312"/>
      <c r="L8" s="439"/>
      <c r="M8" s="439"/>
      <c r="N8" s="312"/>
      <c r="O8" s="312"/>
      <c r="P8" s="312"/>
      <c r="Q8" s="312">
        <f>'14-βιβλΕσ'!R8</f>
        <v>34.555007999999994</v>
      </c>
      <c r="R8" s="312">
        <f>'14-βιβλΕσ'!U8</f>
        <v>50.083199999999998</v>
      </c>
      <c r="S8" s="312">
        <f t="shared" si="10"/>
        <v>84.638207999999992</v>
      </c>
      <c r="T8" s="312">
        <f>'14-βιβλΕσ'!T8</f>
        <v>313.02</v>
      </c>
      <c r="U8" s="312"/>
      <c r="V8" s="260"/>
      <c r="W8" s="312"/>
      <c r="X8" s="312">
        <f t="shared" si="11"/>
        <v>584.05200000000002</v>
      </c>
      <c r="Y8" s="440"/>
      <c r="Z8" s="312">
        <f>('14-βιβλΕσ'!O8+'14-βιβλΕσ'!P8+'14-βιβλΕσ'!T8)*26%</f>
        <v>137.53708799999998</v>
      </c>
      <c r="AA8" s="312">
        <f t="shared" si="12"/>
        <v>584.05200000000002</v>
      </c>
      <c r="AB8" s="264">
        <v>6955.1403542260141</v>
      </c>
      <c r="AC8" s="369"/>
      <c r="AD8" s="369"/>
      <c r="AE8" s="312">
        <f>'1-συμβολαια'!L8+'1-συμβολαια'!P8+'8-κ-15-17'!AE8+'14-βιβλΕσ'!L8+'14-βιβλΕσ'!N8+'14-βιβλΕσ'!S8+'14-βιβλΕσ'!T8+'14-βιβλΕσ'!U8</f>
        <v>584.05200000000002</v>
      </c>
      <c r="AF8" s="312">
        <f>'1-συμβολαια'!M8+'8-κ-15-17'!AF8</f>
        <v>0</v>
      </c>
      <c r="AG8" s="312">
        <f t="shared" si="13"/>
        <v>584.05200000000002</v>
      </c>
      <c r="AH8" s="435">
        <v>46086</v>
      </c>
      <c r="AI8" s="260">
        <f t="shared" si="14"/>
        <v>6955.1403542260141</v>
      </c>
      <c r="AJ8" s="362"/>
      <c r="AK8" s="74"/>
      <c r="AL8" s="74"/>
      <c r="AM8" s="74"/>
      <c r="AN8" s="74"/>
      <c r="AO8" s="74"/>
    </row>
    <row r="9" spans="1:41" s="5" customFormat="1" ht="12" thickBot="1">
      <c r="A9" s="530">
        <f>'1-συμβολαια'!A9</f>
        <v>0</v>
      </c>
      <c r="B9" s="610"/>
      <c r="C9" s="407" t="str">
        <f>'1-συμβολαια'!C9</f>
        <v xml:space="preserve">εξισορόπηση διαφοράς διανεμομένων </v>
      </c>
      <c r="D9" s="402">
        <f>'4-πολλυπρ'!D9</f>
        <v>0</v>
      </c>
      <c r="E9" s="402">
        <f>'4-πολλυπρ'!I9</f>
        <v>0</v>
      </c>
      <c r="F9" s="388">
        <f>'14-βιβλΕσ'!P9</f>
        <v>3.5964400000000003</v>
      </c>
      <c r="G9" s="390">
        <f>'14-βιβλΕσ'!S9</f>
        <v>3</v>
      </c>
      <c r="H9" s="390">
        <f t="shared" si="9"/>
        <v>6.5964400000000003</v>
      </c>
      <c r="I9" s="390">
        <f>'8-κ-15-17'!AG9</f>
        <v>12.102480000000002</v>
      </c>
      <c r="J9" s="390"/>
      <c r="K9" s="390"/>
      <c r="L9" s="251"/>
      <c r="M9" s="251"/>
      <c r="N9" s="390"/>
      <c r="O9" s="390"/>
      <c r="P9" s="390"/>
      <c r="Q9" s="390">
        <f>'14-βιβλΕσ'!R9</f>
        <v>9.8095360000000014</v>
      </c>
      <c r="R9" s="390">
        <f>'14-βιβλΕσ'!U9</f>
        <v>1.6</v>
      </c>
      <c r="S9" s="390">
        <f t="shared" si="10"/>
        <v>11.409536000000001</v>
      </c>
      <c r="T9" s="390">
        <f>'14-βιβλΕσ'!T9</f>
        <v>10</v>
      </c>
      <c r="U9" s="390"/>
      <c r="V9" s="437"/>
      <c r="W9" s="390"/>
      <c r="X9" s="390">
        <f t="shared" si="11"/>
        <v>88.012079999999997</v>
      </c>
      <c r="Y9" s="621"/>
      <c r="Z9" s="390">
        <f>('14-βιβλΕσ'!O9+'14-βιβλΕσ'!P9+'14-βιβλΕσ'!T9)*26%</f>
        <v>18.540496000000001</v>
      </c>
      <c r="AA9" s="390">
        <f t="shared" si="12"/>
        <v>88.012079999999997</v>
      </c>
      <c r="AB9" s="437">
        <v>1048.0748015522622</v>
      </c>
      <c r="AC9" s="622"/>
      <c r="AD9" s="622"/>
      <c r="AE9" s="390">
        <f>'1-συμβολαια'!L9+'1-συμβολαια'!P9+'8-κ-15-17'!AE9+'14-βιβλΕσ'!L9+'14-βιβλΕσ'!N9+'14-βιβλΕσ'!S9+'14-βιβλΕσ'!T9+'14-βιβλΕσ'!U9</f>
        <v>88.012079999999997</v>
      </c>
      <c r="AF9" s="390">
        <f>'1-συμβολαια'!M9+'8-κ-15-17'!AF9</f>
        <v>0</v>
      </c>
      <c r="AG9" s="390">
        <f t="shared" si="13"/>
        <v>88.012079999999997</v>
      </c>
      <c r="AH9" s="623">
        <v>46086</v>
      </c>
      <c r="AI9" s="437">
        <f t="shared" si="14"/>
        <v>1048.0748015522622</v>
      </c>
      <c r="AJ9" s="624"/>
      <c r="AK9" s="391"/>
      <c r="AL9" s="391"/>
      <c r="AM9" s="74"/>
      <c r="AN9" s="74"/>
      <c r="AO9" s="74"/>
    </row>
    <row r="10" spans="1:41" s="5" customFormat="1">
      <c r="A10" s="469" t="str">
        <f>'1-συμβολαια'!A10</f>
        <v>13ο</v>
      </c>
      <c r="B10" s="364">
        <f>'1-συμβολαια'!B10</f>
        <v>41370</v>
      </c>
      <c r="C10" s="361" t="str">
        <f>'1-συμβολαια'!C10</f>
        <v>πληρεξούσιο</v>
      </c>
      <c r="D10" s="315" t="str">
        <f>'4-πολλυπρ'!D10</f>
        <v>219-14</v>
      </c>
      <c r="E10" s="315" t="str">
        <f>'4-πολλυπρ'!I10</f>
        <v>219-14</v>
      </c>
      <c r="F10" s="316">
        <f>'14-βιβλΕσ'!P10</f>
        <v>1.65</v>
      </c>
      <c r="G10" s="312">
        <f>'14-βιβλΕσ'!S10</f>
        <v>0.5</v>
      </c>
      <c r="H10" s="312">
        <f t="shared" si="9"/>
        <v>2.15</v>
      </c>
      <c r="I10" s="312">
        <f>'8-κ-15-17'!AG10</f>
        <v>0</v>
      </c>
      <c r="J10" s="312"/>
      <c r="K10" s="312"/>
      <c r="L10" s="399"/>
      <c r="M10" s="399"/>
      <c r="N10" s="312"/>
      <c r="O10" s="312"/>
      <c r="P10" s="312"/>
      <c r="Q10" s="312">
        <f>'14-βιβλΕσ'!R10</f>
        <v>4.3199999999999994</v>
      </c>
      <c r="R10" s="312">
        <f>'14-βιβλΕσ'!U10</f>
        <v>9.6000000000000002E-2</v>
      </c>
      <c r="S10" s="312">
        <f t="shared" si="10"/>
        <v>4.4159999999999995</v>
      </c>
      <c r="T10" s="312">
        <f>'14-βιβλΕσ'!T10</f>
        <v>0.6</v>
      </c>
      <c r="U10" s="312"/>
      <c r="V10" s="260"/>
      <c r="W10" s="312"/>
      <c r="X10" s="312">
        <f t="shared" si="11"/>
        <v>28.696000000000002</v>
      </c>
      <c r="Y10" s="440"/>
      <c r="Z10" s="312">
        <f>('14-βιβλΕσ'!O10+'14-βιβλΕσ'!P10+'14-βιβλΕσ'!T10)*26%</f>
        <v>7.306</v>
      </c>
      <c r="AA10" s="312">
        <f t="shared" si="12"/>
        <v>28.696000000000002</v>
      </c>
      <c r="AB10" s="260">
        <v>320.85429835188717</v>
      </c>
      <c r="AC10" s="369"/>
      <c r="AD10" s="369"/>
      <c r="AE10" s="312">
        <f>'1-συμβολαια'!L10+'1-συμβολαια'!P10+'8-κ-15-17'!AE10+'14-βιβλΕσ'!L10+'14-βιβλΕσ'!N10+'14-βιβλΕσ'!S10+'14-βιβλΕσ'!T10+'14-βιβλΕσ'!U10</f>
        <v>51.896000000000001</v>
      </c>
      <c r="AF10" s="312">
        <f>'1-συμβολαια'!M10+'8-κ-15-17'!AF10</f>
        <v>23.2</v>
      </c>
      <c r="AG10" s="312">
        <f t="shared" si="13"/>
        <v>28.696000000000002</v>
      </c>
      <c r="AH10" s="435">
        <v>46086</v>
      </c>
      <c r="AI10" s="260">
        <f t="shared" si="14"/>
        <v>320.85429835188717</v>
      </c>
      <c r="AJ10" s="436"/>
      <c r="AK10" s="348"/>
      <c r="AL10" s="348"/>
      <c r="AM10" s="74"/>
      <c r="AN10" s="74"/>
      <c r="AO10" s="74"/>
    </row>
    <row r="11" spans="1:41" s="5" customFormat="1">
      <c r="A11" s="469" t="str">
        <f>'1-συμβολαια'!A11</f>
        <v>14ο</v>
      </c>
      <c r="B11" s="364">
        <f>'1-συμβολαια'!B11</f>
        <v>41372</v>
      </c>
      <c r="C11" s="361" t="str">
        <f>'1-συμβολαια'!C11</f>
        <v>αγοραπωλησία</v>
      </c>
      <c r="D11" s="315" t="str">
        <f>'4-πολλυπρ'!D11</f>
        <v>219-14</v>
      </c>
      <c r="E11" s="315" t="str">
        <f>'4-πολλυπρ'!I11</f>
        <v>219-14</v>
      </c>
      <c r="F11" s="316">
        <f>'14-βιβλΕσ'!P11</f>
        <v>8.19482</v>
      </c>
      <c r="G11" s="312">
        <f>'14-βιβλΕσ'!S11</f>
        <v>7.96</v>
      </c>
      <c r="H11" s="312">
        <f t="shared" si="9"/>
        <v>16.154820000000001</v>
      </c>
      <c r="I11" s="312">
        <f>'8-κ-15-17'!AG11</f>
        <v>0</v>
      </c>
      <c r="J11" s="312"/>
      <c r="K11" s="312"/>
      <c r="L11" s="439"/>
      <c r="M11" s="439">
        <v>43713</v>
      </c>
      <c r="N11" s="312"/>
      <c r="O11" s="312"/>
      <c r="P11" s="312"/>
      <c r="Q11" s="312">
        <f>'14-βιβλΕσ'!R11</f>
        <v>21.121807999999994</v>
      </c>
      <c r="R11" s="312">
        <f>'14-βιβλΕσ'!U11</f>
        <v>518.50239999999997</v>
      </c>
      <c r="S11" s="312">
        <f t="shared" si="10"/>
        <v>539.62420799999995</v>
      </c>
      <c r="T11" s="312">
        <f>'14-βιβλΕσ'!T11</f>
        <v>3240.64</v>
      </c>
      <c r="U11" s="312">
        <f t="shared" ref="U11:U18" si="15">AF11</f>
        <v>393.12</v>
      </c>
      <c r="V11" s="265" t="s">
        <v>603</v>
      </c>
      <c r="W11" s="312">
        <v>857.86</v>
      </c>
      <c r="X11" s="312">
        <f t="shared" si="11"/>
        <v>3857.1112000000003</v>
      </c>
      <c r="Y11" s="440"/>
      <c r="Z11" s="312">
        <f>('14-βιβλΕσ'!O11+'14-βιβλΕσ'!P11+'14-βιβλΕσ'!T11)*26%</f>
        <v>865.96868800000004</v>
      </c>
      <c r="AA11" s="312">
        <f t="shared" si="12"/>
        <v>3857.1112000000003</v>
      </c>
      <c r="AB11" s="264">
        <v>44630.940973254372</v>
      </c>
      <c r="AC11" s="369"/>
      <c r="AD11" s="369"/>
      <c r="AE11" s="312">
        <f>'1-συμβολαια'!L11+'1-συμβολαια'!P11+'8-κ-15-17'!AE11+'14-βιβλΕσ'!L11+'14-βιβλΕσ'!N11+'14-βιβλΕσ'!S11+'14-βιβλΕσ'!T11+'14-βιβλΕσ'!U11</f>
        <v>4250.2312000000002</v>
      </c>
      <c r="AF11" s="312">
        <f>'1-συμβολαια'!M11+'8-κ-15-17'!AF11</f>
        <v>393.12</v>
      </c>
      <c r="AG11" s="312">
        <f t="shared" si="13"/>
        <v>3857.1112000000003</v>
      </c>
      <c r="AH11" s="435">
        <v>46086</v>
      </c>
      <c r="AI11" s="260">
        <f t="shared" si="14"/>
        <v>44630.940973254372</v>
      </c>
      <c r="AJ11" s="362"/>
      <c r="AK11" s="74"/>
      <c r="AL11" s="74"/>
      <c r="AM11" s="74"/>
      <c r="AN11" s="74"/>
      <c r="AO11" s="74"/>
    </row>
    <row r="12" spans="1:41" s="5" customFormat="1">
      <c r="A12" s="469" t="str">
        <f>'1-συμβολαια'!A12</f>
        <v>15ο</v>
      </c>
      <c r="B12" s="364">
        <f>'1-συμβολαια'!B12</f>
        <v>41372</v>
      </c>
      <c r="C12" s="361" t="str">
        <f>'1-συμβολαια'!C12</f>
        <v>δωρεά</v>
      </c>
      <c r="D12" s="315" t="str">
        <f>'4-πολλυπρ'!D12</f>
        <v>219-14</v>
      </c>
      <c r="E12" s="315" t="str">
        <f>'4-πολλυπρ'!I12</f>
        <v>219-14</v>
      </c>
      <c r="F12" s="316">
        <f>'14-βιβλΕσ'!P12</f>
        <v>-0.80225999999999686</v>
      </c>
      <c r="G12" s="312">
        <f>'14-βιβλΕσ'!S12</f>
        <v>7.96</v>
      </c>
      <c r="H12" s="312">
        <f t="shared" si="9"/>
        <v>7.1577400000000031</v>
      </c>
      <c r="I12" s="312">
        <f>'8-κ-15-17'!AG12</f>
        <v>-1.0000000003174137E-5</v>
      </c>
      <c r="J12" s="312">
        <v>168.68</v>
      </c>
      <c r="K12" s="312">
        <v>486.09</v>
      </c>
      <c r="L12" s="260">
        <v>700</v>
      </c>
      <c r="M12" s="453" t="s">
        <v>556</v>
      </c>
      <c r="N12" s="312"/>
      <c r="O12" s="312"/>
      <c r="P12" s="312"/>
      <c r="Q12" s="312">
        <f>'14-βιβλΕσ'!R12</f>
        <v>22.084256000000011</v>
      </c>
      <c r="R12" s="312">
        <f>'14-βιβλΕσ'!U12</f>
        <v>212.9504</v>
      </c>
      <c r="S12" s="312">
        <f t="shared" si="10"/>
        <v>235.03465600000001</v>
      </c>
      <c r="T12" s="312">
        <f>'14-βιβλΕσ'!T12</f>
        <v>1330.94</v>
      </c>
      <c r="U12" s="312">
        <f t="shared" si="15"/>
        <v>599.98</v>
      </c>
      <c r="V12" s="453" t="s">
        <v>556</v>
      </c>
      <c r="W12" s="312">
        <v>1728.99</v>
      </c>
      <c r="X12" s="312">
        <f t="shared" si="11"/>
        <v>1642.6219900000001</v>
      </c>
      <c r="Y12" s="440"/>
      <c r="Z12" s="312">
        <f>('14-βιβλΕσ'!O12+'14-βιβλΕσ'!P12+'14-βιβλΕσ'!T12)*26%</f>
        <v>369.38501600000006</v>
      </c>
      <c r="AA12" s="312">
        <f t="shared" si="12"/>
        <v>1642.6219900000001</v>
      </c>
      <c r="AB12" s="264">
        <v>20832.707034807616</v>
      </c>
      <c r="AC12" s="369"/>
      <c r="AD12" s="369"/>
      <c r="AE12" s="312">
        <f>'1-συμβολαια'!L12+'1-συμβολαια'!P12+'8-κ-15-17'!AE12+'14-βιβλΕσ'!L12+'14-βιβλΕσ'!N12+'14-βιβλΕσ'!S12+'14-βιβλΕσ'!T12+'14-βιβλΕσ'!U12+4</f>
        <v>2242.6019900000001</v>
      </c>
      <c r="AF12" s="312">
        <f>'1-συμβολαια'!M12+'8-κ-15-17'!AF12</f>
        <v>599.98</v>
      </c>
      <c r="AG12" s="312">
        <f t="shared" si="13"/>
        <v>1642.6219900000001</v>
      </c>
      <c r="AH12" s="435">
        <v>46086</v>
      </c>
      <c r="AI12" s="260">
        <f t="shared" si="14"/>
        <v>20832.707034807616</v>
      </c>
      <c r="AJ12" s="362"/>
      <c r="AK12" s="74"/>
      <c r="AL12" s="74"/>
      <c r="AM12" s="74"/>
      <c r="AN12" s="74"/>
      <c r="AO12" s="74"/>
    </row>
    <row r="13" spans="1:41" s="5" customFormat="1">
      <c r="A13" s="469" t="str">
        <f>'1-συμβολαια'!A13</f>
        <v>16ο</v>
      </c>
      <c r="B13" s="364">
        <f>'1-συμβολαια'!B13</f>
        <v>41372</v>
      </c>
      <c r="C13" s="361" t="str">
        <f>'1-συμβολαια'!C13</f>
        <v>γονική</v>
      </c>
      <c r="D13" s="315" t="str">
        <f>'4-πολλυπρ'!D13</f>
        <v>219-14</v>
      </c>
      <c r="E13" s="315" t="str">
        <f>'4-πολλυπρ'!I13</f>
        <v>219-14</v>
      </c>
      <c r="F13" s="316">
        <f>'14-βιβλΕσ'!P13</f>
        <v>-23.804909999999978</v>
      </c>
      <c r="G13" s="312">
        <f>'14-βιβλΕσ'!S13</f>
        <v>7.96</v>
      </c>
      <c r="H13" s="312">
        <f t="shared" si="9"/>
        <v>-15.844909999999977</v>
      </c>
      <c r="I13" s="312">
        <f>'8-κ-15-17'!AG13</f>
        <v>2.9650000001311128E-3</v>
      </c>
      <c r="J13" s="312">
        <v>651.54</v>
      </c>
      <c r="K13" s="312">
        <v>1877.57</v>
      </c>
      <c r="L13" s="260">
        <v>2704</v>
      </c>
      <c r="M13" s="439">
        <v>43713</v>
      </c>
      <c r="N13" s="312"/>
      <c r="O13" s="312"/>
      <c r="P13" s="312"/>
      <c r="Q13" s="312">
        <f>'14-βιβλΕσ'!R13</f>
        <v>22.082096000000007</v>
      </c>
      <c r="R13" s="312">
        <f>'14-βιβλΕσ'!U13</f>
        <v>212.9504</v>
      </c>
      <c r="S13" s="312">
        <f t="shared" si="10"/>
        <v>235.03249600000001</v>
      </c>
      <c r="T13" s="312">
        <f>'14-βιβλΕσ'!T13</f>
        <v>1330.94</v>
      </c>
      <c r="U13" s="312">
        <f t="shared" si="15"/>
        <v>1805.59</v>
      </c>
      <c r="V13" s="265" t="s">
        <v>603</v>
      </c>
      <c r="W13" s="312">
        <v>3940.11</v>
      </c>
      <c r="X13" s="312">
        <f t="shared" si="11"/>
        <v>1642.6139650000007</v>
      </c>
      <c r="Y13" s="440"/>
      <c r="Z13" s="312">
        <f>('14-βιβλΕσ'!O13+'14-βιβλΕσ'!P13+'14-βιβλΕσ'!T13)*26%</f>
        <v>368.60215600000004</v>
      </c>
      <c r="AA13" s="312">
        <f t="shared" si="12"/>
        <v>1642.6139650000007</v>
      </c>
      <c r="AB13" s="264">
        <v>25264.318202014962</v>
      </c>
      <c r="AC13" s="369"/>
      <c r="AD13" s="369"/>
      <c r="AE13" s="312">
        <f>'1-συμβολαια'!L13+'1-συμβολαια'!P13+'8-κ-15-17'!AE13+'14-βιβλΕσ'!L13+'14-βιβλΕσ'!N13+'14-βιβλΕσ'!S13+'14-βιβλΕσ'!T13+'14-βιβλΕσ'!U13+4</f>
        <v>3448.2039650000006</v>
      </c>
      <c r="AF13" s="312">
        <f>'1-συμβολαια'!M13+'8-κ-15-17'!AF13</f>
        <v>1805.59</v>
      </c>
      <c r="AG13" s="312">
        <f t="shared" si="13"/>
        <v>1642.6139650000007</v>
      </c>
      <c r="AH13" s="435">
        <v>46086</v>
      </c>
      <c r="AI13" s="260">
        <f t="shared" si="14"/>
        <v>25264.318202014962</v>
      </c>
      <c r="AJ13" s="362"/>
      <c r="AK13" s="74"/>
      <c r="AL13" s="74"/>
      <c r="AM13" s="74"/>
      <c r="AN13" s="74"/>
      <c r="AO13" s="74"/>
    </row>
    <row r="14" spans="1:41" s="5" customFormat="1">
      <c r="A14" s="469" t="str">
        <f>'1-συμβολαια'!A14</f>
        <v>17ο</v>
      </c>
      <c r="B14" s="364">
        <f>'1-συμβολαια'!B14</f>
        <v>41372</v>
      </c>
      <c r="C14" s="361" t="str">
        <f>'1-συμβολαια'!C14</f>
        <v>δωρεά</v>
      </c>
      <c r="D14" s="315" t="str">
        <f>'4-πολλυπρ'!D14</f>
        <v>219-14</v>
      </c>
      <c r="E14" s="315" t="str">
        <f>'4-πολλυπρ'!I14</f>
        <v>219-14</v>
      </c>
      <c r="F14" s="316">
        <f>'14-βιβλΕσ'!P14</f>
        <v>0.10256000000001109</v>
      </c>
      <c r="G14" s="312">
        <f>'14-βιβλΕσ'!S14</f>
        <v>9.94</v>
      </c>
      <c r="H14" s="312">
        <f t="shared" si="9"/>
        <v>10.042560000000011</v>
      </c>
      <c r="I14" s="312">
        <f>'8-κ-15-17'!AG14</f>
        <v>1.5600000000404179E-3</v>
      </c>
      <c r="J14" s="312">
        <v>325.77</v>
      </c>
      <c r="K14" s="312">
        <v>938.79</v>
      </c>
      <c r="L14" s="260">
        <v>1352</v>
      </c>
      <c r="M14" s="453" t="s">
        <v>556</v>
      </c>
      <c r="N14" s="312"/>
      <c r="O14" s="312"/>
      <c r="P14" s="312"/>
      <c r="Q14" s="312">
        <f>'14-βιβλΕσ'!R14</f>
        <v>40.956064000000012</v>
      </c>
      <c r="R14" s="312">
        <f>'14-βιβλΕσ'!U14</f>
        <v>219.08160000000001</v>
      </c>
      <c r="S14" s="312">
        <f t="shared" si="10"/>
        <v>260.03766400000001</v>
      </c>
      <c r="T14" s="312">
        <f>'14-βιβλΕσ'!T14</f>
        <v>1369.26</v>
      </c>
      <c r="U14" s="312">
        <f t="shared" si="15"/>
        <v>1192.21</v>
      </c>
      <c r="V14" s="453" t="s">
        <v>556</v>
      </c>
      <c r="W14" s="312">
        <v>3435.64</v>
      </c>
      <c r="X14" s="312">
        <f t="shared" si="11"/>
        <v>1607.0535599999998</v>
      </c>
      <c r="Y14" s="440"/>
      <c r="Z14" s="312">
        <f>('14-βιβλΕσ'!O14+'14-βιβλΕσ'!P14+'14-βιβλΕσ'!T14)*26%</f>
        <v>358.02790399999998</v>
      </c>
      <c r="AA14" s="312">
        <f t="shared" si="12"/>
        <v>1607.0535599999998</v>
      </c>
      <c r="AB14" s="264">
        <v>22892.821999047264</v>
      </c>
      <c r="AC14" s="369"/>
      <c r="AD14" s="369"/>
      <c r="AE14" s="312">
        <f>'1-συμβολαια'!L14+'1-συμβολαια'!P14+'8-κ-15-17'!AE14+'14-βιβλΕσ'!L14+'14-βιβλΕσ'!N14+'14-βιβλΕσ'!S14+'14-βιβλΕσ'!T14+'14-βιβλΕσ'!U14+4</f>
        <v>2799.2635599999999</v>
      </c>
      <c r="AF14" s="312">
        <f>'1-συμβολαια'!M14+'8-κ-15-17'!AF14</f>
        <v>1192.21</v>
      </c>
      <c r="AG14" s="312">
        <f t="shared" si="13"/>
        <v>1607.0535599999998</v>
      </c>
      <c r="AH14" s="435">
        <v>46086</v>
      </c>
      <c r="AI14" s="260">
        <f t="shared" si="14"/>
        <v>22892.821999047264</v>
      </c>
      <c r="AJ14" s="362"/>
      <c r="AK14" s="74"/>
      <c r="AL14" s="74"/>
      <c r="AM14" s="74"/>
      <c r="AN14" s="74"/>
      <c r="AO14" s="74"/>
    </row>
    <row r="15" spans="1:41" s="5" customFormat="1">
      <c r="A15" s="469" t="str">
        <f>'1-συμβολαια'!A15</f>
        <v>18ο</v>
      </c>
      <c r="B15" s="364">
        <f>'1-συμβολαια'!B15</f>
        <v>41372</v>
      </c>
      <c r="C15" s="361" t="str">
        <f>'1-συμβολαια'!C15</f>
        <v>γονική</v>
      </c>
      <c r="D15" s="315" t="str">
        <f>'4-πολλυπρ'!D15</f>
        <v>219-14</v>
      </c>
      <c r="E15" s="315" t="str">
        <f>'4-πολλυπρ'!I15</f>
        <v>219-14</v>
      </c>
      <c r="F15" s="316">
        <f>'14-βιβλΕσ'!P15</f>
        <v>-23.904910000000001</v>
      </c>
      <c r="G15" s="312">
        <f>'14-βιβλΕσ'!S15</f>
        <v>9.94</v>
      </c>
      <c r="H15" s="312">
        <f t="shared" si="9"/>
        <v>-13.964910000000001</v>
      </c>
      <c r="I15" s="312">
        <f>'8-κ-15-17'!AG15</f>
        <v>2.9650000001311128E-3</v>
      </c>
      <c r="J15" s="312">
        <v>651.54</v>
      </c>
      <c r="K15" s="312">
        <v>1877.57</v>
      </c>
      <c r="L15" s="260">
        <v>2704</v>
      </c>
      <c r="M15" s="439">
        <v>44705</v>
      </c>
      <c r="N15" s="312"/>
      <c r="O15" s="312"/>
      <c r="P15" s="312"/>
      <c r="Q15" s="312">
        <f>'14-βιβλΕσ'!R15</f>
        <v>40.962096000000003</v>
      </c>
      <c r="R15" s="312">
        <f>'14-βιβλΕσ'!U15</f>
        <v>220.6816</v>
      </c>
      <c r="S15" s="312">
        <f t="shared" si="10"/>
        <v>261.64369599999998</v>
      </c>
      <c r="T15" s="312">
        <f>'14-βιβλΕσ'!T15</f>
        <v>1379.26</v>
      </c>
      <c r="U15" s="312">
        <f t="shared" si="15"/>
        <v>1805.59</v>
      </c>
      <c r="V15" s="265" t="s">
        <v>604</v>
      </c>
      <c r="W15" s="312">
        <v>5203.25</v>
      </c>
      <c r="X15" s="312">
        <f t="shared" si="11"/>
        <v>1814.6451650000001</v>
      </c>
      <c r="Y15" s="440"/>
      <c r="Z15" s="312">
        <f>('14-βιβλΕσ'!O15+'14-βιβλΕσ'!P15+'14-βιβλΕσ'!T15)*26%</f>
        <v>412.62535600000007</v>
      </c>
      <c r="AA15" s="312">
        <f t="shared" si="12"/>
        <v>1814.6451650000001</v>
      </c>
      <c r="AB15" s="264">
        <v>27781.746751650615</v>
      </c>
      <c r="AC15" s="369"/>
      <c r="AD15" s="369"/>
      <c r="AE15" s="312">
        <f>'1-συμβολαια'!L15+'1-συμβολαια'!P15+'8-κ-15-17'!AE15+'14-βιβλΕσ'!L15+'14-βιβλΕσ'!N15+'14-βιβλΕσ'!S15+'14-βιβλΕσ'!T15+'14-βιβλΕσ'!U15</f>
        <v>3620.2351650000001</v>
      </c>
      <c r="AF15" s="312">
        <f>'1-συμβολαια'!M15+'8-κ-15-17'!AF15</f>
        <v>1805.59</v>
      </c>
      <c r="AG15" s="312">
        <f t="shared" si="13"/>
        <v>1814.6451650000001</v>
      </c>
      <c r="AH15" s="435">
        <v>46086</v>
      </c>
      <c r="AI15" s="260">
        <f t="shared" si="14"/>
        <v>27781.746751650615</v>
      </c>
      <c r="AJ15" s="362"/>
      <c r="AK15" s="74"/>
      <c r="AL15" s="74"/>
      <c r="AM15" s="74"/>
      <c r="AN15" s="74"/>
      <c r="AO15" s="74"/>
    </row>
    <row r="16" spans="1:41" s="5" customFormat="1">
      <c r="A16" s="469" t="str">
        <f>'1-συμβολαια'!A16</f>
        <v>19ο</v>
      </c>
      <c r="B16" s="364">
        <f>'1-συμβολαια'!B16</f>
        <v>41372</v>
      </c>
      <c r="C16" s="361" t="str">
        <f>'1-συμβολαια'!C16</f>
        <v>σύσταση δουλείας</v>
      </c>
      <c r="D16" s="315" t="str">
        <f>'4-πολλυπρ'!D16</f>
        <v>219-14</v>
      </c>
      <c r="E16" s="315" t="str">
        <f>'4-πολλυπρ'!I16</f>
        <v>219-14</v>
      </c>
      <c r="F16" s="316">
        <f>'14-βιβλΕσ'!P16</f>
        <v>3.8546050000000012</v>
      </c>
      <c r="G16" s="312">
        <f>'14-βιβλΕσ'!S16</f>
        <v>7.96</v>
      </c>
      <c r="H16" s="312">
        <f t="shared" si="9"/>
        <v>11.814605</v>
      </c>
      <c r="I16" s="312">
        <f>'8-κ-15-17'!AG16</f>
        <v>0</v>
      </c>
      <c r="J16" s="312"/>
      <c r="K16" s="312"/>
      <c r="L16" s="453"/>
      <c r="M16" s="453" t="s">
        <v>556</v>
      </c>
      <c r="N16" s="312"/>
      <c r="O16" s="312"/>
      <c r="P16" s="312"/>
      <c r="Q16" s="312">
        <f>'14-βιβλΕσ'!R16</f>
        <v>36.324911999999998</v>
      </c>
      <c r="R16" s="312">
        <f>'14-βιβλΕσ'!U16</f>
        <v>71.558400000000006</v>
      </c>
      <c r="S16" s="312">
        <f t="shared" si="10"/>
        <v>107.883312</v>
      </c>
      <c r="T16" s="312">
        <f>'14-βιβλΕσ'!T16</f>
        <v>447.24</v>
      </c>
      <c r="U16" s="312">
        <f t="shared" si="15"/>
        <v>151.51</v>
      </c>
      <c r="V16" s="453" t="s">
        <v>556</v>
      </c>
      <c r="W16" s="312">
        <v>436.61</v>
      </c>
      <c r="X16" s="312">
        <f t="shared" si="11"/>
        <v>750.75909999999999</v>
      </c>
      <c r="Y16" s="440"/>
      <c r="Z16" s="312">
        <f>('14-βιβλΕσ'!O16+'14-βιβλΕσ'!P16+'14-βιβλΕσ'!T16)*26%</f>
        <v>174.52258200000003</v>
      </c>
      <c r="AA16" s="312">
        <f t="shared" si="12"/>
        <v>750.75909999999999</v>
      </c>
      <c r="AB16" s="264">
        <v>9022.5466920271356</v>
      </c>
      <c r="AC16" s="369"/>
      <c r="AD16" s="369"/>
      <c r="AE16" s="312">
        <f>'1-συμβολαια'!L16+'1-συμβολαια'!P16+'8-κ-15-17'!AE16+'14-βιβλΕσ'!L16+'14-βιβλΕσ'!N16+'14-βιβλΕσ'!S16+'14-βιβλΕσ'!T16+'14-βιβλΕσ'!U16</f>
        <v>902.26909999999998</v>
      </c>
      <c r="AF16" s="312">
        <f>'1-συμβολαια'!M16+'8-κ-15-17'!AF16</f>
        <v>151.51</v>
      </c>
      <c r="AG16" s="312">
        <f t="shared" si="13"/>
        <v>750.75909999999999</v>
      </c>
      <c r="AH16" s="435">
        <v>46086</v>
      </c>
      <c r="AI16" s="260">
        <f t="shared" si="14"/>
        <v>9022.5466920271356</v>
      </c>
      <c r="AJ16" s="362"/>
      <c r="AK16" s="74"/>
      <c r="AL16" s="74"/>
      <c r="AM16" s="74"/>
      <c r="AN16" s="74"/>
      <c r="AO16" s="74"/>
    </row>
    <row r="17" spans="1:41" s="5" customFormat="1">
      <c r="A17" s="469" t="str">
        <f>'1-συμβολαια'!A17</f>
        <v>20ο</v>
      </c>
      <c r="B17" s="364">
        <f>'1-συμβολαια'!B17</f>
        <v>41372</v>
      </c>
      <c r="C17" s="361" t="str">
        <f>'1-συμβολαια'!C17</f>
        <v>σύσταση δουλείας</v>
      </c>
      <c r="D17" s="315" t="str">
        <f>'4-πολλυπρ'!D17</f>
        <v>219-14</v>
      </c>
      <c r="E17" s="315" t="str">
        <f>'4-πολλυπρ'!I17</f>
        <v>219-14</v>
      </c>
      <c r="F17" s="316">
        <f>'14-βιβλΕσ'!P17</f>
        <v>2.1991050000000003</v>
      </c>
      <c r="G17" s="312">
        <f>'14-βιβλΕσ'!S17</f>
        <v>7.96</v>
      </c>
      <c r="H17" s="312">
        <f t="shared" si="9"/>
        <v>10.159105</v>
      </c>
      <c r="I17" s="312">
        <f>'8-κ-15-17'!AG17</f>
        <v>0</v>
      </c>
      <c r="J17" s="312"/>
      <c r="K17" s="312"/>
      <c r="L17" s="453"/>
      <c r="M17" s="453" t="s">
        <v>556</v>
      </c>
      <c r="N17" s="312"/>
      <c r="O17" s="312"/>
      <c r="P17" s="312"/>
      <c r="Q17" s="312">
        <f>'14-βιβλΕσ'!R17</f>
        <v>26.557712000000002</v>
      </c>
      <c r="R17" s="312">
        <f>'14-βιβλΕσ'!U17</f>
        <v>65.958399999999997</v>
      </c>
      <c r="S17" s="312">
        <f t="shared" si="10"/>
        <v>92.516111999999993</v>
      </c>
      <c r="T17" s="312">
        <f>'14-βιβλΕσ'!T17</f>
        <v>412.24</v>
      </c>
      <c r="U17" s="312">
        <f t="shared" si="15"/>
        <v>95.64</v>
      </c>
      <c r="V17" s="453" t="s">
        <v>556</v>
      </c>
      <c r="W17" s="312">
        <v>275.61</v>
      </c>
      <c r="X17" s="312">
        <f t="shared" si="11"/>
        <v>649.15909999999997</v>
      </c>
      <c r="Y17" s="440"/>
      <c r="Z17" s="312">
        <f>('14-βιβλΕσ'!O17+'14-βιβλΕσ'!P17+'14-βιβλΕσ'!T17)*26%</f>
        <v>149.56258200000002</v>
      </c>
      <c r="AA17" s="312">
        <f t="shared" si="12"/>
        <v>649.15909999999997</v>
      </c>
      <c r="AB17" s="264">
        <v>7654.7569205671125</v>
      </c>
      <c r="AC17" s="369"/>
      <c r="AD17" s="369"/>
      <c r="AE17" s="312">
        <f>'1-συμβολαια'!L17+'1-συμβολαια'!P17+'8-κ-15-17'!AE17+'14-βιβλΕσ'!L17+'14-βιβλΕσ'!N17+'14-βιβλΕσ'!S17+'14-βιβλΕσ'!T17+'14-βιβλΕσ'!U17</f>
        <v>744.79909999999995</v>
      </c>
      <c r="AF17" s="312">
        <f>'1-συμβολαια'!M17+'8-κ-15-17'!AF17</f>
        <v>95.64</v>
      </c>
      <c r="AG17" s="312">
        <f t="shared" si="13"/>
        <v>649.15909999999997</v>
      </c>
      <c r="AH17" s="435">
        <v>46086</v>
      </c>
      <c r="AI17" s="260">
        <f t="shared" si="14"/>
        <v>7654.7569205671125</v>
      </c>
      <c r="AJ17" s="362"/>
      <c r="AK17" s="74"/>
      <c r="AL17" s="74"/>
      <c r="AM17" s="74"/>
      <c r="AN17" s="74"/>
      <c r="AO17" s="74"/>
    </row>
    <row r="18" spans="1:41" s="5" customFormat="1">
      <c r="A18" s="469" t="str">
        <f>'1-συμβολαια'!A18</f>
        <v>21ο</v>
      </c>
      <c r="B18" s="364">
        <f>'1-συμβολαια'!B18</f>
        <v>41373</v>
      </c>
      <c r="C18" s="361" t="str">
        <f>'1-συμβολαια'!C18</f>
        <v>χρήσης ακινήτου ΚΑΝΟΝΙΣΜΟΣ</v>
      </c>
      <c r="D18" s="315" t="str">
        <f>'4-πολλυπρ'!D18</f>
        <v>219-14</v>
      </c>
      <c r="E18" s="315">
        <f>'4-πολλυπρ'!I18</f>
        <v>0</v>
      </c>
      <c r="F18" s="316">
        <f>'14-βιβλΕσ'!P18</f>
        <v>4.9500000000000011</v>
      </c>
      <c r="G18" s="312">
        <f>'14-βιβλΕσ'!S18</f>
        <v>5.46</v>
      </c>
      <c r="H18" s="312">
        <f t="shared" si="9"/>
        <v>10.41</v>
      </c>
      <c r="I18" s="312">
        <f>'8-κ-15-17'!AG18</f>
        <v>0</v>
      </c>
      <c r="J18" s="312"/>
      <c r="K18" s="312"/>
      <c r="L18" s="453"/>
      <c r="M18" s="453" t="s">
        <v>556</v>
      </c>
      <c r="N18" s="312"/>
      <c r="O18" s="312"/>
      <c r="P18" s="312"/>
      <c r="Q18" s="312">
        <f>'14-βιβλΕσ'!R18</f>
        <v>39.860000000000014</v>
      </c>
      <c r="R18" s="312">
        <f>'14-βιβλΕσ'!U18</f>
        <v>54.758400000000002</v>
      </c>
      <c r="S18" s="312">
        <f t="shared" si="10"/>
        <v>94.618400000000008</v>
      </c>
      <c r="T18" s="312">
        <f>'14-βιβλΕσ'!T18</f>
        <v>342.24</v>
      </c>
      <c r="U18" s="312">
        <f t="shared" si="15"/>
        <v>184.08</v>
      </c>
      <c r="V18" s="453" t="s">
        <v>556</v>
      </c>
      <c r="W18" s="312">
        <v>530.47</v>
      </c>
      <c r="X18" s="312">
        <f t="shared" si="11"/>
        <v>652.95839999999998</v>
      </c>
      <c r="Y18" s="440"/>
      <c r="Z18" s="312">
        <f>('14-βιβλΕσ'!O18+'14-βιβλΕσ'!P18+'14-βιβλΕσ'!T18)*26%</f>
        <v>154.11240000000001</v>
      </c>
      <c r="AA18" s="312">
        <f t="shared" si="12"/>
        <v>652.95839999999998</v>
      </c>
      <c r="AB18" s="264">
        <v>8064.2700185033154</v>
      </c>
      <c r="AC18" s="369"/>
      <c r="AD18" s="369"/>
      <c r="AE18" s="312">
        <f>'1-συμβολαια'!L18+'1-συμβολαια'!P18+'8-κ-15-17'!AE18+'14-βιβλΕσ'!L18+'14-βιβλΕσ'!N18+'14-βιβλΕσ'!S18+'14-βιβλΕσ'!T18+'14-βιβλΕσ'!U18</f>
        <v>837.03840000000002</v>
      </c>
      <c r="AF18" s="312">
        <f>'1-συμβολαια'!M18+'8-κ-15-17'!AF18</f>
        <v>184.08</v>
      </c>
      <c r="AG18" s="312">
        <f t="shared" si="13"/>
        <v>652.95839999999998</v>
      </c>
      <c r="AH18" s="435">
        <v>46086</v>
      </c>
      <c r="AI18" s="260">
        <f t="shared" si="14"/>
        <v>8064.2700185033154</v>
      </c>
      <c r="AJ18" s="362"/>
      <c r="AK18" s="74"/>
      <c r="AL18" s="74"/>
      <c r="AM18" s="74"/>
      <c r="AN18" s="74"/>
      <c r="AO18" s="74"/>
    </row>
    <row r="19" spans="1:41">
      <c r="A19" s="893" t="s">
        <v>35</v>
      </c>
      <c r="B19" s="894"/>
      <c r="C19" s="894"/>
      <c r="D19" s="894"/>
      <c r="E19" s="895"/>
      <c r="F19" s="43">
        <f t="shared" ref="F19:V19" si="16">SUM(F3:F18)</f>
        <v>20.302750000000039</v>
      </c>
      <c r="G19" s="43">
        <f t="shared" si="16"/>
        <v>99.039999999999992</v>
      </c>
      <c r="H19" s="43">
        <f t="shared" si="16"/>
        <v>119.34275000000004</v>
      </c>
      <c r="I19" s="43">
        <f t="shared" si="16"/>
        <v>95.770190000000312</v>
      </c>
      <c r="J19" s="43">
        <f t="shared" si="16"/>
        <v>1797.53</v>
      </c>
      <c r="K19" s="43">
        <f t="shared" si="16"/>
        <v>5180.0199999999995</v>
      </c>
      <c r="L19" s="43">
        <f t="shared" si="16"/>
        <v>7460</v>
      </c>
      <c r="M19" s="43"/>
      <c r="N19" s="43">
        <f t="shared" si="16"/>
        <v>0</v>
      </c>
      <c r="O19" s="43">
        <f t="shared" si="16"/>
        <v>0</v>
      </c>
      <c r="P19" s="43">
        <f t="shared" si="16"/>
        <v>0</v>
      </c>
      <c r="Q19" s="43">
        <f t="shared" si="16"/>
        <v>369.11159999999995</v>
      </c>
      <c r="R19" s="43">
        <f t="shared" si="16"/>
        <v>1963.6575999999998</v>
      </c>
      <c r="S19" s="43">
        <f t="shared" si="16"/>
        <v>2332.7691999999993</v>
      </c>
      <c r="T19" s="43">
        <f t="shared" si="16"/>
        <v>12272.86</v>
      </c>
      <c r="U19" s="43">
        <f t="shared" si="16"/>
        <v>6292.43</v>
      </c>
      <c r="V19" s="43">
        <f t="shared" si="16"/>
        <v>0</v>
      </c>
      <c r="W19" s="43">
        <f>SUM(W3:W18)</f>
        <v>16431.47</v>
      </c>
      <c r="X19" s="43">
        <f>SUM(X3:X18)</f>
        <v>16382.672790000001</v>
      </c>
      <c r="Y19" s="440"/>
      <c r="Z19" s="43">
        <f t="shared" ref="Z19:AG19" si="17">SUM(Z3:Z18)</f>
        <v>3697.5133000000001</v>
      </c>
      <c r="AA19" s="43">
        <f t="shared" si="17"/>
        <v>16382.672790000001</v>
      </c>
      <c r="AB19" s="366">
        <f t="shared" si="17"/>
        <v>212620.6701680969</v>
      </c>
      <c r="AC19" s="617">
        <f t="shared" si="17"/>
        <v>0</v>
      </c>
      <c r="AD19" s="618">
        <f t="shared" si="17"/>
        <v>0</v>
      </c>
      <c r="AE19" s="43">
        <f t="shared" si="17"/>
        <v>22756.542790000003</v>
      </c>
      <c r="AF19" s="43">
        <f t="shared" si="17"/>
        <v>6373.8700000000008</v>
      </c>
      <c r="AG19" s="43">
        <f t="shared" si="17"/>
        <v>16382.672790000001</v>
      </c>
      <c r="AH19" s="43"/>
      <c r="AI19" s="366">
        <f>SUM(AI3:AI18)</f>
        <v>212620.6701680969</v>
      </c>
    </row>
    <row r="20" spans="1:41">
      <c r="T20" s="76"/>
    </row>
    <row r="21" spans="1:41">
      <c r="T21" s="132"/>
      <c r="AE21" s="132"/>
      <c r="AI21" s="8">
        <f>SUM(AI4:AI5)</f>
        <v>19157.966227581179</v>
      </c>
    </row>
    <row r="22" spans="1:41">
      <c r="AA22" s="891" t="s">
        <v>548</v>
      </c>
      <c r="AB22" s="891"/>
      <c r="AC22" s="891"/>
      <c r="AD22" s="891"/>
      <c r="AE22" s="132"/>
      <c r="AF22" s="132"/>
      <c r="AH22" s="2"/>
      <c r="AI22" s="2">
        <f>SUM(AI6:AI9)</f>
        <v>26788.80362891579</v>
      </c>
      <c r="AJ22" s="2"/>
      <c r="AK22" s="2"/>
      <c r="AL22" s="2"/>
      <c r="AM22" s="29"/>
      <c r="AN22" s="8"/>
      <c r="AO22" s="12"/>
    </row>
    <row r="23" spans="1:41">
      <c r="V23" s="611" t="s">
        <v>601</v>
      </c>
      <c r="AB23" s="2"/>
      <c r="AD23" s="2"/>
      <c r="AE23" s="132"/>
      <c r="AH23" s="2"/>
      <c r="AI23" s="2"/>
      <c r="AJ23" s="2"/>
      <c r="AK23" s="2"/>
      <c r="AL23" s="2"/>
      <c r="AM23" s="29"/>
      <c r="AN23" s="8"/>
      <c r="AO23" s="12"/>
    </row>
    <row r="24" spans="1:41" ht="12" thickBot="1">
      <c r="Z24" s="8"/>
      <c r="AA24" s="390">
        <f>H3+I3+S3+Z3</f>
        <v>10.991999999999999</v>
      </c>
      <c r="AB24" s="437">
        <v>70.892706993500013</v>
      </c>
      <c r="AC24" s="390">
        <f>AG3-AA24</f>
        <v>5.2039999999999988</v>
      </c>
      <c r="AD24" s="437">
        <v>16.907414007829779</v>
      </c>
      <c r="AE24" s="132"/>
      <c r="AG24" s="8">
        <v>10311</v>
      </c>
      <c r="AH24" s="2"/>
      <c r="AI24" s="437">
        <f>AB24+AD24</f>
        <v>87.800121001329785</v>
      </c>
      <c r="AJ24" s="2"/>
      <c r="AK24" s="2"/>
      <c r="AL24" s="2"/>
      <c r="AM24" s="29"/>
      <c r="AN24" s="8"/>
      <c r="AO24" s="12"/>
    </row>
    <row r="25" spans="1:41">
      <c r="Z25" s="8"/>
      <c r="AA25" s="312">
        <f t="shared" ref="AA25:AA39" si="18">H4+I4+S4+Z4</f>
        <v>487.825762</v>
      </c>
      <c r="AB25" s="260">
        <v>3122.8024901798076</v>
      </c>
      <c r="AC25" s="312">
        <f>AG4-AA25</f>
        <v>842.52042800000004</v>
      </c>
      <c r="AD25" s="260">
        <v>2716.9102000656017</v>
      </c>
      <c r="AE25" s="132"/>
      <c r="AG25" s="8">
        <v>10378</v>
      </c>
      <c r="AH25" s="2"/>
      <c r="AI25" s="260">
        <f t="shared" ref="AI25:AI39" si="19">AB25+AD25</f>
        <v>5839.7126902454092</v>
      </c>
      <c r="AJ25" s="2"/>
      <c r="AK25" s="2"/>
      <c r="AL25" s="2"/>
      <c r="AM25" s="29"/>
      <c r="AN25" s="8"/>
      <c r="AO25" s="12"/>
    </row>
    <row r="26" spans="1:41" ht="12" thickBot="1">
      <c r="Z26" s="8"/>
      <c r="AA26" s="390">
        <f t="shared" si="18"/>
        <v>88.112162000000012</v>
      </c>
      <c r="AB26" s="437">
        <v>564.04745370689704</v>
      </c>
      <c r="AC26" s="390">
        <f>AG5-AA26</f>
        <v>52.833627999999976</v>
      </c>
      <c r="AD26" s="437">
        <v>170.37476843193122</v>
      </c>
      <c r="AE26" s="132">
        <f>SUM(AB25:AB26)</f>
        <v>3686.8499438867048</v>
      </c>
      <c r="AF26" s="2">
        <f>SUM(AD25:AD26)</f>
        <v>2887.2849684975326</v>
      </c>
      <c r="AG26" s="8">
        <v>0</v>
      </c>
      <c r="AH26" s="2">
        <f>SUM(AI25:AI26)</f>
        <v>6574.1349123842374</v>
      </c>
      <c r="AI26" s="437">
        <f t="shared" si="19"/>
        <v>734.42222213882826</v>
      </c>
      <c r="AJ26" s="2"/>
      <c r="AK26" s="2"/>
      <c r="AL26" s="2"/>
      <c r="AM26" s="29"/>
      <c r="AN26" s="8"/>
      <c r="AO26" s="12"/>
    </row>
    <row r="27" spans="1:41">
      <c r="Z27" s="8"/>
      <c r="AA27" s="312">
        <f t="shared" si="18"/>
        <v>505.5548</v>
      </c>
      <c r="AB27" s="604">
        <v>3010.1862600634722</v>
      </c>
      <c r="AC27" s="312">
        <f t="shared" ref="AC27:AC39" si="20">AG6-AA27</f>
        <v>864.4756000000001</v>
      </c>
      <c r="AD27" s="604">
        <v>2591.8618316935672</v>
      </c>
      <c r="AE27" s="132"/>
      <c r="AG27" s="8">
        <v>10677</v>
      </c>
      <c r="AH27" s="2"/>
      <c r="AI27" s="260">
        <f t="shared" si="19"/>
        <v>5602.0480917570394</v>
      </c>
      <c r="AJ27" s="2"/>
      <c r="AK27" s="2"/>
      <c r="AL27" s="2"/>
      <c r="AM27" s="29"/>
      <c r="AN27" s="8"/>
      <c r="AO27" s="12"/>
    </row>
    <row r="28" spans="1:41">
      <c r="Z28" s="8"/>
      <c r="AA28" s="346">
        <f t="shared" si="18"/>
        <v>128.80543</v>
      </c>
      <c r="AB28" s="603">
        <v>766.93631552418663</v>
      </c>
      <c r="AC28" s="346">
        <f t="shared" si="20"/>
        <v>78.666420000000016</v>
      </c>
      <c r="AD28" s="603">
        <v>235.85684944025664</v>
      </c>
      <c r="AE28" s="132"/>
      <c r="AG28" s="8">
        <v>0</v>
      </c>
      <c r="AH28" s="2"/>
      <c r="AI28" s="264">
        <f t="shared" si="19"/>
        <v>1002.7931649644432</v>
      </c>
      <c r="AJ28" s="2"/>
      <c r="AK28" s="2"/>
      <c r="AL28" s="2"/>
      <c r="AM28" s="29"/>
      <c r="AN28" s="8"/>
      <c r="AO28" s="12"/>
    </row>
    <row r="29" spans="1:41">
      <c r="Z29" s="8"/>
      <c r="AA29" s="346">
        <f t="shared" si="18"/>
        <v>246.45061599999997</v>
      </c>
      <c r="AB29" s="603">
        <v>1467.4220441925961</v>
      </c>
      <c r="AC29" s="346">
        <f t="shared" si="20"/>
        <v>337.60138400000005</v>
      </c>
      <c r="AD29" s="603">
        <v>1012.1929890404359</v>
      </c>
      <c r="AE29" s="132"/>
      <c r="AG29" s="8">
        <v>0</v>
      </c>
      <c r="AH29" s="2"/>
      <c r="AI29" s="264">
        <f t="shared" si="19"/>
        <v>2479.6150332330321</v>
      </c>
      <c r="AJ29" s="2"/>
      <c r="AK29" s="2"/>
      <c r="AL29" s="2"/>
      <c r="AM29" s="29"/>
      <c r="AN29" s="8"/>
      <c r="AO29" s="12"/>
    </row>
    <row r="30" spans="1:41" ht="12" thickBot="1">
      <c r="Z30" s="8"/>
      <c r="AA30" s="390">
        <f t="shared" si="18"/>
        <v>48.648952000000008</v>
      </c>
      <c r="AB30" s="437">
        <v>289.66673222544335</v>
      </c>
      <c r="AC30" s="390">
        <f t="shared" si="20"/>
        <v>39.363127999999989</v>
      </c>
      <c r="AD30" s="437">
        <v>118.01812455929171</v>
      </c>
      <c r="AE30" s="132">
        <f>SUM(AB27:AB30)</f>
        <v>5534.2113520056982</v>
      </c>
      <c r="AF30" s="2">
        <f>SUM(AD27:AD30)</f>
        <v>3957.9297947335513</v>
      </c>
      <c r="AG30" s="8">
        <v>0</v>
      </c>
      <c r="AH30" s="2">
        <f>SUM(AI27:AI30)</f>
        <v>9492.14114673925</v>
      </c>
      <c r="AI30" s="437">
        <f t="shared" si="19"/>
        <v>407.68485678473508</v>
      </c>
      <c r="AJ30" s="2"/>
      <c r="AK30" s="2"/>
      <c r="AL30" s="2"/>
      <c r="AM30" s="29"/>
      <c r="AN30" s="8"/>
      <c r="AO30" s="12"/>
    </row>
    <row r="31" spans="1:41">
      <c r="Z31" s="8"/>
      <c r="AA31" s="312">
        <f t="shared" si="18"/>
        <v>13.872</v>
      </c>
      <c r="AB31" s="604">
        <v>77.547056009780789</v>
      </c>
      <c r="AC31" s="312">
        <f t="shared" si="20"/>
        <v>14.824000000000002</v>
      </c>
      <c r="AD31" s="604">
        <v>41.710824221553388</v>
      </c>
      <c r="AE31" s="132"/>
      <c r="AG31" s="8">
        <v>11070</v>
      </c>
      <c r="AH31" s="2"/>
      <c r="AI31" s="260">
        <f t="shared" si="19"/>
        <v>119.25788023133418</v>
      </c>
      <c r="AJ31" s="2"/>
      <c r="AK31" s="2"/>
      <c r="AL31" s="2"/>
      <c r="AM31" s="29"/>
      <c r="AN31" s="8"/>
      <c r="AO31" s="12"/>
    </row>
    <row r="32" spans="1:41">
      <c r="Z32" s="8"/>
      <c r="AA32" s="346">
        <f t="shared" si="18"/>
        <v>1421.7477159999999</v>
      </c>
      <c r="AB32" s="603">
        <v>7947.8337488775887</v>
      </c>
      <c r="AC32" s="346">
        <f t="shared" si="20"/>
        <v>2435.3634840000004</v>
      </c>
      <c r="AD32" s="603">
        <v>6852.4701967561996</v>
      </c>
      <c r="AE32" s="132"/>
      <c r="AG32" s="8">
        <v>11072</v>
      </c>
      <c r="AH32" s="2"/>
      <c r="AI32" s="264">
        <f t="shared" si="19"/>
        <v>14800.303945633788</v>
      </c>
      <c r="AJ32" s="2"/>
      <c r="AK32" s="2"/>
      <c r="AL32" s="2"/>
      <c r="AM32" s="29"/>
      <c r="AN32" s="8"/>
      <c r="AO32" s="12"/>
    </row>
    <row r="33" spans="26:41">
      <c r="Z33" s="8"/>
      <c r="AA33" s="346">
        <f t="shared" si="18"/>
        <v>611.57740200000012</v>
      </c>
      <c r="AB33" s="603">
        <v>3418.8312461945084</v>
      </c>
      <c r="AC33" s="346">
        <f t="shared" si="20"/>
        <v>1031.044588</v>
      </c>
      <c r="AD33" s="603">
        <v>2901.0873971027986</v>
      </c>
      <c r="AE33" s="132"/>
      <c r="AG33" s="8">
        <v>11073</v>
      </c>
      <c r="AH33" s="2"/>
      <c r="AI33" s="264">
        <f t="shared" si="19"/>
        <v>6319.9186432973074</v>
      </c>
      <c r="AJ33" s="2"/>
      <c r="AK33" s="2"/>
      <c r="AL33" s="2"/>
      <c r="AM33" s="29"/>
      <c r="AN33" s="8"/>
      <c r="AO33" s="12"/>
    </row>
    <row r="34" spans="26:41">
      <c r="Z34" s="8"/>
      <c r="AA34" s="346">
        <f t="shared" si="18"/>
        <v>587.79270700000018</v>
      </c>
      <c r="AB34" s="603">
        <v>3285.8703843620001</v>
      </c>
      <c r="AC34" s="346">
        <f t="shared" si="20"/>
        <v>1054.8212580000004</v>
      </c>
      <c r="AD34" s="603">
        <v>2967.9886722609172</v>
      </c>
      <c r="AE34" s="132"/>
      <c r="AG34" s="8">
        <v>11074</v>
      </c>
      <c r="AH34" s="2"/>
      <c r="AI34" s="264">
        <f t="shared" si="19"/>
        <v>6253.8590566229177</v>
      </c>
      <c r="AJ34" s="2"/>
      <c r="AK34" s="2"/>
      <c r="AL34" s="2"/>
      <c r="AM34" s="29"/>
      <c r="AN34" s="8"/>
      <c r="AO34" s="12"/>
    </row>
    <row r="35" spans="26:41">
      <c r="Z35" s="8"/>
      <c r="AA35" s="346">
        <f t="shared" si="18"/>
        <v>628.10968800000001</v>
      </c>
      <c r="AB35" s="603">
        <v>3511.2497949554431</v>
      </c>
      <c r="AC35" s="346">
        <f t="shared" si="20"/>
        <v>978.94387199999983</v>
      </c>
      <c r="AD35" s="603">
        <v>2754.4897306906973</v>
      </c>
      <c r="AE35" s="132"/>
      <c r="AG35" s="8">
        <v>11075</v>
      </c>
      <c r="AH35" s="2"/>
      <c r="AI35" s="264">
        <f t="shared" si="19"/>
        <v>6265.7395256461405</v>
      </c>
      <c r="AJ35" s="2"/>
      <c r="AK35" s="2"/>
      <c r="AL35" s="2"/>
      <c r="AM35" s="29"/>
      <c r="AN35" s="8"/>
      <c r="AO35" s="12"/>
    </row>
    <row r="36" spans="26:41">
      <c r="Z36" s="8"/>
      <c r="AA36" s="346">
        <f t="shared" si="18"/>
        <v>660.3071070000002</v>
      </c>
      <c r="AB36" s="603">
        <v>3691.239346178294</v>
      </c>
      <c r="AC36" s="346">
        <f t="shared" si="20"/>
        <v>1154.3380579999998</v>
      </c>
      <c r="AD36" s="603">
        <v>3248.00268682456</v>
      </c>
      <c r="AE36" s="132"/>
      <c r="AG36" s="8">
        <v>11076</v>
      </c>
      <c r="AH36" s="2"/>
      <c r="AI36" s="264">
        <f t="shared" si="19"/>
        <v>6939.2420330028544</v>
      </c>
      <c r="AJ36" s="2"/>
      <c r="AK36" s="2"/>
      <c r="AL36" s="2"/>
      <c r="AM36" s="29"/>
      <c r="AN36" s="8"/>
      <c r="AO36" s="12"/>
    </row>
    <row r="37" spans="26:41">
      <c r="Z37" s="8"/>
      <c r="AA37" s="346">
        <f t="shared" si="18"/>
        <v>294.22049900000002</v>
      </c>
      <c r="AB37" s="603">
        <v>1644.7472257193367</v>
      </c>
      <c r="AC37" s="346">
        <f t="shared" si="20"/>
        <v>456.53860099999997</v>
      </c>
      <c r="AD37" s="603">
        <v>1284.5791511511668</v>
      </c>
      <c r="AE37" s="132"/>
      <c r="AG37" s="8">
        <v>11077</v>
      </c>
      <c r="AH37" s="2"/>
      <c r="AI37" s="264">
        <f t="shared" si="19"/>
        <v>2929.3263768705037</v>
      </c>
      <c r="AJ37" s="2"/>
      <c r="AK37" s="2"/>
      <c r="AL37" s="2"/>
      <c r="AM37" s="29"/>
      <c r="AN37" s="8"/>
      <c r="AO37" s="12"/>
    </row>
    <row r="38" spans="26:41">
      <c r="Z38" s="8"/>
      <c r="AA38" s="346">
        <f t="shared" si="18"/>
        <v>252.237799</v>
      </c>
      <c r="AB38" s="603">
        <v>1410.0561365943488</v>
      </c>
      <c r="AC38" s="346">
        <f t="shared" si="20"/>
        <v>396.92130099999997</v>
      </c>
      <c r="AD38" s="603">
        <v>1116.8318008500598</v>
      </c>
      <c r="AE38" s="132"/>
      <c r="AG38" s="8">
        <v>11078</v>
      </c>
      <c r="AH38" s="2"/>
      <c r="AI38" s="264">
        <f t="shared" si="19"/>
        <v>2526.8879374444086</v>
      </c>
      <c r="AJ38" s="2"/>
      <c r="AK38" s="2"/>
      <c r="AL38" s="2"/>
      <c r="AM38" s="29"/>
      <c r="AN38" s="8"/>
      <c r="AO38" s="12"/>
    </row>
    <row r="39" spans="26:41">
      <c r="Z39" s="8"/>
      <c r="AA39" s="346">
        <f t="shared" si="18"/>
        <v>259.14080000000001</v>
      </c>
      <c r="AB39" s="264">
        <v>1448.6451940613745</v>
      </c>
      <c r="AC39" s="346">
        <f t="shared" si="20"/>
        <v>393.81759999999997</v>
      </c>
      <c r="AD39" s="264">
        <v>1108.0988052451448</v>
      </c>
      <c r="AE39" s="132"/>
      <c r="AG39" s="8">
        <v>11084</v>
      </c>
      <c r="AH39" s="2"/>
      <c r="AI39" s="264">
        <f t="shared" si="19"/>
        <v>2556.7439993065191</v>
      </c>
      <c r="AJ39" s="2"/>
      <c r="AK39" s="2"/>
      <c r="AL39" s="2"/>
      <c r="AM39" s="29"/>
      <c r="AN39" s="8"/>
      <c r="AO39" s="12"/>
    </row>
    <row r="40" spans="26:41">
      <c r="AA40" s="43">
        <f>SUM(AA24:AA39)</f>
        <v>6245.3954400000011</v>
      </c>
      <c r="AB40" s="366">
        <f>SUM(AB24:AB39)</f>
        <v>35727.97413583858</v>
      </c>
      <c r="AC40" s="43">
        <f>SUM(AC24:AC39)</f>
        <v>10137.27735</v>
      </c>
      <c r="AD40" s="366">
        <f>SUM(AD24:AD39)</f>
        <v>29137.381442342012</v>
      </c>
      <c r="AE40" s="132"/>
      <c r="AH40" s="2"/>
      <c r="AI40" s="43">
        <f>SUM(AI24:AI39)</f>
        <v>64865.355578180592</v>
      </c>
      <c r="AJ40" s="2"/>
      <c r="AK40" s="2"/>
      <c r="AL40" s="2"/>
      <c r="AM40" s="29"/>
      <c r="AN40" s="8"/>
    </row>
    <row r="41" spans="26:41">
      <c r="AE41" s="132"/>
      <c r="AN41" s="8"/>
    </row>
    <row r="42" spans="26:41">
      <c r="AE42" s="132"/>
      <c r="AN42" s="8"/>
    </row>
    <row r="43" spans="26:41">
      <c r="AE43" s="132"/>
      <c r="AN43" s="8"/>
    </row>
    <row r="44" spans="26:41">
      <c r="AE44" s="132"/>
      <c r="AN44" s="8"/>
    </row>
    <row r="45" spans="26:41">
      <c r="AE45" s="132"/>
      <c r="AN45" s="8"/>
    </row>
    <row r="46" spans="26:41">
      <c r="AE46" s="132"/>
    </row>
    <row r="47" spans="26:41" ht="15">
      <c r="AE47" s="132"/>
      <c r="AK47" s="124"/>
      <c r="AL47" s="124"/>
      <c r="AM47" s="124"/>
      <c r="AN47" s="124"/>
      <c r="AO47" s="124"/>
    </row>
    <row r="48" spans="26:41" ht="15">
      <c r="AK48" s="124"/>
      <c r="AL48" s="124"/>
      <c r="AM48" s="124"/>
      <c r="AN48" s="124"/>
      <c r="AO48" s="124"/>
    </row>
    <row r="49" spans="37:41" ht="15">
      <c r="AK49" s="124"/>
      <c r="AL49" s="124"/>
      <c r="AM49" s="124"/>
      <c r="AN49" s="124"/>
      <c r="AO49" s="124"/>
    </row>
    <row r="50" spans="37:41" ht="15">
      <c r="AK50" s="124"/>
      <c r="AL50" s="124"/>
      <c r="AM50" s="124"/>
      <c r="AN50" s="124"/>
      <c r="AO50" s="124"/>
    </row>
    <row r="51" spans="37:41" ht="15">
      <c r="AK51" s="124"/>
      <c r="AL51" s="124"/>
      <c r="AM51" s="124"/>
      <c r="AN51" s="124"/>
      <c r="AO51" s="124"/>
    </row>
    <row r="52" spans="37:41" ht="15">
      <c r="AK52" s="124"/>
      <c r="AL52" s="124"/>
      <c r="AM52" s="124"/>
      <c r="AN52" s="124"/>
      <c r="AO52" s="124"/>
    </row>
    <row r="53" spans="37:41" ht="15">
      <c r="AK53" s="124"/>
      <c r="AL53" s="124"/>
      <c r="AM53" s="124"/>
      <c r="AN53" s="124"/>
      <c r="AO53" s="124"/>
    </row>
    <row r="54" spans="37:41" ht="15">
      <c r="AK54" s="124"/>
      <c r="AL54" s="124"/>
      <c r="AM54" s="124"/>
      <c r="AN54" s="124"/>
      <c r="AO54" s="124"/>
    </row>
    <row r="55" spans="37:41" ht="15">
      <c r="AK55" s="124"/>
      <c r="AL55" s="124"/>
      <c r="AM55" s="124"/>
      <c r="AN55" s="124"/>
      <c r="AO55" s="124"/>
    </row>
    <row r="56" spans="37:41" ht="15">
      <c r="AK56" s="124"/>
      <c r="AL56" s="124"/>
      <c r="AM56" s="124"/>
      <c r="AN56" s="124"/>
      <c r="AO56" s="124"/>
    </row>
    <row r="57" spans="37:41" ht="15">
      <c r="AK57" s="124"/>
      <c r="AL57" s="124"/>
      <c r="AM57" s="124"/>
      <c r="AN57" s="124"/>
      <c r="AO57" s="124"/>
    </row>
    <row r="58" spans="37:41" ht="15">
      <c r="AK58" s="124"/>
      <c r="AL58" s="124"/>
      <c r="AM58" s="124"/>
      <c r="AN58" s="124"/>
      <c r="AO58" s="124"/>
    </row>
    <row r="59" spans="37:41" ht="15">
      <c r="AK59" s="124"/>
      <c r="AL59" s="124"/>
      <c r="AM59" s="124"/>
      <c r="AN59" s="124"/>
      <c r="AO59" s="124"/>
    </row>
    <row r="60" spans="37:41" ht="15.75" customHeight="1">
      <c r="AK60" s="124"/>
      <c r="AL60" s="124"/>
      <c r="AM60" s="124"/>
      <c r="AN60" s="124"/>
      <c r="AO60" s="124"/>
    </row>
    <row r="61" spans="37:41" ht="15">
      <c r="AK61" s="124"/>
      <c r="AL61" s="124"/>
      <c r="AM61" s="124"/>
      <c r="AN61" s="124"/>
      <c r="AO61" s="124"/>
    </row>
    <row r="62" spans="37:41" ht="15">
      <c r="AK62" s="124"/>
      <c r="AL62" s="124"/>
      <c r="AM62" s="124"/>
      <c r="AN62" s="124"/>
      <c r="AO62" s="124"/>
    </row>
    <row r="63" spans="37:41" ht="15">
      <c r="AK63" s="124"/>
      <c r="AL63" s="124"/>
      <c r="AM63" s="124"/>
      <c r="AN63" s="124"/>
      <c r="AO63" s="124"/>
    </row>
    <row r="64" spans="37:41" ht="15.75" customHeight="1">
      <c r="AK64" s="124"/>
      <c r="AL64" s="124"/>
      <c r="AM64" s="124"/>
      <c r="AN64" s="124"/>
      <c r="AO64" s="124"/>
    </row>
    <row r="65" spans="37:41" ht="15">
      <c r="AK65" s="124"/>
      <c r="AL65" s="124"/>
      <c r="AM65" s="124"/>
      <c r="AN65" s="124"/>
      <c r="AO65" s="124"/>
    </row>
    <row r="66" spans="37:41" ht="15">
      <c r="AK66" s="124"/>
      <c r="AL66" s="124"/>
      <c r="AM66" s="124"/>
      <c r="AN66" s="124"/>
      <c r="AO66" s="124"/>
    </row>
    <row r="67" spans="37:41" ht="15">
      <c r="AK67" s="124"/>
      <c r="AL67" s="124"/>
      <c r="AM67" s="124"/>
      <c r="AN67" s="124"/>
      <c r="AO67" s="124"/>
    </row>
    <row r="68" spans="37:41" ht="15">
      <c r="AK68" s="124"/>
      <c r="AL68" s="124"/>
      <c r="AM68" s="124"/>
      <c r="AN68" s="124"/>
      <c r="AO68" s="124"/>
    </row>
    <row r="69" spans="37:41" ht="15">
      <c r="AK69" s="124"/>
      <c r="AL69" s="124"/>
      <c r="AM69" s="124"/>
      <c r="AN69" s="124"/>
      <c r="AO69" s="124"/>
    </row>
    <row r="70" spans="37:41" ht="15">
      <c r="AK70" s="124"/>
      <c r="AL70" s="124"/>
      <c r="AM70" s="124"/>
      <c r="AN70" s="124"/>
      <c r="AO70" s="124"/>
    </row>
    <row r="71" spans="37:41" ht="15">
      <c r="AK71" s="124"/>
      <c r="AL71" s="124"/>
      <c r="AM71" s="124"/>
      <c r="AN71" s="124"/>
      <c r="AO71" s="124"/>
    </row>
    <row r="72" spans="37:41" ht="15">
      <c r="AK72" s="124"/>
      <c r="AL72" s="124"/>
      <c r="AM72" s="124"/>
      <c r="AN72" s="124"/>
      <c r="AO72" s="124"/>
    </row>
    <row r="73" spans="37:41" ht="15">
      <c r="AK73" s="124"/>
      <c r="AL73" s="124"/>
      <c r="AM73" s="124"/>
      <c r="AN73" s="124"/>
      <c r="AO73" s="124"/>
    </row>
    <row r="74" spans="37:41" ht="15">
      <c r="AK74" s="124"/>
      <c r="AL74" s="124"/>
      <c r="AM74" s="124"/>
      <c r="AN74" s="124"/>
      <c r="AO74" s="124"/>
    </row>
    <row r="75" spans="37:41" ht="15">
      <c r="AK75" s="124"/>
      <c r="AL75" s="124"/>
      <c r="AM75" s="124"/>
      <c r="AN75" s="124"/>
      <c r="AO75" s="124"/>
    </row>
    <row r="76" spans="37:41" ht="15">
      <c r="AK76" s="124"/>
      <c r="AL76" s="124"/>
      <c r="AM76" s="124"/>
      <c r="AN76" s="124"/>
      <c r="AO76" s="124"/>
    </row>
    <row r="77" spans="37:41" ht="15">
      <c r="AK77" s="124"/>
      <c r="AL77" s="124"/>
      <c r="AM77" s="124"/>
      <c r="AN77" s="124"/>
      <c r="AO77" s="124"/>
    </row>
    <row r="78" spans="37:41" ht="15">
      <c r="AK78" s="124"/>
      <c r="AL78" s="124"/>
      <c r="AM78" s="124"/>
      <c r="AN78" s="124"/>
      <c r="AO78" s="124"/>
    </row>
    <row r="79" spans="37:41" ht="15">
      <c r="AK79" s="124"/>
      <c r="AL79" s="124"/>
      <c r="AM79" s="124"/>
      <c r="AN79" s="124"/>
      <c r="AO79" s="124"/>
    </row>
    <row r="80" spans="37:41" ht="15">
      <c r="AK80" s="124"/>
      <c r="AL80" s="124"/>
      <c r="AM80" s="124"/>
      <c r="AN80" s="124"/>
      <c r="AO80" s="124"/>
    </row>
    <row r="81" spans="37:41" ht="15">
      <c r="AK81" s="124"/>
      <c r="AL81" s="124"/>
      <c r="AM81" s="124"/>
      <c r="AN81" s="124"/>
      <c r="AO81" s="124"/>
    </row>
    <row r="82" spans="37:41" ht="15">
      <c r="AK82" s="124"/>
      <c r="AL82" s="124"/>
      <c r="AM82" s="124"/>
      <c r="AN82" s="124"/>
      <c r="AO82" s="124"/>
    </row>
    <row r="83" spans="37:41" ht="15">
      <c r="AK83" s="124"/>
      <c r="AL83" s="124"/>
      <c r="AM83" s="124"/>
      <c r="AN83" s="124"/>
      <c r="AO83" s="124"/>
    </row>
    <row r="84" spans="37:41" ht="15">
      <c r="AK84" s="124"/>
      <c r="AL84" s="124"/>
      <c r="AM84" s="124"/>
      <c r="AN84" s="124"/>
      <c r="AO84" s="124"/>
    </row>
    <row r="85" spans="37:41" ht="15">
      <c r="AK85" s="124"/>
      <c r="AL85" s="124"/>
      <c r="AM85" s="124"/>
      <c r="AN85" s="124"/>
      <c r="AO85" s="124"/>
    </row>
    <row r="86" spans="37:41" ht="15">
      <c r="AK86" s="124"/>
      <c r="AL86" s="124"/>
      <c r="AM86" s="124"/>
      <c r="AN86" s="124"/>
      <c r="AO86" s="124"/>
    </row>
    <row r="87" spans="37:41" ht="15">
      <c r="AK87" s="124"/>
      <c r="AL87" s="124"/>
      <c r="AM87" s="124"/>
      <c r="AN87" s="124"/>
      <c r="AO87" s="124"/>
    </row>
    <row r="88" spans="37:41" ht="15">
      <c r="AK88" s="124"/>
      <c r="AL88" s="124"/>
      <c r="AM88" s="124"/>
      <c r="AN88" s="124"/>
      <c r="AO88" s="124"/>
    </row>
    <row r="89" spans="37:41" ht="15">
      <c r="AK89" s="124"/>
      <c r="AL89" s="124"/>
      <c r="AM89" s="124"/>
      <c r="AN89" s="124"/>
      <c r="AO89" s="124"/>
    </row>
    <row r="90" spans="37:41" ht="15">
      <c r="AK90" s="124"/>
      <c r="AL90" s="124"/>
      <c r="AM90" s="124"/>
      <c r="AN90" s="124"/>
      <c r="AO90" s="124"/>
    </row>
    <row r="91" spans="37:41" ht="15">
      <c r="AK91" s="124"/>
      <c r="AL91" s="124"/>
      <c r="AM91" s="124"/>
      <c r="AN91" s="124"/>
      <c r="AO91" s="124"/>
    </row>
    <row r="92" spans="37:41" ht="15">
      <c r="AK92" s="124"/>
      <c r="AL92" s="124"/>
      <c r="AM92" s="124"/>
      <c r="AN92" s="124"/>
      <c r="AO92" s="124"/>
    </row>
  </sheetData>
  <mergeCells count="22">
    <mergeCell ref="AK1:AO2"/>
    <mergeCell ref="T1:T2"/>
    <mergeCell ref="AJ1:AJ2"/>
    <mergeCell ref="U1:X1"/>
    <mergeCell ref="AE1:AG1"/>
    <mergeCell ref="AA1:AB1"/>
    <mergeCell ref="AC1:AD1"/>
    <mergeCell ref="AH1:AH2"/>
    <mergeCell ref="AI1:AI2"/>
    <mergeCell ref="Y1:Y2"/>
    <mergeCell ref="Z1:Z2"/>
    <mergeCell ref="AA22:AD22"/>
    <mergeCell ref="Q1:S1"/>
    <mergeCell ref="A19:E19"/>
    <mergeCell ref="E1:E2"/>
    <mergeCell ref="C1:C2"/>
    <mergeCell ref="A1:A2"/>
    <mergeCell ref="B1:B2"/>
    <mergeCell ref="D1:D2"/>
    <mergeCell ref="F1:H1"/>
    <mergeCell ref="I1:I2"/>
    <mergeCell ref="J1:P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46"/>
  <sheetViews>
    <sheetView workbookViewId="0">
      <pane ySplit="2" topLeftCell="A3" activePane="bottomLeft" state="frozen"/>
      <selection pane="bottomLeft" activeCell="B40" sqref="B40"/>
    </sheetView>
  </sheetViews>
  <sheetFormatPr defaultRowHeight="11.25"/>
  <cols>
    <col min="1" max="1" width="8.140625" style="8" bestFit="1" customWidth="1"/>
    <col min="2" max="2" width="53.28515625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663" t="s">
        <v>1</v>
      </c>
      <c r="B1" s="665" t="s">
        <v>0</v>
      </c>
      <c r="C1" s="667" t="s">
        <v>7</v>
      </c>
      <c r="D1" s="659" t="s">
        <v>493</v>
      </c>
      <c r="E1" s="660"/>
      <c r="F1" s="660"/>
      <c r="G1" s="660"/>
      <c r="H1" s="660"/>
      <c r="I1" s="660"/>
      <c r="J1" s="660"/>
      <c r="K1" s="660"/>
      <c r="L1" s="669" t="s">
        <v>93</v>
      </c>
      <c r="M1" s="670"/>
      <c r="N1" s="671" t="s">
        <v>266</v>
      </c>
      <c r="O1" s="655"/>
      <c r="P1" s="655"/>
      <c r="Q1" s="655"/>
      <c r="R1" s="655"/>
      <c r="S1" s="655"/>
      <c r="T1" s="655"/>
      <c r="U1" s="655"/>
      <c r="V1" s="655"/>
      <c r="W1" s="656"/>
    </row>
    <row r="2" spans="1:23" s="12" customFormat="1" ht="24" customHeight="1" thickBot="1">
      <c r="A2" s="664"/>
      <c r="B2" s="666"/>
      <c r="C2" s="668"/>
      <c r="D2" s="60" t="s">
        <v>79</v>
      </c>
      <c r="E2" s="60" t="s">
        <v>80</v>
      </c>
      <c r="F2" s="60" t="s">
        <v>373</v>
      </c>
      <c r="G2" s="60" t="s">
        <v>23</v>
      </c>
      <c r="H2" s="212" t="s">
        <v>363</v>
      </c>
      <c r="I2" s="212" t="s">
        <v>364</v>
      </c>
      <c r="J2" s="212" t="s">
        <v>381</v>
      </c>
      <c r="K2" s="213" t="s">
        <v>366</v>
      </c>
      <c r="L2" s="215" t="s">
        <v>382</v>
      </c>
      <c r="M2" s="214" t="s">
        <v>383</v>
      </c>
      <c r="N2" s="672"/>
      <c r="O2" s="657"/>
      <c r="P2" s="657"/>
      <c r="Q2" s="657"/>
      <c r="R2" s="657"/>
      <c r="S2" s="657"/>
      <c r="T2" s="657"/>
      <c r="U2" s="657"/>
      <c r="V2" s="657"/>
      <c r="W2" s="658"/>
    </row>
    <row r="3" spans="1:23" s="5" customFormat="1" ht="12" thickBot="1">
      <c r="A3" s="472" t="str">
        <f>'1-συμβολαια'!A3</f>
        <v>10ο</v>
      </c>
      <c r="B3" s="473" t="str">
        <f>'1-συμβολαια'!C3</f>
        <v>πληρεξούσιο</v>
      </c>
      <c r="C3" s="458">
        <f>'1-συμβολαια'!D3</f>
        <v>0</v>
      </c>
      <c r="D3" s="459">
        <v>20</v>
      </c>
      <c r="E3" s="459"/>
      <c r="F3" s="459">
        <f t="shared" ref="F3" si="0">C3*1%</f>
        <v>0</v>
      </c>
      <c r="G3" s="459">
        <f t="shared" ref="G3" si="1">D3+E3+F3</f>
        <v>20</v>
      </c>
      <c r="H3" s="459">
        <f t="shared" ref="H3" si="2">F3*9%</f>
        <v>0</v>
      </c>
      <c r="I3" s="459">
        <f t="shared" ref="I3" si="3">(D3+E3)*5%</f>
        <v>1</v>
      </c>
      <c r="J3" s="459">
        <f t="shared" ref="J3" si="4">G3*5%</f>
        <v>1</v>
      </c>
      <c r="K3" s="458">
        <f t="shared" ref="K3" si="5">G3*1%</f>
        <v>0.2</v>
      </c>
      <c r="L3" s="458">
        <f t="shared" ref="L3" si="6">G3-N3</f>
        <v>17.8</v>
      </c>
      <c r="M3" s="458">
        <f t="shared" ref="M3" si="7">D3+E3</f>
        <v>20</v>
      </c>
      <c r="N3" s="458">
        <f t="shared" ref="N3" si="8">H3+I3+J3+K3</f>
        <v>2.2000000000000002</v>
      </c>
      <c r="O3" s="398"/>
      <c r="P3" s="398"/>
      <c r="Q3" s="398"/>
      <c r="R3" s="398"/>
      <c r="S3" s="398"/>
      <c r="T3" s="412"/>
      <c r="U3" s="412"/>
      <c r="V3" s="412"/>
      <c r="W3" s="262"/>
    </row>
    <row r="4" spans="1:23" s="5" customFormat="1">
      <c r="A4" s="496" t="str">
        <f>'1-συμβολαια'!A4</f>
        <v>11ο</v>
      </c>
      <c r="B4" s="361" t="str">
        <f>'1-συμβολαια'!C4</f>
        <v>γονική [αγροτεμάχιο Θεολόγος -''βαλανίδια'' 16.832,18μ2</v>
      </c>
      <c r="C4" s="316">
        <f>'1-συμβολαια'!D4</f>
        <v>4165.96</v>
      </c>
      <c r="D4" s="311"/>
      <c r="E4" s="311">
        <v>20</v>
      </c>
      <c r="F4" s="311">
        <f t="shared" ref="F4" si="9">C4*1%</f>
        <v>41.659600000000005</v>
      </c>
      <c r="G4" s="311">
        <f t="shared" ref="G4" si="10">D4+E4+F4</f>
        <v>61.659600000000005</v>
      </c>
      <c r="H4" s="311">
        <f t="shared" ref="H4" si="11">F4*9%</f>
        <v>3.7493640000000004</v>
      </c>
      <c r="I4" s="311">
        <f t="shared" ref="I4" si="12">(D4+E4)*5%</f>
        <v>1</v>
      </c>
      <c r="J4" s="311">
        <f t="shared" ref="J4" si="13">G4*5%</f>
        <v>3.0829800000000005</v>
      </c>
      <c r="K4" s="316">
        <f t="shared" ref="K4" si="14">G4*1%</f>
        <v>0.61659600000000003</v>
      </c>
      <c r="L4" s="316">
        <f t="shared" ref="L4" si="15">G4-N4</f>
        <v>53.210660000000004</v>
      </c>
      <c r="M4" s="316">
        <f t="shared" ref="M4" si="16">D4+E4</f>
        <v>20</v>
      </c>
      <c r="N4" s="316">
        <f t="shared" ref="N4" si="17">H4+I4+J4+K4</f>
        <v>8.4489400000000003</v>
      </c>
      <c r="O4" s="317" t="s">
        <v>398</v>
      </c>
      <c r="P4" s="317" t="s">
        <v>399</v>
      </c>
      <c r="Q4" s="317"/>
      <c r="R4" s="317"/>
      <c r="S4" s="317"/>
      <c r="T4" s="262"/>
      <c r="U4" s="262"/>
      <c r="V4" s="262"/>
      <c r="W4" s="262"/>
    </row>
    <row r="5" spans="1:23" s="5" customFormat="1" ht="12" thickBot="1">
      <c r="A5" s="497">
        <f>'1-συμβολαια'!A5</f>
        <v>0</v>
      </c>
      <c r="B5" s="407" t="str">
        <f>'1-συμβολαια'!C5</f>
        <v>χρησικτησία = 1961 πατρός ΔΩΡΕΑ άτυπος</v>
      </c>
      <c r="C5" s="388">
        <f>'1-συμβολαια'!D5</f>
        <v>4165.96</v>
      </c>
      <c r="D5" s="389"/>
      <c r="E5" s="389">
        <v>20</v>
      </c>
      <c r="F5" s="389">
        <f t="shared" ref="F5:F18" si="18">C5*1%</f>
        <v>41.659600000000005</v>
      </c>
      <c r="G5" s="389">
        <f t="shared" ref="G5:G18" si="19">D5+E5+F5</f>
        <v>61.659600000000005</v>
      </c>
      <c r="H5" s="389">
        <f t="shared" ref="H5:H18" si="20">F5*9%</f>
        <v>3.7493640000000004</v>
      </c>
      <c r="I5" s="389">
        <f t="shared" ref="I5:I18" si="21">(D5+E5)*5%</f>
        <v>1</v>
      </c>
      <c r="J5" s="389">
        <f t="shared" ref="J5:J18" si="22">G5*5%</f>
        <v>3.0829800000000005</v>
      </c>
      <c r="K5" s="388">
        <f t="shared" ref="K5:K18" si="23">G5*1%</f>
        <v>0.61659600000000003</v>
      </c>
      <c r="L5" s="388">
        <f t="shared" ref="L5:L18" si="24">G5-N5</f>
        <v>53.210660000000004</v>
      </c>
      <c r="M5" s="388">
        <f t="shared" ref="M5:M18" si="25">D5+E5</f>
        <v>20</v>
      </c>
      <c r="N5" s="388">
        <f t="shared" ref="N5:N18" si="26">H5+I5+J5+K5</f>
        <v>8.4489400000000003</v>
      </c>
      <c r="O5" s="317" t="s">
        <v>398</v>
      </c>
      <c r="P5" s="317" t="s">
        <v>399</v>
      </c>
      <c r="Q5" s="317"/>
      <c r="R5" s="317"/>
      <c r="S5" s="317"/>
      <c r="T5" s="262"/>
      <c r="U5" s="262"/>
      <c r="V5" s="262"/>
      <c r="W5" s="262"/>
    </row>
    <row r="6" spans="1:23" s="5" customFormat="1">
      <c r="A6" s="517" t="str">
        <f>'1-συμβολαια'!A6</f>
        <v>12ο</v>
      </c>
      <c r="B6" s="361" t="str">
        <f>'1-συμβολαια'!C6</f>
        <v>κληρονομιάς ΑΠΟΔΟΧΗ [οικόπεδο 226μ2 ΜΕ 2όροφο οιίκημα 150μ2 &amp; αποθήκη 15μ2 Θεολόγος</v>
      </c>
      <c r="C6" s="316">
        <f>'1-συμβολαια'!D6</f>
        <v>0</v>
      </c>
      <c r="D6" s="311">
        <v>4</v>
      </c>
      <c r="E6" s="311"/>
      <c r="F6" s="311">
        <f t="shared" si="18"/>
        <v>0</v>
      </c>
      <c r="G6" s="311">
        <f t="shared" si="19"/>
        <v>4</v>
      </c>
      <c r="H6" s="311">
        <f t="shared" si="20"/>
        <v>0</v>
      </c>
      <c r="I6" s="311">
        <f t="shared" si="21"/>
        <v>0.2</v>
      </c>
      <c r="J6" s="311">
        <f t="shared" si="22"/>
        <v>0.2</v>
      </c>
      <c r="K6" s="316">
        <f t="shared" si="23"/>
        <v>0.04</v>
      </c>
      <c r="L6" s="316">
        <f t="shared" si="24"/>
        <v>3.56</v>
      </c>
      <c r="M6" s="316">
        <f t="shared" si="25"/>
        <v>4</v>
      </c>
      <c r="N6" s="316">
        <f t="shared" si="26"/>
        <v>0.44</v>
      </c>
      <c r="O6" s="317" t="s">
        <v>398</v>
      </c>
      <c r="P6" s="317" t="s">
        <v>399</v>
      </c>
      <c r="Q6" s="317"/>
      <c r="R6" s="317"/>
      <c r="S6" s="317"/>
      <c r="T6" s="262"/>
      <c r="U6" s="262"/>
      <c r="V6" s="262"/>
      <c r="W6" s="262"/>
    </row>
    <row r="7" spans="1:23" s="5" customFormat="1">
      <c r="A7" s="529">
        <f>'1-συμβολαια'!A7</f>
        <v>0</v>
      </c>
      <c r="B7" s="314" t="str">
        <f>'1-συμβολαια'!C7</f>
        <v>χρησικτησία οικοπέδου &amp; οικήματος = 1950 πατρός ΚΛΗΡΟΝΟΜΙΑ άτυπη</v>
      </c>
      <c r="C7" s="316">
        <f>'1-συμβολαια'!D7</f>
        <v>6629.4</v>
      </c>
      <c r="D7" s="310"/>
      <c r="E7" s="310">
        <v>20</v>
      </c>
      <c r="F7" s="310">
        <f t="shared" si="18"/>
        <v>66.293999999999997</v>
      </c>
      <c r="G7" s="310">
        <f t="shared" si="19"/>
        <v>86.293999999999997</v>
      </c>
      <c r="H7" s="311">
        <f t="shared" si="20"/>
        <v>5.9664599999999997</v>
      </c>
      <c r="I7" s="311">
        <f t="shared" si="21"/>
        <v>1</v>
      </c>
      <c r="J7" s="311">
        <f t="shared" si="22"/>
        <v>4.3147000000000002</v>
      </c>
      <c r="K7" s="316">
        <f t="shared" si="23"/>
        <v>0.86294000000000004</v>
      </c>
      <c r="L7" s="316">
        <f t="shared" si="24"/>
        <v>74.149900000000002</v>
      </c>
      <c r="M7" s="316">
        <f t="shared" si="25"/>
        <v>20</v>
      </c>
      <c r="N7" s="316">
        <f t="shared" si="26"/>
        <v>12.1441</v>
      </c>
      <c r="O7" s="317" t="s">
        <v>398</v>
      </c>
      <c r="P7" s="317" t="s">
        <v>399</v>
      </c>
      <c r="Q7" s="317"/>
      <c r="R7" s="317"/>
      <c r="S7" s="317"/>
      <c r="T7" s="262"/>
      <c r="U7" s="262"/>
      <c r="V7" s="262"/>
      <c r="W7" s="262"/>
    </row>
    <row r="8" spans="1:23" s="5" customFormat="1">
      <c r="A8" s="529">
        <f>'1-συμβολαια'!A8</f>
        <v>0</v>
      </c>
      <c r="B8" s="314" t="str">
        <f>'1-συμβολαια'!C8</f>
        <v>χρησικτησία οικοπέδου &amp; οικήματος = 1950 ΔΙΑΝΟΜΗ άτυπη</v>
      </c>
      <c r="C8" s="316">
        <f>'1-συμβολαια'!D8</f>
        <v>11396.88</v>
      </c>
      <c r="D8" s="310"/>
      <c r="E8" s="310">
        <v>20</v>
      </c>
      <c r="F8" s="310">
        <f t="shared" si="18"/>
        <v>113.96879999999999</v>
      </c>
      <c r="G8" s="310">
        <f t="shared" si="19"/>
        <v>133.96879999999999</v>
      </c>
      <c r="H8" s="311">
        <f t="shared" si="20"/>
        <v>10.257191999999998</v>
      </c>
      <c r="I8" s="311">
        <f t="shared" si="21"/>
        <v>1</v>
      </c>
      <c r="J8" s="311">
        <f t="shared" si="22"/>
        <v>6.6984399999999997</v>
      </c>
      <c r="K8" s="316">
        <f t="shared" si="23"/>
        <v>1.339688</v>
      </c>
      <c r="L8" s="316">
        <f t="shared" si="24"/>
        <v>114.67347999999998</v>
      </c>
      <c r="M8" s="316">
        <f t="shared" si="25"/>
        <v>20</v>
      </c>
      <c r="N8" s="316">
        <f t="shared" si="26"/>
        <v>19.295319999999997</v>
      </c>
      <c r="O8" s="317" t="s">
        <v>398</v>
      </c>
      <c r="P8" s="317" t="s">
        <v>399</v>
      </c>
      <c r="Q8" s="317"/>
      <c r="R8" s="317"/>
      <c r="S8" s="317"/>
      <c r="T8" s="262"/>
      <c r="U8" s="262"/>
      <c r="V8" s="262"/>
      <c r="W8" s="262"/>
    </row>
    <row r="9" spans="1:23" s="5" customFormat="1" ht="12" thickBot="1">
      <c r="A9" s="530">
        <f>'1-συμβολαια'!A9</f>
        <v>0</v>
      </c>
      <c r="B9" s="407" t="str">
        <f>'1-συμβολαια'!C9</f>
        <v xml:space="preserve">εξισορόπηση διαφοράς διανεμομένων </v>
      </c>
      <c r="C9" s="388">
        <f>'1-συμβολαια'!D9</f>
        <v>930.96</v>
      </c>
      <c r="D9" s="389"/>
      <c r="E9" s="389">
        <v>20</v>
      </c>
      <c r="F9" s="389">
        <f t="shared" si="18"/>
        <v>9.3096000000000014</v>
      </c>
      <c r="G9" s="389">
        <f t="shared" si="19"/>
        <v>29.309600000000003</v>
      </c>
      <c r="H9" s="389">
        <f t="shared" si="20"/>
        <v>0.83786400000000005</v>
      </c>
      <c r="I9" s="389">
        <f t="shared" si="21"/>
        <v>1</v>
      </c>
      <c r="J9" s="389">
        <f t="shared" si="22"/>
        <v>1.4654800000000003</v>
      </c>
      <c r="K9" s="388">
        <f t="shared" si="23"/>
        <v>0.29309600000000002</v>
      </c>
      <c r="L9" s="388">
        <f t="shared" si="24"/>
        <v>25.713160000000002</v>
      </c>
      <c r="M9" s="388">
        <f t="shared" si="25"/>
        <v>20</v>
      </c>
      <c r="N9" s="388">
        <f t="shared" si="26"/>
        <v>3.5964400000000003</v>
      </c>
      <c r="O9" s="317" t="s">
        <v>398</v>
      </c>
      <c r="P9" s="317" t="s">
        <v>399</v>
      </c>
      <c r="Q9" s="317"/>
      <c r="R9" s="317"/>
      <c r="S9" s="317"/>
      <c r="T9" s="262"/>
      <c r="U9" s="262"/>
      <c r="V9" s="262"/>
      <c r="W9" s="262"/>
    </row>
    <row r="10" spans="1:23" s="5" customFormat="1">
      <c r="A10" s="469" t="str">
        <f>'1-συμβολαια'!A10</f>
        <v>13ο</v>
      </c>
      <c r="B10" s="361" t="str">
        <f>'1-συμβολαια'!C10</f>
        <v>πληρεξούσιο</v>
      </c>
      <c r="C10" s="316">
        <f>'1-συμβολαια'!D10</f>
        <v>0</v>
      </c>
      <c r="D10" s="311">
        <v>20</v>
      </c>
      <c r="E10" s="311"/>
      <c r="F10" s="311">
        <f t="shared" si="18"/>
        <v>0</v>
      </c>
      <c r="G10" s="311">
        <f t="shared" si="19"/>
        <v>20</v>
      </c>
      <c r="H10" s="311">
        <f t="shared" si="20"/>
        <v>0</v>
      </c>
      <c r="I10" s="311">
        <f t="shared" si="21"/>
        <v>1</v>
      </c>
      <c r="J10" s="311">
        <f t="shared" si="22"/>
        <v>1</v>
      </c>
      <c r="K10" s="316">
        <f t="shared" si="23"/>
        <v>0.2</v>
      </c>
      <c r="L10" s="316">
        <f t="shared" si="24"/>
        <v>17.8</v>
      </c>
      <c r="M10" s="316">
        <f t="shared" si="25"/>
        <v>20</v>
      </c>
      <c r="N10" s="316">
        <f t="shared" si="26"/>
        <v>2.2000000000000002</v>
      </c>
      <c r="O10" s="317" t="s">
        <v>398</v>
      </c>
      <c r="P10" s="317" t="s">
        <v>399</v>
      </c>
      <c r="Q10" s="317"/>
      <c r="R10" s="317"/>
      <c r="S10" s="317"/>
      <c r="T10" s="262"/>
      <c r="U10" s="262"/>
      <c r="V10" s="262"/>
      <c r="W10" s="262"/>
    </row>
    <row r="11" spans="1:23" s="5" customFormat="1">
      <c r="A11" s="449" t="str">
        <f>'1-συμβολαια'!A11</f>
        <v>14ο</v>
      </c>
      <c r="B11" s="314" t="str">
        <f>'1-συμβολαια'!C11</f>
        <v>αγοραπωλησία</v>
      </c>
      <c r="C11" s="316">
        <f>'1-συμβολαια'!D11</f>
        <v>20269.88</v>
      </c>
      <c r="D11" s="310"/>
      <c r="E11" s="310">
        <v>20</v>
      </c>
      <c r="F11" s="310">
        <f t="shared" si="18"/>
        <v>202.69880000000001</v>
      </c>
      <c r="G11" s="310">
        <f t="shared" si="19"/>
        <v>222.69880000000001</v>
      </c>
      <c r="H11" s="311">
        <f t="shared" si="20"/>
        <v>18.242892000000001</v>
      </c>
      <c r="I11" s="311">
        <f t="shared" si="21"/>
        <v>1</v>
      </c>
      <c r="J11" s="311">
        <f t="shared" si="22"/>
        <v>11.13494</v>
      </c>
      <c r="K11" s="316">
        <f t="shared" si="23"/>
        <v>2.226988</v>
      </c>
      <c r="L11" s="316">
        <f t="shared" si="24"/>
        <v>190.09397999999999</v>
      </c>
      <c r="M11" s="316">
        <f t="shared" si="25"/>
        <v>20</v>
      </c>
      <c r="N11" s="316">
        <f t="shared" si="26"/>
        <v>32.604820000000004</v>
      </c>
      <c r="O11" s="317" t="s">
        <v>398</v>
      </c>
      <c r="P11" s="317" t="s">
        <v>399</v>
      </c>
      <c r="Q11" s="317"/>
      <c r="R11" s="317"/>
      <c r="S11" s="317"/>
      <c r="T11" s="262"/>
      <c r="U11" s="262"/>
      <c r="V11" s="262"/>
      <c r="W11" s="262"/>
    </row>
    <row r="12" spans="1:23" s="5" customFormat="1">
      <c r="A12" s="449" t="str">
        <f>'1-συμβολαια'!A12</f>
        <v>15ο</v>
      </c>
      <c r="B12" s="314" t="str">
        <f>'1-συμβολαια'!C12</f>
        <v>δωρεά</v>
      </c>
      <c r="C12" s="316">
        <f>'1-συμβολαια'!D12</f>
        <v>21765.16</v>
      </c>
      <c r="D12" s="310"/>
      <c r="E12" s="310">
        <v>20</v>
      </c>
      <c r="F12" s="310">
        <f t="shared" si="18"/>
        <v>217.6516</v>
      </c>
      <c r="G12" s="310">
        <f t="shared" si="19"/>
        <v>237.6516</v>
      </c>
      <c r="H12" s="311">
        <f t="shared" si="20"/>
        <v>19.588643999999999</v>
      </c>
      <c r="I12" s="311">
        <f t="shared" si="21"/>
        <v>1</v>
      </c>
      <c r="J12" s="311">
        <f t="shared" si="22"/>
        <v>11.882580000000001</v>
      </c>
      <c r="K12" s="316">
        <f t="shared" si="23"/>
        <v>2.3765160000000001</v>
      </c>
      <c r="L12" s="316">
        <f t="shared" si="24"/>
        <v>202.80385999999999</v>
      </c>
      <c r="M12" s="316">
        <f t="shared" si="25"/>
        <v>20</v>
      </c>
      <c r="N12" s="316">
        <f t="shared" si="26"/>
        <v>34.847740000000002</v>
      </c>
      <c r="O12" s="317" t="s">
        <v>398</v>
      </c>
      <c r="P12" s="317" t="s">
        <v>399</v>
      </c>
      <c r="Q12" s="317"/>
      <c r="R12" s="317"/>
      <c r="S12" s="317"/>
      <c r="T12" s="262"/>
      <c r="U12" s="262"/>
      <c r="V12" s="262"/>
      <c r="W12" s="262"/>
    </row>
    <row r="13" spans="1:23" s="5" customFormat="1">
      <c r="A13" s="449" t="str">
        <f>'1-συμβολαια'!A13</f>
        <v>16ο</v>
      </c>
      <c r="B13" s="314" t="str">
        <f>'1-συμβολαια'!C13</f>
        <v>γονική</v>
      </c>
      <c r="C13" s="316">
        <f>'1-συμβολαια'!D13</f>
        <v>84070.06</v>
      </c>
      <c r="D13" s="310"/>
      <c r="E13" s="310">
        <v>20</v>
      </c>
      <c r="F13" s="310">
        <f t="shared" si="18"/>
        <v>840.70060000000001</v>
      </c>
      <c r="G13" s="310">
        <f t="shared" si="19"/>
        <v>860.70060000000001</v>
      </c>
      <c r="H13" s="311">
        <f t="shared" si="20"/>
        <v>75.663054000000002</v>
      </c>
      <c r="I13" s="311">
        <f t="shared" si="21"/>
        <v>1</v>
      </c>
      <c r="J13" s="311">
        <f t="shared" si="22"/>
        <v>43.035030000000006</v>
      </c>
      <c r="K13" s="316">
        <f t="shared" si="23"/>
        <v>8.6070060000000002</v>
      </c>
      <c r="L13" s="316">
        <f t="shared" si="24"/>
        <v>732.39551000000006</v>
      </c>
      <c r="M13" s="316">
        <f t="shared" si="25"/>
        <v>20</v>
      </c>
      <c r="N13" s="316">
        <f t="shared" si="26"/>
        <v>128.30509000000001</v>
      </c>
      <c r="O13" s="317" t="s">
        <v>398</v>
      </c>
      <c r="P13" s="317" t="s">
        <v>399</v>
      </c>
      <c r="Q13" s="317"/>
      <c r="R13" s="317"/>
      <c r="S13" s="317"/>
      <c r="T13" s="262"/>
      <c r="U13" s="262"/>
      <c r="V13" s="262"/>
      <c r="W13" s="262"/>
    </row>
    <row r="14" spans="1:23" s="5" customFormat="1">
      <c r="A14" s="449" t="str">
        <f>'1-συμβολαια'!A14</f>
        <v>17ο</v>
      </c>
      <c r="B14" s="314" t="str">
        <f>'1-συμβολαια'!C14</f>
        <v>δωρεά</v>
      </c>
      <c r="C14" s="316">
        <f>'1-συμβολαια'!D14</f>
        <v>42035.040000000001</v>
      </c>
      <c r="D14" s="310"/>
      <c r="E14" s="310">
        <v>20</v>
      </c>
      <c r="F14" s="310">
        <f t="shared" si="18"/>
        <v>420.35040000000004</v>
      </c>
      <c r="G14" s="310">
        <f t="shared" si="19"/>
        <v>440.35040000000004</v>
      </c>
      <c r="H14" s="311">
        <f t="shared" si="20"/>
        <v>37.831536</v>
      </c>
      <c r="I14" s="311">
        <f t="shared" si="21"/>
        <v>1</v>
      </c>
      <c r="J14" s="311">
        <f t="shared" si="22"/>
        <v>22.017520000000005</v>
      </c>
      <c r="K14" s="316">
        <f t="shared" si="23"/>
        <v>4.4035040000000008</v>
      </c>
      <c r="L14" s="316">
        <f t="shared" si="24"/>
        <v>375.09784000000002</v>
      </c>
      <c r="M14" s="316">
        <f t="shared" si="25"/>
        <v>20</v>
      </c>
      <c r="N14" s="316">
        <f t="shared" si="26"/>
        <v>65.252560000000003</v>
      </c>
      <c r="O14" s="317" t="s">
        <v>398</v>
      </c>
      <c r="P14" s="317" t="s">
        <v>399</v>
      </c>
      <c r="Q14" s="317"/>
      <c r="R14" s="317"/>
      <c r="S14" s="317"/>
      <c r="T14" s="262"/>
      <c r="U14" s="262"/>
      <c r="V14" s="262"/>
      <c r="W14" s="262"/>
    </row>
    <row r="15" spans="1:23" s="5" customFormat="1">
      <c r="A15" s="449" t="str">
        <f>'1-συμβολαια'!A15</f>
        <v>18ο</v>
      </c>
      <c r="B15" s="314" t="str">
        <f>'1-συμβολαια'!C15</f>
        <v>γονική</v>
      </c>
      <c r="C15" s="316">
        <f>'1-συμβολαια'!D15</f>
        <v>84070.06</v>
      </c>
      <c r="D15" s="310"/>
      <c r="E15" s="310">
        <v>20</v>
      </c>
      <c r="F15" s="310">
        <f t="shared" si="18"/>
        <v>840.70060000000001</v>
      </c>
      <c r="G15" s="310">
        <f t="shared" si="19"/>
        <v>860.70060000000001</v>
      </c>
      <c r="H15" s="311">
        <f t="shared" si="20"/>
        <v>75.663054000000002</v>
      </c>
      <c r="I15" s="311">
        <f t="shared" si="21"/>
        <v>1</v>
      </c>
      <c r="J15" s="311">
        <f t="shared" si="22"/>
        <v>43.035030000000006</v>
      </c>
      <c r="K15" s="316">
        <f t="shared" si="23"/>
        <v>8.6070060000000002</v>
      </c>
      <c r="L15" s="316">
        <f t="shared" si="24"/>
        <v>732.39551000000006</v>
      </c>
      <c r="M15" s="316">
        <f t="shared" si="25"/>
        <v>20</v>
      </c>
      <c r="N15" s="316">
        <f t="shared" si="26"/>
        <v>128.30509000000001</v>
      </c>
      <c r="O15" s="317" t="s">
        <v>398</v>
      </c>
      <c r="P15" s="317" t="s">
        <v>399</v>
      </c>
      <c r="Q15" s="317"/>
      <c r="R15" s="317"/>
      <c r="S15" s="317"/>
      <c r="T15" s="262"/>
      <c r="U15" s="262"/>
      <c r="V15" s="262"/>
      <c r="W15" s="262"/>
    </row>
    <row r="16" spans="1:23" s="5" customFormat="1">
      <c r="A16" s="449" t="str">
        <f>'1-συμβολαια'!A16</f>
        <v>19ο</v>
      </c>
      <c r="B16" s="314" t="str">
        <f>'1-συμβολαια'!C16</f>
        <v>σύσταση δουλείας</v>
      </c>
      <c r="C16" s="316">
        <f>'1-συμβολαια'!D16</f>
        <v>203.07</v>
      </c>
      <c r="D16" s="310"/>
      <c r="E16" s="310">
        <v>20</v>
      </c>
      <c r="F16" s="310">
        <f t="shared" si="18"/>
        <v>2.0306999999999999</v>
      </c>
      <c r="G16" s="310">
        <f t="shared" si="19"/>
        <v>22.0307</v>
      </c>
      <c r="H16" s="311">
        <f t="shared" si="20"/>
        <v>0.18276299999999998</v>
      </c>
      <c r="I16" s="311">
        <f t="shared" si="21"/>
        <v>1</v>
      </c>
      <c r="J16" s="311">
        <f t="shared" si="22"/>
        <v>1.1015349999999999</v>
      </c>
      <c r="K16" s="316">
        <f t="shared" si="23"/>
        <v>0.220307</v>
      </c>
      <c r="L16" s="316">
        <f t="shared" si="24"/>
        <v>19.526094999999998</v>
      </c>
      <c r="M16" s="316">
        <f t="shared" si="25"/>
        <v>20</v>
      </c>
      <c r="N16" s="316">
        <f t="shared" si="26"/>
        <v>2.5046049999999997</v>
      </c>
      <c r="O16" s="317" t="s">
        <v>398</v>
      </c>
      <c r="P16" s="317" t="s">
        <v>399</v>
      </c>
      <c r="Q16" s="317"/>
      <c r="R16" s="317"/>
      <c r="S16" s="317"/>
      <c r="T16" s="262"/>
      <c r="U16" s="262"/>
      <c r="V16" s="262"/>
      <c r="W16" s="262"/>
    </row>
    <row r="17" spans="1:23" s="5" customFormat="1">
      <c r="A17" s="449" t="str">
        <f>'1-συμβολαια'!A17</f>
        <v>20ο</v>
      </c>
      <c r="B17" s="314" t="str">
        <f>'1-συμβολαια'!C17</f>
        <v>σύσταση δουλείας</v>
      </c>
      <c r="C17" s="316">
        <f>'1-συμβολαια'!D17</f>
        <v>186.07</v>
      </c>
      <c r="D17" s="310"/>
      <c r="E17" s="310">
        <v>20</v>
      </c>
      <c r="F17" s="310">
        <f t="shared" si="18"/>
        <v>1.8607</v>
      </c>
      <c r="G17" s="310">
        <f t="shared" si="19"/>
        <v>21.860700000000001</v>
      </c>
      <c r="H17" s="311">
        <f t="shared" si="20"/>
        <v>0.167463</v>
      </c>
      <c r="I17" s="311">
        <f t="shared" si="21"/>
        <v>1</v>
      </c>
      <c r="J17" s="311">
        <f t="shared" si="22"/>
        <v>1.0930350000000002</v>
      </c>
      <c r="K17" s="316">
        <f t="shared" si="23"/>
        <v>0.21860700000000002</v>
      </c>
      <c r="L17" s="316">
        <f t="shared" si="24"/>
        <v>19.381595000000001</v>
      </c>
      <c r="M17" s="316">
        <f t="shared" si="25"/>
        <v>20</v>
      </c>
      <c r="N17" s="316">
        <f t="shared" si="26"/>
        <v>2.4791050000000001</v>
      </c>
      <c r="O17" s="317" t="s">
        <v>398</v>
      </c>
      <c r="P17" s="317" t="s">
        <v>399</v>
      </c>
      <c r="Q17" s="317"/>
      <c r="R17" s="317"/>
      <c r="S17" s="317"/>
      <c r="T17" s="262"/>
      <c r="U17" s="262"/>
      <c r="V17" s="262"/>
      <c r="W17" s="262"/>
    </row>
    <row r="18" spans="1:23" s="5" customFormat="1">
      <c r="A18" s="449" t="str">
        <f>'1-συμβολαια'!A18</f>
        <v>21ο</v>
      </c>
      <c r="B18" s="314" t="str">
        <f>'1-συμβολαια'!C18</f>
        <v>χρήσης ακινήτου ΚΑΝΟΝΙΣΜΟΣ</v>
      </c>
      <c r="C18" s="316">
        <f>'1-συμβολαια'!D18</f>
        <v>0</v>
      </c>
      <c r="D18" s="310">
        <v>20</v>
      </c>
      <c r="E18" s="310"/>
      <c r="F18" s="310">
        <f t="shared" si="18"/>
        <v>0</v>
      </c>
      <c r="G18" s="310">
        <f t="shared" si="19"/>
        <v>20</v>
      </c>
      <c r="H18" s="311">
        <f t="shared" si="20"/>
        <v>0</v>
      </c>
      <c r="I18" s="311">
        <f t="shared" si="21"/>
        <v>1</v>
      </c>
      <c r="J18" s="311">
        <f t="shared" si="22"/>
        <v>1</v>
      </c>
      <c r="K18" s="316">
        <f t="shared" si="23"/>
        <v>0.2</v>
      </c>
      <c r="L18" s="316">
        <f t="shared" si="24"/>
        <v>17.8</v>
      </c>
      <c r="M18" s="316">
        <f t="shared" si="25"/>
        <v>20</v>
      </c>
      <c r="N18" s="316">
        <f t="shared" si="26"/>
        <v>2.2000000000000002</v>
      </c>
      <c r="O18" s="317" t="s">
        <v>398</v>
      </c>
      <c r="P18" s="317" t="s">
        <v>399</v>
      </c>
      <c r="Q18" s="317"/>
      <c r="R18" s="317"/>
      <c r="S18" s="317"/>
      <c r="T18" s="262"/>
      <c r="U18" s="262"/>
      <c r="V18" s="262"/>
      <c r="W18" s="262"/>
    </row>
    <row r="19" spans="1:23">
      <c r="A19" s="661" t="s">
        <v>56</v>
      </c>
      <c r="B19" s="662"/>
      <c r="C19" s="662"/>
      <c r="D19" s="38">
        <f t="shared" ref="D19:N19" si="27">SUM(D3:D18)</f>
        <v>64</v>
      </c>
      <c r="E19" s="38">
        <f t="shared" si="27"/>
        <v>240</v>
      </c>
      <c r="F19" s="38">
        <f t="shared" si="27"/>
        <v>2798.8849999999998</v>
      </c>
      <c r="G19" s="38">
        <f t="shared" si="27"/>
        <v>3102.8850000000002</v>
      </c>
      <c r="H19" s="38">
        <f t="shared" si="27"/>
        <v>251.89964999999998</v>
      </c>
      <c r="I19" s="38">
        <f t="shared" si="27"/>
        <v>15.2</v>
      </c>
      <c r="J19" s="38">
        <f t="shared" si="27"/>
        <v>155.14425</v>
      </c>
      <c r="K19" s="38">
        <f t="shared" si="27"/>
        <v>31.028850000000002</v>
      </c>
      <c r="L19" s="38">
        <f t="shared" si="27"/>
        <v>2649.6122500000001</v>
      </c>
      <c r="M19" s="38">
        <f t="shared" si="27"/>
        <v>304</v>
      </c>
      <c r="N19" s="38">
        <f t="shared" si="27"/>
        <v>453.27275000000003</v>
      </c>
    </row>
    <row r="20" spans="1:23">
      <c r="H20" s="58" t="s">
        <v>390</v>
      </c>
      <c r="I20" s="302" t="s">
        <v>79</v>
      </c>
      <c r="J20" s="302">
        <v>1</v>
      </c>
      <c r="K20" s="58" t="s">
        <v>79</v>
      </c>
      <c r="O20" s="127"/>
      <c r="P20" s="127"/>
      <c r="Q20" s="127"/>
      <c r="R20" s="127"/>
      <c r="S20" s="127"/>
      <c r="T20" s="127"/>
      <c r="U20" s="127"/>
      <c r="V20" s="127"/>
    </row>
    <row r="21" spans="1:23">
      <c r="H21" s="302">
        <v>1</v>
      </c>
      <c r="I21" s="302">
        <v>1</v>
      </c>
      <c r="J21" s="199">
        <v>0.15</v>
      </c>
      <c r="K21" s="318" t="s">
        <v>391</v>
      </c>
      <c r="O21" s="157" t="s">
        <v>384</v>
      </c>
      <c r="P21" s="127"/>
      <c r="Q21" s="127"/>
      <c r="R21" s="127"/>
      <c r="S21" s="127"/>
      <c r="T21" s="127"/>
      <c r="U21" s="127"/>
      <c r="V21" s="136"/>
    </row>
    <row r="22" spans="1:23">
      <c r="H22" s="58"/>
      <c r="I22" s="58"/>
      <c r="J22" s="318"/>
      <c r="K22" s="200"/>
      <c r="O22" s="136"/>
      <c r="P22" s="127" t="s">
        <v>385</v>
      </c>
      <c r="Q22" s="136"/>
      <c r="R22" s="136"/>
      <c r="S22" s="136"/>
      <c r="T22" s="136"/>
      <c r="U22" s="136"/>
      <c r="V22" s="136"/>
    </row>
    <row r="23" spans="1:23">
      <c r="O23" s="136"/>
      <c r="P23" s="136"/>
      <c r="Q23" s="127" t="s">
        <v>386</v>
      </c>
      <c r="R23" s="136"/>
      <c r="S23" s="136"/>
      <c r="T23" s="136"/>
      <c r="U23" s="136"/>
      <c r="V23" s="136"/>
    </row>
    <row r="24" spans="1:23" ht="15.75">
      <c r="B24" s="371" t="s">
        <v>504</v>
      </c>
      <c r="O24" s="136"/>
      <c r="P24" s="127"/>
      <c r="Q24" s="136"/>
      <c r="R24" s="157" t="s">
        <v>387</v>
      </c>
      <c r="S24" s="136"/>
      <c r="T24" s="127"/>
      <c r="U24" s="127"/>
      <c r="V24" s="127"/>
      <c r="W24" s="127"/>
    </row>
    <row r="25" spans="1:23">
      <c r="O25" s="136"/>
      <c r="P25" s="127"/>
      <c r="Q25" s="136"/>
      <c r="R25" s="136"/>
      <c r="S25" s="127" t="s">
        <v>388</v>
      </c>
      <c r="T25" s="127"/>
      <c r="U25" s="127"/>
      <c r="V25" s="127"/>
      <c r="W25" s="136"/>
    </row>
    <row r="26" spans="1:23" ht="15.75">
      <c r="B26" s="281" t="s">
        <v>500</v>
      </c>
      <c r="C26" s="324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283">
        <v>1</v>
      </c>
      <c r="P26" s="5" t="s">
        <v>392</v>
      </c>
      <c r="Q26" s="284"/>
      <c r="R26" s="136"/>
      <c r="S26" s="136"/>
      <c r="T26" s="136"/>
      <c r="U26" s="136"/>
      <c r="V26" s="136"/>
      <c r="W26" s="136"/>
    </row>
    <row r="27" spans="1:23" ht="15.75">
      <c r="B27" s="138"/>
      <c r="C27" s="138"/>
      <c r="D27" s="138"/>
      <c r="E27" s="138"/>
      <c r="F27" s="138"/>
      <c r="G27" s="285"/>
      <c r="H27" s="285"/>
      <c r="I27" s="285"/>
      <c r="J27" s="285"/>
      <c r="K27" s="285"/>
      <c r="L27" s="285"/>
      <c r="M27" s="285"/>
      <c r="N27" s="4"/>
      <c r="O27" s="302">
        <v>1.3</v>
      </c>
      <c r="P27" s="5" t="s">
        <v>393</v>
      </c>
      <c r="Q27" s="284"/>
    </row>
    <row r="28" spans="1:23" ht="15.75">
      <c r="B28" s="286"/>
      <c r="C28" s="287"/>
      <c r="D28" s="287"/>
      <c r="E28" s="287"/>
      <c r="F28" s="287"/>
      <c r="G28" s="288"/>
      <c r="H28" s="288"/>
      <c r="I28" s="288"/>
      <c r="J28" s="288"/>
      <c r="K28" s="288"/>
      <c r="L28" s="288"/>
      <c r="N28" s="323"/>
      <c r="O28" s="4">
        <v>0.73</v>
      </c>
      <c r="P28" s="5" t="s">
        <v>135</v>
      </c>
      <c r="Q28" s="5"/>
    </row>
    <row r="29" spans="1:23" ht="15.75">
      <c r="B29" s="286"/>
      <c r="C29" s="287"/>
      <c r="D29" s="287"/>
      <c r="E29" s="287"/>
      <c r="F29" s="287"/>
      <c r="G29" s="287"/>
      <c r="H29" s="289"/>
      <c r="I29" s="289"/>
      <c r="J29" s="289"/>
      <c r="K29" s="289"/>
      <c r="L29" s="61"/>
      <c r="N29" s="323"/>
      <c r="O29" s="4">
        <v>2</v>
      </c>
      <c r="P29" s="5" t="s">
        <v>394</v>
      </c>
      <c r="Q29" s="5"/>
    </row>
    <row r="30" spans="1:23" ht="15.75">
      <c r="B30" s="286"/>
      <c r="C30" s="325" t="s">
        <v>61</v>
      </c>
      <c r="D30" s="223"/>
      <c r="E30" s="285"/>
      <c r="F30" s="289"/>
      <c r="G30" s="289"/>
      <c r="H30" s="289"/>
      <c r="I30" s="290"/>
      <c r="J30" s="287"/>
      <c r="K30" s="287"/>
      <c r="L30" s="289"/>
      <c r="N30" s="323"/>
      <c r="O30" s="4">
        <v>3.7</v>
      </c>
      <c r="P30" s="5" t="s">
        <v>395</v>
      </c>
      <c r="Q30" s="5"/>
    </row>
    <row r="31" spans="1:23" ht="15.75">
      <c r="B31" s="286"/>
      <c r="C31" s="287"/>
      <c r="D31" s="216" t="s">
        <v>480</v>
      </c>
      <c r="E31" s="216"/>
      <c r="F31" s="291"/>
      <c r="G31" s="291"/>
      <c r="H31" s="291"/>
      <c r="I31" s="291"/>
      <c r="J31" s="291"/>
      <c r="K31" s="291"/>
      <c r="L31" s="285"/>
      <c r="N31" s="320">
        <v>0.05</v>
      </c>
      <c r="O31" s="200"/>
      <c r="P31" s="319" t="s">
        <v>463</v>
      </c>
      <c r="Q31" s="319"/>
    </row>
    <row r="32" spans="1:23" ht="15">
      <c r="B32" s="286"/>
      <c r="C32" s="287"/>
      <c r="D32" s="217" t="s">
        <v>481</v>
      </c>
      <c r="E32" s="217"/>
      <c r="F32" s="217"/>
      <c r="G32" s="291"/>
      <c r="H32" s="291"/>
      <c r="I32" s="291"/>
      <c r="J32" s="291"/>
      <c r="K32" s="291"/>
      <c r="L32" s="291"/>
      <c r="N32" s="320">
        <v>0.05</v>
      </c>
      <c r="O32" s="200"/>
      <c r="P32" s="319" t="s">
        <v>464</v>
      </c>
      <c r="Q32" s="319"/>
      <c r="R32" s="3"/>
      <c r="S32" s="3"/>
      <c r="T32" s="3"/>
      <c r="U32" s="3"/>
    </row>
    <row r="33" spans="2:21" ht="15.75">
      <c r="B33" s="286"/>
      <c r="C33" s="287"/>
      <c r="D33" s="218" t="s">
        <v>389</v>
      </c>
      <c r="E33" s="289"/>
      <c r="F33" s="289"/>
      <c r="G33" s="289"/>
      <c r="H33" s="287"/>
      <c r="I33" s="289"/>
      <c r="J33" s="289"/>
      <c r="K33" s="289"/>
      <c r="L33" s="292"/>
      <c r="N33" s="320"/>
      <c r="O33" s="200"/>
      <c r="P33" s="319"/>
      <c r="Q33" s="319"/>
      <c r="R33" s="3"/>
      <c r="S33" s="3"/>
      <c r="T33" s="3"/>
      <c r="U33" s="3"/>
    </row>
    <row r="34" spans="2:21" ht="15">
      <c r="B34" s="286"/>
      <c r="C34" s="287"/>
      <c r="D34" s="287"/>
      <c r="E34" s="287"/>
      <c r="F34" s="287"/>
      <c r="G34" s="287"/>
      <c r="H34" s="287"/>
      <c r="I34" s="287"/>
      <c r="J34" s="287"/>
      <c r="K34" s="287"/>
      <c r="L34" s="287"/>
      <c r="N34" s="376" t="s">
        <v>508</v>
      </c>
      <c r="O34" s="319"/>
      <c r="P34" s="319" t="s">
        <v>135</v>
      </c>
      <c r="Q34" s="319"/>
      <c r="R34" s="3"/>
      <c r="S34" s="3"/>
      <c r="T34" s="3"/>
      <c r="U34" s="3"/>
    </row>
    <row r="35" spans="2:21">
      <c r="N35" s="377" t="s">
        <v>509</v>
      </c>
      <c r="O35" s="319"/>
      <c r="P35" s="319" t="s">
        <v>136</v>
      </c>
      <c r="Q35" s="319"/>
    </row>
    <row r="36" spans="2:21">
      <c r="N36" s="377" t="s">
        <v>510</v>
      </c>
      <c r="O36" s="319"/>
      <c r="P36" s="319" t="s">
        <v>137</v>
      </c>
      <c r="Q36" s="319"/>
    </row>
    <row r="37" spans="2:21" ht="15">
      <c r="N37" s="377">
        <v>3</v>
      </c>
      <c r="O37" s="321"/>
      <c r="P37" s="319" t="s">
        <v>396</v>
      </c>
      <c r="Q37" s="319"/>
    </row>
    <row r="38" spans="2:21" ht="15">
      <c r="D38" s="2"/>
      <c r="N38" s="377">
        <v>4</v>
      </c>
      <c r="O38" s="321"/>
      <c r="P38" s="319" t="s">
        <v>397</v>
      </c>
      <c r="Q38" s="319"/>
    </row>
    <row r="39" spans="2:21" ht="15">
      <c r="N39" s="377"/>
      <c r="O39" s="322"/>
      <c r="P39" s="321"/>
      <c r="Q39" s="319"/>
    </row>
    <row r="40" spans="2:21">
      <c r="B40" s="222"/>
    </row>
    <row r="41" spans="2:21">
      <c r="B41" s="221"/>
    </row>
    <row r="42" spans="2:21" ht="15">
      <c r="B42" s="130"/>
      <c r="C42" s="4"/>
      <c r="D42" s="58"/>
      <c r="E42" s="4"/>
      <c r="F42" s="4"/>
      <c r="G42" s="58"/>
      <c r="H42" s="58"/>
      <c r="I42" s="58"/>
      <c r="J42" s="58"/>
      <c r="N42" s="8"/>
      <c r="O42" s="293"/>
      <c r="P42" s="5"/>
    </row>
    <row r="43" spans="2:21">
      <c r="B43" s="131"/>
      <c r="C43" s="4"/>
      <c r="D43" s="58"/>
      <c r="E43" s="4"/>
      <c r="F43" s="4"/>
      <c r="G43" s="58"/>
      <c r="H43" s="58"/>
      <c r="I43" s="58"/>
      <c r="J43" s="58"/>
      <c r="N43" s="8"/>
      <c r="O43" s="5"/>
      <c r="P43" s="5"/>
    </row>
    <row r="44" spans="2:21">
      <c r="B44" s="93"/>
      <c r="C44" s="4"/>
      <c r="D44" s="58"/>
      <c r="E44" s="4"/>
      <c r="F44" s="4"/>
      <c r="G44" s="58"/>
      <c r="H44" s="58"/>
      <c r="I44" s="58"/>
      <c r="J44" s="58"/>
      <c r="N44" s="8"/>
      <c r="O44" s="5"/>
      <c r="P44" s="5"/>
    </row>
    <row r="45" spans="2:21">
      <c r="N45" s="8"/>
      <c r="O45" s="5"/>
      <c r="P45" s="5"/>
    </row>
    <row r="46" spans="2:21">
      <c r="N46" s="8"/>
      <c r="O46" s="5"/>
      <c r="P46" s="5"/>
    </row>
  </sheetData>
  <mergeCells count="8">
    <mergeCell ref="O1:W2"/>
    <mergeCell ref="D1:K1"/>
    <mergeCell ref="A19:C19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6"/>
  <sheetViews>
    <sheetView workbookViewId="0">
      <pane ySplit="2" topLeftCell="A3" activePane="bottomLeft" state="frozen"/>
      <selection pane="bottomLeft" activeCell="B39" sqref="B39"/>
    </sheetView>
  </sheetViews>
  <sheetFormatPr defaultRowHeight="11.25"/>
  <cols>
    <col min="1" max="1" width="11.5703125" style="3" bestFit="1" customWidth="1"/>
    <col min="2" max="2" width="77" style="90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82" t="s">
        <v>1</v>
      </c>
      <c r="B1" s="688" t="s">
        <v>0</v>
      </c>
      <c r="C1" s="690" t="s">
        <v>86</v>
      </c>
      <c r="D1" s="684" t="s">
        <v>3</v>
      </c>
      <c r="E1" s="685"/>
      <c r="F1" s="686" t="s">
        <v>482</v>
      </c>
      <c r="G1" s="687"/>
      <c r="H1" s="673" t="s">
        <v>29</v>
      </c>
      <c r="I1" s="674"/>
      <c r="J1" s="674"/>
      <c r="K1" s="674"/>
      <c r="L1" s="674"/>
      <c r="M1" s="674"/>
      <c r="N1" s="675"/>
    </row>
    <row r="2" spans="1:14" s="9" customFormat="1" ht="16.5" thickBot="1">
      <c r="A2" s="683"/>
      <c r="B2" s="689"/>
      <c r="C2" s="691"/>
      <c r="D2" s="48"/>
      <c r="E2" s="59" t="s">
        <v>9</v>
      </c>
      <c r="F2" s="294"/>
      <c r="G2" s="101" t="s">
        <v>9</v>
      </c>
      <c r="H2" s="676"/>
      <c r="I2" s="677"/>
      <c r="J2" s="677"/>
      <c r="K2" s="677"/>
      <c r="L2" s="677"/>
      <c r="M2" s="677"/>
      <c r="N2" s="678"/>
    </row>
    <row r="3" spans="1:14" s="135" customFormat="1" ht="15.75" thickBot="1">
      <c r="A3" s="461" t="str">
        <f>'1-συμβολαια'!A3</f>
        <v>10ο</v>
      </c>
      <c r="B3" s="466" t="str">
        <f>'1-συμβολαια'!C3</f>
        <v>πληρεξούσιο</v>
      </c>
      <c r="C3" s="467">
        <f>'1-συμβολαια'!D3</f>
        <v>0</v>
      </c>
      <c r="D3" s="468">
        <v>3</v>
      </c>
      <c r="E3" s="468">
        <v>3</v>
      </c>
      <c r="F3" s="465">
        <f t="shared" ref="F3:G3" si="0">(D3-1)*6</f>
        <v>12</v>
      </c>
      <c r="G3" s="465">
        <f t="shared" si="0"/>
        <v>12</v>
      </c>
      <c r="H3" s="398"/>
      <c r="I3" s="398"/>
      <c r="J3" s="398"/>
      <c r="K3" s="380"/>
      <c r="L3" s="380"/>
      <c r="M3" s="380"/>
      <c r="N3" s="380"/>
    </row>
    <row r="4" spans="1:14" s="135" customFormat="1" ht="15">
      <c r="A4" s="489" t="str">
        <f>'1-συμβολαια'!A4</f>
        <v>11ο</v>
      </c>
      <c r="B4" s="395" t="str">
        <f>'1-συμβολαια'!C4</f>
        <v>γονική [αγροτεμάχιο Θεολόγος -''βαλανίδια'' 16.832,18μ2</v>
      </c>
      <c r="C4" s="396">
        <f>'1-συμβολαια'!D4</f>
        <v>4165.96</v>
      </c>
      <c r="D4" s="397">
        <v>5</v>
      </c>
      <c r="E4" s="397">
        <v>5</v>
      </c>
      <c r="F4" s="358">
        <f t="shared" ref="F4:G5" si="1">(D4-1)*6</f>
        <v>24</v>
      </c>
      <c r="G4" s="358">
        <f t="shared" si="1"/>
        <v>24</v>
      </c>
      <c r="H4" s="317" t="s">
        <v>234</v>
      </c>
      <c r="I4" s="317" t="s">
        <v>138</v>
      </c>
      <c r="J4" s="317"/>
      <c r="K4" s="329"/>
      <c r="L4" s="329"/>
      <c r="M4" s="329"/>
      <c r="N4" s="329"/>
    </row>
    <row r="5" spans="1:14" s="135" customFormat="1" ht="15.75" thickBot="1">
      <c r="A5" s="490">
        <f>'1-συμβολαια'!A5</f>
        <v>0</v>
      </c>
      <c r="B5" s="491" t="str">
        <f>'1-συμβολαια'!C5</f>
        <v>χρησικτησία = 1961 πατρός ΔΩΡΕΑ άτυπος</v>
      </c>
      <c r="C5" s="492">
        <f>'1-συμβολαια'!D5</f>
        <v>4165.96</v>
      </c>
      <c r="D5" s="493">
        <v>5</v>
      </c>
      <c r="E5" s="493"/>
      <c r="F5" s="394">
        <f t="shared" si="1"/>
        <v>24</v>
      </c>
      <c r="G5" s="394"/>
      <c r="H5" s="317" t="s">
        <v>234</v>
      </c>
      <c r="I5" s="317" t="s">
        <v>138</v>
      </c>
      <c r="J5" s="317"/>
      <c r="K5" s="329"/>
      <c r="L5" s="329"/>
      <c r="M5" s="329"/>
      <c r="N5" s="329"/>
    </row>
    <row r="6" spans="1:14" s="135" customFormat="1" ht="15">
      <c r="A6" s="519" t="str">
        <f>'1-συμβολαια'!A6</f>
        <v>12ο</v>
      </c>
      <c r="B6" s="395" t="str">
        <f>'1-συμβολαια'!C6</f>
        <v>κληρονομιάς ΑΠΟΔΟΧΗ [οικόπεδο 226μ2 ΜΕ 2όροφο οιίκημα 150μ2 &amp; αποθήκη 15μ2 Θεολόγος</v>
      </c>
      <c r="C6" s="396">
        <f>'1-συμβολαια'!D6</f>
        <v>0</v>
      </c>
      <c r="D6" s="397">
        <v>3</v>
      </c>
      <c r="E6" s="397">
        <v>3</v>
      </c>
      <c r="F6" s="358">
        <f t="shared" ref="F6:G18" si="2">(D6-1)*6</f>
        <v>12</v>
      </c>
      <c r="G6" s="358">
        <f t="shared" si="2"/>
        <v>12</v>
      </c>
      <c r="H6" s="317" t="s">
        <v>234</v>
      </c>
      <c r="I6" s="317" t="s">
        <v>138</v>
      </c>
      <c r="J6" s="317"/>
      <c r="K6" s="329"/>
      <c r="L6" s="329"/>
      <c r="M6" s="329"/>
      <c r="N6" s="329"/>
    </row>
    <row r="7" spans="1:14" s="135" customFormat="1" ht="15">
      <c r="A7" s="520">
        <f>'1-συμβολαια'!A7</f>
        <v>0</v>
      </c>
      <c r="B7" s="326" t="str">
        <f>'1-συμβολαια'!C7</f>
        <v>χρησικτησία οικοπέδου &amp; οικήματος = 1950 πατρός ΚΛΗΡΟΝΟΜΙΑ άτυπη</v>
      </c>
      <c r="C7" s="327">
        <f>'1-συμβολαια'!D7</f>
        <v>6629.4</v>
      </c>
      <c r="D7" s="354">
        <v>3</v>
      </c>
      <c r="E7" s="354"/>
      <c r="F7" s="328">
        <f t="shared" si="2"/>
        <v>12</v>
      </c>
      <c r="G7" s="328"/>
      <c r="H7" s="317" t="s">
        <v>234</v>
      </c>
      <c r="I7" s="317" t="s">
        <v>138</v>
      </c>
      <c r="J7" s="317"/>
      <c r="K7" s="329"/>
      <c r="L7" s="329"/>
      <c r="M7" s="329"/>
      <c r="N7" s="329"/>
    </row>
    <row r="8" spans="1:14" s="135" customFormat="1" ht="15">
      <c r="A8" s="520">
        <f>'1-συμβολαια'!A8</f>
        <v>0</v>
      </c>
      <c r="B8" s="326" t="str">
        <f>'1-συμβολαια'!C8</f>
        <v>χρησικτησία οικοπέδου &amp; οικήματος = 1950 ΔΙΑΝΟΜΗ άτυπη</v>
      </c>
      <c r="C8" s="327">
        <f>'1-συμβολαια'!D8</f>
        <v>11396.88</v>
      </c>
      <c r="D8" s="354">
        <v>3</v>
      </c>
      <c r="E8" s="354"/>
      <c r="F8" s="328">
        <f t="shared" si="2"/>
        <v>12</v>
      </c>
      <c r="G8" s="328"/>
      <c r="H8" s="317" t="s">
        <v>234</v>
      </c>
      <c r="I8" s="317" t="s">
        <v>138</v>
      </c>
      <c r="J8" s="317"/>
      <c r="K8" s="329"/>
      <c r="L8" s="329"/>
      <c r="M8" s="329"/>
      <c r="N8" s="329"/>
    </row>
    <row r="9" spans="1:14" s="135" customFormat="1" ht="15.75" thickBot="1">
      <c r="A9" s="521">
        <f>'1-συμβολαια'!A9</f>
        <v>0</v>
      </c>
      <c r="B9" s="491" t="str">
        <f>'1-συμβολαια'!C9</f>
        <v xml:space="preserve">εξισορόπηση διαφοράς διανεμομένων </v>
      </c>
      <c r="C9" s="492">
        <f>'1-συμβολαια'!D9</f>
        <v>930.96</v>
      </c>
      <c r="D9" s="493">
        <v>3</v>
      </c>
      <c r="E9" s="493"/>
      <c r="F9" s="394">
        <f t="shared" si="2"/>
        <v>12</v>
      </c>
      <c r="G9" s="394"/>
      <c r="H9" s="317" t="s">
        <v>234</v>
      </c>
      <c r="I9" s="317" t="s">
        <v>138</v>
      </c>
      <c r="J9" s="317"/>
      <c r="K9" s="329"/>
      <c r="L9" s="329"/>
      <c r="M9" s="329"/>
      <c r="N9" s="329"/>
    </row>
    <row r="10" spans="1:14" s="135" customFormat="1" ht="15">
      <c r="A10" s="445" t="str">
        <f>'1-συμβολαια'!A10</f>
        <v>13ο</v>
      </c>
      <c r="B10" s="395" t="str">
        <f>'1-συμβολαια'!C10</f>
        <v>πληρεξούσιο</v>
      </c>
      <c r="C10" s="396">
        <f>'1-συμβολαια'!D10</f>
        <v>0</v>
      </c>
      <c r="D10" s="397">
        <v>3</v>
      </c>
      <c r="E10" s="397">
        <v>3</v>
      </c>
      <c r="F10" s="358">
        <f t="shared" si="2"/>
        <v>12</v>
      </c>
      <c r="G10" s="358">
        <f t="shared" si="2"/>
        <v>12</v>
      </c>
      <c r="H10" s="317" t="s">
        <v>234</v>
      </c>
      <c r="I10" s="317" t="s">
        <v>138</v>
      </c>
      <c r="J10" s="317"/>
      <c r="K10" s="329"/>
      <c r="L10" s="329"/>
      <c r="M10" s="329"/>
      <c r="N10" s="329"/>
    </row>
    <row r="11" spans="1:14" s="135" customFormat="1" ht="15">
      <c r="A11" s="446" t="str">
        <f>'1-συμβολαια'!A11</f>
        <v>14ο</v>
      </c>
      <c r="B11" s="326" t="str">
        <f>'1-συμβολαια'!C11</f>
        <v>αγοραπωλησία</v>
      </c>
      <c r="C11" s="327">
        <f>'1-συμβολαια'!D11</f>
        <v>20269.88</v>
      </c>
      <c r="D11" s="354">
        <v>8</v>
      </c>
      <c r="E11" s="354">
        <v>8</v>
      </c>
      <c r="F11" s="328">
        <f t="shared" si="2"/>
        <v>42</v>
      </c>
      <c r="G11" s="328">
        <f t="shared" si="2"/>
        <v>42</v>
      </c>
      <c r="H11" s="317" t="s">
        <v>234</v>
      </c>
      <c r="I11" s="317" t="s">
        <v>138</v>
      </c>
      <c r="J11" s="317"/>
      <c r="K11" s="329"/>
      <c r="L11" s="329"/>
      <c r="M11" s="329"/>
      <c r="N11" s="329"/>
    </row>
    <row r="12" spans="1:14" s="135" customFormat="1" ht="15">
      <c r="A12" s="446" t="str">
        <f>'1-συμβολαια'!A12</f>
        <v>15ο</v>
      </c>
      <c r="B12" s="326" t="str">
        <f>'1-συμβολαια'!C12</f>
        <v>δωρεά</v>
      </c>
      <c r="C12" s="327">
        <f>'1-συμβολαια'!D12</f>
        <v>21765.16</v>
      </c>
      <c r="D12" s="354">
        <v>9</v>
      </c>
      <c r="E12" s="354">
        <v>9</v>
      </c>
      <c r="F12" s="328">
        <f t="shared" si="2"/>
        <v>48</v>
      </c>
      <c r="G12" s="328">
        <f t="shared" si="2"/>
        <v>48</v>
      </c>
      <c r="H12" s="317" t="s">
        <v>234</v>
      </c>
      <c r="I12" s="317" t="s">
        <v>138</v>
      </c>
      <c r="J12" s="317"/>
      <c r="K12" s="329"/>
      <c r="L12" s="329"/>
      <c r="M12" s="329"/>
      <c r="N12" s="329"/>
    </row>
    <row r="13" spans="1:14" s="135" customFormat="1" ht="15">
      <c r="A13" s="446" t="str">
        <f>'1-συμβολαια'!A13</f>
        <v>16ο</v>
      </c>
      <c r="B13" s="326" t="str">
        <f>'1-συμβολαια'!C13</f>
        <v>γονική</v>
      </c>
      <c r="C13" s="327">
        <f>'1-συμβολαια'!D13</f>
        <v>84070.06</v>
      </c>
      <c r="D13" s="354">
        <v>9</v>
      </c>
      <c r="E13" s="354">
        <v>9</v>
      </c>
      <c r="F13" s="328">
        <f t="shared" si="2"/>
        <v>48</v>
      </c>
      <c r="G13" s="328">
        <f t="shared" si="2"/>
        <v>48</v>
      </c>
      <c r="H13" s="317" t="s">
        <v>234</v>
      </c>
      <c r="I13" s="317" t="s">
        <v>138</v>
      </c>
      <c r="J13" s="317"/>
      <c r="K13" s="329"/>
      <c r="L13" s="329"/>
      <c r="M13" s="329"/>
      <c r="N13" s="329"/>
    </row>
    <row r="14" spans="1:14" s="135" customFormat="1" ht="15">
      <c r="A14" s="446" t="str">
        <f>'1-συμβολαια'!A14</f>
        <v>17ο</v>
      </c>
      <c r="B14" s="326" t="str">
        <f>'1-συμβολαια'!C14</f>
        <v>δωρεά</v>
      </c>
      <c r="C14" s="327">
        <f>'1-συμβολαια'!D14</f>
        <v>42035.040000000001</v>
      </c>
      <c r="D14" s="354">
        <v>9</v>
      </c>
      <c r="E14" s="354">
        <v>9</v>
      </c>
      <c r="F14" s="328">
        <f t="shared" si="2"/>
        <v>48</v>
      </c>
      <c r="G14" s="328">
        <f t="shared" si="2"/>
        <v>48</v>
      </c>
      <c r="H14" s="317" t="s">
        <v>234</v>
      </c>
      <c r="I14" s="317" t="s">
        <v>138</v>
      </c>
      <c r="J14" s="317"/>
      <c r="K14" s="329"/>
      <c r="L14" s="329"/>
      <c r="M14" s="329"/>
      <c r="N14" s="329"/>
    </row>
    <row r="15" spans="1:14" s="135" customFormat="1" ht="15">
      <c r="A15" s="446" t="str">
        <f>'1-συμβολαια'!A15</f>
        <v>18ο</v>
      </c>
      <c r="B15" s="326" t="str">
        <f>'1-συμβολαια'!C15</f>
        <v>γονική</v>
      </c>
      <c r="C15" s="327">
        <f>'1-συμβολαια'!D15</f>
        <v>84070.06</v>
      </c>
      <c r="D15" s="354">
        <v>9</v>
      </c>
      <c r="E15" s="354">
        <v>9</v>
      </c>
      <c r="F15" s="328">
        <f t="shared" si="2"/>
        <v>48</v>
      </c>
      <c r="G15" s="328">
        <f t="shared" si="2"/>
        <v>48</v>
      </c>
      <c r="H15" s="317" t="s">
        <v>234</v>
      </c>
      <c r="I15" s="317" t="s">
        <v>138</v>
      </c>
      <c r="J15" s="317"/>
      <c r="K15" s="329"/>
      <c r="L15" s="329"/>
      <c r="M15" s="329"/>
      <c r="N15" s="329"/>
    </row>
    <row r="16" spans="1:14" s="135" customFormat="1" ht="15">
      <c r="A16" s="446" t="str">
        <f>'1-συμβολαια'!A16</f>
        <v>19ο</v>
      </c>
      <c r="B16" s="326" t="str">
        <f>'1-συμβολαια'!C16</f>
        <v>σύσταση δουλείας</v>
      </c>
      <c r="C16" s="327">
        <f>'1-συμβολαια'!D16</f>
        <v>203.07</v>
      </c>
      <c r="D16" s="354">
        <v>7</v>
      </c>
      <c r="E16" s="354">
        <v>7</v>
      </c>
      <c r="F16" s="328">
        <f t="shared" si="2"/>
        <v>36</v>
      </c>
      <c r="G16" s="328">
        <f t="shared" si="2"/>
        <v>36</v>
      </c>
      <c r="H16" s="317" t="s">
        <v>234</v>
      </c>
      <c r="I16" s="317" t="s">
        <v>138</v>
      </c>
      <c r="J16" s="317"/>
      <c r="K16" s="329"/>
      <c r="L16" s="329"/>
      <c r="M16" s="329"/>
      <c r="N16" s="329"/>
    </row>
    <row r="17" spans="1:14" s="135" customFormat="1" ht="15">
      <c r="A17" s="446" t="str">
        <f>'1-συμβολαια'!A17</f>
        <v>20ο</v>
      </c>
      <c r="B17" s="326" t="str">
        <f>'1-συμβολαια'!C17</f>
        <v>σύσταση δουλείας</v>
      </c>
      <c r="C17" s="327">
        <f>'1-συμβολαια'!D17</f>
        <v>186.07</v>
      </c>
      <c r="D17" s="354">
        <v>4</v>
      </c>
      <c r="E17" s="354">
        <v>4</v>
      </c>
      <c r="F17" s="328">
        <f t="shared" si="2"/>
        <v>18</v>
      </c>
      <c r="G17" s="328">
        <f t="shared" si="2"/>
        <v>18</v>
      </c>
      <c r="H17" s="317" t="s">
        <v>234</v>
      </c>
      <c r="I17" s="317" t="s">
        <v>138</v>
      </c>
      <c r="J17" s="317"/>
      <c r="K17" s="329"/>
      <c r="L17" s="329"/>
      <c r="M17" s="329"/>
      <c r="N17" s="329"/>
    </row>
    <row r="18" spans="1:14" s="135" customFormat="1" ht="15">
      <c r="A18" s="446" t="str">
        <f>'1-συμβολαια'!A18</f>
        <v>21ο</v>
      </c>
      <c r="B18" s="326" t="str">
        <f>'1-συμβολαια'!C18</f>
        <v>χρήσης ακινήτου ΚΑΝΟΝΙΣΜΟΣ</v>
      </c>
      <c r="C18" s="327">
        <f>'1-συμβολαια'!D18</f>
        <v>0</v>
      </c>
      <c r="D18" s="354">
        <v>9</v>
      </c>
      <c r="E18" s="354">
        <v>9</v>
      </c>
      <c r="F18" s="328">
        <f t="shared" si="2"/>
        <v>48</v>
      </c>
      <c r="G18" s="328">
        <f t="shared" si="2"/>
        <v>48</v>
      </c>
      <c r="H18" s="317" t="s">
        <v>234</v>
      </c>
      <c r="I18" s="317" t="s">
        <v>138</v>
      </c>
      <c r="J18" s="317"/>
      <c r="K18" s="329"/>
      <c r="L18" s="329"/>
      <c r="M18" s="329"/>
      <c r="N18" s="329"/>
    </row>
    <row r="19" spans="1:14" ht="15.75">
      <c r="A19" s="679" t="s">
        <v>60</v>
      </c>
      <c r="B19" s="680"/>
      <c r="C19" s="680"/>
      <c r="D19" s="680"/>
      <c r="E19" s="681"/>
      <c r="F19" s="109">
        <f>SUM(F3:F18)</f>
        <v>456</v>
      </c>
      <c r="G19" s="109">
        <f>SUM(G3:G18)</f>
        <v>396</v>
      </c>
    </row>
    <row r="20" spans="1:14" ht="15.75">
      <c r="H20" s="137" t="s">
        <v>147</v>
      </c>
      <c r="I20" s="138"/>
      <c r="J20" s="138"/>
      <c r="K20" s="138"/>
      <c r="L20" s="138"/>
      <c r="M20" s="138"/>
    </row>
    <row r="21" spans="1:14" ht="15.75">
      <c r="B21" s="297" t="s">
        <v>501</v>
      </c>
      <c r="C21" s="297"/>
      <c r="D21" s="297"/>
      <c r="E21" s="297"/>
      <c r="F21" s="297"/>
      <c r="I21" s="138" t="s">
        <v>148</v>
      </c>
      <c r="J21" s="138"/>
      <c r="K21" s="138"/>
      <c r="L21" s="138"/>
      <c r="M21" s="87"/>
    </row>
    <row r="22" spans="1:14" ht="15.75">
      <c r="B22" s="3"/>
      <c r="C22" s="223" t="s">
        <v>61</v>
      </c>
      <c r="D22" s="3"/>
      <c r="J22" s="137" t="s">
        <v>149</v>
      </c>
    </row>
    <row r="25" spans="1:14">
      <c r="B25" s="222"/>
    </row>
    <row r="26" spans="1:14">
      <c r="B26" s="221"/>
    </row>
  </sheetData>
  <mergeCells count="7">
    <mergeCell ref="H1:N2"/>
    <mergeCell ref="A19:E1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E32" sqref="E32"/>
    </sheetView>
  </sheetViews>
  <sheetFormatPr defaultRowHeight="11.25"/>
  <cols>
    <col min="1" max="1" width="12.7109375" style="8" customWidth="1"/>
    <col min="2" max="2" width="82.85546875" style="92" bestFit="1" customWidth="1"/>
    <col min="3" max="3" width="7.28515625" style="8" bestFit="1" customWidth="1"/>
    <col min="4" max="4" width="13.5703125" style="8" customWidth="1"/>
    <col min="5" max="5" width="16.28515625" style="8" bestFit="1" customWidth="1"/>
    <col min="6" max="6" width="12.7109375" style="8" bestFit="1" customWidth="1"/>
    <col min="7" max="7" width="4.140625" style="8" bestFit="1" customWidth="1"/>
    <col min="8" max="8" width="7.28515625" style="8" bestFit="1" customWidth="1"/>
    <col min="9" max="9" width="14.140625" style="8" bestFit="1" customWidth="1"/>
    <col min="10" max="10" width="12.710937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663" t="s">
        <v>1</v>
      </c>
      <c r="B1" s="665" t="s">
        <v>0</v>
      </c>
      <c r="C1" s="696" t="s">
        <v>11</v>
      </c>
      <c r="D1" s="696"/>
      <c r="E1" s="696"/>
      <c r="F1" s="696"/>
      <c r="G1" s="696"/>
      <c r="H1" s="697" t="s">
        <v>12</v>
      </c>
      <c r="I1" s="697"/>
      <c r="J1" s="697"/>
      <c r="K1" s="697"/>
      <c r="L1" s="697"/>
      <c r="M1" s="697"/>
      <c r="N1" s="697"/>
      <c r="O1" s="700" t="s">
        <v>87</v>
      </c>
      <c r="P1" s="698" t="s">
        <v>235</v>
      </c>
      <c r="Q1" s="692" t="s">
        <v>29</v>
      </c>
      <c r="R1" s="655"/>
      <c r="S1" s="655"/>
      <c r="T1" s="655"/>
      <c r="U1" s="656"/>
    </row>
    <row r="2" spans="1:21" ht="24" customHeight="1" thickBot="1">
      <c r="A2" s="664"/>
      <c r="B2" s="666"/>
      <c r="C2" s="7" t="s">
        <v>47</v>
      </c>
      <c r="D2" s="370" t="s">
        <v>48</v>
      </c>
      <c r="E2" s="370" t="s">
        <v>49</v>
      </c>
      <c r="F2" s="370" t="s">
        <v>50</v>
      </c>
      <c r="G2" s="39" t="s">
        <v>51</v>
      </c>
      <c r="H2" s="370" t="s">
        <v>47</v>
      </c>
      <c r="I2" s="370" t="s">
        <v>48</v>
      </c>
      <c r="J2" s="370" t="s">
        <v>49</v>
      </c>
      <c r="K2" s="370" t="s">
        <v>50</v>
      </c>
      <c r="L2" s="370" t="s">
        <v>51</v>
      </c>
      <c r="M2" s="370" t="s">
        <v>52</v>
      </c>
      <c r="N2" s="40" t="s">
        <v>53</v>
      </c>
      <c r="O2" s="701"/>
      <c r="P2" s="699"/>
      <c r="Q2" s="693"/>
      <c r="R2" s="657"/>
      <c r="S2" s="657"/>
      <c r="T2" s="657"/>
      <c r="U2" s="658"/>
    </row>
    <row r="3" spans="1:21" s="263" customFormat="1" ht="15.75" thickBot="1">
      <c r="A3" s="461" t="str">
        <f>'1-συμβολαια'!A3</f>
        <v>10ο</v>
      </c>
      <c r="B3" s="462" t="str">
        <f>'1-συμβολαια'!C3</f>
        <v>πληρεξούσιο</v>
      </c>
      <c r="C3" s="463"/>
      <c r="D3" s="464" t="s">
        <v>624</v>
      </c>
      <c r="E3" s="464"/>
      <c r="F3" s="464"/>
      <c r="G3" s="464"/>
      <c r="H3" s="464"/>
      <c r="I3" s="464" t="s">
        <v>625</v>
      </c>
      <c r="J3" s="464"/>
      <c r="K3" s="464"/>
      <c r="L3" s="464"/>
      <c r="M3" s="464"/>
      <c r="N3" s="464"/>
      <c r="O3" s="463"/>
      <c r="P3" s="548">
        <f>O3*('2-δικαιώμ'!M3+'3-φύλλα2α'!F3)</f>
        <v>0</v>
      </c>
      <c r="Q3" s="404" t="s">
        <v>154</v>
      </c>
      <c r="R3" s="404" t="s">
        <v>153</v>
      </c>
      <c r="S3" s="404"/>
      <c r="T3" s="404"/>
      <c r="U3" s="405"/>
    </row>
    <row r="4" spans="1:21" s="263" customFormat="1" ht="15">
      <c r="A4" s="489" t="str">
        <f>'1-συμβολαια'!A4</f>
        <v>11ο</v>
      </c>
      <c r="B4" s="460" t="str">
        <f>'1-συμβολαια'!C4</f>
        <v>γονική [αγροτεμάχιο Θεολόγος -''βαλανίδια'' 16.832,18μ2</v>
      </c>
      <c r="C4" s="401"/>
      <c r="D4" s="626" t="s">
        <v>624</v>
      </c>
      <c r="E4" s="626"/>
      <c r="F4" s="626"/>
      <c r="G4" s="626"/>
      <c r="H4" s="626"/>
      <c r="I4" s="626" t="s">
        <v>624</v>
      </c>
      <c r="J4" s="315"/>
      <c r="K4" s="315"/>
      <c r="L4" s="315"/>
      <c r="M4" s="315"/>
      <c r="N4" s="315"/>
      <c r="O4" s="401"/>
      <c r="P4" s="328">
        <f>O4*('2-δικαιώμ'!M4+'3-φύλλα2α'!F4)</f>
        <v>0</v>
      </c>
      <c r="Q4" s="331"/>
      <c r="R4" s="331"/>
      <c r="S4" s="331"/>
      <c r="T4" s="331"/>
      <c r="U4" s="332"/>
    </row>
    <row r="5" spans="1:21" s="263" customFormat="1" ht="15.75" thickBot="1">
      <c r="A5" s="490">
        <f>'1-συμβολαια'!A5</f>
        <v>0</v>
      </c>
      <c r="B5" s="494" t="str">
        <f>'1-συμβολαια'!C5</f>
        <v>χρησικτησία = 1961 πατρός ΔΩΡΕΑ άτυπος</v>
      </c>
      <c r="C5" s="495"/>
      <c r="D5" s="625" t="s">
        <v>564</v>
      </c>
      <c r="E5" s="625"/>
      <c r="F5" s="625"/>
      <c r="G5" s="625"/>
      <c r="H5" s="625"/>
      <c r="I5" s="625" t="s">
        <v>624</v>
      </c>
      <c r="J5" s="402"/>
      <c r="K5" s="402"/>
      <c r="L5" s="402"/>
      <c r="M5" s="402"/>
      <c r="N5" s="402"/>
      <c r="O5" s="495"/>
      <c r="P5" s="328">
        <f>O5*('2-δικαιώμ'!M5+'3-φύλλα2α'!F5)</f>
        <v>0</v>
      </c>
      <c r="Q5" s="331"/>
      <c r="R5" s="331"/>
      <c r="S5" s="331"/>
      <c r="T5" s="331"/>
      <c r="U5" s="332"/>
    </row>
    <row r="6" spans="1:21" s="263" customFormat="1" ht="15">
      <c r="A6" s="519" t="str">
        <f>'1-συμβολαια'!A6</f>
        <v>12ο</v>
      </c>
      <c r="B6" s="460" t="str">
        <f>'1-συμβολαια'!C6</f>
        <v>κληρονομιάς ΑΠΟΔΟΧΗ [οικόπεδο 226μ2 ΜΕ 2όροφο οιίκημα 150μ2 &amp; αποθήκη 15μ2 Θεολόγος</v>
      </c>
      <c r="C6" s="401"/>
      <c r="D6" s="626" t="s">
        <v>564</v>
      </c>
      <c r="E6" s="626"/>
      <c r="F6" s="626"/>
      <c r="G6" s="626"/>
      <c r="H6" s="626"/>
      <c r="I6" s="626" t="s">
        <v>624</v>
      </c>
      <c r="J6" s="315"/>
      <c r="K6" s="315"/>
      <c r="L6" s="315"/>
      <c r="M6" s="315"/>
      <c r="N6" s="315"/>
      <c r="O6" s="401"/>
      <c r="P6" s="328">
        <f>O6*('2-δικαιώμ'!M6+'3-φύλλα2α'!F6)</f>
        <v>0</v>
      </c>
      <c r="Q6" s="331"/>
      <c r="R6" s="331"/>
      <c r="S6" s="331"/>
      <c r="T6" s="331"/>
      <c r="U6" s="332"/>
    </row>
    <row r="7" spans="1:21" s="263" customFormat="1" ht="15">
      <c r="A7" s="520">
        <f>'1-συμβολαια'!A7</f>
        <v>0</v>
      </c>
      <c r="B7" s="403" t="str">
        <f>'1-συμβολαια'!C7</f>
        <v>χρησικτησία οικοπέδου &amp; οικήματος = 1950 πατρός ΚΛΗΡΟΝΟΜΙΑ άτυπη</v>
      </c>
      <c r="C7" s="330"/>
      <c r="D7" s="315"/>
      <c r="E7" s="315"/>
      <c r="F7" s="315"/>
      <c r="G7" s="315"/>
      <c r="H7" s="315"/>
      <c r="I7" s="259" t="s">
        <v>564</v>
      </c>
      <c r="J7" s="259"/>
      <c r="K7" s="259"/>
      <c r="L7" s="259"/>
      <c r="M7" s="259"/>
      <c r="N7" s="259"/>
      <c r="O7" s="330"/>
      <c r="P7" s="328">
        <f>O7*('2-δικαιώμ'!M7+'3-φύλλα2α'!F7)</f>
        <v>0</v>
      </c>
      <c r="Q7" s="331"/>
      <c r="R7" s="331"/>
      <c r="S7" s="331"/>
      <c r="T7" s="331"/>
      <c r="U7" s="332"/>
    </row>
    <row r="8" spans="1:21" s="263" customFormat="1" ht="15">
      <c r="A8" s="520">
        <f>'1-συμβολαια'!A8</f>
        <v>0</v>
      </c>
      <c r="B8" s="403" t="str">
        <f>'1-συμβολαια'!C8</f>
        <v>χρησικτησία οικοπέδου &amp; οικήματος = 1950 ΔΙΑΝΟΜΗ άτυπη</v>
      </c>
      <c r="C8" s="330"/>
      <c r="D8" s="259"/>
      <c r="E8" s="259"/>
      <c r="F8" s="259"/>
      <c r="G8" s="259"/>
      <c r="H8" s="259"/>
      <c r="I8" s="259" t="s">
        <v>564</v>
      </c>
      <c r="J8" s="259"/>
      <c r="K8" s="259"/>
      <c r="L8" s="259"/>
      <c r="M8" s="259"/>
      <c r="N8" s="259"/>
      <c r="O8" s="330"/>
      <c r="P8" s="328">
        <f>O8*('2-δικαιώμ'!M8+'3-φύλλα2α'!F8)</f>
        <v>0</v>
      </c>
      <c r="Q8" s="331"/>
      <c r="R8" s="331"/>
      <c r="S8" s="331"/>
      <c r="T8" s="331"/>
      <c r="U8" s="332"/>
    </row>
    <row r="9" spans="1:21" s="263" customFormat="1" ht="15.75" thickBot="1">
      <c r="A9" s="521">
        <f>'1-συμβολαια'!A9</f>
        <v>0</v>
      </c>
      <c r="B9" s="494" t="str">
        <f>'1-συμβολαια'!C9</f>
        <v xml:space="preserve">εξισορόπηση διαφοράς διανεμομένων </v>
      </c>
      <c r="C9" s="495"/>
      <c r="D9" s="402"/>
      <c r="E9" s="402"/>
      <c r="F9" s="402"/>
      <c r="G9" s="402"/>
      <c r="H9" s="402"/>
      <c r="I9" s="625"/>
      <c r="J9" s="402"/>
      <c r="K9" s="402"/>
      <c r="L9" s="402"/>
      <c r="M9" s="402"/>
      <c r="N9" s="402"/>
      <c r="O9" s="495"/>
      <c r="P9" s="328">
        <f>O9*('2-δικαιώμ'!M9+'3-φύλλα2α'!F9)</f>
        <v>0</v>
      </c>
      <c r="Q9" s="331"/>
      <c r="R9" s="331"/>
      <c r="S9" s="331"/>
      <c r="T9" s="331"/>
      <c r="U9" s="332"/>
    </row>
    <row r="10" spans="1:21" s="263" customFormat="1" ht="15">
      <c r="A10" s="445" t="str">
        <f>'1-συμβολαια'!A10</f>
        <v>13ο</v>
      </c>
      <c r="B10" s="460" t="str">
        <f>'1-συμβολαια'!C10</f>
        <v>πληρεξούσιο</v>
      </c>
      <c r="C10" s="401"/>
      <c r="D10" s="627" t="s">
        <v>624</v>
      </c>
      <c r="E10" s="628"/>
      <c r="F10" s="628"/>
      <c r="G10" s="628"/>
      <c r="H10" s="628"/>
      <c r="I10" s="627" t="s">
        <v>624</v>
      </c>
      <c r="J10" s="628"/>
      <c r="K10" s="315"/>
      <c r="L10" s="315"/>
      <c r="M10" s="315"/>
      <c r="N10" s="315"/>
      <c r="O10" s="401"/>
      <c r="P10" s="328">
        <f>O10*('2-δικαιώμ'!M10+'3-φύλλα2α'!F10)</f>
        <v>0</v>
      </c>
      <c r="Q10" s="331"/>
      <c r="R10" s="331"/>
      <c r="S10" s="331"/>
      <c r="T10" s="331"/>
      <c r="U10" s="332"/>
    </row>
    <row r="11" spans="1:21" s="263" customFormat="1" ht="15">
      <c r="A11" s="446" t="str">
        <f>'1-συμβολαια'!A11</f>
        <v>14ο</v>
      </c>
      <c r="B11" s="403" t="str">
        <f>'1-συμβολαια'!C11</f>
        <v>αγοραπωλησία</v>
      </c>
      <c r="C11" s="330"/>
      <c r="D11" s="259" t="s">
        <v>624</v>
      </c>
      <c r="E11" s="259"/>
      <c r="F11" s="259"/>
      <c r="G11" s="259"/>
      <c r="H11" s="259"/>
      <c r="I11" s="259" t="s">
        <v>624</v>
      </c>
      <c r="J11" s="259"/>
      <c r="K11" s="259"/>
      <c r="L11" s="259"/>
      <c r="M11" s="259"/>
      <c r="N11" s="259"/>
      <c r="O11" s="330"/>
      <c r="P11" s="328">
        <f>O11*('2-δικαιώμ'!M11+'3-φύλλα2α'!F11)</f>
        <v>0</v>
      </c>
      <c r="Q11" s="331"/>
      <c r="R11" s="331"/>
      <c r="S11" s="331"/>
      <c r="T11" s="331"/>
      <c r="U11" s="332"/>
    </row>
    <row r="12" spans="1:21" s="263" customFormat="1" ht="15">
      <c r="A12" s="446" t="str">
        <f>'1-συμβολαια'!A12</f>
        <v>15ο</v>
      </c>
      <c r="B12" s="403" t="str">
        <f>'1-συμβολαια'!C12</f>
        <v>δωρεά</v>
      </c>
      <c r="C12" s="330"/>
      <c r="D12" s="259" t="s">
        <v>624</v>
      </c>
      <c r="E12" s="259"/>
      <c r="F12" s="259"/>
      <c r="G12" s="259"/>
      <c r="H12" s="259"/>
      <c r="I12" s="259" t="s">
        <v>624</v>
      </c>
      <c r="J12" s="259"/>
      <c r="K12" s="259"/>
      <c r="L12" s="259"/>
      <c r="M12" s="259"/>
      <c r="N12" s="259"/>
      <c r="O12" s="330"/>
      <c r="P12" s="328">
        <f>O12*('2-δικαιώμ'!M12+'3-φύλλα2α'!F12)</f>
        <v>0</v>
      </c>
      <c r="Q12" s="331"/>
      <c r="R12" s="331"/>
      <c r="S12" s="331"/>
      <c r="T12" s="331"/>
      <c r="U12" s="332"/>
    </row>
    <row r="13" spans="1:21" s="263" customFormat="1" ht="15">
      <c r="A13" s="446" t="str">
        <f>'1-συμβολαια'!A13</f>
        <v>16ο</v>
      </c>
      <c r="B13" s="403" t="str">
        <f>'1-συμβολαια'!C13</f>
        <v>γονική</v>
      </c>
      <c r="C13" s="330"/>
      <c r="D13" s="259" t="s">
        <v>624</v>
      </c>
      <c r="E13" s="259"/>
      <c r="F13" s="259"/>
      <c r="G13" s="259"/>
      <c r="H13" s="259"/>
      <c r="I13" s="259" t="s">
        <v>624</v>
      </c>
      <c r="J13" s="259"/>
      <c r="K13" s="259"/>
      <c r="L13" s="259"/>
      <c r="M13" s="259"/>
      <c r="N13" s="259"/>
      <c r="O13" s="330"/>
      <c r="P13" s="328">
        <f>O13*('2-δικαιώμ'!M13+'3-φύλλα2α'!F13)</f>
        <v>0</v>
      </c>
      <c r="Q13" s="331"/>
      <c r="R13" s="331"/>
      <c r="S13" s="331"/>
      <c r="T13" s="331"/>
      <c r="U13" s="332"/>
    </row>
    <row r="14" spans="1:21" s="263" customFormat="1" ht="15">
      <c r="A14" s="446" t="str">
        <f>'1-συμβολαια'!A14</f>
        <v>17ο</v>
      </c>
      <c r="B14" s="403" t="str">
        <f>'1-συμβολαια'!C14</f>
        <v>δωρεά</v>
      </c>
      <c r="C14" s="330"/>
      <c r="D14" s="259" t="s">
        <v>624</v>
      </c>
      <c r="E14" s="259"/>
      <c r="F14" s="259"/>
      <c r="G14" s="259"/>
      <c r="H14" s="259"/>
      <c r="I14" s="259" t="s">
        <v>624</v>
      </c>
      <c r="J14" s="259" t="s">
        <v>624</v>
      </c>
      <c r="K14" s="259"/>
      <c r="L14" s="259"/>
      <c r="M14" s="259"/>
      <c r="N14" s="259"/>
      <c r="O14" s="330">
        <v>1</v>
      </c>
      <c r="P14" s="328">
        <f>O14*('2-δικαιώμ'!M14+'3-φύλλα2α'!F14)</f>
        <v>68</v>
      </c>
      <c r="Q14" s="331"/>
      <c r="R14" s="331"/>
      <c r="S14" s="331"/>
      <c r="T14" s="331"/>
      <c r="U14" s="332"/>
    </row>
    <row r="15" spans="1:21" s="263" customFormat="1" ht="15">
      <c r="A15" s="446" t="str">
        <f>'1-συμβολαια'!A15</f>
        <v>18ο</v>
      </c>
      <c r="B15" s="403" t="str">
        <f>'1-συμβολαια'!C15</f>
        <v>γονική</v>
      </c>
      <c r="C15" s="330"/>
      <c r="D15" s="259" t="s">
        <v>624</v>
      </c>
      <c r="E15" s="259"/>
      <c r="F15" s="259"/>
      <c r="G15" s="259"/>
      <c r="H15" s="259"/>
      <c r="I15" s="259" t="s">
        <v>624</v>
      </c>
      <c r="J15" s="259" t="s">
        <v>624</v>
      </c>
      <c r="K15" s="259"/>
      <c r="L15" s="259"/>
      <c r="M15" s="259"/>
      <c r="N15" s="259"/>
      <c r="O15" s="330">
        <v>1</v>
      </c>
      <c r="P15" s="328">
        <f>O15*('2-δικαιώμ'!M15+'3-φύλλα2α'!F15)</f>
        <v>68</v>
      </c>
      <c r="Q15" s="331"/>
      <c r="R15" s="331"/>
      <c r="S15" s="331"/>
      <c r="T15" s="331"/>
      <c r="U15" s="332"/>
    </row>
    <row r="16" spans="1:21" s="263" customFormat="1" ht="15">
      <c r="A16" s="446" t="str">
        <f>'1-συμβολαια'!A16</f>
        <v>19ο</v>
      </c>
      <c r="B16" s="403" t="str">
        <f>'1-συμβολαια'!C16</f>
        <v>σύσταση δουλείας</v>
      </c>
      <c r="C16" s="330"/>
      <c r="D16" s="259" t="s">
        <v>624</v>
      </c>
      <c r="E16" s="259"/>
      <c r="F16" s="259"/>
      <c r="G16" s="259"/>
      <c r="H16" s="259"/>
      <c r="I16" s="259" t="s">
        <v>624</v>
      </c>
      <c r="J16" s="259" t="s">
        <v>624</v>
      </c>
      <c r="K16" s="259"/>
      <c r="L16" s="259"/>
      <c r="M16" s="259"/>
      <c r="N16" s="259"/>
      <c r="O16" s="330">
        <v>2</v>
      </c>
      <c r="P16" s="328">
        <f>O16*('2-δικαιώμ'!M16+'3-φύλλα2α'!F16)</f>
        <v>112</v>
      </c>
      <c r="Q16" s="331"/>
      <c r="R16" s="331"/>
      <c r="S16" s="331"/>
      <c r="T16" s="331"/>
      <c r="U16" s="332"/>
    </row>
    <row r="17" spans="1:25" s="263" customFormat="1" ht="15">
      <c r="A17" s="446" t="str">
        <f>'1-συμβολαια'!A17</f>
        <v>20ο</v>
      </c>
      <c r="B17" s="403" t="str">
        <f>'1-συμβολαια'!C17</f>
        <v>σύσταση δουλείας</v>
      </c>
      <c r="C17" s="330"/>
      <c r="D17" s="259" t="s">
        <v>624</v>
      </c>
      <c r="E17" s="259"/>
      <c r="F17" s="259"/>
      <c r="G17" s="259"/>
      <c r="H17" s="259"/>
      <c r="I17" s="259" t="s">
        <v>624</v>
      </c>
      <c r="J17" s="259" t="s">
        <v>624</v>
      </c>
      <c r="K17" s="259"/>
      <c r="L17" s="259"/>
      <c r="M17" s="259"/>
      <c r="N17" s="259"/>
      <c r="O17" s="330">
        <v>2</v>
      </c>
      <c r="P17" s="328">
        <f>O17*('2-δικαιώμ'!M17+'3-φύλλα2α'!F17)</f>
        <v>76</v>
      </c>
      <c r="Q17" s="331"/>
      <c r="R17" s="331"/>
      <c r="S17" s="331"/>
      <c r="T17" s="331"/>
      <c r="U17" s="332"/>
    </row>
    <row r="18" spans="1:25" s="263" customFormat="1" ht="15">
      <c r="A18" s="446" t="str">
        <f>'1-συμβολαια'!A18</f>
        <v>21ο</v>
      </c>
      <c r="B18" s="403" t="str">
        <f>'1-συμβολαια'!C18</f>
        <v>χρήσης ακινήτου ΚΑΝΟΝΙΣΜΟΣ</v>
      </c>
      <c r="C18" s="330"/>
      <c r="D18" s="259" t="s">
        <v>624</v>
      </c>
      <c r="E18" s="259" t="s">
        <v>624</v>
      </c>
      <c r="F18" s="259" t="s">
        <v>624</v>
      </c>
      <c r="G18" s="259"/>
      <c r="H18" s="259"/>
      <c r="I18" s="259"/>
      <c r="J18" s="259"/>
      <c r="K18" s="259"/>
      <c r="L18" s="259"/>
      <c r="M18" s="259"/>
      <c r="N18" s="259"/>
      <c r="O18" s="330">
        <v>2</v>
      </c>
      <c r="P18" s="328">
        <f>O18*('2-δικαιώμ'!M18+'3-φύλλα2α'!F18)</f>
        <v>136</v>
      </c>
      <c r="Q18" s="331"/>
      <c r="R18" s="331"/>
      <c r="S18" s="331"/>
      <c r="T18" s="331"/>
      <c r="U18" s="332"/>
    </row>
    <row r="19" spans="1:25" ht="15.75">
      <c r="A19" s="694" t="s">
        <v>47</v>
      </c>
      <c r="B19" s="695"/>
      <c r="C19" s="695"/>
      <c r="D19" s="695"/>
      <c r="E19" s="695"/>
      <c r="F19" s="695"/>
      <c r="G19" s="695"/>
      <c r="H19" s="695"/>
      <c r="I19" s="695"/>
      <c r="J19" s="695"/>
      <c r="K19" s="695"/>
      <c r="L19" s="695"/>
      <c r="M19" s="695"/>
      <c r="N19" s="695"/>
      <c r="O19" s="695"/>
      <c r="P19" s="447">
        <f>SUM(P3:P18)</f>
        <v>460</v>
      </c>
    </row>
    <row r="21" spans="1:25" ht="15.75">
      <c r="Q21" s="155" t="s">
        <v>150</v>
      </c>
      <c r="R21" s="125"/>
      <c r="S21" s="125"/>
      <c r="T21" s="125"/>
      <c r="U21" s="125"/>
      <c r="V21" s="125"/>
      <c r="W21" s="125"/>
      <c r="X21" s="125"/>
      <c r="Y21" s="115"/>
    </row>
    <row r="22" spans="1:25" ht="15.75">
      <c r="R22" s="138" t="s">
        <v>151</v>
      </c>
      <c r="S22" s="138"/>
      <c r="T22" s="138"/>
      <c r="U22" s="138"/>
      <c r="V22" s="138"/>
      <c r="W22" s="138"/>
      <c r="X22" s="138"/>
    </row>
    <row r="23" spans="1:25" ht="15.75">
      <c r="S23" s="155" t="s">
        <v>152</v>
      </c>
    </row>
    <row r="26" spans="1:25">
      <c r="B26" s="222"/>
    </row>
    <row r="27" spans="1:25">
      <c r="B27" s="221"/>
    </row>
  </sheetData>
  <mergeCells count="8">
    <mergeCell ref="Q1:U2"/>
    <mergeCell ref="A19:O1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132"/>
  <sheetViews>
    <sheetView workbookViewId="0">
      <pane ySplit="2" topLeftCell="A3" activePane="bottomLeft" state="frozen"/>
      <selection pane="bottomLeft" activeCell="H40" sqref="H40"/>
    </sheetView>
  </sheetViews>
  <sheetFormatPr defaultRowHeight="11.25"/>
  <cols>
    <col min="1" max="1" width="10.28515625" style="8" customWidth="1"/>
    <col min="2" max="2" width="54.140625" style="92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9.28515625" style="2" customWidth="1"/>
    <col min="9" max="9" width="8.5703125" style="2" customWidth="1"/>
    <col min="10" max="10" width="8.42578125" style="2" customWidth="1"/>
    <col min="11" max="11" width="8.28515625" style="2" customWidth="1"/>
    <col min="12" max="12" width="6.85546875" style="2" customWidth="1"/>
    <col min="13" max="13" width="8.28515625" style="2" customWidth="1"/>
    <col min="14" max="14" width="10.5703125" style="2" customWidth="1"/>
    <col min="15" max="15" width="7.85546875" style="2" customWidth="1"/>
    <col min="16" max="16" width="10.28515625" style="2" customWidth="1"/>
    <col min="17" max="17" width="13.28515625" style="2" customWidth="1"/>
    <col min="18" max="18" width="8.28515625" style="343" customWidth="1"/>
    <col min="19" max="19" width="7.28515625" style="343" customWidth="1"/>
    <col min="20" max="20" width="8.7109375" style="343" customWidth="1"/>
    <col min="21" max="21" width="7.28515625" style="343" customWidth="1"/>
    <col min="22" max="22" width="8.85546875" style="343" customWidth="1"/>
    <col min="23" max="23" width="7.140625" style="343" customWidth="1"/>
    <col min="24" max="24" width="6.28515625" style="343" customWidth="1"/>
    <col min="25" max="25" width="5.85546875" style="343" customWidth="1"/>
    <col min="26" max="26" width="6.42578125" style="343" customWidth="1"/>
    <col min="27" max="27" width="6.7109375" style="343" customWidth="1"/>
    <col min="28" max="28" width="6.42578125" style="343" customWidth="1"/>
    <col min="29" max="30" width="6.28515625" style="343" customWidth="1"/>
    <col min="31" max="32" width="7.5703125" style="343" customWidth="1"/>
    <col min="33" max="38" width="6.28515625" style="343" customWidth="1"/>
    <col min="39" max="39" width="7.5703125" style="343" customWidth="1"/>
    <col min="40" max="40" width="11.7109375" style="34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38" t="s">
        <v>1</v>
      </c>
      <c r="B1" s="704" t="s">
        <v>0</v>
      </c>
      <c r="C1" s="644" t="s">
        <v>7</v>
      </c>
      <c r="D1" s="706" t="s">
        <v>3</v>
      </c>
      <c r="E1" s="707"/>
      <c r="F1" s="708" t="s">
        <v>483</v>
      </c>
      <c r="G1" s="709"/>
      <c r="H1" s="709"/>
      <c r="I1" s="709"/>
      <c r="J1" s="709"/>
      <c r="K1" s="709"/>
      <c r="L1" s="710"/>
      <c r="M1" s="711" t="s">
        <v>402</v>
      </c>
      <c r="N1" s="712"/>
      <c r="O1" s="713" t="s">
        <v>266</v>
      </c>
      <c r="P1" s="714"/>
      <c r="Q1" s="715" t="s">
        <v>401</v>
      </c>
      <c r="R1" s="703" t="s">
        <v>179</v>
      </c>
      <c r="S1" s="703"/>
      <c r="T1" s="703"/>
      <c r="U1" s="703"/>
      <c r="V1" s="703"/>
      <c r="W1" s="703"/>
      <c r="X1" s="703"/>
      <c r="Y1" s="703"/>
      <c r="Z1" s="703"/>
      <c r="AA1" s="703"/>
      <c r="AB1" s="703"/>
      <c r="AC1" s="703"/>
      <c r="AD1" s="703"/>
      <c r="AE1" s="703"/>
      <c r="AF1" s="703"/>
      <c r="AG1" s="703"/>
      <c r="AH1" s="703"/>
      <c r="AI1" s="703"/>
      <c r="AJ1" s="703"/>
      <c r="AK1" s="703"/>
      <c r="AL1" s="703"/>
      <c r="AM1" s="703"/>
      <c r="AN1" s="703"/>
      <c r="AO1" s="703"/>
    </row>
    <row r="2" spans="1:41" ht="23.25" thickBot="1">
      <c r="A2" s="639"/>
      <c r="B2" s="705"/>
      <c r="C2" s="645"/>
      <c r="D2" s="160" t="s">
        <v>4</v>
      </c>
      <c r="E2" s="146" t="s">
        <v>9</v>
      </c>
      <c r="F2" s="225" t="s">
        <v>4</v>
      </c>
      <c r="G2" s="161" t="s">
        <v>9</v>
      </c>
      <c r="H2" s="144" t="s">
        <v>47</v>
      </c>
      <c r="I2" s="224" t="s">
        <v>9</v>
      </c>
      <c r="J2" s="206" t="s">
        <v>364</v>
      </c>
      <c r="K2" s="206" t="s">
        <v>381</v>
      </c>
      <c r="L2" s="208" t="s">
        <v>366</v>
      </c>
      <c r="M2" s="224" t="s">
        <v>23</v>
      </c>
      <c r="N2" s="226" t="s">
        <v>88</v>
      </c>
      <c r="O2" s="224" t="s">
        <v>23</v>
      </c>
      <c r="P2" s="220" t="s">
        <v>9</v>
      </c>
      <c r="Q2" s="716"/>
      <c r="R2" s="336" t="s">
        <v>131</v>
      </c>
      <c r="S2" s="336" t="s">
        <v>177</v>
      </c>
      <c r="T2" s="336" t="s">
        <v>132</v>
      </c>
      <c r="U2" s="336" t="s">
        <v>268</v>
      </c>
      <c r="V2" s="336" t="s">
        <v>133</v>
      </c>
      <c r="W2" s="336" t="s">
        <v>269</v>
      </c>
      <c r="X2" s="336" t="s">
        <v>155</v>
      </c>
      <c r="Y2" s="336" t="s">
        <v>178</v>
      </c>
      <c r="Z2" s="336" t="s">
        <v>156</v>
      </c>
      <c r="AA2" s="336" t="s">
        <v>270</v>
      </c>
      <c r="AB2" s="336" t="s">
        <v>157</v>
      </c>
      <c r="AC2" s="336" t="s">
        <v>271</v>
      </c>
      <c r="AD2" s="336" t="s">
        <v>158</v>
      </c>
      <c r="AE2" s="336" t="s">
        <v>284</v>
      </c>
      <c r="AF2" s="336" t="s">
        <v>285</v>
      </c>
      <c r="AG2" s="337" t="s">
        <v>286</v>
      </c>
      <c r="AH2" s="337" t="s">
        <v>287</v>
      </c>
      <c r="AI2" s="337" t="s">
        <v>288</v>
      </c>
      <c r="AJ2" s="336" t="s">
        <v>447</v>
      </c>
      <c r="AK2" s="336" t="s">
        <v>448</v>
      </c>
      <c r="AL2" s="336"/>
      <c r="AM2" s="338" t="s">
        <v>92</v>
      </c>
      <c r="AN2" s="339" t="s">
        <v>47</v>
      </c>
      <c r="AO2" s="243" t="s">
        <v>29</v>
      </c>
    </row>
    <row r="3" spans="1:41" s="5" customFormat="1" ht="12" thickBot="1">
      <c r="A3" s="472" t="str">
        <f>'1-συμβολαια'!A3</f>
        <v>10ο</v>
      </c>
      <c r="B3" s="473" t="str">
        <f>'1-συμβολαια'!C3</f>
        <v>πληρεξούσιο</v>
      </c>
      <c r="C3" s="458">
        <f>'1-συμβολαια'!D3</f>
        <v>0</v>
      </c>
      <c r="D3" s="474">
        <f>'3-φύλλα2α'!D3</f>
        <v>3</v>
      </c>
      <c r="E3" s="474">
        <f>'3-φύλλα2α'!E3</f>
        <v>3</v>
      </c>
      <c r="F3" s="475">
        <v>1</v>
      </c>
      <c r="G3" s="476"/>
      <c r="H3" s="459">
        <f t="shared" ref="H3" si="0">F3*D3*5</f>
        <v>15</v>
      </c>
      <c r="I3" s="477">
        <f>E3*G3*4</f>
        <v>0</v>
      </c>
      <c r="J3" s="478">
        <f t="shared" ref="J3" si="1">H3*5%</f>
        <v>0.75</v>
      </c>
      <c r="K3" s="478">
        <f t="shared" ref="K3" si="2">H3*5%</f>
        <v>0.75</v>
      </c>
      <c r="L3" s="478">
        <f t="shared" ref="L3" si="3">H3*1%</f>
        <v>0.15</v>
      </c>
      <c r="M3" s="478">
        <f t="shared" ref="M3" si="4">H3-O3</f>
        <v>13.35</v>
      </c>
      <c r="N3" s="478">
        <f t="shared" ref="N3" si="5">I3-P3</f>
        <v>0</v>
      </c>
      <c r="O3" s="478">
        <f t="shared" ref="O3" si="6">J3+K3+L3</f>
        <v>1.65</v>
      </c>
      <c r="P3" s="478">
        <f t="shared" ref="P3" si="7">I3*11%</f>
        <v>0</v>
      </c>
      <c r="Q3" s="459">
        <f t="shared" ref="Q3" si="8">O3-P3</f>
        <v>1.65</v>
      </c>
      <c r="R3" s="551"/>
      <c r="S3" s="551"/>
      <c r="T3" s="551"/>
      <c r="U3" s="551"/>
      <c r="V3" s="551"/>
      <c r="W3" s="551"/>
      <c r="X3" s="551"/>
      <c r="Y3" s="551"/>
      <c r="Z3" s="551"/>
      <c r="AA3" s="551"/>
      <c r="AB3" s="551"/>
      <c r="AC3" s="551"/>
      <c r="AD3" s="551"/>
      <c r="AE3" s="551"/>
      <c r="AF3" s="551"/>
      <c r="AG3" s="552"/>
      <c r="AH3" s="552"/>
      <c r="AI3" s="552"/>
      <c r="AJ3" s="551"/>
      <c r="AK3" s="551"/>
      <c r="AL3" s="551"/>
      <c r="AM3" s="551">
        <f t="shared" ref="AM3" si="9">U3+Y3+AA3+AI3+AK3</f>
        <v>0</v>
      </c>
      <c r="AN3" s="551">
        <f t="shared" ref="AN3" si="10">R3+S3+T3+V3+W3+X3+Z3+AB3+AC3+AD3+AE3+AF3+AG3+AH3+AJ3+AL3</f>
        <v>0</v>
      </c>
      <c r="AO3" s="553"/>
    </row>
    <row r="4" spans="1:41" s="5" customFormat="1">
      <c r="A4" s="496" t="str">
        <f>'1-συμβολαια'!A4</f>
        <v>11ο</v>
      </c>
      <c r="B4" s="361" t="str">
        <f>'1-συμβολαια'!C4</f>
        <v>γονική [αγροτεμάχιο Θεολόγος -''βαλανίδια'' 16.832,18μ2</v>
      </c>
      <c r="C4" s="316">
        <f>'1-συμβολαια'!D4</f>
        <v>4165.96</v>
      </c>
      <c r="D4" s="406">
        <f>'3-φύλλα2α'!D4</f>
        <v>5</v>
      </c>
      <c r="E4" s="406">
        <f>'3-φύλλα2α'!E4</f>
        <v>5</v>
      </c>
      <c r="F4" s="408">
        <v>2</v>
      </c>
      <c r="G4" s="408">
        <v>2</v>
      </c>
      <c r="H4" s="311">
        <f t="shared" ref="H4" si="11">F4*D4*5</f>
        <v>50</v>
      </c>
      <c r="I4" s="409">
        <f t="shared" ref="I4" si="12">E4*G4*5</f>
        <v>50</v>
      </c>
      <c r="J4" s="409">
        <f t="shared" ref="J4" si="13">H4*5%</f>
        <v>2.5</v>
      </c>
      <c r="K4" s="409">
        <f t="shared" ref="K4" si="14">H4*5%</f>
        <v>2.5</v>
      </c>
      <c r="L4" s="409">
        <f t="shared" ref="L4" si="15">H4*1%</f>
        <v>0.5</v>
      </c>
      <c r="M4" s="409">
        <f t="shared" ref="M4" si="16">H4-O4</f>
        <v>44.5</v>
      </c>
      <c r="N4" s="409">
        <f t="shared" ref="N4" si="17">I4-P4</f>
        <v>44.5</v>
      </c>
      <c r="O4" s="409">
        <f t="shared" ref="O4" si="18">J4+K4+L4</f>
        <v>5.5</v>
      </c>
      <c r="P4" s="409">
        <f t="shared" ref="P4" si="19">I4*11%</f>
        <v>5.5</v>
      </c>
      <c r="Q4" s="409">
        <f t="shared" ref="Q4" si="20">O4-P4</f>
        <v>0</v>
      </c>
      <c r="R4" s="432">
        <v>15</v>
      </c>
      <c r="S4" s="432">
        <v>5</v>
      </c>
      <c r="T4" s="432">
        <v>15</v>
      </c>
      <c r="U4" s="432">
        <v>1.98</v>
      </c>
      <c r="V4" s="432">
        <v>15</v>
      </c>
      <c r="W4" s="432">
        <v>5</v>
      </c>
      <c r="X4" s="432"/>
      <c r="Y4" s="432"/>
      <c r="Z4" s="432"/>
      <c r="AA4" s="432"/>
      <c r="AB4" s="432"/>
      <c r="AC4" s="432"/>
      <c r="AD4" s="432"/>
      <c r="AE4" s="432"/>
      <c r="AF4" s="432"/>
      <c r="AG4" s="549"/>
      <c r="AH4" s="549"/>
      <c r="AI4" s="549"/>
      <c r="AJ4" s="432"/>
      <c r="AK4" s="432"/>
      <c r="AL4" s="432"/>
      <c r="AM4" s="432">
        <f t="shared" ref="AM4" si="21">U4+Y4+AA4+AI4+AK4</f>
        <v>1.98</v>
      </c>
      <c r="AN4" s="432">
        <f t="shared" ref="AN4" si="22">R4+S4+T4+V4+W4+X4+Z4+AB4+AC4+AD4+AE4+AF4+AG4+AH4+AJ4+AL4</f>
        <v>55</v>
      </c>
      <c r="AO4" s="412"/>
    </row>
    <row r="5" spans="1:41" s="5" customFormat="1" ht="12" thickBot="1">
      <c r="A5" s="497">
        <f>'1-συμβολαια'!A5</f>
        <v>0</v>
      </c>
      <c r="B5" s="407" t="str">
        <f>'1-συμβολαια'!C5</f>
        <v>χρησικτησία = 1961 πατρός ΔΩΡΕΑ άτυπος</v>
      </c>
      <c r="C5" s="388">
        <f>'1-συμβολαια'!D5</f>
        <v>4165.96</v>
      </c>
      <c r="D5" s="498">
        <f>'3-φύλλα2α'!D5</f>
        <v>5</v>
      </c>
      <c r="E5" s="498">
        <f>'3-φύλλα2α'!E5</f>
        <v>0</v>
      </c>
      <c r="F5" s="499"/>
      <c r="G5" s="499"/>
      <c r="H5" s="389">
        <f t="shared" ref="H5:H18" si="23">F5*D5*5</f>
        <v>0</v>
      </c>
      <c r="I5" s="500">
        <f t="shared" ref="I5:I18" si="24">E5*G5*5</f>
        <v>0</v>
      </c>
      <c r="J5" s="500">
        <f t="shared" ref="J5:J18" si="25">H5*5%</f>
        <v>0</v>
      </c>
      <c r="K5" s="500">
        <f t="shared" ref="K5:K18" si="26">H5*5%</f>
        <v>0</v>
      </c>
      <c r="L5" s="500">
        <f t="shared" ref="L5:L18" si="27">H5*1%</f>
        <v>0</v>
      </c>
      <c r="M5" s="500">
        <f t="shared" ref="M5:M18" si="28">H5-O5</f>
        <v>0</v>
      </c>
      <c r="N5" s="500">
        <f t="shared" ref="N5:N18" si="29">I5-P5</f>
        <v>0</v>
      </c>
      <c r="O5" s="500">
        <f t="shared" ref="O5:O18" si="30">J5+K5+L5</f>
        <v>0</v>
      </c>
      <c r="P5" s="500">
        <f t="shared" ref="P5:P18" si="31">I5*11%</f>
        <v>0</v>
      </c>
      <c r="Q5" s="389">
        <f t="shared" ref="Q5:Q18" si="32">O5-P5</f>
        <v>0</v>
      </c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5"/>
      <c r="AH5" s="555"/>
      <c r="AI5" s="555"/>
      <c r="AJ5" s="554"/>
      <c r="AK5" s="554"/>
      <c r="AL5" s="554"/>
      <c r="AM5" s="554">
        <f t="shared" ref="AM5:AM18" si="33">U5+Y5+AA5+AI5+AK5</f>
        <v>0</v>
      </c>
      <c r="AN5" s="554">
        <f t="shared" ref="AN5:AN18" si="34">R5+S5+T5+V5+W5+X5+Z5+AB5+AC5+AD5+AE5+AF5+AG5+AH5+AJ5+AL5</f>
        <v>0</v>
      </c>
      <c r="AO5" s="556"/>
    </row>
    <row r="6" spans="1:41" s="5" customFormat="1">
      <c r="A6" s="517" t="str">
        <f>'1-συμβολαια'!A6</f>
        <v>12ο</v>
      </c>
      <c r="B6" s="361" t="str">
        <f>'1-συμβολαια'!C6</f>
        <v>κληρονομιάς ΑΠΟΔΟΧΗ [οικόπεδο 226μ2 ΜΕ 2όροφο οιίκημα 150μ2 &amp; αποθήκη 15μ2 Θεολόγος</v>
      </c>
      <c r="C6" s="316">
        <f>'1-συμβολαια'!D6</f>
        <v>0</v>
      </c>
      <c r="D6" s="406">
        <f>'3-φύλλα2α'!D6</f>
        <v>3</v>
      </c>
      <c r="E6" s="406">
        <f>'3-φύλλα2α'!E6</f>
        <v>3</v>
      </c>
      <c r="F6" s="408">
        <v>1</v>
      </c>
      <c r="G6" s="408">
        <v>1</v>
      </c>
      <c r="H6" s="311">
        <f t="shared" si="23"/>
        <v>15</v>
      </c>
      <c r="I6" s="409">
        <f t="shared" si="24"/>
        <v>15</v>
      </c>
      <c r="J6" s="409">
        <f t="shared" si="25"/>
        <v>0.75</v>
      </c>
      <c r="K6" s="409">
        <f t="shared" si="26"/>
        <v>0.75</v>
      </c>
      <c r="L6" s="409">
        <f t="shared" si="27"/>
        <v>0.15</v>
      </c>
      <c r="M6" s="409">
        <f t="shared" si="28"/>
        <v>13.35</v>
      </c>
      <c r="N6" s="409">
        <f t="shared" si="29"/>
        <v>13.35</v>
      </c>
      <c r="O6" s="409">
        <f t="shared" si="30"/>
        <v>1.65</v>
      </c>
      <c r="P6" s="409">
        <f t="shared" si="31"/>
        <v>1.65</v>
      </c>
      <c r="Q6" s="409">
        <f t="shared" si="32"/>
        <v>0</v>
      </c>
      <c r="R6" s="432">
        <v>15</v>
      </c>
      <c r="S6" s="432">
        <v>5</v>
      </c>
      <c r="T6" s="432">
        <v>15</v>
      </c>
      <c r="U6" s="432">
        <v>1.98</v>
      </c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549"/>
      <c r="AH6" s="549"/>
      <c r="AI6" s="549"/>
      <c r="AJ6" s="432"/>
      <c r="AK6" s="432"/>
      <c r="AL6" s="432"/>
      <c r="AM6" s="432">
        <f t="shared" si="33"/>
        <v>1.98</v>
      </c>
      <c r="AN6" s="432">
        <f t="shared" si="34"/>
        <v>35</v>
      </c>
      <c r="AO6" s="412"/>
    </row>
    <row r="7" spans="1:41" s="5" customFormat="1">
      <c r="A7" s="529">
        <f>'1-συμβολαια'!A7</f>
        <v>0</v>
      </c>
      <c r="B7" s="314" t="str">
        <f>'1-συμβολαια'!C7</f>
        <v>χρησικτησία οικοπέδου &amp; οικήματος = 1950 πατρός ΚΛΗΡΟΝΟΜΙΑ άτυπη</v>
      </c>
      <c r="C7" s="316">
        <f>'1-συμβολαια'!D7</f>
        <v>6629.4</v>
      </c>
      <c r="D7" s="333">
        <f>'3-φύλλα2α'!D7</f>
        <v>3</v>
      </c>
      <c r="E7" s="333">
        <f>'3-φύλλα2α'!E7</f>
        <v>0</v>
      </c>
      <c r="F7" s="373"/>
      <c r="G7" s="373"/>
      <c r="H7" s="310">
        <f t="shared" si="23"/>
        <v>0</v>
      </c>
      <c r="I7" s="334">
        <f t="shared" si="24"/>
        <v>0</v>
      </c>
      <c r="J7" s="334">
        <f t="shared" si="25"/>
        <v>0</v>
      </c>
      <c r="K7" s="334">
        <f t="shared" si="26"/>
        <v>0</v>
      </c>
      <c r="L7" s="334">
        <f t="shared" si="27"/>
        <v>0</v>
      </c>
      <c r="M7" s="334">
        <f t="shared" si="28"/>
        <v>0</v>
      </c>
      <c r="N7" s="334">
        <f t="shared" si="29"/>
        <v>0</v>
      </c>
      <c r="O7" s="334">
        <f t="shared" si="30"/>
        <v>0</v>
      </c>
      <c r="P7" s="334">
        <f t="shared" si="31"/>
        <v>0</v>
      </c>
      <c r="Q7" s="334">
        <f t="shared" si="32"/>
        <v>0</v>
      </c>
      <c r="R7" s="441"/>
      <c r="S7" s="441"/>
      <c r="T7" s="441"/>
      <c r="U7" s="441"/>
      <c r="V7" s="441"/>
      <c r="W7" s="441"/>
      <c r="X7" s="441"/>
      <c r="Y7" s="441"/>
      <c r="Z7" s="441"/>
      <c r="AA7" s="441"/>
      <c r="AB7" s="441"/>
      <c r="AC7" s="441"/>
      <c r="AD7" s="441"/>
      <c r="AE7" s="441"/>
      <c r="AF7" s="441"/>
      <c r="AG7" s="549"/>
      <c r="AH7" s="549"/>
      <c r="AI7" s="549"/>
      <c r="AJ7" s="432"/>
      <c r="AK7" s="432"/>
      <c r="AL7" s="432"/>
      <c r="AM7" s="432">
        <f t="shared" si="33"/>
        <v>0</v>
      </c>
      <c r="AN7" s="432">
        <f t="shared" si="34"/>
        <v>0</v>
      </c>
      <c r="AO7" s="262"/>
    </row>
    <row r="8" spans="1:41" s="5" customFormat="1">
      <c r="A8" s="529">
        <f>'1-συμβολαια'!A8</f>
        <v>0</v>
      </c>
      <c r="B8" s="314" t="str">
        <f>'1-συμβολαια'!C8</f>
        <v>χρησικτησία οικοπέδου &amp; οικήματος = 1950 ΔΙΑΝΟΜΗ άτυπη</v>
      </c>
      <c r="C8" s="316">
        <f>'1-συμβολαια'!D8</f>
        <v>11396.88</v>
      </c>
      <c r="D8" s="333">
        <f>'3-φύλλα2α'!D8</f>
        <v>3</v>
      </c>
      <c r="E8" s="333">
        <f>'3-φύλλα2α'!E8</f>
        <v>0</v>
      </c>
      <c r="F8" s="373"/>
      <c r="G8" s="373"/>
      <c r="H8" s="310">
        <f t="shared" si="23"/>
        <v>0</v>
      </c>
      <c r="I8" s="334">
        <f t="shared" si="24"/>
        <v>0</v>
      </c>
      <c r="J8" s="334">
        <f t="shared" si="25"/>
        <v>0</v>
      </c>
      <c r="K8" s="334">
        <f t="shared" si="26"/>
        <v>0</v>
      </c>
      <c r="L8" s="334">
        <f t="shared" si="27"/>
        <v>0</v>
      </c>
      <c r="M8" s="334">
        <f t="shared" si="28"/>
        <v>0</v>
      </c>
      <c r="N8" s="334">
        <f t="shared" si="29"/>
        <v>0</v>
      </c>
      <c r="O8" s="334">
        <f t="shared" si="30"/>
        <v>0</v>
      </c>
      <c r="P8" s="334">
        <f t="shared" si="31"/>
        <v>0</v>
      </c>
      <c r="Q8" s="334">
        <f t="shared" si="32"/>
        <v>0</v>
      </c>
      <c r="R8" s="441"/>
      <c r="S8" s="441"/>
      <c r="T8" s="441"/>
      <c r="U8" s="441"/>
      <c r="V8" s="441">
        <v>15</v>
      </c>
      <c r="W8" s="441">
        <v>5</v>
      </c>
      <c r="X8" s="441"/>
      <c r="Y8" s="441"/>
      <c r="Z8" s="441"/>
      <c r="AA8" s="441"/>
      <c r="AB8" s="441"/>
      <c r="AC8" s="441"/>
      <c r="AD8" s="441"/>
      <c r="AE8" s="441"/>
      <c r="AF8" s="441"/>
      <c r="AG8" s="549"/>
      <c r="AH8" s="549"/>
      <c r="AI8" s="549"/>
      <c r="AJ8" s="432"/>
      <c r="AK8" s="432"/>
      <c r="AL8" s="432"/>
      <c r="AM8" s="432">
        <f t="shared" si="33"/>
        <v>0</v>
      </c>
      <c r="AN8" s="432">
        <f t="shared" si="34"/>
        <v>20</v>
      </c>
      <c r="AO8" s="262"/>
    </row>
    <row r="9" spans="1:41" s="5" customFormat="1" ht="12" thickBot="1">
      <c r="A9" s="530">
        <f>'1-συμβολαια'!A9</f>
        <v>0</v>
      </c>
      <c r="B9" s="407" t="str">
        <f>'1-συμβολαια'!C9</f>
        <v xml:space="preserve">εξισορόπηση διαφοράς διανεμομένων </v>
      </c>
      <c r="C9" s="388">
        <f>'1-συμβολαια'!D9</f>
        <v>930.96</v>
      </c>
      <c r="D9" s="498">
        <f>'3-φύλλα2α'!D9</f>
        <v>3</v>
      </c>
      <c r="E9" s="498">
        <f>'3-φύλλα2α'!E9</f>
        <v>0</v>
      </c>
      <c r="F9" s="499"/>
      <c r="G9" s="499"/>
      <c r="H9" s="389">
        <f t="shared" si="23"/>
        <v>0</v>
      </c>
      <c r="I9" s="500">
        <f t="shared" si="24"/>
        <v>0</v>
      </c>
      <c r="J9" s="500">
        <f t="shared" si="25"/>
        <v>0</v>
      </c>
      <c r="K9" s="500">
        <f t="shared" si="26"/>
        <v>0</v>
      </c>
      <c r="L9" s="500">
        <f t="shared" si="27"/>
        <v>0</v>
      </c>
      <c r="M9" s="500">
        <f t="shared" si="28"/>
        <v>0</v>
      </c>
      <c r="N9" s="500">
        <f t="shared" si="29"/>
        <v>0</v>
      </c>
      <c r="O9" s="500">
        <f t="shared" si="30"/>
        <v>0</v>
      </c>
      <c r="P9" s="500">
        <f t="shared" si="31"/>
        <v>0</v>
      </c>
      <c r="Q9" s="389">
        <f t="shared" si="32"/>
        <v>0</v>
      </c>
      <c r="R9" s="554"/>
      <c r="S9" s="554"/>
      <c r="T9" s="554"/>
      <c r="U9" s="554"/>
      <c r="V9" s="554"/>
      <c r="W9" s="554"/>
      <c r="X9" s="554"/>
      <c r="Y9" s="554"/>
      <c r="Z9" s="554"/>
      <c r="AA9" s="554"/>
      <c r="AB9" s="554"/>
      <c r="AC9" s="554"/>
      <c r="AD9" s="554"/>
      <c r="AE9" s="554"/>
      <c r="AF9" s="554"/>
      <c r="AG9" s="555"/>
      <c r="AH9" s="555"/>
      <c r="AI9" s="555"/>
      <c r="AJ9" s="554"/>
      <c r="AK9" s="554"/>
      <c r="AL9" s="554"/>
      <c r="AM9" s="554">
        <f t="shared" si="33"/>
        <v>0</v>
      </c>
      <c r="AN9" s="554">
        <f t="shared" si="34"/>
        <v>0</v>
      </c>
      <c r="AO9" s="556"/>
    </row>
    <row r="10" spans="1:41" s="5" customFormat="1">
      <c r="A10" s="469" t="str">
        <f>'1-συμβολαια'!A10</f>
        <v>13ο</v>
      </c>
      <c r="B10" s="361" t="str">
        <f>'1-συμβολαια'!C10</f>
        <v>πληρεξούσιο</v>
      </c>
      <c r="C10" s="316">
        <f>'1-συμβολαια'!D10</f>
        <v>0</v>
      </c>
      <c r="D10" s="406">
        <f>'3-φύλλα2α'!D10</f>
        <v>3</v>
      </c>
      <c r="E10" s="406">
        <f>'3-φύλλα2α'!E10</f>
        <v>3</v>
      </c>
      <c r="F10" s="408">
        <v>1</v>
      </c>
      <c r="G10" s="540"/>
      <c r="H10" s="541">
        <f t="shared" si="23"/>
        <v>15</v>
      </c>
      <c r="I10" s="542">
        <f>E10*G10*4</f>
        <v>0</v>
      </c>
      <c r="J10" s="409">
        <f t="shared" si="25"/>
        <v>0.75</v>
      </c>
      <c r="K10" s="409">
        <f t="shared" si="26"/>
        <v>0.75</v>
      </c>
      <c r="L10" s="409">
        <f t="shared" si="27"/>
        <v>0.15</v>
      </c>
      <c r="M10" s="409">
        <f t="shared" si="28"/>
        <v>13.35</v>
      </c>
      <c r="N10" s="409">
        <f t="shared" si="29"/>
        <v>0</v>
      </c>
      <c r="O10" s="409">
        <f t="shared" si="30"/>
        <v>1.65</v>
      </c>
      <c r="P10" s="409">
        <f t="shared" si="31"/>
        <v>0</v>
      </c>
      <c r="Q10" s="409">
        <f t="shared" si="32"/>
        <v>1.65</v>
      </c>
      <c r="R10" s="432"/>
      <c r="S10" s="432"/>
      <c r="T10" s="432"/>
      <c r="U10" s="432"/>
      <c r="V10" s="432"/>
      <c r="W10" s="432"/>
      <c r="X10" s="432"/>
      <c r="Y10" s="432"/>
      <c r="Z10" s="432"/>
      <c r="AA10" s="432"/>
      <c r="AB10" s="432"/>
      <c r="AC10" s="432"/>
      <c r="AD10" s="432"/>
      <c r="AE10" s="432"/>
      <c r="AF10" s="432"/>
      <c r="AG10" s="549"/>
      <c r="AH10" s="549"/>
      <c r="AI10" s="549"/>
      <c r="AJ10" s="432"/>
      <c r="AK10" s="432"/>
      <c r="AL10" s="432"/>
      <c r="AM10" s="432">
        <f t="shared" si="33"/>
        <v>0</v>
      </c>
      <c r="AN10" s="432">
        <f t="shared" si="34"/>
        <v>0</v>
      </c>
      <c r="AO10" s="412"/>
    </row>
    <row r="11" spans="1:41" s="5" customFormat="1">
      <c r="A11" s="449" t="str">
        <f>'1-συμβολαια'!A11</f>
        <v>14ο</v>
      </c>
      <c r="B11" s="314" t="str">
        <f>'1-συμβολαια'!C11</f>
        <v>αγοραπωλησία</v>
      </c>
      <c r="C11" s="316">
        <f>'1-συμβολαια'!D11</f>
        <v>20269.88</v>
      </c>
      <c r="D11" s="333">
        <f>'3-φύλλα2α'!D11</f>
        <v>8</v>
      </c>
      <c r="E11" s="333">
        <f>'3-φύλλα2α'!E11</f>
        <v>8</v>
      </c>
      <c r="F11" s="373">
        <v>2</v>
      </c>
      <c r="G11" s="408">
        <v>2</v>
      </c>
      <c r="H11" s="311">
        <f t="shared" si="23"/>
        <v>80</v>
      </c>
      <c r="I11" s="409">
        <f t="shared" si="24"/>
        <v>80</v>
      </c>
      <c r="J11" s="334">
        <f t="shared" si="25"/>
        <v>4</v>
      </c>
      <c r="K11" s="334">
        <f t="shared" si="26"/>
        <v>4</v>
      </c>
      <c r="L11" s="334">
        <f t="shared" si="27"/>
        <v>0.8</v>
      </c>
      <c r="M11" s="334">
        <f t="shared" si="28"/>
        <v>71.2</v>
      </c>
      <c r="N11" s="334">
        <f t="shared" si="29"/>
        <v>71.2</v>
      </c>
      <c r="O11" s="334">
        <f t="shared" si="30"/>
        <v>8.8000000000000007</v>
      </c>
      <c r="P11" s="334">
        <f t="shared" si="31"/>
        <v>8.8000000000000007</v>
      </c>
      <c r="Q11" s="334">
        <f t="shared" si="32"/>
        <v>0</v>
      </c>
      <c r="R11" s="441">
        <v>30</v>
      </c>
      <c r="S11" s="441">
        <v>5</v>
      </c>
      <c r="T11" s="441">
        <v>30</v>
      </c>
      <c r="U11" s="441">
        <v>1.98</v>
      </c>
      <c r="V11" s="441">
        <v>30</v>
      </c>
      <c r="W11" s="441">
        <v>5</v>
      </c>
      <c r="X11" s="441"/>
      <c r="Y11" s="441"/>
      <c r="Z11" s="441"/>
      <c r="AA11" s="441"/>
      <c r="AB11" s="441"/>
      <c r="AC11" s="441"/>
      <c r="AD11" s="441"/>
      <c r="AE11" s="441">
        <v>10</v>
      </c>
      <c r="AF11" s="441">
        <v>5</v>
      </c>
      <c r="AG11" s="549"/>
      <c r="AH11" s="549"/>
      <c r="AI11" s="549"/>
      <c r="AJ11" s="432"/>
      <c r="AK11" s="432"/>
      <c r="AL11" s="432"/>
      <c r="AM11" s="432">
        <f t="shared" si="33"/>
        <v>1.98</v>
      </c>
      <c r="AN11" s="432">
        <f t="shared" si="34"/>
        <v>115</v>
      </c>
      <c r="AO11" s="262"/>
    </row>
    <row r="12" spans="1:41" s="5" customFormat="1">
      <c r="A12" s="449" t="str">
        <f>'1-συμβολαια'!A12</f>
        <v>15ο</v>
      </c>
      <c r="B12" s="314" t="str">
        <f>'1-συμβολαια'!C12</f>
        <v>δωρεά</v>
      </c>
      <c r="C12" s="316">
        <f>'1-συμβολαια'!D12</f>
        <v>21765.16</v>
      </c>
      <c r="D12" s="333">
        <f>'3-φύλλα2α'!D12</f>
        <v>9</v>
      </c>
      <c r="E12" s="333">
        <f>'3-φύλλα2α'!E12</f>
        <v>9</v>
      </c>
      <c r="F12" s="373">
        <v>2</v>
      </c>
      <c r="G12" s="373">
        <v>2</v>
      </c>
      <c r="H12" s="310">
        <f t="shared" si="23"/>
        <v>90</v>
      </c>
      <c r="I12" s="334">
        <f t="shared" si="24"/>
        <v>90</v>
      </c>
      <c r="J12" s="334">
        <f t="shared" si="25"/>
        <v>4.5</v>
      </c>
      <c r="K12" s="334">
        <f t="shared" si="26"/>
        <v>4.5</v>
      </c>
      <c r="L12" s="334">
        <f t="shared" si="27"/>
        <v>0.9</v>
      </c>
      <c r="M12" s="334">
        <f t="shared" si="28"/>
        <v>80.099999999999994</v>
      </c>
      <c r="N12" s="334">
        <f t="shared" si="29"/>
        <v>80.099999999999994</v>
      </c>
      <c r="O12" s="334">
        <f t="shared" si="30"/>
        <v>9.9</v>
      </c>
      <c r="P12" s="334">
        <f t="shared" si="31"/>
        <v>9.9</v>
      </c>
      <c r="Q12" s="334">
        <f t="shared" si="32"/>
        <v>0</v>
      </c>
      <c r="R12" s="441">
        <v>30</v>
      </c>
      <c r="S12" s="441">
        <v>5</v>
      </c>
      <c r="T12" s="441">
        <v>30</v>
      </c>
      <c r="U12" s="441">
        <v>1.98</v>
      </c>
      <c r="V12" s="441">
        <v>30</v>
      </c>
      <c r="W12" s="441">
        <v>5</v>
      </c>
      <c r="X12" s="441"/>
      <c r="Y12" s="441"/>
      <c r="Z12" s="441"/>
      <c r="AA12" s="441"/>
      <c r="AB12" s="441"/>
      <c r="AC12" s="441"/>
      <c r="AD12" s="441"/>
      <c r="AE12" s="441">
        <v>10</v>
      </c>
      <c r="AF12" s="441">
        <v>5</v>
      </c>
      <c r="AG12" s="549"/>
      <c r="AH12" s="549"/>
      <c r="AI12" s="549"/>
      <c r="AJ12" s="432"/>
      <c r="AK12" s="432"/>
      <c r="AL12" s="432"/>
      <c r="AM12" s="432">
        <f t="shared" si="33"/>
        <v>1.98</v>
      </c>
      <c r="AN12" s="432">
        <f t="shared" si="34"/>
        <v>115</v>
      </c>
      <c r="AO12" s="262"/>
    </row>
    <row r="13" spans="1:41" s="5" customFormat="1">
      <c r="A13" s="449" t="str">
        <f>'1-συμβολαια'!A13</f>
        <v>16ο</v>
      </c>
      <c r="B13" s="314" t="str">
        <f>'1-συμβολαια'!C13</f>
        <v>γονική</v>
      </c>
      <c r="C13" s="316">
        <f>'1-συμβολαια'!D13</f>
        <v>84070.06</v>
      </c>
      <c r="D13" s="333">
        <f>'3-φύλλα2α'!D13</f>
        <v>9</v>
      </c>
      <c r="E13" s="333">
        <f>'3-φύλλα2α'!E13</f>
        <v>9</v>
      </c>
      <c r="F13" s="373">
        <v>2</v>
      </c>
      <c r="G13" s="373">
        <v>2</v>
      </c>
      <c r="H13" s="310">
        <f t="shared" si="23"/>
        <v>90</v>
      </c>
      <c r="I13" s="334">
        <f t="shared" si="24"/>
        <v>90</v>
      </c>
      <c r="J13" s="334">
        <f t="shared" si="25"/>
        <v>4.5</v>
      </c>
      <c r="K13" s="334">
        <f t="shared" si="26"/>
        <v>4.5</v>
      </c>
      <c r="L13" s="334">
        <f t="shared" si="27"/>
        <v>0.9</v>
      </c>
      <c r="M13" s="334">
        <f t="shared" si="28"/>
        <v>80.099999999999994</v>
      </c>
      <c r="N13" s="334">
        <f t="shared" si="29"/>
        <v>80.099999999999994</v>
      </c>
      <c r="O13" s="334">
        <f t="shared" si="30"/>
        <v>9.9</v>
      </c>
      <c r="P13" s="334">
        <f t="shared" si="31"/>
        <v>9.9</v>
      </c>
      <c r="Q13" s="334">
        <f t="shared" si="32"/>
        <v>0</v>
      </c>
      <c r="R13" s="441">
        <v>30</v>
      </c>
      <c r="S13" s="441">
        <v>5</v>
      </c>
      <c r="T13" s="441">
        <v>30</v>
      </c>
      <c r="U13" s="441">
        <v>1.98</v>
      </c>
      <c r="V13" s="441">
        <v>30</v>
      </c>
      <c r="W13" s="441">
        <v>5</v>
      </c>
      <c r="X13" s="441"/>
      <c r="Y13" s="441"/>
      <c r="Z13" s="441"/>
      <c r="AA13" s="441"/>
      <c r="AB13" s="441"/>
      <c r="AC13" s="441"/>
      <c r="AD13" s="441"/>
      <c r="AE13" s="441">
        <v>10</v>
      </c>
      <c r="AF13" s="441">
        <v>5</v>
      </c>
      <c r="AG13" s="549"/>
      <c r="AH13" s="549"/>
      <c r="AI13" s="549"/>
      <c r="AJ13" s="432"/>
      <c r="AK13" s="432"/>
      <c r="AL13" s="432"/>
      <c r="AM13" s="432">
        <f t="shared" si="33"/>
        <v>1.98</v>
      </c>
      <c r="AN13" s="432">
        <f t="shared" si="34"/>
        <v>115</v>
      </c>
      <c r="AO13" s="262"/>
    </row>
    <row r="14" spans="1:41" s="5" customFormat="1">
      <c r="A14" s="449" t="str">
        <f>'1-συμβολαια'!A14</f>
        <v>17ο</v>
      </c>
      <c r="B14" s="314" t="str">
        <f>'1-συμβολαια'!C14</f>
        <v>δωρεά</v>
      </c>
      <c r="C14" s="316">
        <f>'1-συμβολαια'!D14</f>
        <v>42035.040000000001</v>
      </c>
      <c r="D14" s="333">
        <f>'3-φύλλα2α'!D14</f>
        <v>9</v>
      </c>
      <c r="E14" s="333">
        <f>'3-φύλλα2α'!E14</f>
        <v>9</v>
      </c>
      <c r="F14" s="373">
        <v>2</v>
      </c>
      <c r="G14" s="373">
        <v>2</v>
      </c>
      <c r="H14" s="310">
        <f t="shared" si="23"/>
        <v>90</v>
      </c>
      <c r="I14" s="334">
        <f t="shared" si="24"/>
        <v>90</v>
      </c>
      <c r="J14" s="334">
        <f t="shared" si="25"/>
        <v>4.5</v>
      </c>
      <c r="K14" s="334">
        <f t="shared" si="26"/>
        <v>4.5</v>
      </c>
      <c r="L14" s="334">
        <f t="shared" si="27"/>
        <v>0.9</v>
      </c>
      <c r="M14" s="334">
        <f t="shared" si="28"/>
        <v>80.099999999999994</v>
      </c>
      <c r="N14" s="334">
        <f t="shared" si="29"/>
        <v>80.099999999999994</v>
      </c>
      <c r="O14" s="334">
        <f t="shared" si="30"/>
        <v>9.9</v>
      </c>
      <c r="P14" s="334">
        <f t="shared" si="31"/>
        <v>9.9</v>
      </c>
      <c r="Q14" s="334">
        <f t="shared" si="32"/>
        <v>0</v>
      </c>
      <c r="R14" s="441">
        <v>30</v>
      </c>
      <c r="S14" s="441">
        <v>5</v>
      </c>
      <c r="T14" s="441">
        <v>30</v>
      </c>
      <c r="U14" s="441">
        <v>1.98</v>
      </c>
      <c r="V14" s="441">
        <v>30</v>
      </c>
      <c r="W14" s="441">
        <v>5</v>
      </c>
      <c r="X14" s="441"/>
      <c r="Y14" s="441"/>
      <c r="Z14" s="441"/>
      <c r="AA14" s="441"/>
      <c r="AB14" s="441"/>
      <c r="AC14" s="441"/>
      <c r="AD14" s="441"/>
      <c r="AE14" s="441">
        <v>10</v>
      </c>
      <c r="AF14" s="441">
        <v>5</v>
      </c>
      <c r="AG14" s="549"/>
      <c r="AH14" s="549"/>
      <c r="AI14" s="549"/>
      <c r="AJ14" s="432"/>
      <c r="AK14" s="432"/>
      <c r="AL14" s="432"/>
      <c r="AM14" s="432">
        <f t="shared" si="33"/>
        <v>1.98</v>
      </c>
      <c r="AN14" s="432">
        <f t="shared" si="34"/>
        <v>115</v>
      </c>
      <c r="AO14" s="262"/>
    </row>
    <row r="15" spans="1:41" s="5" customFormat="1">
      <c r="A15" s="449" t="str">
        <f>'1-συμβολαια'!A15</f>
        <v>18ο</v>
      </c>
      <c r="B15" s="314" t="str">
        <f>'1-συμβολαια'!C15</f>
        <v>γονική</v>
      </c>
      <c r="C15" s="316">
        <f>'1-συμβολαια'!D15</f>
        <v>84070.06</v>
      </c>
      <c r="D15" s="333">
        <f>'3-φύλλα2α'!D15</f>
        <v>9</v>
      </c>
      <c r="E15" s="333">
        <f>'3-φύλλα2α'!E15</f>
        <v>9</v>
      </c>
      <c r="F15" s="373">
        <v>2</v>
      </c>
      <c r="G15" s="373">
        <v>2</v>
      </c>
      <c r="H15" s="310">
        <f t="shared" si="23"/>
        <v>90</v>
      </c>
      <c r="I15" s="334">
        <f t="shared" si="24"/>
        <v>90</v>
      </c>
      <c r="J15" s="334">
        <f t="shared" si="25"/>
        <v>4.5</v>
      </c>
      <c r="K15" s="334">
        <f t="shared" si="26"/>
        <v>4.5</v>
      </c>
      <c r="L15" s="334">
        <f t="shared" si="27"/>
        <v>0.9</v>
      </c>
      <c r="M15" s="334">
        <f t="shared" si="28"/>
        <v>80.099999999999994</v>
      </c>
      <c r="N15" s="334">
        <f t="shared" si="29"/>
        <v>80.099999999999994</v>
      </c>
      <c r="O15" s="334">
        <f t="shared" si="30"/>
        <v>9.9</v>
      </c>
      <c r="P15" s="334">
        <f t="shared" si="31"/>
        <v>9.9</v>
      </c>
      <c r="Q15" s="334">
        <f t="shared" si="32"/>
        <v>0</v>
      </c>
      <c r="R15" s="441">
        <v>30</v>
      </c>
      <c r="S15" s="441">
        <v>5</v>
      </c>
      <c r="T15" s="441">
        <v>30</v>
      </c>
      <c r="U15" s="441">
        <v>1.98</v>
      </c>
      <c r="V15" s="441">
        <v>30</v>
      </c>
      <c r="W15" s="441">
        <v>5</v>
      </c>
      <c r="X15" s="441"/>
      <c r="Y15" s="441"/>
      <c r="Z15" s="441"/>
      <c r="AA15" s="441"/>
      <c r="AB15" s="441"/>
      <c r="AC15" s="441"/>
      <c r="AD15" s="441"/>
      <c r="AE15" s="441">
        <v>10</v>
      </c>
      <c r="AF15" s="441">
        <v>5</v>
      </c>
      <c r="AG15" s="549"/>
      <c r="AH15" s="549"/>
      <c r="AI15" s="549"/>
      <c r="AJ15" s="432"/>
      <c r="AK15" s="432"/>
      <c r="AL15" s="432"/>
      <c r="AM15" s="432">
        <f t="shared" si="33"/>
        <v>1.98</v>
      </c>
      <c r="AN15" s="432">
        <f t="shared" si="34"/>
        <v>115</v>
      </c>
      <c r="AO15" s="262"/>
    </row>
    <row r="16" spans="1:41" s="5" customFormat="1">
      <c r="A16" s="449" t="str">
        <f>'1-συμβολαια'!A16</f>
        <v>19ο</v>
      </c>
      <c r="B16" s="314" t="str">
        <f>'1-συμβολαια'!C16</f>
        <v>σύσταση δουλείας</v>
      </c>
      <c r="C16" s="316">
        <f>'1-συμβολαια'!D16</f>
        <v>203.07</v>
      </c>
      <c r="D16" s="333">
        <f>'3-φύλλα2α'!D16</f>
        <v>7</v>
      </c>
      <c r="E16" s="333">
        <f>'3-φύλλα2α'!E16</f>
        <v>7</v>
      </c>
      <c r="F16" s="373">
        <v>3</v>
      </c>
      <c r="G16" s="546">
        <v>2</v>
      </c>
      <c r="H16" s="310">
        <f t="shared" si="23"/>
        <v>105</v>
      </c>
      <c r="I16" s="547">
        <f t="shared" si="24"/>
        <v>70</v>
      </c>
      <c r="J16" s="334">
        <f t="shared" si="25"/>
        <v>5.25</v>
      </c>
      <c r="K16" s="334">
        <f t="shared" si="26"/>
        <v>5.25</v>
      </c>
      <c r="L16" s="334">
        <f t="shared" si="27"/>
        <v>1.05</v>
      </c>
      <c r="M16" s="334">
        <f t="shared" si="28"/>
        <v>93.45</v>
      </c>
      <c r="N16" s="334">
        <f t="shared" si="29"/>
        <v>62.3</v>
      </c>
      <c r="O16" s="334">
        <f t="shared" si="30"/>
        <v>11.55</v>
      </c>
      <c r="P16" s="334">
        <f t="shared" si="31"/>
        <v>7.7</v>
      </c>
      <c r="Q16" s="334">
        <f t="shared" si="32"/>
        <v>3.8500000000000005</v>
      </c>
      <c r="R16" s="441">
        <v>30</v>
      </c>
      <c r="S16" s="441">
        <v>5</v>
      </c>
      <c r="T16" s="441">
        <v>30</v>
      </c>
      <c r="U16" s="441">
        <v>1.98</v>
      </c>
      <c r="V16" s="441">
        <v>30</v>
      </c>
      <c r="W16" s="441">
        <v>5</v>
      </c>
      <c r="X16" s="441"/>
      <c r="Y16" s="441"/>
      <c r="Z16" s="441"/>
      <c r="AA16" s="441"/>
      <c r="AB16" s="441"/>
      <c r="AC16" s="441"/>
      <c r="AD16" s="441"/>
      <c r="AE16" s="441">
        <v>10</v>
      </c>
      <c r="AF16" s="441">
        <v>5</v>
      </c>
      <c r="AG16" s="549"/>
      <c r="AH16" s="549"/>
      <c r="AI16" s="549"/>
      <c r="AJ16" s="432"/>
      <c r="AK16" s="432"/>
      <c r="AL16" s="432"/>
      <c r="AM16" s="432">
        <f t="shared" si="33"/>
        <v>1.98</v>
      </c>
      <c r="AN16" s="432">
        <f t="shared" si="34"/>
        <v>115</v>
      </c>
      <c r="AO16" s="262"/>
    </row>
    <row r="17" spans="1:41" s="5" customFormat="1">
      <c r="A17" s="449" t="str">
        <f>'1-συμβολαια'!A17</f>
        <v>20ο</v>
      </c>
      <c r="B17" s="314" t="str">
        <f>'1-συμβολαια'!C17</f>
        <v>σύσταση δουλείας</v>
      </c>
      <c r="C17" s="316">
        <f>'1-συμβολαια'!D17</f>
        <v>186.07</v>
      </c>
      <c r="D17" s="333">
        <f>'3-φύλλα2α'!D17</f>
        <v>4</v>
      </c>
      <c r="E17" s="333">
        <f>'3-φύλλα2α'!E17</f>
        <v>4</v>
      </c>
      <c r="F17" s="373">
        <v>3</v>
      </c>
      <c r="G17" s="546">
        <v>2</v>
      </c>
      <c r="H17" s="310">
        <f t="shared" si="23"/>
        <v>60</v>
      </c>
      <c r="I17" s="547">
        <f t="shared" si="24"/>
        <v>40</v>
      </c>
      <c r="J17" s="334">
        <f t="shared" si="25"/>
        <v>3</v>
      </c>
      <c r="K17" s="334">
        <f t="shared" si="26"/>
        <v>3</v>
      </c>
      <c r="L17" s="334">
        <f t="shared" si="27"/>
        <v>0.6</v>
      </c>
      <c r="M17" s="334">
        <f t="shared" si="28"/>
        <v>53.4</v>
      </c>
      <c r="N17" s="334">
        <f t="shared" si="29"/>
        <v>35.6</v>
      </c>
      <c r="O17" s="334">
        <f t="shared" si="30"/>
        <v>6.6</v>
      </c>
      <c r="P17" s="334">
        <f t="shared" si="31"/>
        <v>4.4000000000000004</v>
      </c>
      <c r="Q17" s="334">
        <f t="shared" si="32"/>
        <v>2.1999999999999993</v>
      </c>
      <c r="R17" s="441">
        <v>25</v>
      </c>
      <c r="S17" s="441">
        <v>5</v>
      </c>
      <c r="T17" s="441">
        <v>25</v>
      </c>
      <c r="U17" s="441">
        <v>1.98</v>
      </c>
      <c r="V17" s="441">
        <v>25</v>
      </c>
      <c r="W17" s="441">
        <v>5</v>
      </c>
      <c r="X17" s="441"/>
      <c r="Y17" s="441"/>
      <c r="Z17" s="441"/>
      <c r="AA17" s="441"/>
      <c r="AB17" s="441"/>
      <c r="AC17" s="441"/>
      <c r="AD17" s="441"/>
      <c r="AE17" s="441">
        <v>10</v>
      </c>
      <c r="AF17" s="441">
        <v>5</v>
      </c>
      <c r="AG17" s="549"/>
      <c r="AH17" s="549"/>
      <c r="AI17" s="549"/>
      <c r="AJ17" s="432"/>
      <c r="AK17" s="432"/>
      <c r="AL17" s="432"/>
      <c r="AM17" s="432">
        <f t="shared" si="33"/>
        <v>1.98</v>
      </c>
      <c r="AN17" s="432">
        <f t="shared" si="34"/>
        <v>100</v>
      </c>
      <c r="AO17" s="262"/>
    </row>
    <row r="18" spans="1:41" s="5" customFormat="1">
      <c r="A18" s="449" t="str">
        <f>'1-συμβολαια'!A18</f>
        <v>21ο</v>
      </c>
      <c r="B18" s="314" t="str">
        <f>'1-συμβολαια'!C18</f>
        <v>χρήσης ακινήτου ΚΑΝΟΝΙΣΜΟΣ</v>
      </c>
      <c r="C18" s="316">
        <f>'1-συμβολαια'!D18</f>
        <v>0</v>
      </c>
      <c r="D18" s="333">
        <f>'3-φύλλα2α'!D18</f>
        <v>9</v>
      </c>
      <c r="E18" s="333">
        <f>'3-φύλλα2α'!E18</f>
        <v>9</v>
      </c>
      <c r="F18" s="373">
        <v>3</v>
      </c>
      <c r="G18" s="546">
        <v>2</v>
      </c>
      <c r="H18" s="310">
        <f t="shared" si="23"/>
        <v>135</v>
      </c>
      <c r="I18" s="547">
        <f t="shared" si="24"/>
        <v>90</v>
      </c>
      <c r="J18" s="334">
        <f t="shared" si="25"/>
        <v>6.75</v>
      </c>
      <c r="K18" s="334">
        <f t="shared" si="26"/>
        <v>6.75</v>
      </c>
      <c r="L18" s="334">
        <f t="shared" si="27"/>
        <v>1.35</v>
      </c>
      <c r="M18" s="334">
        <f t="shared" si="28"/>
        <v>120.15</v>
      </c>
      <c r="N18" s="334">
        <f t="shared" si="29"/>
        <v>80.099999999999994</v>
      </c>
      <c r="O18" s="334">
        <f t="shared" si="30"/>
        <v>14.85</v>
      </c>
      <c r="P18" s="334">
        <f t="shared" si="31"/>
        <v>9.9</v>
      </c>
      <c r="Q18" s="334">
        <f t="shared" si="32"/>
        <v>4.9499999999999993</v>
      </c>
      <c r="R18" s="441">
        <v>40</v>
      </c>
      <c r="S18" s="441">
        <v>5</v>
      </c>
      <c r="T18" s="441">
        <v>40</v>
      </c>
      <c r="U18" s="441">
        <v>1.98</v>
      </c>
      <c r="V18" s="441">
        <v>40</v>
      </c>
      <c r="W18" s="441">
        <v>5</v>
      </c>
      <c r="X18" s="441"/>
      <c r="Y18" s="441"/>
      <c r="Z18" s="441"/>
      <c r="AA18" s="441"/>
      <c r="AB18" s="441"/>
      <c r="AC18" s="441"/>
      <c r="AD18" s="441"/>
      <c r="AE18" s="441">
        <v>10</v>
      </c>
      <c r="AF18" s="441">
        <v>5</v>
      </c>
      <c r="AG18" s="549"/>
      <c r="AH18" s="549"/>
      <c r="AI18" s="549"/>
      <c r="AJ18" s="432"/>
      <c r="AK18" s="432"/>
      <c r="AL18" s="432"/>
      <c r="AM18" s="432">
        <f t="shared" si="33"/>
        <v>1.98</v>
      </c>
      <c r="AN18" s="432">
        <f t="shared" si="34"/>
        <v>145</v>
      </c>
      <c r="AO18" s="262"/>
    </row>
    <row r="19" spans="1:41">
      <c r="A19" s="661" t="s">
        <v>47</v>
      </c>
      <c r="B19" s="662"/>
      <c r="C19" s="662"/>
      <c r="D19" s="662"/>
      <c r="E19" s="662"/>
      <c r="F19" s="662"/>
      <c r="G19" s="702"/>
      <c r="H19" s="38">
        <f t="shared" ref="H19:AF19" si="35">SUM(H3:H18)</f>
        <v>835</v>
      </c>
      <c r="I19" s="38">
        <f t="shared" si="35"/>
        <v>705</v>
      </c>
      <c r="J19" s="38">
        <f t="shared" si="35"/>
        <v>41.75</v>
      </c>
      <c r="K19" s="38">
        <f t="shared" si="35"/>
        <v>41.75</v>
      </c>
      <c r="L19" s="38">
        <f t="shared" si="35"/>
        <v>8.35</v>
      </c>
      <c r="M19" s="38">
        <f t="shared" si="35"/>
        <v>743.15</v>
      </c>
      <c r="N19" s="38">
        <f t="shared" si="35"/>
        <v>627.45000000000005</v>
      </c>
      <c r="O19" s="38">
        <f t="shared" si="35"/>
        <v>91.84999999999998</v>
      </c>
      <c r="P19" s="38">
        <f t="shared" si="35"/>
        <v>77.550000000000011</v>
      </c>
      <c r="Q19" s="38">
        <f t="shared" si="35"/>
        <v>14.299999999999999</v>
      </c>
      <c r="R19" s="38">
        <f t="shared" si="35"/>
        <v>275</v>
      </c>
      <c r="S19" s="38">
        <f t="shared" si="35"/>
        <v>50</v>
      </c>
      <c r="T19" s="38">
        <f t="shared" si="35"/>
        <v>275</v>
      </c>
      <c r="U19" s="38">
        <f t="shared" si="35"/>
        <v>19.8</v>
      </c>
      <c r="V19" s="38">
        <f t="shared" si="35"/>
        <v>275</v>
      </c>
      <c r="W19" s="38">
        <f t="shared" si="35"/>
        <v>50</v>
      </c>
      <c r="X19" s="38">
        <f t="shared" si="35"/>
        <v>0</v>
      </c>
      <c r="Y19" s="38">
        <f t="shared" si="35"/>
        <v>0</v>
      </c>
      <c r="Z19" s="38">
        <f t="shared" si="35"/>
        <v>0</v>
      </c>
      <c r="AA19" s="38">
        <f t="shared" si="35"/>
        <v>0</v>
      </c>
      <c r="AB19" s="38">
        <f t="shared" si="35"/>
        <v>0</v>
      </c>
      <c r="AC19" s="38">
        <f t="shared" si="35"/>
        <v>0</v>
      </c>
      <c r="AD19" s="38">
        <f t="shared" si="35"/>
        <v>0</v>
      </c>
      <c r="AE19" s="38">
        <f t="shared" si="35"/>
        <v>80</v>
      </c>
      <c r="AF19" s="38">
        <f t="shared" si="35"/>
        <v>40</v>
      </c>
      <c r="AG19" s="340"/>
      <c r="AH19" s="234">
        <f>SUM(AH3:AH18)</f>
        <v>0</v>
      </c>
      <c r="AI19" s="234">
        <f>SUM(AI3:AI18)</f>
        <v>0</v>
      </c>
      <c r="AJ19" s="38"/>
      <c r="AK19" s="38"/>
      <c r="AL19" s="38">
        <f>SUM(AL3:AL18)</f>
        <v>0</v>
      </c>
      <c r="AM19" s="38">
        <f>SUM(AM3:AM18)</f>
        <v>19.8</v>
      </c>
      <c r="AN19" s="38">
        <f>SUM(AN3:AN18)</f>
        <v>1045</v>
      </c>
    </row>
    <row r="21" spans="1:41">
      <c r="R21" s="164" t="s">
        <v>446</v>
      </c>
      <c r="S21" s="166"/>
      <c r="T21" s="166"/>
      <c r="U21" s="166"/>
      <c r="V21" s="166"/>
      <c r="W21" s="166"/>
      <c r="X21" s="341"/>
      <c r="Y21" s="341"/>
      <c r="Z21" s="341"/>
      <c r="AA21" s="341"/>
      <c r="AB21" s="341"/>
      <c r="AC21" s="341"/>
      <c r="AD21" s="341"/>
      <c r="AE21" s="342"/>
      <c r="AF21" s="342"/>
      <c r="AG21" s="342"/>
      <c r="AH21" s="342"/>
      <c r="AI21" s="342"/>
      <c r="AJ21" s="342"/>
      <c r="AK21" s="342"/>
      <c r="AL21" s="342"/>
      <c r="AM21" s="342"/>
      <c r="AN21" s="342"/>
    </row>
    <row r="22" spans="1:41" ht="15.75">
      <c r="B22" s="297" t="s">
        <v>502</v>
      </c>
      <c r="C22" s="297"/>
      <c r="D22" s="297"/>
      <c r="E22" s="297"/>
      <c r="R22" s="341"/>
      <c r="S22" s="165" t="s">
        <v>236</v>
      </c>
      <c r="T22" s="341"/>
      <c r="U22" s="341"/>
      <c r="V22" s="341"/>
      <c r="W22" s="341"/>
      <c r="X22" s="341"/>
      <c r="Y22" s="341"/>
      <c r="Z22" s="341"/>
      <c r="AA22" s="341"/>
      <c r="AB22" s="341"/>
      <c r="AC22" s="341"/>
      <c r="AD22" s="341"/>
      <c r="AE22" s="342"/>
      <c r="AF22" s="342"/>
      <c r="AG22" s="342"/>
      <c r="AH22" s="342"/>
      <c r="AI22" s="342"/>
      <c r="AJ22" s="342"/>
      <c r="AK22" s="342"/>
      <c r="AL22" s="342"/>
      <c r="AM22" s="342"/>
      <c r="AN22" s="342"/>
    </row>
    <row r="23" spans="1:41">
      <c r="R23" s="341"/>
      <c r="S23" s="341"/>
      <c r="T23" s="164" t="s">
        <v>237</v>
      </c>
      <c r="U23" s="341"/>
      <c r="V23" s="341"/>
      <c r="W23" s="341"/>
      <c r="X23" s="341"/>
      <c r="Y23" s="341"/>
      <c r="Z23" s="341"/>
      <c r="AA23" s="341"/>
      <c r="AB23" s="341"/>
      <c r="AC23" s="341"/>
      <c r="AD23" s="341"/>
      <c r="AE23" s="342"/>
      <c r="AF23" s="342"/>
      <c r="AG23" s="342"/>
      <c r="AH23" s="342"/>
      <c r="AI23" s="342"/>
      <c r="AJ23" s="342"/>
      <c r="AK23" s="342"/>
      <c r="AL23" s="342"/>
      <c r="AM23" s="342"/>
      <c r="AN23" s="342"/>
    </row>
    <row r="24" spans="1:41">
      <c r="R24" s="341"/>
      <c r="S24" s="341"/>
      <c r="T24" s="341"/>
      <c r="U24" s="165" t="s">
        <v>238</v>
      </c>
      <c r="V24" s="341"/>
      <c r="W24" s="341"/>
      <c r="X24" s="341"/>
      <c r="Y24" s="341"/>
      <c r="Z24" s="341"/>
      <c r="AA24" s="341"/>
      <c r="AB24" s="341"/>
      <c r="AC24" s="341"/>
      <c r="AD24" s="341"/>
      <c r="AE24" s="342"/>
      <c r="AF24" s="342"/>
      <c r="AG24" s="342"/>
      <c r="AH24" s="342"/>
      <c r="AI24" s="342"/>
      <c r="AJ24" s="342"/>
      <c r="AK24" s="342"/>
      <c r="AL24" s="342"/>
      <c r="AM24" s="342"/>
      <c r="AN24" s="342"/>
    </row>
    <row r="25" spans="1:41">
      <c r="C25" s="78" t="s">
        <v>605</v>
      </c>
      <c r="D25" s="471">
        <f>H3/F3</f>
        <v>15</v>
      </c>
      <c r="Q25" s="8" t="s">
        <v>606</v>
      </c>
      <c r="R25" s="484" t="s">
        <v>605</v>
      </c>
      <c r="S25" s="341"/>
      <c r="T25" s="341"/>
      <c r="U25" s="341"/>
      <c r="V25" s="164" t="s">
        <v>272</v>
      </c>
      <c r="W25" s="341"/>
      <c r="X25" s="341"/>
      <c r="Y25" s="341"/>
      <c r="Z25" s="341"/>
      <c r="AA25" s="341"/>
      <c r="AB25" s="341"/>
      <c r="AC25" s="341"/>
      <c r="AD25" s="341"/>
      <c r="AE25" s="341"/>
      <c r="AF25" s="341"/>
      <c r="AG25" s="341"/>
      <c r="AH25" s="341"/>
      <c r="AI25" s="341"/>
      <c r="AJ25" s="341"/>
      <c r="AK25" s="341"/>
      <c r="AL25" s="341"/>
      <c r="AM25" s="342"/>
      <c r="AN25" s="342"/>
    </row>
    <row r="26" spans="1:41">
      <c r="C26" s="470" t="s">
        <v>559</v>
      </c>
      <c r="Q26" s="8" t="s">
        <v>607</v>
      </c>
      <c r="R26" s="484" t="s">
        <v>605</v>
      </c>
      <c r="S26" s="341"/>
      <c r="T26" s="341"/>
      <c r="U26" s="341"/>
      <c r="V26" s="341"/>
      <c r="W26" s="165" t="s">
        <v>239</v>
      </c>
      <c r="X26" s="341"/>
      <c r="Y26" s="341"/>
      <c r="Z26" s="341"/>
      <c r="AA26" s="341"/>
      <c r="AB26" s="341"/>
      <c r="AC26" s="341"/>
      <c r="AD26" s="341"/>
      <c r="AE26" s="341"/>
      <c r="AF26" s="341"/>
      <c r="AG26" s="341"/>
      <c r="AH26" s="341"/>
      <c r="AI26" s="341"/>
      <c r="AJ26" s="341"/>
      <c r="AK26" s="341"/>
      <c r="AL26" s="341"/>
      <c r="AM26" s="342"/>
      <c r="AN26" s="342"/>
    </row>
    <row r="27" spans="1:41">
      <c r="C27" s="470" t="s">
        <v>560</v>
      </c>
      <c r="Q27" s="8" t="s">
        <v>609</v>
      </c>
      <c r="R27" s="484" t="s">
        <v>622</v>
      </c>
      <c r="S27" s="341" t="s">
        <v>590</v>
      </c>
      <c r="T27" s="341"/>
      <c r="U27" s="341"/>
      <c r="V27" s="341"/>
      <c r="W27" s="341"/>
      <c r="X27" s="164" t="s">
        <v>240</v>
      </c>
      <c r="Y27" s="164"/>
      <c r="Z27" s="341"/>
      <c r="AA27" s="341"/>
      <c r="AB27" s="341"/>
      <c r="AC27" s="341"/>
      <c r="AD27" s="341"/>
      <c r="AE27" s="341"/>
      <c r="AF27" s="341"/>
      <c r="AG27" s="341"/>
      <c r="AH27" s="341"/>
      <c r="AI27" s="341"/>
      <c r="AJ27" s="341"/>
      <c r="AK27" s="341"/>
      <c r="AL27" s="341"/>
      <c r="AM27" s="342"/>
      <c r="AN27" s="342"/>
    </row>
    <row r="28" spans="1:41">
      <c r="Q28" s="8" t="s">
        <v>610</v>
      </c>
      <c r="R28" s="484" t="s">
        <v>622</v>
      </c>
      <c r="S28" s="341" t="s">
        <v>590</v>
      </c>
      <c r="T28" s="341"/>
      <c r="U28" s="341"/>
      <c r="V28" s="341"/>
      <c r="W28" s="341"/>
      <c r="X28" s="341"/>
      <c r="Y28" s="165" t="s">
        <v>273</v>
      </c>
      <c r="Z28" s="341"/>
      <c r="AA28" s="341"/>
      <c r="AB28" s="341"/>
      <c r="AC28" s="341"/>
      <c r="AD28" s="341"/>
      <c r="AE28" s="341"/>
      <c r="AF28" s="341"/>
      <c r="AG28" s="341"/>
      <c r="AH28" s="341"/>
      <c r="AI28" s="341"/>
      <c r="AJ28" s="341"/>
      <c r="AK28" s="341"/>
      <c r="AL28" s="341"/>
      <c r="AM28" s="342"/>
      <c r="AN28" s="342"/>
    </row>
    <row r="29" spans="1:41">
      <c r="B29" s="130"/>
      <c r="C29" s="78" t="s">
        <v>606</v>
      </c>
      <c r="D29" s="471">
        <f>H4/D4</f>
        <v>10</v>
      </c>
      <c r="Q29" s="8" t="s">
        <v>611</v>
      </c>
      <c r="R29" s="484" t="s">
        <v>622</v>
      </c>
      <c r="S29" s="341" t="s">
        <v>590</v>
      </c>
      <c r="T29" s="341"/>
      <c r="U29" s="341"/>
      <c r="V29" s="341"/>
      <c r="W29" s="341"/>
      <c r="X29" s="341"/>
      <c r="Y29" s="341"/>
      <c r="Z29" s="164" t="s">
        <v>241</v>
      </c>
      <c r="AA29" s="165"/>
      <c r="AB29" s="341"/>
      <c r="AC29" s="341"/>
      <c r="AD29" s="341"/>
      <c r="AE29" s="341"/>
      <c r="AF29" s="341"/>
      <c r="AG29" s="341"/>
      <c r="AH29" s="341"/>
      <c r="AI29" s="341"/>
      <c r="AJ29" s="341"/>
      <c r="AK29" s="341"/>
      <c r="AL29" s="341"/>
      <c r="AM29" s="342"/>
      <c r="AN29" s="342"/>
      <c r="AO29" s="163"/>
    </row>
    <row r="30" spans="1:41">
      <c r="B30" s="131"/>
      <c r="C30" s="470" t="s">
        <v>578</v>
      </c>
      <c r="Q30" s="8" t="s">
        <v>612</v>
      </c>
      <c r="R30" s="484" t="s">
        <v>622</v>
      </c>
      <c r="S30" s="341" t="s">
        <v>590</v>
      </c>
      <c r="T30" s="341"/>
      <c r="U30" s="341"/>
      <c r="V30" s="341"/>
      <c r="W30" s="341"/>
      <c r="X30" s="341"/>
      <c r="Y30" s="341"/>
      <c r="Z30" s="165"/>
      <c r="AA30" s="165" t="s">
        <v>274</v>
      </c>
      <c r="AB30" s="341"/>
      <c r="AC30" s="341"/>
      <c r="AD30" s="341"/>
      <c r="AE30" s="341"/>
      <c r="AF30" s="341"/>
      <c r="AG30" s="341"/>
      <c r="AH30" s="341"/>
      <c r="AI30" s="341"/>
      <c r="AJ30" s="341"/>
      <c r="AK30" s="341"/>
      <c r="AL30" s="341"/>
      <c r="AM30" s="342"/>
      <c r="AN30" s="342"/>
      <c r="AO30" s="163"/>
    </row>
    <row r="31" spans="1:41">
      <c r="C31" s="470" t="s">
        <v>560</v>
      </c>
      <c r="Q31" s="8" t="s">
        <v>613</v>
      </c>
      <c r="R31" s="484" t="s">
        <v>622</v>
      </c>
      <c r="S31" s="341" t="s">
        <v>590</v>
      </c>
      <c r="T31" s="341"/>
      <c r="U31" s="341"/>
      <c r="V31" s="341"/>
      <c r="W31" s="341"/>
      <c r="X31" s="341"/>
      <c r="Y31" s="341"/>
      <c r="Z31" s="341"/>
      <c r="AA31" s="341"/>
      <c r="AB31" s="164" t="s">
        <v>242</v>
      </c>
      <c r="AC31" s="341"/>
      <c r="AD31" s="341"/>
      <c r="AE31" s="341"/>
      <c r="AF31" s="341"/>
      <c r="AG31" s="341"/>
      <c r="AH31" s="341"/>
      <c r="AI31" s="341"/>
      <c r="AJ31" s="341"/>
      <c r="AK31" s="341"/>
      <c r="AL31" s="341"/>
      <c r="AM31" s="342"/>
      <c r="AN31" s="165"/>
    </row>
    <row r="32" spans="1:41">
      <c r="Q32" s="8" t="s">
        <v>614</v>
      </c>
      <c r="R32" s="484" t="s">
        <v>622</v>
      </c>
      <c r="S32" s="341" t="s">
        <v>590</v>
      </c>
      <c r="T32" s="341"/>
      <c r="U32" s="341"/>
      <c r="V32" s="341"/>
      <c r="W32" s="341"/>
      <c r="X32" s="341"/>
      <c r="Y32" s="341"/>
      <c r="Z32" s="341"/>
      <c r="AA32" s="341"/>
      <c r="AB32" s="341"/>
      <c r="AC32" s="165" t="s">
        <v>243</v>
      </c>
      <c r="AD32" s="341"/>
      <c r="AE32" s="341"/>
      <c r="AF32" s="341"/>
      <c r="AG32" s="341"/>
      <c r="AH32" s="341"/>
      <c r="AI32" s="341"/>
      <c r="AJ32" s="341"/>
      <c r="AK32" s="341"/>
      <c r="AL32" s="341"/>
      <c r="AM32" s="342"/>
      <c r="AN32" s="342"/>
    </row>
    <row r="33" spans="2:39">
      <c r="B33" s="3" t="s">
        <v>572</v>
      </c>
      <c r="C33" s="78" t="s">
        <v>607</v>
      </c>
      <c r="D33" s="471">
        <f>H6/F6</f>
        <v>15</v>
      </c>
      <c r="Q33" s="8" t="s">
        <v>615</v>
      </c>
      <c r="R33" s="484" t="s">
        <v>623</v>
      </c>
      <c r="S33" s="341"/>
      <c r="T33" s="341"/>
      <c r="U33" s="341"/>
      <c r="V33" s="341"/>
      <c r="W33" s="341"/>
      <c r="X33" s="341"/>
      <c r="Y33" s="341"/>
      <c r="Z33" s="341"/>
      <c r="AA33" s="341"/>
      <c r="AB33" s="341"/>
      <c r="AC33" s="341"/>
      <c r="AD33" s="164" t="s">
        <v>289</v>
      </c>
      <c r="AE33" s="166"/>
      <c r="AF33" s="166"/>
      <c r="AG33" s="166"/>
      <c r="AH33" s="166"/>
      <c r="AI33" s="166"/>
      <c r="AJ33" s="166"/>
      <c r="AK33" s="166"/>
      <c r="AL33" s="166"/>
      <c r="AM33" s="165"/>
    </row>
    <row r="34" spans="2:39">
      <c r="B34" s="526" t="s">
        <v>573</v>
      </c>
      <c r="C34" s="470" t="s">
        <v>559</v>
      </c>
      <c r="Q34" s="8" t="s">
        <v>616</v>
      </c>
      <c r="R34" s="485" t="s">
        <v>609</v>
      </c>
      <c r="S34" s="342"/>
      <c r="T34" s="342"/>
      <c r="U34" s="342"/>
      <c r="V34" s="341"/>
      <c r="W34" s="341"/>
      <c r="X34" s="341"/>
      <c r="Y34" s="341"/>
      <c r="Z34" s="341"/>
      <c r="AA34" s="341"/>
      <c r="AB34" s="341"/>
      <c r="AC34" s="341"/>
      <c r="AD34" s="341"/>
      <c r="AE34" s="164" t="s">
        <v>290</v>
      </c>
      <c r="AF34" s="165"/>
      <c r="AG34" s="165"/>
      <c r="AH34" s="165"/>
      <c r="AI34" s="165"/>
      <c r="AJ34" s="165"/>
      <c r="AK34" s="165"/>
      <c r="AL34" s="165"/>
      <c r="AM34" s="342"/>
    </row>
    <row r="35" spans="2:39">
      <c r="B35" s="526" t="s">
        <v>574</v>
      </c>
      <c r="C35" s="470" t="s">
        <v>560</v>
      </c>
      <c r="Q35" s="8"/>
      <c r="R35" s="8"/>
      <c r="S35" s="2"/>
      <c r="T35" s="2"/>
      <c r="U35" s="2"/>
      <c r="AF35" s="165" t="s">
        <v>291</v>
      </c>
      <c r="AG35" s="166"/>
      <c r="AH35" s="166"/>
      <c r="AI35" s="166"/>
      <c r="AJ35" s="166"/>
      <c r="AK35" s="166"/>
    </row>
    <row r="36" spans="2:39">
      <c r="Q36" s="8"/>
      <c r="R36" s="84"/>
      <c r="AF36" s="341"/>
      <c r="AG36" s="258" t="s">
        <v>292</v>
      </c>
      <c r="AH36" s="166"/>
      <c r="AI36" s="166"/>
      <c r="AJ36" s="166"/>
      <c r="AK36" s="166"/>
      <c r="AL36" s="166"/>
    </row>
    <row r="37" spans="2:39">
      <c r="C37" s="78" t="s">
        <v>608</v>
      </c>
      <c r="D37" s="471">
        <f>H10/F10</f>
        <v>15</v>
      </c>
      <c r="Q37" s="8"/>
      <c r="R37" s="84"/>
      <c r="AG37" s="341"/>
      <c r="AH37" s="258" t="s">
        <v>452</v>
      </c>
      <c r="AI37" s="341"/>
      <c r="AJ37" s="341"/>
      <c r="AK37" s="341"/>
      <c r="AL37" s="165"/>
    </row>
    <row r="38" spans="2:39">
      <c r="C38" s="470" t="s">
        <v>559</v>
      </c>
      <c r="Q38" s="8"/>
      <c r="R38" s="84"/>
      <c r="AI38" s="550" t="s">
        <v>449</v>
      </c>
      <c r="AJ38" s="165"/>
      <c r="AK38" s="165"/>
    </row>
    <row r="39" spans="2:39">
      <c r="C39" s="470" t="s">
        <v>560</v>
      </c>
      <c r="Q39" s="8"/>
      <c r="R39" s="84"/>
      <c r="AJ39" s="164" t="s">
        <v>450</v>
      </c>
      <c r="AK39" s="341"/>
    </row>
    <row r="40" spans="2:39">
      <c r="AK40" s="165" t="s">
        <v>451</v>
      </c>
    </row>
    <row r="41" spans="2:39">
      <c r="B41" s="3" t="s">
        <v>617</v>
      </c>
      <c r="C41" s="78" t="s">
        <v>609</v>
      </c>
      <c r="D41" s="471">
        <f>H11/F11</f>
        <v>40</v>
      </c>
    </row>
    <row r="42" spans="2:39">
      <c r="B42" s="9" t="s">
        <v>579</v>
      </c>
      <c r="C42" s="470" t="s">
        <v>591</v>
      </c>
    </row>
    <row r="43" spans="2:39">
      <c r="B43" s="526" t="s">
        <v>580</v>
      </c>
      <c r="C43" s="470" t="s">
        <v>560</v>
      </c>
    </row>
    <row r="44" spans="2:39">
      <c r="B44" s="526" t="s">
        <v>581</v>
      </c>
    </row>
    <row r="45" spans="2:39">
      <c r="B45" s="9" t="s">
        <v>582</v>
      </c>
    </row>
    <row r="46" spans="2:39">
      <c r="B46" s="9" t="s">
        <v>583</v>
      </c>
    </row>
    <row r="47" spans="2:39">
      <c r="B47" s="9" t="s">
        <v>584</v>
      </c>
    </row>
    <row r="48" spans="2:39">
      <c r="B48" s="9" t="s">
        <v>585</v>
      </c>
    </row>
    <row r="49" spans="2:4">
      <c r="B49" s="9" t="s">
        <v>586</v>
      </c>
    </row>
    <row r="50" spans="2:4">
      <c r="B50" s="9" t="s">
        <v>587</v>
      </c>
    </row>
    <row r="51" spans="2:4">
      <c r="B51" s="9" t="s">
        <v>588</v>
      </c>
    </row>
    <row r="52" spans="2:4">
      <c r="B52" s="9" t="s">
        <v>589</v>
      </c>
    </row>
    <row r="54" spans="2:4">
      <c r="B54" s="3" t="s">
        <v>620</v>
      </c>
      <c r="C54" s="78" t="s">
        <v>610</v>
      </c>
      <c r="D54" s="471">
        <f>H12/F12</f>
        <v>45</v>
      </c>
    </row>
    <row r="55" spans="2:4">
      <c r="B55" s="9" t="s">
        <v>579</v>
      </c>
      <c r="C55" s="470" t="s">
        <v>592</v>
      </c>
    </row>
    <row r="56" spans="2:4">
      <c r="B56" s="526" t="s">
        <v>580</v>
      </c>
      <c r="C56" s="470" t="s">
        <v>560</v>
      </c>
    </row>
    <row r="57" spans="2:4">
      <c r="B57" s="526" t="s">
        <v>581</v>
      </c>
    </row>
    <row r="58" spans="2:4">
      <c r="B58" s="9" t="s">
        <v>582</v>
      </c>
    </row>
    <row r="59" spans="2:4">
      <c r="B59" s="9" t="s">
        <v>583</v>
      </c>
    </row>
    <row r="60" spans="2:4">
      <c r="B60" s="9" t="s">
        <v>584</v>
      </c>
    </row>
    <row r="61" spans="2:4">
      <c r="B61" s="9" t="s">
        <v>585</v>
      </c>
    </row>
    <row r="62" spans="2:4">
      <c r="B62" s="9" t="s">
        <v>586</v>
      </c>
    </row>
    <row r="63" spans="2:4">
      <c r="B63" s="9" t="s">
        <v>587</v>
      </c>
    </row>
    <row r="64" spans="2:4">
      <c r="B64" s="9" t="s">
        <v>588</v>
      </c>
    </row>
    <row r="65" spans="2:4">
      <c r="B65" s="9" t="s">
        <v>589</v>
      </c>
    </row>
    <row r="66" spans="2:4">
      <c r="B66" s="3" t="s">
        <v>618</v>
      </c>
    </row>
    <row r="68" spans="2:4">
      <c r="B68" s="3" t="s">
        <v>620</v>
      </c>
      <c r="C68" s="78" t="s">
        <v>611</v>
      </c>
      <c r="D68" s="471">
        <f>H13/F13</f>
        <v>45</v>
      </c>
    </row>
    <row r="69" spans="2:4">
      <c r="B69" s="9" t="s">
        <v>579</v>
      </c>
      <c r="C69" s="470" t="s">
        <v>592</v>
      </c>
    </row>
    <row r="70" spans="2:4">
      <c r="B70" s="526" t="s">
        <v>580</v>
      </c>
      <c r="C70" s="470" t="s">
        <v>560</v>
      </c>
    </row>
    <row r="71" spans="2:4">
      <c r="B71" s="526" t="s">
        <v>581</v>
      </c>
    </row>
    <row r="72" spans="2:4">
      <c r="B72" s="9" t="s">
        <v>582</v>
      </c>
    </row>
    <row r="73" spans="2:4">
      <c r="B73" s="9" t="s">
        <v>583</v>
      </c>
    </row>
    <row r="74" spans="2:4">
      <c r="B74" s="9" t="s">
        <v>584</v>
      </c>
    </row>
    <row r="75" spans="2:4">
      <c r="B75" s="9" t="s">
        <v>585</v>
      </c>
    </row>
    <row r="76" spans="2:4">
      <c r="B76" s="9" t="s">
        <v>586</v>
      </c>
    </row>
    <row r="77" spans="2:4">
      <c r="B77" s="9" t="s">
        <v>587</v>
      </c>
    </row>
    <row r="78" spans="2:4">
      <c r="B78" s="9" t="s">
        <v>588</v>
      </c>
    </row>
    <row r="79" spans="2:4">
      <c r="B79" s="9" t="s">
        <v>589</v>
      </c>
    </row>
    <row r="80" spans="2:4">
      <c r="B80" s="3" t="s">
        <v>618</v>
      </c>
    </row>
    <row r="82" spans="2:4">
      <c r="B82" s="3" t="s">
        <v>621</v>
      </c>
      <c r="C82" s="78" t="s">
        <v>612</v>
      </c>
      <c r="D82" s="471">
        <f>H14/F14</f>
        <v>45</v>
      </c>
    </row>
    <row r="83" spans="2:4">
      <c r="B83" s="9" t="s">
        <v>579</v>
      </c>
      <c r="C83" s="470" t="s">
        <v>592</v>
      </c>
    </row>
    <row r="84" spans="2:4">
      <c r="B84" s="526" t="s">
        <v>580</v>
      </c>
      <c r="C84" s="470" t="s">
        <v>593</v>
      </c>
    </row>
    <row r="85" spans="2:4">
      <c r="B85" s="526" t="s">
        <v>581</v>
      </c>
    </row>
    <row r="86" spans="2:4">
      <c r="B86" s="9" t="s">
        <v>582</v>
      </c>
    </row>
    <row r="87" spans="2:4">
      <c r="B87" s="9" t="s">
        <v>583</v>
      </c>
    </row>
    <row r="88" spans="2:4">
      <c r="B88" s="9" t="s">
        <v>584</v>
      </c>
    </row>
    <row r="89" spans="2:4">
      <c r="B89" s="9" t="s">
        <v>585</v>
      </c>
    </row>
    <row r="90" spans="2:4">
      <c r="B90" s="9" t="s">
        <v>586</v>
      </c>
    </row>
    <row r="91" spans="2:4">
      <c r="B91" s="9" t="s">
        <v>587</v>
      </c>
    </row>
    <row r="92" spans="2:4">
      <c r="B92" s="9" t="s">
        <v>588</v>
      </c>
    </row>
    <row r="93" spans="2:4">
      <c r="B93" s="9" t="s">
        <v>589</v>
      </c>
    </row>
    <row r="94" spans="2:4">
      <c r="B94" s="3" t="s">
        <v>619</v>
      </c>
    </row>
    <row r="96" spans="2:4">
      <c r="B96" s="3" t="s">
        <v>620</v>
      </c>
      <c r="C96" s="78" t="s">
        <v>613</v>
      </c>
      <c r="D96" s="471">
        <f>H15/F15</f>
        <v>45</v>
      </c>
    </row>
    <row r="97" spans="2:4">
      <c r="B97" s="9" t="s">
        <v>579</v>
      </c>
      <c r="C97" s="470" t="s">
        <v>592</v>
      </c>
    </row>
    <row r="98" spans="2:4">
      <c r="B98" s="526" t="s">
        <v>580</v>
      </c>
      <c r="C98" s="470" t="s">
        <v>593</v>
      </c>
    </row>
    <row r="99" spans="2:4">
      <c r="B99" s="526" t="s">
        <v>581</v>
      </c>
    </row>
    <row r="100" spans="2:4">
      <c r="B100" s="9" t="s">
        <v>582</v>
      </c>
    </row>
    <row r="101" spans="2:4">
      <c r="B101" s="9" t="s">
        <v>583</v>
      </c>
    </row>
    <row r="102" spans="2:4">
      <c r="B102" s="9" t="s">
        <v>584</v>
      </c>
    </row>
    <row r="103" spans="2:4">
      <c r="B103" s="9" t="s">
        <v>585</v>
      </c>
    </row>
    <row r="104" spans="2:4">
      <c r="B104" s="9" t="s">
        <v>586</v>
      </c>
    </row>
    <row r="105" spans="2:4">
      <c r="B105" s="9" t="s">
        <v>587</v>
      </c>
    </row>
    <row r="106" spans="2:4">
      <c r="B106" s="9" t="s">
        <v>588</v>
      </c>
    </row>
    <row r="107" spans="2:4">
      <c r="B107" s="9" t="s">
        <v>589</v>
      </c>
    </row>
    <row r="108" spans="2:4">
      <c r="B108" s="3" t="s">
        <v>618</v>
      </c>
    </row>
    <row r="110" spans="2:4">
      <c r="C110" s="78" t="s">
        <v>614</v>
      </c>
      <c r="D110" s="471">
        <f>H16/F16</f>
        <v>35</v>
      </c>
    </row>
    <row r="111" spans="2:4">
      <c r="C111" s="470" t="s">
        <v>594</v>
      </c>
    </row>
    <row r="112" spans="2:4">
      <c r="C112" s="470" t="s">
        <v>595</v>
      </c>
    </row>
    <row r="115" spans="2:4">
      <c r="C115" s="78" t="s">
        <v>615</v>
      </c>
      <c r="D115" s="471">
        <f>H17/F17</f>
        <v>20</v>
      </c>
    </row>
    <row r="116" spans="2:4">
      <c r="C116" s="470" t="s">
        <v>597</v>
      </c>
    </row>
    <row r="117" spans="2:4">
      <c r="C117" s="470" t="s">
        <v>593</v>
      </c>
    </row>
    <row r="120" spans="2:4">
      <c r="C120" s="78" t="s">
        <v>616</v>
      </c>
      <c r="D120" s="471">
        <f>H18/F18</f>
        <v>45</v>
      </c>
    </row>
    <row r="121" spans="2:4">
      <c r="C121" s="470" t="s">
        <v>592</v>
      </c>
    </row>
    <row r="122" spans="2:4">
      <c r="C122" s="470" t="s">
        <v>595</v>
      </c>
    </row>
    <row r="127" spans="2:4">
      <c r="B127" s="90"/>
      <c r="C127" s="3"/>
    </row>
    <row r="128" spans="2:4">
      <c r="B128" s="141"/>
    </row>
    <row r="129" spans="2:2">
      <c r="B129" s="141"/>
    </row>
    <row r="130" spans="2:2">
      <c r="B130" s="141"/>
    </row>
    <row r="131" spans="2:2">
      <c r="B131" s="141"/>
    </row>
    <row r="132" spans="2:2">
      <c r="B132" s="141"/>
    </row>
  </sheetData>
  <mergeCells count="10">
    <mergeCell ref="A19:G1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29"/>
  <sheetViews>
    <sheetView workbookViewId="0">
      <pane ySplit="2" topLeftCell="A4" activePane="bottomLeft" state="frozen"/>
      <selection pane="bottomLeft" activeCell="C22" sqref="C22:D129"/>
    </sheetView>
  </sheetViews>
  <sheetFormatPr defaultRowHeight="11.25"/>
  <cols>
    <col min="1" max="1" width="7.5703125" style="8" bestFit="1" customWidth="1"/>
    <col min="2" max="2" width="7.5703125" style="8" customWidth="1"/>
    <col min="3" max="3" width="69.42578125" style="90" bestFit="1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bestFit="1" customWidth="1"/>
    <col min="8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9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7.2851562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9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9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717" t="s">
        <v>31</v>
      </c>
      <c r="B1" s="718"/>
      <c r="C1" s="718"/>
      <c r="D1" s="718"/>
      <c r="E1" s="719"/>
      <c r="F1" s="730" t="s">
        <v>485</v>
      </c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31"/>
      <c r="S1" s="732" t="s">
        <v>71</v>
      </c>
      <c r="T1" s="738" t="s">
        <v>167</v>
      </c>
      <c r="U1" s="717" t="s">
        <v>13</v>
      </c>
      <c r="V1" s="718"/>
      <c r="W1" s="718"/>
      <c r="X1" s="718"/>
      <c r="Y1" s="718"/>
      <c r="Z1" s="718"/>
      <c r="AA1" s="718"/>
      <c r="AB1" s="718"/>
      <c r="AC1" s="718"/>
      <c r="AD1" s="719"/>
      <c r="AE1" s="729" t="s">
        <v>14</v>
      </c>
      <c r="AF1" s="729"/>
      <c r="AG1" s="729"/>
      <c r="AH1" s="729"/>
      <c r="AI1" s="729"/>
      <c r="AJ1" s="729"/>
      <c r="AK1" s="729"/>
      <c r="AL1" s="729"/>
      <c r="AM1" s="729"/>
      <c r="AN1" s="717" t="s">
        <v>15</v>
      </c>
      <c r="AO1" s="718"/>
      <c r="AP1" s="718"/>
      <c r="AQ1" s="718"/>
      <c r="AR1" s="718"/>
      <c r="AS1" s="718"/>
      <c r="AT1" s="718"/>
      <c r="AU1" s="718"/>
      <c r="AV1" s="718"/>
      <c r="AW1" s="719"/>
      <c r="AX1" s="720" t="s">
        <v>16</v>
      </c>
      <c r="AY1" s="720"/>
      <c r="AZ1" s="720"/>
      <c r="BA1" s="720"/>
      <c r="BB1" s="720"/>
      <c r="BC1" s="720"/>
      <c r="BD1" s="720"/>
      <c r="BE1" s="720"/>
      <c r="BF1" s="721" t="s">
        <v>17</v>
      </c>
      <c r="BG1" s="722"/>
      <c r="BH1" s="722"/>
      <c r="BI1" s="722"/>
      <c r="BJ1" s="723"/>
    </row>
    <row r="2" spans="1:62" s="4" customFormat="1" ht="34.5" thickBot="1">
      <c r="A2" s="79" t="s">
        <v>19</v>
      </c>
      <c r="B2" s="79"/>
      <c r="C2" s="89" t="s">
        <v>0</v>
      </c>
      <c r="D2" s="66" t="s">
        <v>11</v>
      </c>
      <c r="E2" s="67" t="s">
        <v>12</v>
      </c>
      <c r="F2" s="55" t="s">
        <v>72</v>
      </c>
      <c r="G2" s="41" t="s">
        <v>73</v>
      </c>
      <c r="H2" s="41" t="s">
        <v>267</v>
      </c>
      <c r="I2" s="41" t="s">
        <v>74</v>
      </c>
      <c r="J2" s="736" t="s">
        <v>29</v>
      </c>
      <c r="K2" s="737"/>
      <c r="L2" s="41" t="s">
        <v>159</v>
      </c>
      <c r="M2" s="41" t="s">
        <v>160</v>
      </c>
      <c r="N2" s="41" t="s">
        <v>92</v>
      </c>
      <c r="O2" s="41"/>
      <c r="P2" s="41" t="s">
        <v>166</v>
      </c>
      <c r="Q2" s="94" t="s">
        <v>98</v>
      </c>
      <c r="R2" s="114" t="s">
        <v>97</v>
      </c>
      <c r="S2" s="733"/>
      <c r="T2" s="739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724" t="s">
        <v>29</v>
      </c>
      <c r="AD2" s="725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1" t="s">
        <v>75</v>
      </c>
      <c r="AK2" s="71" t="s">
        <v>76</v>
      </c>
      <c r="AL2" s="734" t="s">
        <v>29</v>
      </c>
      <c r="AM2" s="735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724" t="s">
        <v>29</v>
      </c>
      <c r="AW2" s="725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724" t="s">
        <v>29</v>
      </c>
      <c r="BJ2" s="725"/>
    </row>
    <row r="3" spans="1:62" s="191" customFormat="1" ht="12" thickBot="1">
      <c r="A3" s="560" t="str">
        <f>'1-συμβολαια'!A3</f>
        <v>10ο</v>
      </c>
      <c r="B3" s="561">
        <f>'1-συμβολαια'!B3</f>
        <v>40785</v>
      </c>
      <c r="C3" s="562" t="str">
        <f>'1-συμβολαια'!C3</f>
        <v>πληρεξούσιο</v>
      </c>
      <c r="D3" s="464" t="str">
        <f>'4-πολλυπρ'!D3</f>
        <v>219-14</v>
      </c>
      <c r="E3" s="464" t="str">
        <f>'4-πολλυπρ'!I3</f>
        <v>;;;???</v>
      </c>
      <c r="F3" s="464"/>
      <c r="G3" s="458"/>
      <c r="H3" s="458"/>
      <c r="I3" s="458"/>
      <c r="J3" s="569"/>
      <c r="K3" s="570"/>
      <c r="L3" s="458"/>
      <c r="M3" s="458"/>
      <c r="N3" s="458"/>
      <c r="O3" s="458"/>
      <c r="P3" s="458">
        <f t="shared" ref="P3" si="0">L3+M3</f>
        <v>0</v>
      </c>
      <c r="Q3" s="464"/>
      <c r="R3" s="464"/>
      <c r="S3" s="259"/>
      <c r="T3" s="259"/>
      <c r="U3" s="378"/>
      <c r="V3" s="365"/>
      <c r="W3" s="345" t="s">
        <v>403</v>
      </c>
      <c r="X3" s="345"/>
      <c r="Y3" s="345" t="s">
        <v>9</v>
      </c>
      <c r="Z3" s="379"/>
      <c r="AA3" s="345"/>
      <c r="AB3" s="345"/>
      <c r="AC3" s="345"/>
      <c r="AD3" s="365"/>
      <c r="AE3" s="378"/>
      <c r="AF3" s="365"/>
      <c r="AG3" s="365"/>
      <c r="AH3" s="365"/>
      <c r="AI3" s="365"/>
      <c r="AJ3" s="365"/>
      <c r="AK3" s="365"/>
      <c r="AL3" s="365"/>
      <c r="AM3" s="365"/>
      <c r="AN3" s="365"/>
      <c r="AO3" s="365"/>
      <c r="AP3" s="345" t="s">
        <v>403</v>
      </c>
      <c r="AQ3" s="365"/>
      <c r="AR3" s="345" t="s">
        <v>9</v>
      </c>
      <c r="AS3" s="365"/>
      <c r="AT3" s="365"/>
      <c r="AU3" s="365"/>
      <c r="AV3" s="365"/>
      <c r="AW3" s="378"/>
      <c r="AX3" s="365"/>
      <c r="AY3" s="365"/>
      <c r="AZ3" s="365"/>
      <c r="BA3" s="379"/>
      <c r="BB3" s="379"/>
      <c r="BC3" s="379"/>
      <c r="BD3" s="379"/>
      <c r="BE3" s="379"/>
      <c r="BF3" s="365"/>
      <c r="BG3" s="365"/>
      <c r="BH3" s="378"/>
      <c r="BI3" s="379"/>
      <c r="BJ3" s="379"/>
    </row>
    <row r="4" spans="1:62" s="191" customFormat="1">
      <c r="A4" s="557" t="str">
        <f>'1-συμβολαια'!A4</f>
        <v>11ο</v>
      </c>
      <c r="B4" s="559">
        <f>'1-συμβολαια'!B4</f>
        <v>40812</v>
      </c>
      <c r="C4" s="344" t="str">
        <f>'1-συμβολαια'!C4</f>
        <v>γονική [αγροτεμάχιο Θεολόγος -''βαλανίδια'' 16.832,18μ2</v>
      </c>
      <c r="D4" s="315" t="str">
        <f>'4-πολλυπρ'!D4</f>
        <v>219-14</v>
      </c>
      <c r="E4" s="315" t="str">
        <f>'4-πολλυπρ'!I4</f>
        <v>219-14</v>
      </c>
      <c r="F4" s="315">
        <v>2</v>
      </c>
      <c r="G4" s="316">
        <f t="shared" ref="G4:G18" si="1">F4*10</f>
        <v>20</v>
      </c>
      <c r="H4" s="316">
        <f t="shared" ref="H4:H18" si="2">4*10</f>
        <v>40</v>
      </c>
      <c r="I4" s="316">
        <f t="shared" ref="I4:I18" si="3">G4+H4</f>
        <v>60</v>
      </c>
      <c r="J4" s="265" t="s">
        <v>476</v>
      </c>
      <c r="K4" s="347" t="s">
        <v>165</v>
      </c>
      <c r="L4" s="316">
        <v>10</v>
      </c>
      <c r="M4" s="316">
        <v>10</v>
      </c>
      <c r="N4" s="316">
        <v>1.98</v>
      </c>
      <c r="O4" s="316"/>
      <c r="P4" s="316">
        <f t="shared" ref="P4:P18" si="4">L4+M4</f>
        <v>20</v>
      </c>
      <c r="Q4" s="315"/>
      <c r="R4" s="315"/>
      <c r="S4" s="259"/>
      <c r="T4" s="259"/>
      <c r="U4" s="378"/>
      <c r="V4" s="365"/>
      <c r="W4" s="345" t="s">
        <v>403</v>
      </c>
      <c r="X4" s="345"/>
      <c r="Y4" s="345" t="s">
        <v>9</v>
      </c>
      <c r="Z4" s="379"/>
      <c r="AA4" s="345"/>
      <c r="AB4" s="345"/>
      <c r="AC4" s="345"/>
      <c r="AD4" s="365"/>
      <c r="AE4" s="378"/>
      <c r="AF4" s="365"/>
      <c r="AG4" s="365"/>
      <c r="AH4" s="365"/>
      <c r="AI4" s="365"/>
      <c r="AJ4" s="365"/>
      <c r="AK4" s="365"/>
      <c r="AL4" s="365"/>
      <c r="AM4" s="365"/>
      <c r="AN4" s="365"/>
      <c r="AO4" s="365"/>
      <c r="AP4" s="345" t="s">
        <v>403</v>
      </c>
      <c r="AQ4" s="365"/>
      <c r="AR4" s="345" t="s">
        <v>9</v>
      </c>
      <c r="AS4" s="365"/>
      <c r="AT4" s="365"/>
      <c r="AU4" s="365"/>
      <c r="AV4" s="365"/>
      <c r="AW4" s="378"/>
      <c r="AX4" s="365"/>
      <c r="AY4" s="365"/>
      <c r="AZ4" s="365"/>
      <c r="BA4" s="379"/>
      <c r="BB4" s="379"/>
      <c r="BC4" s="379"/>
      <c r="BD4" s="379"/>
      <c r="BE4" s="379"/>
      <c r="BF4" s="365"/>
      <c r="BG4" s="365"/>
      <c r="BH4" s="378"/>
      <c r="BI4" s="379"/>
      <c r="BJ4" s="379"/>
    </row>
    <row r="5" spans="1:62" s="191" customFormat="1" ht="12" thickBot="1">
      <c r="A5" s="563">
        <f>'1-συμβολαια'!A5</f>
        <v>0</v>
      </c>
      <c r="B5" s="564"/>
      <c r="C5" s="565" t="str">
        <f>'1-συμβολαια'!C5</f>
        <v>χρησικτησία = 1961 πατρός ΔΩΡΕΑ άτυπος</v>
      </c>
      <c r="D5" s="402" t="str">
        <f>'4-πολλυπρ'!D5</f>
        <v>πατήρ</v>
      </c>
      <c r="E5" s="402" t="str">
        <f>'4-πολλυπρ'!I5</f>
        <v>219-14</v>
      </c>
      <c r="F5" s="402"/>
      <c r="G5" s="388"/>
      <c r="H5" s="388"/>
      <c r="I5" s="388"/>
      <c r="J5" s="567"/>
      <c r="K5" s="568"/>
      <c r="L5" s="388"/>
      <c r="M5" s="388"/>
      <c r="N5" s="388"/>
      <c r="O5" s="388"/>
      <c r="P5" s="388">
        <f t="shared" si="4"/>
        <v>0</v>
      </c>
      <c r="Q5" s="402"/>
      <c r="R5" s="402"/>
      <c r="S5" s="402"/>
      <c r="T5" s="259"/>
      <c r="U5" s="378"/>
      <c r="V5" s="365"/>
      <c r="W5" s="345" t="s">
        <v>403</v>
      </c>
      <c r="X5" s="345"/>
      <c r="Y5" s="345" t="s">
        <v>9</v>
      </c>
      <c r="Z5" s="379"/>
      <c r="AA5" s="345"/>
      <c r="AB5" s="345"/>
      <c r="AC5" s="345"/>
      <c r="AD5" s="365"/>
      <c r="AE5" s="378"/>
      <c r="AF5" s="365"/>
      <c r="AG5" s="365"/>
      <c r="AH5" s="365"/>
      <c r="AI5" s="365"/>
      <c r="AJ5" s="365"/>
      <c r="AK5" s="365"/>
      <c r="AL5" s="365"/>
      <c r="AM5" s="365"/>
      <c r="AN5" s="365"/>
      <c r="AO5" s="365"/>
      <c r="AP5" s="345" t="s">
        <v>403</v>
      </c>
      <c r="AQ5" s="365"/>
      <c r="AR5" s="345" t="s">
        <v>9</v>
      </c>
      <c r="AS5" s="365"/>
      <c r="AT5" s="365"/>
      <c r="AU5" s="365"/>
      <c r="AV5" s="365"/>
      <c r="AW5" s="378"/>
      <c r="AX5" s="365"/>
      <c r="AY5" s="365"/>
      <c r="AZ5" s="365"/>
      <c r="BA5" s="379"/>
      <c r="BB5" s="379"/>
      <c r="BC5" s="379"/>
      <c r="BD5" s="379"/>
      <c r="BE5" s="379"/>
      <c r="BF5" s="365"/>
      <c r="BG5" s="365"/>
      <c r="BH5" s="378"/>
      <c r="BI5" s="379"/>
      <c r="BJ5" s="379"/>
    </row>
    <row r="6" spans="1:62" s="191" customFormat="1">
      <c r="A6" s="558" t="str">
        <f>'1-συμβολαια'!A6</f>
        <v>12ο</v>
      </c>
      <c r="B6" s="559">
        <f>'1-συμβολαια'!B6</f>
        <v>41114</v>
      </c>
      <c r="C6" s="344" t="str">
        <f>'1-συμβολαια'!C6</f>
        <v>κληρονομιάς ΑΠΟΔΟΧΗ [οικόπεδο 226μ2 ΜΕ 2όροφο οιίκημα 150μ2 &amp; αποθήκη 15μ2 Θεολόγος</v>
      </c>
      <c r="D6" s="315" t="str">
        <f>'4-πολλυπρ'!D6</f>
        <v>πατήρ</v>
      </c>
      <c r="E6" s="315" t="str">
        <f>'4-πολλυπρ'!I6</f>
        <v>219-14</v>
      </c>
      <c r="F6" s="315">
        <v>1</v>
      </c>
      <c r="G6" s="316">
        <f t="shared" si="1"/>
        <v>10</v>
      </c>
      <c r="H6" s="316">
        <f t="shared" si="2"/>
        <v>40</v>
      </c>
      <c r="I6" s="316">
        <f t="shared" si="3"/>
        <v>50</v>
      </c>
      <c r="J6" s="265" t="s">
        <v>476</v>
      </c>
      <c r="K6" s="347" t="s">
        <v>165</v>
      </c>
      <c r="L6" s="316">
        <v>10</v>
      </c>
      <c r="M6" s="316">
        <v>10</v>
      </c>
      <c r="N6" s="316">
        <v>1.98</v>
      </c>
      <c r="O6" s="316"/>
      <c r="P6" s="316">
        <f t="shared" si="4"/>
        <v>20</v>
      </c>
      <c r="Q6" s="315"/>
      <c r="R6" s="315"/>
      <c r="S6" s="315"/>
      <c r="T6" s="259"/>
      <c r="U6" s="378"/>
      <c r="V6" s="365"/>
      <c r="W6" s="345" t="s">
        <v>403</v>
      </c>
      <c r="X6" s="345"/>
      <c r="Y6" s="345" t="s">
        <v>9</v>
      </c>
      <c r="Z6" s="379"/>
      <c r="AA6" s="345"/>
      <c r="AB6" s="345"/>
      <c r="AC6" s="345"/>
      <c r="AD6" s="365"/>
      <c r="AE6" s="378"/>
      <c r="AF6" s="365"/>
      <c r="AG6" s="365"/>
      <c r="AH6" s="365"/>
      <c r="AI6" s="365"/>
      <c r="AJ6" s="365"/>
      <c r="AK6" s="365"/>
      <c r="AL6" s="365"/>
      <c r="AM6" s="365"/>
      <c r="AN6" s="365"/>
      <c r="AO6" s="365"/>
      <c r="AP6" s="345" t="s">
        <v>403</v>
      </c>
      <c r="AQ6" s="365"/>
      <c r="AR6" s="345" t="s">
        <v>9</v>
      </c>
      <c r="AS6" s="365"/>
      <c r="AT6" s="365"/>
      <c r="AU6" s="365"/>
      <c r="AV6" s="365"/>
      <c r="AW6" s="378"/>
      <c r="AX6" s="365"/>
      <c r="AY6" s="365"/>
      <c r="AZ6" s="365"/>
      <c r="BA6" s="379"/>
      <c r="BB6" s="379"/>
      <c r="BC6" s="379"/>
      <c r="BD6" s="379"/>
      <c r="BE6" s="379"/>
      <c r="BF6" s="365"/>
      <c r="BG6" s="365"/>
      <c r="BH6" s="378"/>
      <c r="BI6" s="379"/>
      <c r="BJ6" s="379"/>
    </row>
    <row r="7" spans="1:62" s="191" customFormat="1">
      <c r="A7" s="558">
        <f>'1-συμβολαια'!A7</f>
        <v>0</v>
      </c>
      <c r="B7" s="559"/>
      <c r="C7" s="344" t="str">
        <f>'1-συμβολαια'!C7</f>
        <v>χρησικτησία οικοπέδου &amp; οικήματος = 1950 πατρός ΚΛΗΡΟΝΟΜΙΑ άτυπη</v>
      </c>
      <c r="D7" s="315">
        <f>'4-πολλυπρ'!D7</f>
        <v>0</v>
      </c>
      <c r="E7" s="315" t="str">
        <f>'4-πολλυπρ'!I7</f>
        <v>πατήρ</v>
      </c>
      <c r="F7" s="315"/>
      <c r="G7" s="316"/>
      <c r="H7" s="316"/>
      <c r="I7" s="316"/>
      <c r="J7" s="265"/>
      <c r="K7" s="347"/>
      <c r="L7" s="316"/>
      <c r="M7" s="316"/>
      <c r="N7" s="316"/>
      <c r="O7" s="316"/>
      <c r="P7" s="316">
        <f t="shared" si="4"/>
        <v>0</v>
      </c>
      <c r="Q7" s="315"/>
      <c r="R7" s="315"/>
      <c r="S7" s="259"/>
      <c r="T7" s="259"/>
      <c r="U7" s="378"/>
      <c r="V7" s="365"/>
      <c r="W7" s="345" t="s">
        <v>403</v>
      </c>
      <c r="X7" s="345"/>
      <c r="Y7" s="345" t="s">
        <v>9</v>
      </c>
      <c r="Z7" s="379"/>
      <c r="AA7" s="345"/>
      <c r="AB7" s="345"/>
      <c r="AC7" s="345"/>
      <c r="AD7" s="365"/>
      <c r="AE7" s="378"/>
      <c r="AF7" s="365"/>
      <c r="AG7" s="365"/>
      <c r="AH7" s="365"/>
      <c r="AI7" s="365"/>
      <c r="AJ7" s="365"/>
      <c r="AK7" s="365"/>
      <c r="AL7" s="365"/>
      <c r="AM7" s="365"/>
      <c r="AN7" s="365"/>
      <c r="AO7" s="365"/>
      <c r="AP7" s="345" t="s">
        <v>403</v>
      </c>
      <c r="AQ7" s="365"/>
      <c r="AR7" s="345" t="s">
        <v>9</v>
      </c>
      <c r="AS7" s="365"/>
      <c r="AT7" s="365"/>
      <c r="AU7" s="365"/>
      <c r="AV7" s="365"/>
      <c r="AW7" s="378"/>
      <c r="AX7" s="365"/>
      <c r="AY7" s="365"/>
      <c r="AZ7" s="365"/>
      <c r="BA7" s="379"/>
      <c r="BB7" s="379"/>
      <c r="BC7" s="379"/>
      <c r="BD7" s="379"/>
      <c r="BE7" s="379"/>
      <c r="BF7" s="365"/>
      <c r="BG7" s="365"/>
      <c r="BH7" s="378"/>
      <c r="BI7" s="379"/>
      <c r="BJ7" s="379"/>
    </row>
    <row r="8" spans="1:62" s="191" customFormat="1">
      <c r="A8" s="558">
        <f>'1-συμβολαια'!A8</f>
        <v>0</v>
      </c>
      <c r="B8" s="559"/>
      <c r="C8" s="344" t="str">
        <f>'1-συμβολαια'!C8</f>
        <v>χρησικτησία οικοπέδου &amp; οικήματος = 1950 ΔΙΑΝΟΜΗ άτυπη</v>
      </c>
      <c r="D8" s="315">
        <f>'4-πολλυπρ'!D8</f>
        <v>0</v>
      </c>
      <c r="E8" s="315" t="str">
        <f>'4-πολλυπρ'!I8</f>
        <v>πατήρ</v>
      </c>
      <c r="F8" s="315">
        <v>1</v>
      </c>
      <c r="G8" s="316">
        <f t="shared" si="1"/>
        <v>10</v>
      </c>
      <c r="H8" s="316">
        <f t="shared" si="2"/>
        <v>40</v>
      </c>
      <c r="I8" s="316">
        <f t="shared" si="3"/>
        <v>50</v>
      </c>
      <c r="J8" s="265" t="s">
        <v>476</v>
      </c>
      <c r="K8" s="347" t="s">
        <v>165</v>
      </c>
      <c r="L8" s="316">
        <v>10</v>
      </c>
      <c r="M8" s="316">
        <v>10</v>
      </c>
      <c r="N8" s="316">
        <v>1.98</v>
      </c>
      <c r="O8" s="316"/>
      <c r="P8" s="316">
        <f t="shared" si="4"/>
        <v>20</v>
      </c>
      <c r="Q8" s="315"/>
      <c r="R8" s="315"/>
      <c r="S8" s="259"/>
      <c r="T8" s="259"/>
      <c r="U8" s="378"/>
      <c r="V8" s="365"/>
      <c r="W8" s="345" t="s">
        <v>403</v>
      </c>
      <c r="X8" s="345"/>
      <c r="Y8" s="345" t="s">
        <v>9</v>
      </c>
      <c r="Z8" s="379"/>
      <c r="AA8" s="345"/>
      <c r="AB8" s="345"/>
      <c r="AC8" s="345"/>
      <c r="AD8" s="365"/>
      <c r="AE8" s="378"/>
      <c r="AF8" s="365"/>
      <c r="AG8" s="365"/>
      <c r="AH8" s="365"/>
      <c r="AI8" s="365"/>
      <c r="AJ8" s="365"/>
      <c r="AK8" s="365"/>
      <c r="AL8" s="365"/>
      <c r="AM8" s="365"/>
      <c r="AN8" s="365"/>
      <c r="AO8" s="365"/>
      <c r="AP8" s="345" t="s">
        <v>403</v>
      </c>
      <c r="AQ8" s="365"/>
      <c r="AR8" s="345" t="s">
        <v>9</v>
      </c>
      <c r="AS8" s="365"/>
      <c r="AT8" s="365"/>
      <c r="AU8" s="365"/>
      <c r="AV8" s="365"/>
      <c r="AW8" s="378"/>
      <c r="AX8" s="365"/>
      <c r="AY8" s="365"/>
      <c r="AZ8" s="365"/>
      <c r="BA8" s="379"/>
      <c r="BB8" s="379"/>
      <c r="BC8" s="379"/>
      <c r="BD8" s="379"/>
      <c r="BE8" s="379"/>
      <c r="BF8" s="365"/>
      <c r="BG8" s="365"/>
      <c r="BH8" s="378"/>
      <c r="BI8" s="379"/>
      <c r="BJ8" s="379"/>
    </row>
    <row r="9" spans="1:62" s="191" customFormat="1" ht="12" thickBot="1">
      <c r="A9" s="566">
        <f>'1-συμβολαια'!A9</f>
        <v>0</v>
      </c>
      <c r="B9" s="564"/>
      <c r="C9" s="565" t="str">
        <f>'1-συμβολαια'!C9</f>
        <v xml:space="preserve">εξισορόπηση διαφοράς διανεμομένων </v>
      </c>
      <c r="D9" s="402">
        <f>'4-πολλυπρ'!D9</f>
        <v>0</v>
      </c>
      <c r="E9" s="402">
        <f>'4-πολλυπρ'!I9</f>
        <v>0</v>
      </c>
      <c r="F9" s="402"/>
      <c r="G9" s="388"/>
      <c r="H9" s="388"/>
      <c r="I9" s="388"/>
      <c r="J9" s="567"/>
      <c r="K9" s="568"/>
      <c r="L9" s="388"/>
      <c r="M9" s="388"/>
      <c r="N9" s="388"/>
      <c r="O9" s="388"/>
      <c r="P9" s="388">
        <f t="shared" si="4"/>
        <v>0</v>
      </c>
      <c r="Q9" s="402"/>
      <c r="R9" s="402"/>
      <c r="S9" s="402"/>
      <c r="T9" s="259"/>
      <c r="U9" s="378"/>
      <c r="V9" s="365"/>
      <c r="W9" s="345" t="s">
        <v>403</v>
      </c>
      <c r="X9" s="345"/>
      <c r="Y9" s="345" t="s">
        <v>9</v>
      </c>
      <c r="Z9" s="379"/>
      <c r="AA9" s="345"/>
      <c r="AB9" s="345"/>
      <c r="AC9" s="345"/>
      <c r="AD9" s="365"/>
      <c r="AE9" s="378"/>
      <c r="AF9" s="365"/>
      <c r="AG9" s="365"/>
      <c r="AH9" s="365"/>
      <c r="AI9" s="365"/>
      <c r="AJ9" s="365"/>
      <c r="AK9" s="365"/>
      <c r="AL9" s="365"/>
      <c r="AM9" s="365"/>
      <c r="AN9" s="365"/>
      <c r="AO9" s="365"/>
      <c r="AP9" s="345" t="s">
        <v>403</v>
      </c>
      <c r="AQ9" s="365"/>
      <c r="AR9" s="345" t="s">
        <v>9</v>
      </c>
      <c r="AS9" s="365"/>
      <c r="AT9" s="365"/>
      <c r="AU9" s="365"/>
      <c r="AV9" s="365"/>
      <c r="AW9" s="378"/>
      <c r="AX9" s="365"/>
      <c r="AY9" s="365"/>
      <c r="AZ9" s="365"/>
      <c r="BA9" s="379"/>
      <c r="BB9" s="379"/>
      <c r="BC9" s="379"/>
      <c r="BD9" s="379"/>
      <c r="BE9" s="379"/>
      <c r="BF9" s="365"/>
      <c r="BG9" s="365"/>
      <c r="BH9" s="378"/>
      <c r="BI9" s="379"/>
      <c r="BJ9" s="379"/>
    </row>
    <row r="10" spans="1:62" s="191" customFormat="1">
      <c r="A10" s="516" t="str">
        <f>'1-συμβολαια'!A10</f>
        <v>13ο</v>
      </c>
      <c r="B10" s="559">
        <f>'1-συμβολαια'!B10</f>
        <v>41370</v>
      </c>
      <c r="C10" s="344" t="str">
        <f>'1-συμβολαια'!C10</f>
        <v>πληρεξούσιο</v>
      </c>
      <c r="D10" s="315" t="str">
        <f>'4-πολλυπρ'!D10</f>
        <v>219-14</v>
      </c>
      <c r="E10" s="315" t="str">
        <f>'4-πολλυπρ'!I10</f>
        <v>219-14</v>
      </c>
      <c r="F10" s="315"/>
      <c r="G10" s="316"/>
      <c r="H10" s="316"/>
      <c r="I10" s="316"/>
      <c r="J10" s="265"/>
      <c r="K10" s="347"/>
      <c r="L10" s="316"/>
      <c r="M10" s="316"/>
      <c r="N10" s="316"/>
      <c r="O10" s="316"/>
      <c r="P10" s="316">
        <f t="shared" si="4"/>
        <v>0</v>
      </c>
      <c r="Q10" s="315"/>
      <c r="R10" s="315"/>
      <c r="S10" s="315"/>
      <c r="T10" s="259"/>
      <c r="U10" s="378"/>
      <c r="V10" s="365"/>
      <c r="W10" s="345" t="s">
        <v>403</v>
      </c>
      <c r="X10" s="345"/>
      <c r="Y10" s="345" t="s">
        <v>9</v>
      </c>
      <c r="Z10" s="379"/>
      <c r="AA10" s="345"/>
      <c r="AB10" s="345"/>
      <c r="AC10" s="345"/>
      <c r="AD10" s="365"/>
      <c r="AE10" s="378"/>
      <c r="AF10" s="365"/>
      <c r="AG10" s="365"/>
      <c r="AH10" s="365"/>
      <c r="AI10" s="365"/>
      <c r="AJ10" s="365"/>
      <c r="AK10" s="365"/>
      <c r="AL10" s="365"/>
      <c r="AM10" s="365"/>
      <c r="AN10" s="365"/>
      <c r="AO10" s="365"/>
      <c r="AP10" s="345" t="s">
        <v>403</v>
      </c>
      <c r="AQ10" s="365"/>
      <c r="AR10" s="345" t="s">
        <v>9</v>
      </c>
      <c r="AS10" s="365"/>
      <c r="AT10" s="365"/>
      <c r="AU10" s="365"/>
      <c r="AV10" s="365"/>
      <c r="AW10" s="378"/>
      <c r="AX10" s="365"/>
      <c r="AY10" s="365"/>
      <c r="AZ10" s="365"/>
      <c r="BA10" s="379"/>
      <c r="BB10" s="379"/>
      <c r="BC10" s="379"/>
      <c r="BD10" s="379"/>
      <c r="BE10" s="379"/>
      <c r="BF10" s="365"/>
      <c r="BG10" s="365"/>
      <c r="BH10" s="378"/>
      <c r="BI10" s="379"/>
      <c r="BJ10" s="379"/>
    </row>
    <row r="11" spans="1:62" s="191" customFormat="1">
      <c r="A11" s="516" t="str">
        <f>'1-συμβολαια'!A11</f>
        <v>14ο</v>
      </c>
      <c r="B11" s="559">
        <f>'1-συμβολαια'!B11</f>
        <v>41372</v>
      </c>
      <c r="C11" s="344" t="str">
        <f>'1-συμβολαια'!C11</f>
        <v>αγοραπωλησία</v>
      </c>
      <c r="D11" s="315" t="str">
        <f>'4-πολλυπρ'!D11</f>
        <v>219-14</v>
      </c>
      <c r="E11" s="315" t="str">
        <f>'4-πολλυπρ'!I11</f>
        <v>219-14</v>
      </c>
      <c r="F11" s="315">
        <v>3</v>
      </c>
      <c r="G11" s="316">
        <f t="shared" si="1"/>
        <v>30</v>
      </c>
      <c r="H11" s="316">
        <f t="shared" si="2"/>
        <v>40</v>
      </c>
      <c r="I11" s="316">
        <f t="shared" si="3"/>
        <v>70</v>
      </c>
      <c r="J11" s="265" t="s">
        <v>476</v>
      </c>
      <c r="K11" s="347" t="s">
        <v>165</v>
      </c>
      <c r="L11" s="316">
        <v>10</v>
      </c>
      <c r="M11" s="316">
        <v>10</v>
      </c>
      <c r="N11" s="316">
        <v>1.98</v>
      </c>
      <c r="O11" s="316"/>
      <c r="P11" s="316">
        <f t="shared" si="4"/>
        <v>20</v>
      </c>
      <c r="Q11" s="315"/>
      <c r="R11" s="315"/>
      <c r="S11" s="259"/>
      <c r="T11" s="259"/>
      <c r="U11" s="378"/>
      <c r="V11" s="365"/>
      <c r="W11" s="345" t="s">
        <v>403</v>
      </c>
      <c r="X11" s="345"/>
      <c r="Y11" s="345" t="s">
        <v>9</v>
      </c>
      <c r="Z11" s="379"/>
      <c r="AA11" s="345"/>
      <c r="AB11" s="345"/>
      <c r="AC11" s="345"/>
      <c r="AD11" s="365"/>
      <c r="AE11" s="378"/>
      <c r="AF11" s="365"/>
      <c r="AG11" s="365"/>
      <c r="AH11" s="365"/>
      <c r="AI11" s="365"/>
      <c r="AJ11" s="365"/>
      <c r="AK11" s="365"/>
      <c r="AL11" s="365"/>
      <c r="AM11" s="365"/>
      <c r="AN11" s="365"/>
      <c r="AO11" s="365"/>
      <c r="AP11" s="345" t="s">
        <v>403</v>
      </c>
      <c r="AQ11" s="365"/>
      <c r="AR11" s="345" t="s">
        <v>9</v>
      </c>
      <c r="AS11" s="365"/>
      <c r="AT11" s="365"/>
      <c r="AU11" s="365"/>
      <c r="AV11" s="365"/>
      <c r="AW11" s="378"/>
      <c r="AX11" s="365"/>
      <c r="AY11" s="365"/>
      <c r="AZ11" s="365"/>
      <c r="BA11" s="379"/>
      <c r="BB11" s="379"/>
      <c r="BC11" s="379"/>
      <c r="BD11" s="379"/>
      <c r="BE11" s="379"/>
      <c r="BF11" s="365"/>
      <c r="BG11" s="365"/>
      <c r="BH11" s="378"/>
      <c r="BI11" s="379"/>
      <c r="BJ11" s="379"/>
    </row>
    <row r="12" spans="1:62" s="191" customFormat="1">
      <c r="A12" s="516" t="str">
        <f>'1-συμβολαια'!A12</f>
        <v>15ο</v>
      </c>
      <c r="B12" s="559">
        <f>'1-συμβολαια'!B12</f>
        <v>41372</v>
      </c>
      <c r="C12" s="344" t="str">
        <f>'1-συμβολαια'!C12</f>
        <v>δωρεά</v>
      </c>
      <c r="D12" s="315" t="str">
        <f>'4-πολλυπρ'!D12</f>
        <v>219-14</v>
      </c>
      <c r="E12" s="315" t="str">
        <f>'4-πολλυπρ'!I12</f>
        <v>219-14</v>
      </c>
      <c r="F12" s="315">
        <v>3</v>
      </c>
      <c r="G12" s="316">
        <f t="shared" si="1"/>
        <v>30</v>
      </c>
      <c r="H12" s="316">
        <f t="shared" si="2"/>
        <v>40</v>
      </c>
      <c r="I12" s="316">
        <f t="shared" si="3"/>
        <v>70</v>
      </c>
      <c r="J12" s="265" t="s">
        <v>476</v>
      </c>
      <c r="K12" s="347" t="s">
        <v>165</v>
      </c>
      <c r="L12" s="316"/>
      <c r="M12" s="316"/>
      <c r="N12" s="316">
        <v>1.98</v>
      </c>
      <c r="O12" s="316"/>
      <c r="P12" s="316">
        <f t="shared" si="4"/>
        <v>0</v>
      </c>
      <c r="Q12" s="315"/>
      <c r="R12" s="315"/>
      <c r="S12" s="259"/>
      <c r="T12" s="259"/>
      <c r="U12" s="378"/>
      <c r="V12" s="365"/>
      <c r="W12" s="345" t="s">
        <v>403</v>
      </c>
      <c r="X12" s="345"/>
      <c r="Y12" s="345" t="s">
        <v>9</v>
      </c>
      <c r="Z12" s="379"/>
      <c r="AA12" s="345"/>
      <c r="AB12" s="345"/>
      <c r="AC12" s="345"/>
      <c r="AD12" s="365"/>
      <c r="AE12" s="378"/>
      <c r="AF12" s="365"/>
      <c r="AG12" s="365"/>
      <c r="AH12" s="365"/>
      <c r="AI12" s="365"/>
      <c r="AJ12" s="365"/>
      <c r="AK12" s="365"/>
      <c r="AL12" s="365"/>
      <c r="AM12" s="365"/>
      <c r="AN12" s="365"/>
      <c r="AO12" s="365"/>
      <c r="AP12" s="345" t="s">
        <v>403</v>
      </c>
      <c r="AQ12" s="365"/>
      <c r="AR12" s="345" t="s">
        <v>9</v>
      </c>
      <c r="AS12" s="365"/>
      <c r="AT12" s="365"/>
      <c r="AU12" s="365"/>
      <c r="AV12" s="365"/>
      <c r="AW12" s="378"/>
      <c r="AX12" s="365"/>
      <c r="AY12" s="365"/>
      <c r="AZ12" s="365"/>
      <c r="BA12" s="379"/>
      <c r="BB12" s="379"/>
      <c r="BC12" s="379"/>
      <c r="BD12" s="379"/>
      <c r="BE12" s="379"/>
      <c r="BF12" s="365"/>
      <c r="BG12" s="365"/>
      <c r="BH12" s="378"/>
      <c r="BI12" s="379"/>
      <c r="BJ12" s="379"/>
    </row>
    <row r="13" spans="1:62" s="191" customFormat="1">
      <c r="A13" s="516" t="str">
        <f>'1-συμβολαια'!A13</f>
        <v>16ο</v>
      </c>
      <c r="B13" s="559">
        <f>'1-συμβολαια'!B13</f>
        <v>41372</v>
      </c>
      <c r="C13" s="344" t="str">
        <f>'1-συμβολαια'!C13</f>
        <v>γονική</v>
      </c>
      <c r="D13" s="315" t="str">
        <f>'4-πολλυπρ'!D13</f>
        <v>219-14</v>
      </c>
      <c r="E13" s="315" t="str">
        <f>'4-πολλυπρ'!I13</f>
        <v>219-14</v>
      </c>
      <c r="F13" s="315">
        <v>3</v>
      </c>
      <c r="G13" s="316">
        <f t="shared" si="1"/>
        <v>30</v>
      </c>
      <c r="H13" s="316">
        <f t="shared" si="2"/>
        <v>40</v>
      </c>
      <c r="I13" s="316">
        <f t="shared" si="3"/>
        <v>70</v>
      </c>
      <c r="J13" s="265" t="s">
        <v>476</v>
      </c>
      <c r="K13" s="347" t="s">
        <v>165</v>
      </c>
      <c r="L13" s="316"/>
      <c r="M13" s="316"/>
      <c r="N13" s="316">
        <v>1.98</v>
      </c>
      <c r="O13" s="316"/>
      <c r="P13" s="316">
        <f t="shared" si="4"/>
        <v>0</v>
      </c>
      <c r="Q13" s="315"/>
      <c r="R13" s="315"/>
      <c r="S13" s="259"/>
      <c r="T13" s="259"/>
      <c r="U13" s="378"/>
      <c r="V13" s="365"/>
      <c r="W13" s="345" t="s">
        <v>403</v>
      </c>
      <c r="X13" s="345"/>
      <c r="Y13" s="345" t="s">
        <v>9</v>
      </c>
      <c r="Z13" s="379"/>
      <c r="AA13" s="345"/>
      <c r="AB13" s="345"/>
      <c r="AC13" s="345"/>
      <c r="AD13" s="365"/>
      <c r="AE13" s="378"/>
      <c r="AF13" s="365"/>
      <c r="AG13" s="365"/>
      <c r="AH13" s="365"/>
      <c r="AI13" s="365"/>
      <c r="AJ13" s="365"/>
      <c r="AK13" s="365"/>
      <c r="AL13" s="365"/>
      <c r="AM13" s="365"/>
      <c r="AN13" s="365"/>
      <c r="AO13" s="365"/>
      <c r="AP13" s="345" t="s">
        <v>403</v>
      </c>
      <c r="AQ13" s="365"/>
      <c r="AR13" s="345" t="s">
        <v>9</v>
      </c>
      <c r="AS13" s="365"/>
      <c r="AT13" s="365"/>
      <c r="AU13" s="365"/>
      <c r="AV13" s="365"/>
      <c r="AW13" s="378"/>
      <c r="AX13" s="365"/>
      <c r="AY13" s="365"/>
      <c r="AZ13" s="365"/>
      <c r="BA13" s="379"/>
      <c r="BB13" s="379"/>
      <c r="BC13" s="379"/>
      <c r="BD13" s="379"/>
      <c r="BE13" s="379"/>
      <c r="BF13" s="365"/>
      <c r="BG13" s="365"/>
      <c r="BH13" s="378"/>
      <c r="BI13" s="379"/>
      <c r="BJ13" s="379"/>
    </row>
    <row r="14" spans="1:62" s="191" customFormat="1">
      <c r="A14" s="516" t="str">
        <f>'1-συμβολαια'!A14</f>
        <v>17ο</v>
      </c>
      <c r="B14" s="559">
        <f>'1-συμβολαια'!B14</f>
        <v>41372</v>
      </c>
      <c r="C14" s="344" t="str">
        <f>'1-συμβολαια'!C14</f>
        <v>δωρεά</v>
      </c>
      <c r="D14" s="315" t="str">
        <f>'4-πολλυπρ'!D14</f>
        <v>219-14</v>
      </c>
      <c r="E14" s="315" t="str">
        <f>'4-πολλυπρ'!I14</f>
        <v>219-14</v>
      </c>
      <c r="F14" s="315">
        <f>2*3</f>
        <v>6</v>
      </c>
      <c r="G14" s="316">
        <f t="shared" si="1"/>
        <v>60</v>
      </c>
      <c r="H14" s="316">
        <f t="shared" si="2"/>
        <v>40</v>
      </c>
      <c r="I14" s="316">
        <f t="shared" si="3"/>
        <v>100</v>
      </c>
      <c r="J14" s="265" t="s">
        <v>476</v>
      </c>
      <c r="K14" s="347" t="s">
        <v>165</v>
      </c>
      <c r="L14" s="316"/>
      <c r="M14" s="316"/>
      <c r="N14" s="316">
        <f>2*1.98</f>
        <v>3.96</v>
      </c>
      <c r="O14" s="316"/>
      <c r="P14" s="316">
        <f t="shared" si="4"/>
        <v>0</v>
      </c>
      <c r="Q14" s="315"/>
      <c r="R14" s="315"/>
      <c r="S14" s="259"/>
      <c r="T14" s="259"/>
      <c r="U14" s="378"/>
      <c r="V14" s="365"/>
      <c r="W14" s="345" t="s">
        <v>403</v>
      </c>
      <c r="X14" s="345"/>
      <c r="Y14" s="345" t="s">
        <v>9</v>
      </c>
      <c r="Z14" s="379"/>
      <c r="AA14" s="345"/>
      <c r="AB14" s="345"/>
      <c r="AC14" s="345"/>
      <c r="AD14" s="365"/>
      <c r="AE14" s="378"/>
      <c r="AF14" s="365"/>
      <c r="AG14" s="365"/>
      <c r="AH14" s="365"/>
      <c r="AI14" s="365"/>
      <c r="AJ14" s="365"/>
      <c r="AK14" s="365"/>
      <c r="AL14" s="365"/>
      <c r="AM14" s="365"/>
      <c r="AN14" s="365"/>
      <c r="AO14" s="365"/>
      <c r="AP14" s="345" t="s">
        <v>403</v>
      </c>
      <c r="AQ14" s="365"/>
      <c r="AR14" s="345" t="s">
        <v>9</v>
      </c>
      <c r="AS14" s="365"/>
      <c r="AT14" s="365"/>
      <c r="AU14" s="365"/>
      <c r="AV14" s="365"/>
      <c r="AW14" s="378"/>
      <c r="AX14" s="365"/>
      <c r="AY14" s="365"/>
      <c r="AZ14" s="365"/>
      <c r="BA14" s="379"/>
      <c r="BB14" s="379"/>
      <c r="BC14" s="379"/>
      <c r="BD14" s="379"/>
      <c r="BE14" s="379"/>
      <c r="BF14" s="365"/>
      <c r="BG14" s="365"/>
      <c r="BH14" s="378"/>
      <c r="BI14" s="379"/>
      <c r="BJ14" s="379"/>
    </row>
    <row r="15" spans="1:62" s="191" customFormat="1">
      <c r="A15" s="516" t="str">
        <f>'1-συμβολαια'!A15</f>
        <v>18ο</v>
      </c>
      <c r="B15" s="559">
        <f>'1-συμβολαια'!B15</f>
        <v>41372</v>
      </c>
      <c r="C15" s="344" t="str">
        <f>'1-συμβολαια'!C15</f>
        <v>γονική</v>
      </c>
      <c r="D15" s="315" t="str">
        <f>'4-πολλυπρ'!D15</f>
        <v>219-14</v>
      </c>
      <c r="E15" s="315" t="str">
        <f>'4-πολλυπρ'!I15</f>
        <v>219-14</v>
      </c>
      <c r="F15" s="315">
        <f>2*3</f>
        <v>6</v>
      </c>
      <c r="G15" s="316">
        <f t="shared" si="1"/>
        <v>60</v>
      </c>
      <c r="H15" s="316">
        <f t="shared" si="2"/>
        <v>40</v>
      </c>
      <c r="I15" s="316">
        <f t="shared" si="3"/>
        <v>100</v>
      </c>
      <c r="J15" s="265" t="s">
        <v>476</v>
      </c>
      <c r="K15" s="347" t="s">
        <v>165</v>
      </c>
      <c r="L15" s="316"/>
      <c r="M15" s="316"/>
      <c r="N15" s="316">
        <f>2*1.98</f>
        <v>3.96</v>
      </c>
      <c r="O15" s="316"/>
      <c r="P15" s="316">
        <f t="shared" si="4"/>
        <v>0</v>
      </c>
      <c r="Q15" s="315"/>
      <c r="R15" s="315"/>
      <c r="S15" s="259"/>
      <c r="T15" s="259"/>
      <c r="U15" s="378"/>
      <c r="V15" s="365"/>
      <c r="W15" s="345" t="s">
        <v>403</v>
      </c>
      <c r="X15" s="345"/>
      <c r="Y15" s="345" t="s">
        <v>9</v>
      </c>
      <c r="Z15" s="379"/>
      <c r="AA15" s="345"/>
      <c r="AB15" s="345"/>
      <c r="AC15" s="345"/>
      <c r="AD15" s="365"/>
      <c r="AE15" s="378"/>
      <c r="AF15" s="365"/>
      <c r="AG15" s="365"/>
      <c r="AH15" s="365"/>
      <c r="AI15" s="365"/>
      <c r="AJ15" s="365"/>
      <c r="AK15" s="365"/>
      <c r="AL15" s="365"/>
      <c r="AM15" s="365"/>
      <c r="AN15" s="365"/>
      <c r="AO15" s="365"/>
      <c r="AP15" s="345" t="s">
        <v>403</v>
      </c>
      <c r="AQ15" s="365"/>
      <c r="AR15" s="345" t="s">
        <v>9</v>
      </c>
      <c r="AS15" s="365"/>
      <c r="AT15" s="365"/>
      <c r="AU15" s="365"/>
      <c r="AV15" s="365"/>
      <c r="AW15" s="378"/>
      <c r="AX15" s="365"/>
      <c r="AY15" s="365"/>
      <c r="AZ15" s="365"/>
      <c r="BA15" s="379"/>
      <c r="BB15" s="379"/>
      <c r="BC15" s="379"/>
      <c r="BD15" s="379"/>
      <c r="BE15" s="379"/>
      <c r="BF15" s="365"/>
      <c r="BG15" s="365"/>
      <c r="BH15" s="378"/>
      <c r="BI15" s="379"/>
      <c r="BJ15" s="379"/>
    </row>
    <row r="16" spans="1:62" s="191" customFormat="1">
      <c r="A16" s="516" t="str">
        <f>'1-συμβολαια'!A16</f>
        <v>19ο</v>
      </c>
      <c r="B16" s="559">
        <f>'1-συμβολαια'!B16</f>
        <v>41372</v>
      </c>
      <c r="C16" s="344" t="str">
        <f>'1-συμβολαια'!C16</f>
        <v>σύσταση δουλείας</v>
      </c>
      <c r="D16" s="315" t="str">
        <f>'4-πολλυπρ'!D16</f>
        <v>219-14</v>
      </c>
      <c r="E16" s="315" t="str">
        <f>'4-πολλυπρ'!I16</f>
        <v>219-14</v>
      </c>
      <c r="F16" s="315">
        <v>2</v>
      </c>
      <c r="G16" s="316">
        <f t="shared" si="1"/>
        <v>20</v>
      </c>
      <c r="H16" s="316">
        <f t="shared" si="2"/>
        <v>40</v>
      </c>
      <c r="I16" s="316">
        <f t="shared" si="3"/>
        <v>60</v>
      </c>
      <c r="J16" s="265" t="s">
        <v>476</v>
      </c>
      <c r="K16" s="347" t="s">
        <v>165</v>
      </c>
      <c r="L16" s="316"/>
      <c r="M16" s="316"/>
      <c r="N16" s="316">
        <v>1.98</v>
      </c>
      <c r="O16" s="316"/>
      <c r="P16" s="316">
        <f t="shared" si="4"/>
        <v>0</v>
      </c>
      <c r="Q16" s="315"/>
      <c r="R16" s="315"/>
      <c r="S16" s="259"/>
      <c r="T16" s="259"/>
      <c r="U16" s="378"/>
      <c r="V16" s="365"/>
      <c r="W16" s="345" t="s">
        <v>403</v>
      </c>
      <c r="X16" s="345"/>
      <c r="Y16" s="345" t="s">
        <v>9</v>
      </c>
      <c r="Z16" s="379"/>
      <c r="AA16" s="345"/>
      <c r="AB16" s="345"/>
      <c r="AC16" s="345"/>
      <c r="AD16" s="365"/>
      <c r="AE16" s="378"/>
      <c r="AF16" s="365"/>
      <c r="AG16" s="365"/>
      <c r="AH16" s="365"/>
      <c r="AI16" s="365"/>
      <c r="AJ16" s="365"/>
      <c r="AK16" s="365"/>
      <c r="AL16" s="365"/>
      <c r="AM16" s="365"/>
      <c r="AN16" s="365"/>
      <c r="AO16" s="365"/>
      <c r="AP16" s="345" t="s">
        <v>403</v>
      </c>
      <c r="AQ16" s="365"/>
      <c r="AR16" s="345" t="s">
        <v>9</v>
      </c>
      <c r="AS16" s="365"/>
      <c r="AT16" s="365"/>
      <c r="AU16" s="365"/>
      <c r="AV16" s="365"/>
      <c r="AW16" s="378"/>
      <c r="AX16" s="365"/>
      <c r="AY16" s="365"/>
      <c r="AZ16" s="365"/>
      <c r="BA16" s="379"/>
      <c r="BB16" s="379"/>
      <c r="BC16" s="379"/>
      <c r="BD16" s="379"/>
      <c r="BE16" s="379"/>
      <c r="BF16" s="365"/>
      <c r="BG16" s="365"/>
      <c r="BH16" s="378"/>
      <c r="BI16" s="379"/>
      <c r="BJ16" s="379"/>
    </row>
    <row r="17" spans="1:62" s="191" customFormat="1">
      <c r="A17" s="516" t="str">
        <f>'1-συμβολαια'!A17</f>
        <v>20ο</v>
      </c>
      <c r="B17" s="559">
        <f>'1-συμβολαια'!B17</f>
        <v>41372</v>
      </c>
      <c r="C17" s="344" t="str">
        <f>'1-συμβολαια'!C17</f>
        <v>σύσταση δουλείας</v>
      </c>
      <c r="D17" s="315" t="str">
        <f>'4-πολλυπρ'!D17</f>
        <v>219-14</v>
      </c>
      <c r="E17" s="315" t="str">
        <f>'4-πολλυπρ'!I17</f>
        <v>219-14</v>
      </c>
      <c r="F17" s="315">
        <v>1</v>
      </c>
      <c r="G17" s="316">
        <f t="shared" si="1"/>
        <v>10</v>
      </c>
      <c r="H17" s="316">
        <f t="shared" si="2"/>
        <v>40</v>
      </c>
      <c r="I17" s="316">
        <f t="shared" si="3"/>
        <v>50</v>
      </c>
      <c r="J17" s="265" t="s">
        <v>476</v>
      </c>
      <c r="K17" s="347" t="s">
        <v>165</v>
      </c>
      <c r="L17" s="316"/>
      <c r="M17" s="316"/>
      <c r="N17" s="316">
        <v>1.98</v>
      </c>
      <c r="O17" s="316"/>
      <c r="P17" s="316">
        <f t="shared" si="4"/>
        <v>0</v>
      </c>
      <c r="Q17" s="315"/>
      <c r="R17" s="315"/>
      <c r="S17" s="259"/>
      <c r="T17" s="259"/>
      <c r="U17" s="378"/>
      <c r="V17" s="365"/>
      <c r="W17" s="345" t="s">
        <v>403</v>
      </c>
      <c r="X17" s="345"/>
      <c r="Y17" s="345" t="s">
        <v>9</v>
      </c>
      <c r="Z17" s="379"/>
      <c r="AA17" s="345"/>
      <c r="AB17" s="345"/>
      <c r="AC17" s="345"/>
      <c r="AD17" s="365"/>
      <c r="AE17" s="378"/>
      <c r="AF17" s="365"/>
      <c r="AG17" s="365"/>
      <c r="AH17" s="365"/>
      <c r="AI17" s="365"/>
      <c r="AJ17" s="365"/>
      <c r="AK17" s="365"/>
      <c r="AL17" s="365"/>
      <c r="AM17" s="365"/>
      <c r="AN17" s="365"/>
      <c r="AO17" s="365"/>
      <c r="AP17" s="345" t="s">
        <v>403</v>
      </c>
      <c r="AQ17" s="365"/>
      <c r="AR17" s="345" t="s">
        <v>9</v>
      </c>
      <c r="AS17" s="365"/>
      <c r="AT17" s="365"/>
      <c r="AU17" s="365"/>
      <c r="AV17" s="365"/>
      <c r="AW17" s="378"/>
      <c r="AX17" s="365"/>
      <c r="AY17" s="365"/>
      <c r="AZ17" s="365"/>
      <c r="BA17" s="379"/>
      <c r="BB17" s="379"/>
      <c r="BC17" s="379"/>
      <c r="BD17" s="379"/>
      <c r="BE17" s="379"/>
      <c r="BF17" s="365"/>
      <c r="BG17" s="365"/>
      <c r="BH17" s="378"/>
      <c r="BI17" s="379"/>
      <c r="BJ17" s="379"/>
    </row>
    <row r="18" spans="1:62" s="191" customFormat="1">
      <c r="A18" s="516" t="str">
        <f>'1-συμβολαια'!A18</f>
        <v>21ο</v>
      </c>
      <c r="B18" s="559">
        <f>'1-συμβολαια'!B18</f>
        <v>41373</v>
      </c>
      <c r="C18" s="344" t="str">
        <f>'1-συμβολαια'!C18</f>
        <v>χρήσης ακινήτου ΚΑΝΟΝΙΣΜΟΣ</v>
      </c>
      <c r="D18" s="315" t="str">
        <f>'4-πολλυπρ'!D18</f>
        <v>219-14</v>
      </c>
      <c r="E18" s="315">
        <f>'4-πολλυπρ'!I18</f>
        <v>0</v>
      </c>
      <c r="F18" s="315">
        <v>3</v>
      </c>
      <c r="G18" s="316">
        <f t="shared" si="1"/>
        <v>30</v>
      </c>
      <c r="H18" s="316">
        <f t="shared" si="2"/>
        <v>40</v>
      </c>
      <c r="I18" s="316">
        <f t="shared" si="3"/>
        <v>70</v>
      </c>
      <c r="J18" s="265" t="s">
        <v>476</v>
      </c>
      <c r="K18" s="347" t="s">
        <v>165</v>
      </c>
      <c r="L18" s="316"/>
      <c r="M18" s="316"/>
      <c r="N18" s="316">
        <v>1.98</v>
      </c>
      <c r="O18" s="316"/>
      <c r="P18" s="316">
        <f t="shared" si="4"/>
        <v>0</v>
      </c>
      <c r="Q18" s="315"/>
      <c r="R18" s="315"/>
      <c r="S18" s="259"/>
      <c r="T18" s="259"/>
      <c r="U18" s="378"/>
      <c r="V18" s="365"/>
      <c r="W18" s="345" t="s">
        <v>403</v>
      </c>
      <c r="X18" s="345"/>
      <c r="Y18" s="345" t="s">
        <v>9</v>
      </c>
      <c r="Z18" s="379"/>
      <c r="AA18" s="345"/>
      <c r="AB18" s="345"/>
      <c r="AC18" s="345"/>
      <c r="AD18" s="365"/>
      <c r="AE18" s="378"/>
      <c r="AF18" s="365"/>
      <c r="AG18" s="365"/>
      <c r="AH18" s="365"/>
      <c r="AI18" s="365"/>
      <c r="AJ18" s="365"/>
      <c r="AK18" s="365"/>
      <c r="AL18" s="365"/>
      <c r="AM18" s="365"/>
      <c r="AN18" s="365"/>
      <c r="AO18" s="365"/>
      <c r="AP18" s="345" t="s">
        <v>403</v>
      </c>
      <c r="AQ18" s="365"/>
      <c r="AR18" s="345" t="s">
        <v>9</v>
      </c>
      <c r="AS18" s="365"/>
      <c r="AT18" s="365"/>
      <c r="AU18" s="365"/>
      <c r="AV18" s="365"/>
      <c r="AW18" s="378"/>
      <c r="AX18" s="365"/>
      <c r="AY18" s="365"/>
      <c r="AZ18" s="365"/>
      <c r="BA18" s="379"/>
      <c r="BB18" s="379"/>
      <c r="BC18" s="379"/>
      <c r="BD18" s="379"/>
      <c r="BE18" s="379"/>
      <c r="BF18" s="365"/>
      <c r="BG18" s="365"/>
      <c r="BH18" s="378"/>
      <c r="BI18" s="379"/>
      <c r="BJ18" s="379"/>
    </row>
    <row r="19" spans="1:62">
      <c r="A19" s="726" t="s">
        <v>35</v>
      </c>
      <c r="B19" s="727"/>
      <c r="C19" s="727"/>
      <c r="D19" s="727"/>
      <c r="E19" s="728"/>
      <c r="F19" s="68">
        <f>SUM(F3:F18)</f>
        <v>31</v>
      </c>
      <c r="G19" s="68">
        <f>SUM(G3:G18)</f>
        <v>310</v>
      </c>
      <c r="H19" s="68">
        <f>SUM(H3:H18)</f>
        <v>440</v>
      </c>
      <c r="I19" s="68">
        <f>SUM(I3:I18)</f>
        <v>750</v>
      </c>
      <c r="J19" s="68"/>
      <c r="K19" s="68"/>
      <c r="L19" s="68">
        <f t="shared" ref="L19:S19" si="5">SUM(L3:L18)</f>
        <v>40</v>
      </c>
      <c r="M19" s="68">
        <f t="shared" si="5"/>
        <v>40</v>
      </c>
      <c r="N19" s="68">
        <f t="shared" si="5"/>
        <v>25.740000000000002</v>
      </c>
      <c r="O19" s="68">
        <f t="shared" si="5"/>
        <v>0</v>
      </c>
      <c r="P19" s="68">
        <f t="shared" si="5"/>
        <v>80</v>
      </c>
      <c r="Q19" s="68">
        <f t="shared" si="5"/>
        <v>0</v>
      </c>
      <c r="R19" s="68">
        <f t="shared" si="5"/>
        <v>0</v>
      </c>
      <c r="S19" s="68">
        <f t="shared" si="5"/>
        <v>0</v>
      </c>
      <c r="T19" s="68"/>
      <c r="U19" s="133"/>
      <c r="V19" s="68"/>
      <c r="W19" s="68"/>
      <c r="X19" s="68">
        <f>SUM(X3:X18)</f>
        <v>0</v>
      </c>
      <c r="Y19" s="68"/>
      <c r="Z19" s="68">
        <f t="shared" ref="Z19:AK19" si="6">SUM(Z3:Z18)</f>
        <v>0</v>
      </c>
      <c r="AA19" s="68">
        <f t="shared" si="6"/>
        <v>0</v>
      </c>
      <c r="AB19" s="68">
        <f t="shared" si="6"/>
        <v>0</v>
      </c>
      <c r="AC19" s="68">
        <f t="shared" si="6"/>
        <v>0</v>
      </c>
      <c r="AD19" s="68">
        <f t="shared" si="6"/>
        <v>0</v>
      </c>
      <c r="AE19" s="133">
        <f t="shared" si="6"/>
        <v>0</v>
      </c>
      <c r="AF19" s="68">
        <f t="shared" si="6"/>
        <v>0</v>
      </c>
      <c r="AG19" s="68">
        <f t="shared" si="6"/>
        <v>0</v>
      </c>
      <c r="AH19" s="68">
        <f t="shared" si="6"/>
        <v>0</v>
      </c>
      <c r="AI19" s="68">
        <f t="shared" si="6"/>
        <v>0</v>
      </c>
      <c r="AJ19" s="72">
        <f t="shared" si="6"/>
        <v>0</v>
      </c>
      <c r="AK19" s="72">
        <f t="shared" si="6"/>
        <v>0</v>
      </c>
      <c r="AL19" s="72"/>
      <c r="AM19" s="68">
        <f>SUM(AM3:AM18)</f>
        <v>0</v>
      </c>
      <c r="AN19" s="68">
        <f>SUM(AN3:AN18)</f>
        <v>0</v>
      </c>
      <c r="AO19" s="68">
        <f>SUM(AO3:AO18)</f>
        <v>0</v>
      </c>
      <c r="AP19" s="68"/>
      <c r="AQ19" s="68">
        <f t="shared" ref="AQ19:BJ19" si="7">SUM(AQ3:AQ18)</f>
        <v>0</v>
      </c>
      <c r="AR19" s="68">
        <f t="shared" si="7"/>
        <v>0</v>
      </c>
      <c r="AS19" s="68">
        <f t="shared" si="7"/>
        <v>0</v>
      </c>
      <c r="AT19" s="68">
        <f t="shared" si="7"/>
        <v>0</v>
      </c>
      <c r="AU19" s="68">
        <f t="shared" si="7"/>
        <v>0</v>
      </c>
      <c r="AV19" s="68">
        <f t="shared" si="7"/>
        <v>0</v>
      </c>
      <c r="AW19" s="68">
        <f t="shared" si="7"/>
        <v>0</v>
      </c>
      <c r="AX19" s="68">
        <f t="shared" si="7"/>
        <v>0</v>
      </c>
      <c r="AY19" s="68">
        <f t="shared" si="7"/>
        <v>0</v>
      </c>
      <c r="AZ19" s="68">
        <f t="shared" si="7"/>
        <v>0</v>
      </c>
      <c r="BA19" s="68">
        <f t="shared" si="7"/>
        <v>0</v>
      </c>
      <c r="BB19" s="68">
        <f t="shared" si="7"/>
        <v>0</v>
      </c>
      <c r="BC19" s="68">
        <f t="shared" si="7"/>
        <v>0</v>
      </c>
      <c r="BD19" s="68">
        <f t="shared" si="7"/>
        <v>0</v>
      </c>
      <c r="BE19" s="68">
        <f t="shared" si="7"/>
        <v>0</v>
      </c>
      <c r="BF19" s="68">
        <f t="shared" si="7"/>
        <v>0</v>
      </c>
      <c r="BG19" s="68">
        <f t="shared" si="7"/>
        <v>0</v>
      </c>
      <c r="BH19" s="68">
        <f t="shared" si="7"/>
        <v>0</v>
      </c>
      <c r="BI19" s="68">
        <f t="shared" si="7"/>
        <v>0</v>
      </c>
      <c r="BJ19" s="68">
        <f t="shared" si="7"/>
        <v>0</v>
      </c>
    </row>
    <row r="20" spans="1:62">
      <c r="L20" s="136" t="s">
        <v>484</v>
      </c>
    </row>
    <row r="21" spans="1:62">
      <c r="H21" s="136" t="s">
        <v>484</v>
      </c>
      <c r="I21" s="298" t="s">
        <v>100</v>
      </c>
      <c r="J21" s="136"/>
      <c r="K21" s="136"/>
      <c r="L21" s="136"/>
      <c r="M21" s="136" t="s">
        <v>484</v>
      </c>
      <c r="N21" s="116"/>
      <c r="O21" s="116"/>
      <c r="T21" s="178" t="s">
        <v>167</v>
      </c>
      <c r="AA21" s="2"/>
      <c r="AC21" s="116" t="s">
        <v>101</v>
      </c>
      <c r="AJ21" s="219" t="s">
        <v>102</v>
      </c>
    </row>
    <row r="22" spans="1:62">
      <c r="C22" s="92"/>
      <c r="D22" s="78" t="s">
        <v>605</v>
      </c>
      <c r="G22" s="3"/>
      <c r="H22" s="3"/>
      <c r="I22" s="3"/>
      <c r="J22" s="156" t="s">
        <v>161</v>
      </c>
      <c r="K22" s="118"/>
      <c r="M22" s="136"/>
      <c r="N22" s="3"/>
      <c r="O22" s="3"/>
      <c r="P22" s="3"/>
      <c r="Q22" s="156" t="s">
        <v>168</v>
      </c>
      <c r="T22" s="9"/>
    </row>
    <row r="23" spans="1:62">
      <c r="C23" s="92"/>
      <c r="D23" s="470" t="s">
        <v>559</v>
      </c>
      <c r="F23" s="117"/>
      <c r="G23" s="3"/>
      <c r="H23" s="3"/>
      <c r="I23" s="3"/>
      <c r="J23" s="118" t="s">
        <v>162</v>
      </c>
      <c r="K23" s="118"/>
      <c r="M23" s="3"/>
      <c r="N23" s="3"/>
      <c r="O23" s="3"/>
      <c r="P23" s="3"/>
      <c r="R23" s="118" t="s">
        <v>169</v>
      </c>
      <c r="T23" s="9"/>
    </row>
    <row r="24" spans="1:62">
      <c r="C24" s="92"/>
      <c r="D24" s="470" t="s">
        <v>560</v>
      </c>
      <c r="J24" s="118"/>
      <c r="K24" s="156" t="s">
        <v>163</v>
      </c>
      <c r="N24" s="151" t="s">
        <v>465</v>
      </c>
      <c r="O24" s="4"/>
      <c r="T24" s="9"/>
    </row>
    <row r="25" spans="1:62">
      <c r="C25" s="92"/>
      <c r="D25" s="2"/>
      <c r="K25" s="118" t="s">
        <v>164</v>
      </c>
      <c r="T25" s="9"/>
    </row>
    <row r="26" spans="1:62">
      <c r="C26" s="130"/>
      <c r="D26" s="78" t="s">
        <v>606</v>
      </c>
      <c r="T26" s="9"/>
    </row>
    <row r="27" spans="1:62">
      <c r="C27" s="131"/>
      <c r="D27" s="470" t="s">
        <v>578</v>
      </c>
      <c r="T27" s="9"/>
    </row>
    <row r="28" spans="1:62">
      <c r="C28" s="92"/>
      <c r="D28" s="470" t="s">
        <v>560</v>
      </c>
      <c r="T28" s="9"/>
    </row>
    <row r="29" spans="1:62">
      <c r="C29" s="92"/>
      <c r="D29" s="2"/>
    </row>
    <row r="30" spans="1:62">
      <c r="C30" s="3" t="s">
        <v>572</v>
      </c>
      <c r="D30" s="78" t="s">
        <v>607</v>
      </c>
      <c r="Q30" s="2"/>
      <c r="R30" s="2"/>
      <c r="S30" s="2"/>
      <c r="T30" s="2"/>
      <c r="U30" s="134"/>
    </row>
    <row r="31" spans="1:62">
      <c r="C31" s="526" t="s">
        <v>573</v>
      </c>
      <c r="D31" s="470" t="s">
        <v>559</v>
      </c>
    </row>
    <row r="32" spans="1:62">
      <c r="C32" s="526" t="s">
        <v>574</v>
      </c>
      <c r="D32" s="470" t="s">
        <v>560</v>
      </c>
    </row>
    <row r="33" spans="3:4">
      <c r="C33" s="92"/>
      <c r="D33" s="2"/>
    </row>
    <row r="34" spans="3:4">
      <c r="C34" s="92"/>
      <c r="D34" s="78" t="s">
        <v>608</v>
      </c>
    </row>
    <row r="35" spans="3:4">
      <c r="C35" s="92"/>
      <c r="D35" s="470" t="s">
        <v>559</v>
      </c>
    </row>
    <row r="36" spans="3:4">
      <c r="C36" s="92"/>
      <c r="D36" s="470" t="s">
        <v>560</v>
      </c>
    </row>
    <row r="37" spans="3:4">
      <c r="C37" s="92"/>
      <c r="D37" s="2"/>
    </row>
    <row r="38" spans="3:4">
      <c r="C38" s="3" t="s">
        <v>617</v>
      </c>
      <c r="D38" s="78" t="s">
        <v>609</v>
      </c>
    </row>
    <row r="39" spans="3:4">
      <c r="C39" s="9" t="s">
        <v>579</v>
      </c>
      <c r="D39" s="470" t="s">
        <v>591</v>
      </c>
    </row>
    <row r="40" spans="3:4">
      <c r="C40" s="526" t="s">
        <v>580</v>
      </c>
      <c r="D40" s="470" t="s">
        <v>560</v>
      </c>
    </row>
    <row r="41" spans="3:4">
      <c r="C41" s="526" t="s">
        <v>581</v>
      </c>
      <c r="D41" s="2"/>
    </row>
    <row r="42" spans="3:4">
      <c r="C42" s="9" t="s">
        <v>582</v>
      </c>
      <c r="D42" s="2"/>
    </row>
    <row r="43" spans="3:4">
      <c r="C43" s="9" t="s">
        <v>583</v>
      </c>
      <c r="D43" s="2"/>
    </row>
    <row r="44" spans="3:4">
      <c r="C44" s="9" t="s">
        <v>584</v>
      </c>
      <c r="D44" s="2"/>
    </row>
    <row r="45" spans="3:4">
      <c r="C45" s="9" t="s">
        <v>585</v>
      </c>
      <c r="D45" s="2"/>
    </row>
    <row r="46" spans="3:4">
      <c r="C46" s="9" t="s">
        <v>586</v>
      </c>
      <c r="D46" s="2"/>
    </row>
    <row r="47" spans="3:4">
      <c r="C47" s="9" t="s">
        <v>587</v>
      </c>
      <c r="D47" s="2"/>
    </row>
    <row r="48" spans="3:4">
      <c r="C48" s="9" t="s">
        <v>588</v>
      </c>
      <c r="D48" s="2"/>
    </row>
    <row r="49" spans="3:4">
      <c r="C49" s="9" t="s">
        <v>589</v>
      </c>
      <c r="D49" s="2"/>
    </row>
    <row r="50" spans="3:4">
      <c r="C50" s="92"/>
      <c r="D50" s="2"/>
    </row>
    <row r="51" spans="3:4">
      <c r="C51" s="3" t="s">
        <v>620</v>
      </c>
      <c r="D51" s="78" t="s">
        <v>610</v>
      </c>
    </row>
    <row r="52" spans="3:4">
      <c r="C52" s="9" t="s">
        <v>579</v>
      </c>
      <c r="D52" s="470" t="s">
        <v>592</v>
      </c>
    </row>
    <row r="53" spans="3:4">
      <c r="C53" s="526" t="s">
        <v>580</v>
      </c>
      <c r="D53" s="470" t="s">
        <v>560</v>
      </c>
    </row>
    <row r="54" spans="3:4">
      <c r="C54" s="526" t="s">
        <v>581</v>
      </c>
      <c r="D54" s="2"/>
    </row>
    <row r="55" spans="3:4">
      <c r="C55" s="9" t="s">
        <v>582</v>
      </c>
      <c r="D55" s="2"/>
    </row>
    <row r="56" spans="3:4">
      <c r="C56" s="9" t="s">
        <v>583</v>
      </c>
      <c r="D56" s="2"/>
    </row>
    <row r="57" spans="3:4">
      <c r="C57" s="9" t="s">
        <v>584</v>
      </c>
      <c r="D57" s="2"/>
    </row>
    <row r="58" spans="3:4">
      <c r="C58" s="9" t="s">
        <v>585</v>
      </c>
      <c r="D58" s="2"/>
    </row>
    <row r="59" spans="3:4">
      <c r="C59" s="9" t="s">
        <v>586</v>
      </c>
      <c r="D59" s="2"/>
    </row>
    <row r="60" spans="3:4">
      <c r="C60" s="9" t="s">
        <v>587</v>
      </c>
      <c r="D60" s="2"/>
    </row>
    <row r="61" spans="3:4">
      <c r="C61" s="9" t="s">
        <v>588</v>
      </c>
      <c r="D61" s="2"/>
    </row>
    <row r="62" spans="3:4">
      <c r="C62" s="9" t="s">
        <v>589</v>
      </c>
      <c r="D62" s="2"/>
    </row>
    <row r="63" spans="3:4">
      <c r="C63" s="3" t="s">
        <v>618</v>
      </c>
      <c r="D63" s="2"/>
    </row>
    <row r="64" spans="3:4">
      <c r="C64" s="92"/>
      <c r="D64" s="2"/>
    </row>
    <row r="65" spans="3:4">
      <c r="C65" s="3" t="s">
        <v>620</v>
      </c>
      <c r="D65" s="78" t="s">
        <v>611</v>
      </c>
    </row>
    <row r="66" spans="3:4">
      <c r="C66" s="9" t="s">
        <v>579</v>
      </c>
      <c r="D66" s="470" t="s">
        <v>592</v>
      </c>
    </row>
    <row r="67" spans="3:4">
      <c r="C67" s="526" t="s">
        <v>580</v>
      </c>
      <c r="D67" s="470" t="s">
        <v>560</v>
      </c>
    </row>
    <row r="68" spans="3:4">
      <c r="C68" s="526" t="s">
        <v>581</v>
      </c>
      <c r="D68" s="2"/>
    </row>
    <row r="69" spans="3:4">
      <c r="C69" s="9" t="s">
        <v>582</v>
      </c>
      <c r="D69" s="2"/>
    </row>
    <row r="70" spans="3:4">
      <c r="C70" s="9" t="s">
        <v>583</v>
      </c>
      <c r="D70" s="2"/>
    </row>
    <row r="71" spans="3:4">
      <c r="C71" s="9" t="s">
        <v>584</v>
      </c>
      <c r="D71" s="2"/>
    </row>
    <row r="72" spans="3:4">
      <c r="C72" s="9" t="s">
        <v>585</v>
      </c>
      <c r="D72" s="2"/>
    </row>
    <row r="73" spans="3:4">
      <c r="C73" s="9" t="s">
        <v>586</v>
      </c>
      <c r="D73" s="2"/>
    </row>
    <row r="74" spans="3:4">
      <c r="C74" s="9" t="s">
        <v>587</v>
      </c>
      <c r="D74" s="2"/>
    </row>
    <row r="75" spans="3:4">
      <c r="C75" s="9" t="s">
        <v>588</v>
      </c>
      <c r="D75" s="2"/>
    </row>
    <row r="76" spans="3:4">
      <c r="C76" s="9" t="s">
        <v>589</v>
      </c>
      <c r="D76" s="2"/>
    </row>
    <row r="77" spans="3:4">
      <c r="C77" s="3" t="s">
        <v>618</v>
      </c>
      <c r="D77" s="2"/>
    </row>
    <row r="78" spans="3:4">
      <c r="C78" s="92"/>
      <c r="D78" s="2"/>
    </row>
    <row r="79" spans="3:4">
      <c r="C79" s="3" t="s">
        <v>621</v>
      </c>
      <c r="D79" s="78" t="s">
        <v>612</v>
      </c>
    </row>
    <row r="80" spans="3:4">
      <c r="C80" s="9" t="s">
        <v>579</v>
      </c>
      <c r="D80" s="470" t="s">
        <v>592</v>
      </c>
    </row>
    <row r="81" spans="3:4">
      <c r="C81" s="526" t="s">
        <v>580</v>
      </c>
      <c r="D81" s="470" t="s">
        <v>593</v>
      </c>
    </row>
    <row r="82" spans="3:4">
      <c r="C82" s="526" t="s">
        <v>581</v>
      </c>
      <c r="D82" s="2"/>
    </row>
    <row r="83" spans="3:4">
      <c r="C83" s="9" t="s">
        <v>582</v>
      </c>
      <c r="D83" s="2"/>
    </row>
    <row r="84" spans="3:4">
      <c r="C84" s="9" t="s">
        <v>583</v>
      </c>
      <c r="D84" s="2"/>
    </row>
    <row r="85" spans="3:4">
      <c r="C85" s="9" t="s">
        <v>584</v>
      </c>
      <c r="D85" s="2"/>
    </row>
    <row r="86" spans="3:4">
      <c r="C86" s="9" t="s">
        <v>585</v>
      </c>
      <c r="D86" s="2"/>
    </row>
    <row r="87" spans="3:4">
      <c r="C87" s="9" t="s">
        <v>586</v>
      </c>
      <c r="D87" s="2"/>
    </row>
    <row r="88" spans="3:4">
      <c r="C88" s="9" t="s">
        <v>587</v>
      </c>
      <c r="D88" s="2"/>
    </row>
    <row r="89" spans="3:4">
      <c r="C89" s="9" t="s">
        <v>588</v>
      </c>
      <c r="D89" s="2"/>
    </row>
    <row r="90" spans="3:4">
      <c r="C90" s="9" t="s">
        <v>589</v>
      </c>
      <c r="D90" s="2"/>
    </row>
    <row r="91" spans="3:4">
      <c r="C91" s="3" t="s">
        <v>619</v>
      </c>
      <c r="D91" s="2"/>
    </row>
    <row r="92" spans="3:4">
      <c r="C92" s="92"/>
      <c r="D92" s="2"/>
    </row>
    <row r="93" spans="3:4">
      <c r="C93" s="3" t="s">
        <v>620</v>
      </c>
      <c r="D93" s="78" t="s">
        <v>613</v>
      </c>
    </row>
    <row r="94" spans="3:4">
      <c r="C94" s="9" t="s">
        <v>579</v>
      </c>
      <c r="D94" s="470" t="s">
        <v>592</v>
      </c>
    </row>
    <row r="95" spans="3:4">
      <c r="C95" s="526" t="s">
        <v>580</v>
      </c>
      <c r="D95" s="470" t="s">
        <v>593</v>
      </c>
    </row>
    <row r="96" spans="3:4">
      <c r="C96" s="526" t="s">
        <v>581</v>
      </c>
      <c r="D96" s="2"/>
    </row>
    <row r="97" spans="3:4">
      <c r="C97" s="9" t="s">
        <v>582</v>
      </c>
      <c r="D97" s="2"/>
    </row>
    <row r="98" spans="3:4">
      <c r="C98" s="9" t="s">
        <v>583</v>
      </c>
      <c r="D98" s="2"/>
    </row>
    <row r="99" spans="3:4">
      <c r="C99" s="9" t="s">
        <v>584</v>
      </c>
      <c r="D99" s="2"/>
    </row>
    <row r="100" spans="3:4">
      <c r="C100" s="9" t="s">
        <v>585</v>
      </c>
      <c r="D100" s="2"/>
    </row>
    <row r="101" spans="3:4">
      <c r="C101" s="9" t="s">
        <v>586</v>
      </c>
      <c r="D101" s="2"/>
    </row>
    <row r="102" spans="3:4">
      <c r="C102" s="9" t="s">
        <v>587</v>
      </c>
      <c r="D102" s="2"/>
    </row>
    <row r="103" spans="3:4">
      <c r="C103" s="9" t="s">
        <v>588</v>
      </c>
      <c r="D103" s="2"/>
    </row>
    <row r="104" spans="3:4">
      <c r="C104" s="9" t="s">
        <v>589</v>
      </c>
      <c r="D104" s="2"/>
    </row>
    <row r="105" spans="3:4">
      <c r="C105" s="3" t="s">
        <v>618</v>
      </c>
      <c r="D105" s="2"/>
    </row>
    <row r="106" spans="3:4">
      <c r="C106" s="92"/>
      <c r="D106" s="2"/>
    </row>
    <row r="107" spans="3:4">
      <c r="C107" s="92"/>
      <c r="D107" s="78" t="s">
        <v>614</v>
      </c>
    </row>
    <row r="108" spans="3:4">
      <c r="C108" s="92"/>
      <c r="D108" s="470" t="s">
        <v>594</v>
      </c>
    </row>
    <row r="109" spans="3:4">
      <c r="C109" s="92"/>
      <c r="D109" s="470" t="s">
        <v>595</v>
      </c>
    </row>
    <row r="110" spans="3:4">
      <c r="C110" s="92"/>
      <c r="D110" s="2"/>
    </row>
    <row r="111" spans="3:4">
      <c r="C111" s="92"/>
      <c r="D111" s="2"/>
    </row>
    <row r="112" spans="3:4">
      <c r="C112" s="92"/>
      <c r="D112" s="78" t="s">
        <v>615</v>
      </c>
    </row>
    <row r="113" spans="3:4">
      <c r="C113" s="92"/>
      <c r="D113" s="470" t="s">
        <v>597</v>
      </c>
    </row>
    <row r="114" spans="3:4">
      <c r="C114" s="92"/>
      <c r="D114" s="470" t="s">
        <v>593</v>
      </c>
    </row>
    <row r="115" spans="3:4">
      <c r="C115" s="92"/>
      <c r="D115" s="2"/>
    </row>
    <row r="116" spans="3:4">
      <c r="C116" s="92"/>
      <c r="D116" s="2"/>
    </row>
    <row r="117" spans="3:4">
      <c r="C117" s="92"/>
      <c r="D117" s="78" t="s">
        <v>616</v>
      </c>
    </row>
    <row r="118" spans="3:4">
      <c r="C118" s="92"/>
      <c r="D118" s="470" t="s">
        <v>592</v>
      </c>
    </row>
    <row r="119" spans="3:4">
      <c r="C119" s="92"/>
      <c r="D119" s="470" t="s">
        <v>595</v>
      </c>
    </row>
    <row r="120" spans="3:4">
      <c r="C120" s="92"/>
      <c r="D120" s="2"/>
    </row>
    <row r="121" spans="3:4">
      <c r="C121" s="92"/>
      <c r="D121" s="2"/>
    </row>
    <row r="122" spans="3:4">
      <c r="C122" s="92"/>
      <c r="D122" s="2"/>
    </row>
    <row r="123" spans="3:4">
      <c r="C123" s="92"/>
      <c r="D123" s="2"/>
    </row>
    <row r="125" spans="3:4">
      <c r="C125" s="141"/>
      <c r="D125" s="2"/>
    </row>
    <row r="126" spans="3:4">
      <c r="C126" s="141"/>
      <c r="D126" s="2"/>
    </row>
    <row r="127" spans="3:4">
      <c r="C127" s="141"/>
      <c r="D127" s="2"/>
    </row>
    <row r="128" spans="3:4">
      <c r="C128" s="141"/>
      <c r="D128" s="2"/>
    </row>
    <row r="129" spans="3:4">
      <c r="C129" s="141"/>
      <c r="D129" s="2"/>
    </row>
  </sheetData>
  <mergeCells count="15">
    <mergeCell ref="A19:E19"/>
    <mergeCell ref="A1:E1"/>
    <mergeCell ref="AE1:AM1"/>
    <mergeCell ref="F1:R1"/>
    <mergeCell ref="S1:S2"/>
    <mergeCell ref="AC2:AD2"/>
    <mergeCell ref="AL2:AM2"/>
    <mergeCell ref="J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32"/>
  <sheetViews>
    <sheetView workbookViewId="0">
      <pane ySplit="2" topLeftCell="A9" activePane="bottomLeft" state="frozen"/>
      <selection pane="bottomLeft" activeCell="C25" sqref="C25:D132"/>
    </sheetView>
  </sheetViews>
  <sheetFormatPr defaultRowHeight="11.25"/>
  <cols>
    <col min="1" max="1" width="10.5703125" style="8" bestFit="1" customWidth="1"/>
    <col min="2" max="2" width="10.5703125" style="8" customWidth="1"/>
    <col min="3" max="3" width="69.42578125" style="90" bestFit="1" customWidth="1"/>
    <col min="4" max="4" width="8.42578125" style="3" customWidth="1"/>
    <col min="5" max="5" width="5.7109375" style="3" bestFit="1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0" width="8.85546875" style="2" customWidth="1"/>
    <col min="21" max="21" width="10.5703125" style="2" customWidth="1"/>
    <col min="22" max="22" width="8.85546875" style="2" customWidth="1"/>
    <col min="23" max="23" width="12" style="2" customWidth="1"/>
    <col min="24" max="24" width="9.85546875" style="82" customWidth="1"/>
    <col min="25" max="25" width="7.42578125" style="82" customWidth="1"/>
    <col min="26" max="26" width="11.42578125" style="82" bestFit="1" customWidth="1"/>
    <col min="27" max="27" width="43.28515625" style="82" bestFit="1" customWidth="1"/>
    <col min="28" max="16384" width="9.140625" style="3"/>
  </cols>
  <sheetData>
    <row r="1" spans="1:27" s="4" customFormat="1" ht="15.75" customHeight="1">
      <c r="A1" s="745" t="s">
        <v>31</v>
      </c>
      <c r="B1" s="746"/>
      <c r="C1" s="746"/>
      <c r="D1" s="746"/>
      <c r="E1" s="747"/>
      <c r="F1" s="749" t="s">
        <v>172</v>
      </c>
      <c r="G1" s="750"/>
      <c r="H1" s="750"/>
      <c r="I1" s="750"/>
      <c r="J1" s="740" t="s">
        <v>166</v>
      </c>
      <c r="K1" s="740"/>
      <c r="L1" s="740"/>
      <c r="M1" s="740"/>
      <c r="N1" s="740"/>
      <c r="O1" s="740"/>
      <c r="P1" s="740"/>
      <c r="Q1" s="740"/>
      <c r="R1" s="740"/>
      <c r="S1" s="740"/>
      <c r="T1" s="740"/>
      <c r="U1" s="740"/>
      <c r="V1" s="740"/>
      <c r="W1" s="740"/>
      <c r="X1" s="741" t="s">
        <v>29</v>
      </c>
      <c r="Y1" s="742"/>
      <c r="Z1" s="742"/>
      <c r="AA1" s="742"/>
    </row>
    <row r="2" spans="1:27" s="4" customFormat="1" ht="23.25" thickBot="1">
      <c r="A2" s="10" t="s">
        <v>19</v>
      </c>
      <c r="B2" s="10"/>
      <c r="C2" s="148" t="s">
        <v>0</v>
      </c>
      <c r="D2" s="55" t="s">
        <v>11</v>
      </c>
      <c r="E2" s="149" t="s">
        <v>12</v>
      </c>
      <c r="F2" s="41" t="s">
        <v>486</v>
      </c>
      <c r="G2" s="751" t="s">
        <v>29</v>
      </c>
      <c r="H2" s="752"/>
      <c r="I2" s="753"/>
      <c r="J2" s="41" t="s">
        <v>89</v>
      </c>
      <c r="K2" s="55" t="s">
        <v>90</v>
      </c>
      <c r="L2" s="55" t="s">
        <v>92</v>
      </c>
      <c r="M2" s="55" t="s">
        <v>244</v>
      </c>
      <c r="N2" s="41" t="s">
        <v>245</v>
      </c>
      <c r="O2" s="41" t="s">
        <v>246</v>
      </c>
      <c r="P2" s="55" t="s">
        <v>516</v>
      </c>
      <c r="Q2" s="55" t="s">
        <v>36</v>
      </c>
      <c r="R2" s="55" t="s">
        <v>517</v>
      </c>
      <c r="S2" s="55"/>
      <c r="T2" s="55" t="s">
        <v>518</v>
      </c>
      <c r="U2" s="55" t="s">
        <v>519</v>
      </c>
      <c r="V2" s="55" t="s">
        <v>534</v>
      </c>
      <c r="W2" s="55" t="s">
        <v>47</v>
      </c>
      <c r="X2" s="743"/>
      <c r="Y2" s="744"/>
      <c r="Z2" s="744"/>
      <c r="AA2" s="744"/>
    </row>
    <row r="3" spans="1:27" s="191" customFormat="1" ht="12" thickBot="1">
      <c r="A3" s="560" t="str">
        <f>'1-συμβολαια'!A3</f>
        <v>10ο</v>
      </c>
      <c r="B3" s="561">
        <f>'1-συμβολαια'!B3</f>
        <v>40785</v>
      </c>
      <c r="C3" s="562" t="str">
        <f>'1-συμβολαια'!C3</f>
        <v>πληρεξούσιο</v>
      </c>
      <c r="D3" s="464" t="str">
        <f>'4-πολλυπρ'!D3</f>
        <v>219-14</v>
      </c>
      <c r="E3" s="464" t="str">
        <f>'4-πολλυπρ'!I3</f>
        <v>;;;???</v>
      </c>
      <c r="F3" s="316"/>
      <c r="G3" s="347"/>
      <c r="H3" s="347"/>
      <c r="I3" s="316"/>
      <c r="J3" s="316"/>
      <c r="K3" s="316"/>
      <c r="L3" s="421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>
        <f t="shared" ref="W3" si="0">SUM(J3:V3)</f>
        <v>0</v>
      </c>
      <c r="X3" s="398"/>
      <c r="Y3" s="398"/>
      <c r="Z3" s="423"/>
      <c r="AA3" s="266"/>
    </row>
    <row r="4" spans="1:27" s="191" customFormat="1">
      <c r="A4" s="557" t="str">
        <f>'1-συμβολαια'!A4</f>
        <v>11ο</v>
      </c>
      <c r="B4" s="572">
        <f>'1-συμβολαια'!B4</f>
        <v>40812</v>
      </c>
      <c r="C4" s="344" t="str">
        <f>'1-συμβολαια'!C4</f>
        <v>γονική [αγροτεμάχιο Θεολόγος -''βαλανίδια'' 16.832,18μ2</v>
      </c>
      <c r="D4" s="315" t="str">
        <f>'4-πολλυπρ'!D4</f>
        <v>219-14</v>
      </c>
      <c r="E4" s="315" t="str">
        <f>'4-πολλυπρ'!I4</f>
        <v>219-14</v>
      </c>
      <c r="F4" s="316">
        <v>20</v>
      </c>
      <c r="G4" s="347" t="s">
        <v>173</v>
      </c>
      <c r="H4" s="347" t="s">
        <v>174</v>
      </c>
      <c r="I4" s="316"/>
      <c r="J4" s="316">
        <v>10</v>
      </c>
      <c r="K4" s="316">
        <v>10</v>
      </c>
      <c r="L4" s="421"/>
      <c r="M4" s="316">
        <f>5*5</f>
        <v>25</v>
      </c>
      <c r="N4" s="316"/>
      <c r="O4" s="316"/>
      <c r="P4" s="316"/>
      <c r="Q4" s="316"/>
      <c r="R4" s="316"/>
      <c r="S4" s="316"/>
      <c r="T4" s="316">
        <f>6*5</f>
        <v>30</v>
      </c>
      <c r="U4" s="316">
        <f>(2*2+2*5)*5</f>
        <v>70</v>
      </c>
      <c r="V4" s="316"/>
      <c r="W4" s="316">
        <f t="shared" ref="W4:W18" si="1">SUM(J4:V4)</f>
        <v>145</v>
      </c>
      <c r="X4" s="398"/>
      <c r="Y4" s="398"/>
      <c r="Z4" s="423"/>
      <c r="AA4" s="266"/>
    </row>
    <row r="5" spans="1:27" s="191" customFormat="1" ht="12" thickBot="1">
      <c r="A5" s="563">
        <f>'1-συμβολαια'!A5</f>
        <v>0</v>
      </c>
      <c r="B5" s="571"/>
      <c r="C5" s="565" t="str">
        <f>'1-συμβολαια'!C5</f>
        <v>χρησικτησία = 1961 πατρός ΔΩΡΕΑ άτυπος</v>
      </c>
      <c r="D5" s="402" t="str">
        <f>'4-πολλυπρ'!D5</f>
        <v>πατήρ</v>
      </c>
      <c r="E5" s="402" t="str">
        <f>'4-πολλυπρ'!I5</f>
        <v>219-14</v>
      </c>
      <c r="F5" s="316">
        <v>20</v>
      </c>
      <c r="G5" s="347" t="s">
        <v>173</v>
      </c>
      <c r="H5" s="347" t="s">
        <v>174</v>
      </c>
      <c r="I5" s="316"/>
      <c r="J5" s="316"/>
      <c r="K5" s="316"/>
      <c r="L5" s="421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>
        <f t="shared" si="1"/>
        <v>0</v>
      </c>
      <c r="X5" s="398"/>
      <c r="Y5" s="398"/>
      <c r="Z5" s="423"/>
      <c r="AA5" s="266"/>
    </row>
    <row r="6" spans="1:27" s="191" customFormat="1">
      <c r="A6" s="558" t="str">
        <f>'1-συμβολαια'!A6</f>
        <v>12ο</v>
      </c>
      <c r="B6" s="573">
        <f>'1-συμβολαια'!B6</f>
        <v>41114</v>
      </c>
      <c r="C6" s="344" t="str">
        <f>'1-συμβολαια'!C6</f>
        <v>κληρονομιάς ΑΠΟΔΟΧΗ [οικόπεδο 226μ2 ΜΕ 2όροφο οιίκημα 150μ2 &amp; αποθήκη 15μ2 Θεολόγος</v>
      </c>
      <c r="D6" s="315" t="str">
        <f>'4-πολλυπρ'!D6</f>
        <v>πατήρ</v>
      </c>
      <c r="E6" s="315" t="str">
        <f>'4-πολλυπρ'!I6</f>
        <v>219-14</v>
      </c>
      <c r="F6" s="316">
        <v>20</v>
      </c>
      <c r="G6" s="347" t="s">
        <v>173</v>
      </c>
      <c r="H6" s="347" t="s">
        <v>174</v>
      </c>
      <c r="I6" s="316"/>
      <c r="J6" s="316">
        <v>10</v>
      </c>
      <c r="K6" s="316">
        <v>10</v>
      </c>
      <c r="L6" s="421"/>
      <c r="M6" s="316"/>
      <c r="N6" s="316"/>
      <c r="O6" s="316"/>
      <c r="P6" s="316">
        <f>5*5</f>
        <v>25</v>
      </c>
      <c r="Q6" s="316">
        <f>5*5</f>
        <v>25</v>
      </c>
      <c r="R6" s="316">
        <f>5*5</f>
        <v>25</v>
      </c>
      <c r="S6" s="316"/>
      <c r="T6" s="316">
        <f t="shared" ref="T6:T17" si="2">6*5</f>
        <v>30</v>
      </c>
      <c r="U6" s="316">
        <f>(2*2+6*5)*5</f>
        <v>170</v>
      </c>
      <c r="V6" s="316"/>
      <c r="W6" s="316">
        <f t="shared" si="1"/>
        <v>295</v>
      </c>
      <c r="X6" s="398"/>
      <c r="Y6" s="398"/>
      <c r="Z6" s="423"/>
      <c r="AA6" s="266"/>
    </row>
    <row r="7" spans="1:27" s="191" customFormat="1">
      <c r="A7" s="558">
        <f>'1-συμβολαια'!A7</f>
        <v>0</v>
      </c>
      <c r="B7" s="378"/>
      <c r="C7" s="344" t="str">
        <f>'1-συμβολαια'!C7</f>
        <v>χρησικτησία οικοπέδου &amp; οικήματος = 1950 πατρός ΚΛΗΡΟΝΟΜΙΑ άτυπη</v>
      </c>
      <c r="D7" s="315">
        <f>'4-πολλυπρ'!D7</f>
        <v>0</v>
      </c>
      <c r="E7" s="315" t="str">
        <f>'4-πολλυπρ'!I7</f>
        <v>πατήρ</v>
      </c>
      <c r="F7" s="316">
        <v>20</v>
      </c>
      <c r="G7" s="347" t="s">
        <v>173</v>
      </c>
      <c r="H7" s="347" t="s">
        <v>174</v>
      </c>
      <c r="I7" s="316"/>
      <c r="J7" s="316"/>
      <c r="K7" s="316"/>
      <c r="L7" s="421"/>
      <c r="M7" s="316"/>
      <c r="N7" s="316"/>
      <c r="O7" s="316"/>
      <c r="P7" s="316"/>
      <c r="Q7" s="316"/>
      <c r="R7" s="316"/>
      <c r="S7" s="316"/>
      <c r="T7" s="316"/>
      <c r="U7" s="316"/>
      <c r="V7" s="316"/>
      <c r="W7" s="316">
        <f t="shared" si="1"/>
        <v>0</v>
      </c>
      <c r="X7" s="398"/>
      <c r="Y7" s="398"/>
      <c r="Z7" s="423"/>
      <c r="AA7" s="266"/>
    </row>
    <row r="8" spans="1:27" s="191" customFormat="1">
      <c r="A8" s="558">
        <f>'1-συμβολαια'!A8</f>
        <v>0</v>
      </c>
      <c r="B8" s="378"/>
      <c r="C8" s="344" t="str">
        <f>'1-συμβολαια'!C8</f>
        <v>χρησικτησία οικοπέδου &amp; οικήματος = 1950 ΔΙΑΝΟΜΗ άτυπη</v>
      </c>
      <c r="D8" s="315">
        <f>'4-πολλυπρ'!D8</f>
        <v>0</v>
      </c>
      <c r="E8" s="315" t="str">
        <f>'4-πολλυπρ'!I8</f>
        <v>πατήρ</v>
      </c>
      <c r="F8" s="316">
        <v>20</v>
      </c>
      <c r="G8" s="347" t="s">
        <v>173</v>
      </c>
      <c r="H8" s="347" t="s">
        <v>174</v>
      </c>
      <c r="I8" s="316"/>
      <c r="J8" s="316"/>
      <c r="K8" s="316"/>
      <c r="L8" s="421"/>
      <c r="M8" s="316"/>
      <c r="N8" s="316"/>
      <c r="O8" s="316"/>
      <c r="P8" s="316">
        <f>5*5</f>
        <v>25</v>
      </c>
      <c r="Q8" s="316">
        <f>5*5</f>
        <v>25</v>
      </c>
      <c r="R8" s="316">
        <f>5*5</f>
        <v>25</v>
      </c>
      <c r="S8" s="316"/>
      <c r="T8" s="316">
        <f t="shared" si="2"/>
        <v>30</v>
      </c>
      <c r="U8" s="316">
        <f>(2*2+6*5)*5</f>
        <v>170</v>
      </c>
      <c r="V8" s="316"/>
      <c r="W8" s="316">
        <f t="shared" si="1"/>
        <v>275</v>
      </c>
      <c r="X8" s="398"/>
      <c r="Y8" s="398"/>
      <c r="Z8" s="423"/>
      <c r="AA8" s="266"/>
    </row>
    <row r="9" spans="1:27" s="191" customFormat="1" ht="12" thickBot="1">
      <c r="A9" s="566">
        <f>'1-συμβολαια'!A9</f>
        <v>0</v>
      </c>
      <c r="B9" s="571"/>
      <c r="C9" s="565" t="str">
        <f>'1-συμβολαια'!C9</f>
        <v xml:space="preserve">εξισορόπηση διαφοράς διανεμομένων </v>
      </c>
      <c r="D9" s="402">
        <f>'4-πολλυπρ'!D9</f>
        <v>0</v>
      </c>
      <c r="E9" s="402">
        <f>'4-πολλυπρ'!I9</f>
        <v>0</v>
      </c>
      <c r="F9" s="316">
        <v>20</v>
      </c>
      <c r="G9" s="347" t="s">
        <v>173</v>
      </c>
      <c r="H9" s="347" t="s">
        <v>174</v>
      </c>
      <c r="I9" s="316"/>
      <c r="J9" s="316"/>
      <c r="K9" s="316"/>
      <c r="L9" s="421"/>
      <c r="M9" s="316"/>
      <c r="N9" s="316"/>
      <c r="O9" s="316"/>
      <c r="P9" s="316"/>
      <c r="Q9" s="316"/>
      <c r="R9" s="316"/>
      <c r="S9" s="316"/>
      <c r="T9" s="316"/>
      <c r="U9" s="316"/>
      <c r="V9" s="316"/>
      <c r="W9" s="316">
        <f t="shared" si="1"/>
        <v>0</v>
      </c>
      <c r="X9" s="398"/>
      <c r="Y9" s="398"/>
      <c r="Z9" s="423"/>
      <c r="AA9" s="266"/>
    </row>
    <row r="10" spans="1:27" s="191" customFormat="1">
      <c r="A10" s="516" t="str">
        <f>'1-συμβολαια'!A10</f>
        <v>13ο</v>
      </c>
      <c r="B10" s="573">
        <f>'1-συμβολαια'!B10</f>
        <v>41370</v>
      </c>
      <c r="C10" s="344" t="str">
        <f>'1-συμβολαια'!C10</f>
        <v>πληρεξούσιο</v>
      </c>
      <c r="D10" s="315" t="str">
        <f>'4-πολλυπρ'!D10</f>
        <v>219-14</v>
      </c>
      <c r="E10" s="315" t="str">
        <f>'4-πολλυπρ'!I10</f>
        <v>219-14</v>
      </c>
      <c r="F10" s="316"/>
      <c r="G10" s="347"/>
      <c r="H10" s="347"/>
      <c r="I10" s="316"/>
      <c r="J10" s="316"/>
      <c r="K10" s="316"/>
      <c r="L10" s="421"/>
      <c r="M10" s="316"/>
      <c r="N10" s="316"/>
      <c r="O10" s="316"/>
      <c r="P10" s="316"/>
      <c r="Q10" s="316"/>
      <c r="R10" s="316"/>
      <c r="S10" s="316"/>
      <c r="T10" s="316"/>
      <c r="U10" s="316"/>
      <c r="V10" s="316"/>
      <c r="W10" s="316">
        <f t="shared" si="1"/>
        <v>0</v>
      </c>
      <c r="X10" s="398"/>
      <c r="Y10" s="398"/>
      <c r="Z10" s="423"/>
      <c r="AA10" s="266"/>
    </row>
    <row r="11" spans="1:27" s="191" customFormat="1">
      <c r="A11" s="516" t="str">
        <f>'1-συμβολαια'!A11</f>
        <v>14ο</v>
      </c>
      <c r="B11" s="378">
        <f>'1-συμβολαια'!B11</f>
        <v>41372</v>
      </c>
      <c r="C11" s="344" t="str">
        <f>'1-συμβολαια'!C11</f>
        <v>αγοραπωλησία</v>
      </c>
      <c r="D11" s="315" t="str">
        <f>'4-πολλυπρ'!D11</f>
        <v>219-14</v>
      </c>
      <c r="E11" s="315" t="str">
        <f>'4-πολλυπρ'!I11</f>
        <v>219-14</v>
      </c>
      <c r="F11" s="316">
        <v>20</v>
      </c>
      <c r="G11" s="347" t="s">
        <v>173</v>
      </c>
      <c r="H11" s="347" t="s">
        <v>174</v>
      </c>
      <c r="I11" s="316"/>
      <c r="J11" s="316">
        <f>10+15</f>
        <v>25</v>
      </c>
      <c r="K11" s="316">
        <f>10+15</f>
        <v>25</v>
      </c>
      <c r="L11" s="421"/>
      <c r="M11" s="316">
        <f>5*5</f>
        <v>25</v>
      </c>
      <c r="N11" s="316"/>
      <c r="O11" s="316"/>
      <c r="P11" s="316"/>
      <c r="Q11" s="316">
        <f>4*5*5</f>
        <v>100</v>
      </c>
      <c r="R11" s="316">
        <f>7*5*5</f>
        <v>175</v>
      </c>
      <c r="S11" s="316"/>
      <c r="T11" s="316">
        <f>30*5</f>
        <v>150</v>
      </c>
      <c r="U11" s="316">
        <f>(2*2+2*5+4*5+7*5)*5</f>
        <v>345</v>
      </c>
      <c r="V11" s="316">
        <f>2*300</f>
        <v>600</v>
      </c>
      <c r="W11" s="316">
        <f t="shared" si="1"/>
        <v>1445</v>
      </c>
      <c r="X11" s="398"/>
      <c r="Y11" s="398"/>
      <c r="Z11" s="423"/>
      <c r="AA11" s="266"/>
    </row>
    <row r="12" spans="1:27" s="191" customFormat="1">
      <c r="A12" s="516" t="str">
        <f>'1-συμβολαια'!A12</f>
        <v>15ο</v>
      </c>
      <c r="B12" s="378">
        <f>'1-συμβολαια'!B12</f>
        <v>41372</v>
      </c>
      <c r="C12" s="344" t="str">
        <f>'1-συμβολαια'!C12</f>
        <v>δωρεά</v>
      </c>
      <c r="D12" s="315" t="str">
        <f>'4-πολλυπρ'!D12</f>
        <v>219-14</v>
      </c>
      <c r="E12" s="315" t="str">
        <f>'4-πολλυπρ'!I12</f>
        <v>219-14</v>
      </c>
      <c r="F12" s="316">
        <v>20</v>
      </c>
      <c r="G12" s="347" t="s">
        <v>173</v>
      </c>
      <c r="H12" s="347" t="s">
        <v>174</v>
      </c>
      <c r="I12" s="316"/>
      <c r="J12" s="316"/>
      <c r="K12" s="316"/>
      <c r="L12" s="421"/>
      <c r="M12" s="316">
        <f>2*5*5</f>
        <v>50</v>
      </c>
      <c r="N12" s="316"/>
      <c r="O12" s="316"/>
      <c r="P12" s="316"/>
      <c r="Q12" s="316">
        <f t="shared" ref="Q12:Q15" si="3">4*5*5</f>
        <v>100</v>
      </c>
      <c r="R12" s="316">
        <f t="shared" ref="R12:R15" si="4">7*5*5</f>
        <v>175</v>
      </c>
      <c r="S12" s="316"/>
      <c r="T12" s="316">
        <f t="shared" ref="T12:T15" si="5">30*5</f>
        <v>150</v>
      </c>
      <c r="U12" s="316">
        <f>(2*2+4*5+4*5+7*5)*5</f>
        <v>395</v>
      </c>
      <c r="V12" s="316"/>
      <c r="W12" s="316">
        <f t="shared" si="1"/>
        <v>870</v>
      </c>
      <c r="X12" s="398"/>
      <c r="Y12" s="398"/>
      <c r="Z12" s="423"/>
      <c r="AA12" s="266"/>
    </row>
    <row r="13" spans="1:27" s="191" customFormat="1">
      <c r="A13" s="516" t="str">
        <f>'1-συμβολαια'!A13</f>
        <v>16ο</v>
      </c>
      <c r="B13" s="378">
        <f>'1-συμβολαια'!B13</f>
        <v>41372</v>
      </c>
      <c r="C13" s="344" t="str">
        <f>'1-συμβολαια'!C13</f>
        <v>γονική</v>
      </c>
      <c r="D13" s="315" t="str">
        <f>'4-πολλυπρ'!D13</f>
        <v>219-14</v>
      </c>
      <c r="E13" s="315" t="str">
        <f>'4-πολλυπρ'!I13</f>
        <v>219-14</v>
      </c>
      <c r="F13" s="316">
        <v>20</v>
      </c>
      <c r="G13" s="347" t="s">
        <v>173</v>
      </c>
      <c r="H13" s="347" t="s">
        <v>174</v>
      </c>
      <c r="I13" s="316"/>
      <c r="J13" s="316"/>
      <c r="K13" s="316"/>
      <c r="L13" s="421"/>
      <c r="M13" s="316">
        <f t="shared" ref="M13:M15" si="6">2*5*5</f>
        <v>50</v>
      </c>
      <c r="N13" s="316"/>
      <c r="O13" s="316"/>
      <c r="P13" s="316"/>
      <c r="Q13" s="316">
        <f t="shared" si="3"/>
        <v>100</v>
      </c>
      <c r="R13" s="316">
        <f t="shared" si="4"/>
        <v>175</v>
      </c>
      <c r="S13" s="316"/>
      <c r="T13" s="316">
        <f t="shared" si="5"/>
        <v>150</v>
      </c>
      <c r="U13" s="316">
        <f t="shared" ref="U13:U15" si="7">(2*2+4*5+4*5+7*5)*5</f>
        <v>395</v>
      </c>
      <c r="V13" s="316"/>
      <c r="W13" s="316">
        <f t="shared" si="1"/>
        <v>870</v>
      </c>
      <c r="X13" s="398"/>
      <c r="Y13" s="398"/>
      <c r="Z13" s="423"/>
      <c r="AA13" s="266"/>
    </row>
    <row r="14" spans="1:27" s="191" customFormat="1">
      <c r="A14" s="516" t="str">
        <f>'1-συμβολαια'!A14</f>
        <v>17ο</v>
      </c>
      <c r="B14" s="378">
        <f>'1-συμβολαια'!B14</f>
        <v>41372</v>
      </c>
      <c r="C14" s="344" t="str">
        <f>'1-συμβολαια'!C14</f>
        <v>δωρεά</v>
      </c>
      <c r="D14" s="315" t="str">
        <f>'4-πολλυπρ'!D14</f>
        <v>219-14</v>
      </c>
      <c r="E14" s="315" t="str">
        <f>'4-πολλυπρ'!I14</f>
        <v>219-14</v>
      </c>
      <c r="F14" s="316">
        <f>2*2*10</f>
        <v>40</v>
      </c>
      <c r="G14" s="347" t="s">
        <v>173</v>
      </c>
      <c r="H14" s="347" t="s">
        <v>174</v>
      </c>
      <c r="I14" s="316"/>
      <c r="J14" s="316"/>
      <c r="K14" s="316"/>
      <c r="L14" s="421"/>
      <c r="M14" s="316">
        <f t="shared" si="6"/>
        <v>50</v>
      </c>
      <c r="N14" s="316"/>
      <c r="O14" s="316"/>
      <c r="P14" s="316"/>
      <c r="Q14" s="316">
        <f t="shared" si="3"/>
        <v>100</v>
      </c>
      <c r="R14" s="316">
        <f t="shared" si="4"/>
        <v>175</v>
      </c>
      <c r="S14" s="316"/>
      <c r="T14" s="316">
        <f t="shared" si="5"/>
        <v>150</v>
      </c>
      <c r="U14" s="316">
        <f t="shared" si="7"/>
        <v>395</v>
      </c>
      <c r="V14" s="316"/>
      <c r="W14" s="316">
        <f t="shared" si="1"/>
        <v>870</v>
      </c>
      <c r="X14" s="398"/>
      <c r="Y14" s="398"/>
      <c r="Z14" s="423"/>
      <c r="AA14" s="266"/>
    </row>
    <row r="15" spans="1:27" s="191" customFormat="1">
      <c r="A15" s="516" t="str">
        <f>'1-συμβολαια'!A15</f>
        <v>18ο</v>
      </c>
      <c r="B15" s="378">
        <f>'1-συμβολαια'!B15</f>
        <v>41372</v>
      </c>
      <c r="C15" s="344" t="str">
        <f>'1-συμβολαια'!C15</f>
        <v>γονική</v>
      </c>
      <c r="D15" s="315" t="str">
        <f>'4-πολλυπρ'!D15</f>
        <v>219-14</v>
      </c>
      <c r="E15" s="315" t="str">
        <f>'4-πολλυπρ'!I15</f>
        <v>219-14</v>
      </c>
      <c r="F15" s="316">
        <f>2*2*10</f>
        <v>40</v>
      </c>
      <c r="G15" s="347" t="s">
        <v>173</v>
      </c>
      <c r="H15" s="347" t="s">
        <v>174</v>
      </c>
      <c r="I15" s="316"/>
      <c r="J15" s="316"/>
      <c r="K15" s="316"/>
      <c r="L15" s="421"/>
      <c r="M15" s="316">
        <f t="shared" si="6"/>
        <v>50</v>
      </c>
      <c r="N15" s="316"/>
      <c r="O15" s="316"/>
      <c r="P15" s="316"/>
      <c r="Q15" s="316">
        <f t="shared" si="3"/>
        <v>100</v>
      </c>
      <c r="R15" s="316">
        <f t="shared" si="4"/>
        <v>175</v>
      </c>
      <c r="S15" s="316"/>
      <c r="T15" s="316">
        <f t="shared" si="5"/>
        <v>150</v>
      </c>
      <c r="U15" s="316">
        <f t="shared" si="7"/>
        <v>395</v>
      </c>
      <c r="V15" s="316"/>
      <c r="W15" s="316">
        <f t="shared" si="1"/>
        <v>870</v>
      </c>
      <c r="X15" s="398"/>
      <c r="Y15" s="398"/>
      <c r="Z15" s="423"/>
      <c r="AA15" s="266"/>
    </row>
    <row r="16" spans="1:27" s="191" customFormat="1">
      <c r="A16" s="516" t="str">
        <f>'1-συμβολαια'!A16</f>
        <v>19ο</v>
      </c>
      <c r="B16" s="378">
        <f>'1-συμβολαια'!B16</f>
        <v>41372</v>
      </c>
      <c r="C16" s="344" t="str">
        <f>'1-συμβολαια'!C16</f>
        <v>σύσταση δουλείας</v>
      </c>
      <c r="D16" s="315" t="str">
        <f>'4-πολλυπρ'!D16</f>
        <v>219-14</v>
      </c>
      <c r="E16" s="315" t="str">
        <f>'4-πολλυπρ'!I16</f>
        <v>219-14</v>
      </c>
      <c r="F16" s="316">
        <v>20</v>
      </c>
      <c r="G16" s="347" t="s">
        <v>173</v>
      </c>
      <c r="H16" s="347" t="s">
        <v>174</v>
      </c>
      <c r="I16" s="316"/>
      <c r="J16" s="316"/>
      <c r="K16" s="316"/>
      <c r="L16" s="421"/>
      <c r="M16" s="316">
        <f t="shared" ref="M16:M17" si="8">5*5</f>
        <v>25</v>
      </c>
      <c r="N16" s="316"/>
      <c r="O16" s="316"/>
      <c r="P16" s="316"/>
      <c r="Q16" s="316"/>
      <c r="R16" s="316"/>
      <c r="S16" s="316"/>
      <c r="T16" s="316">
        <f t="shared" si="2"/>
        <v>30</v>
      </c>
      <c r="U16" s="316">
        <f t="shared" ref="U16:U17" si="9">(2*2+2*5)*5</f>
        <v>70</v>
      </c>
      <c r="V16" s="316"/>
      <c r="W16" s="316">
        <f t="shared" si="1"/>
        <v>125</v>
      </c>
      <c r="X16" s="398"/>
      <c r="Y16" s="398"/>
      <c r="Z16" s="423"/>
      <c r="AA16" s="266"/>
    </row>
    <row r="17" spans="1:27" s="191" customFormat="1">
      <c r="A17" s="516" t="str">
        <f>'1-συμβολαια'!A17</f>
        <v>20ο</v>
      </c>
      <c r="B17" s="378">
        <f>'1-συμβολαια'!B17</f>
        <v>41372</v>
      </c>
      <c r="C17" s="344" t="str">
        <f>'1-συμβολαια'!C17</f>
        <v>σύσταση δουλείας</v>
      </c>
      <c r="D17" s="315" t="str">
        <f>'4-πολλυπρ'!D17</f>
        <v>219-14</v>
      </c>
      <c r="E17" s="315" t="str">
        <f>'4-πολλυπρ'!I17</f>
        <v>219-14</v>
      </c>
      <c r="F17" s="316">
        <v>20</v>
      </c>
      <c r="G17" s="347" t="s">
        <v>173</v>
      </c>
      <c r="H17" s="347" t="s">
        <v>174</v>
      </c>
      <c r="I17" s="316"/>
      <c r="J17" s="316"/>
      <c r="K17" s="316"/>
      <c r="L17" s="421"/>
      <c r="M17" s="316">
        <f t="shared" si="8"/>
        <v>25</v>
      </c>
      <c r="N17" s="316"/>
      <c r="O17" s="316"/>
      <c r="P17" s="316"/>
      <c r="Q17" s="316"/>
      <c r="R17" s="316"/>
      <c r="S17" s="316"/>
      <c r="T17" s="316">
        <f t="shared" si="2"/>
        <v>30</v>
      </c>
      <c r="U17" s="316">
        <f t="shared" si="9"/>
        <v>70</v>
      </c>
      <c r="V17" s="316"/>
      <c r="W17" s="316">
        <f t="shared" si="1"/>
        <v>125</v>
      </c>
      <c r="X17" s="398"/>
      <c r="Y17" s="398"/>
      <c r="Z17" s="423"/>
      <c r="AA17" s="266"/>
    </row>
    <row r="18" spans="1:27" s="191" customFormat="1">
      <c r="A18" s="516" t="str">
        <f>'1-συμβολαια'!A18</f>
        <v>21ο</v>
      </c>
      <c r="B18" s="378">
        <f>'1-συμβολαια'!B18</f>
        <v>41373</v>
      </c>
      <c r="C18" s="344" t="str">
        <f>'1-συμβολαια'!C18</f>
        <v>χρήσης ακινήτου ΚΑΝΟΝΙΣΜΟΣ</v>
      </c>
      <c r="D18" s="315" t="str">
        <f>'4-πολλυπρ'!D18</f>
        <v>219-14</v>
      </c>
      <c r="E18" s="315">
        <f>'4-πολλυπρ'!I18</f>
        <v>0</v>
      </c>
      <c r="F18" s="316"/>
      <c r="G18" s="347"/>
      <c r="H18" s="347"/>
      <c r="I18" s="316"/>
      <c r="J18" s="316"/>
      <c r="K18" s="316"/>
      <c r="L18" s="421"/>
      <c r="M18" s="316"/>
      <c r="N18" s="316"/>
      <c r="O18" s="316"/>
      <c r="P18" s="316"/>
      <c r="Q18" s="316"/>
      <c r="R18" s="316"/>
      <c r="S18" s="316"/>
      <c r="T18" s="316"/>
      <c r="U18" s="316"/>
      <c r="V18" s="316"/>
      <c r="W18" s="316">
        <f t="shared" si="1"/>
        <v>0</v>
      </c>
      <c r="X18" s="398"/>
      <c r="Y18" s="398"/>
      <c r="Z18" s="423"/>
      <c r="AA18" s="266"/>
    </row>
    <row r="19" spans="1:27">
      <c r="A19" s="726" t="s">
        <v>35</v>
      </c>
      <c r="B19" s="748"/>
      <c r="C19" s="727"/>
      <c r="D19" s="727"/>
      <c r="E19" s="728"/>
      <c r="F19" s="68">
        <f>SUM(F3:F18)</f>
        <v>300</v>
      </c>
      <c r="G19" s="68"/>
      <c r="H19" s="68"/>
      <c r="I19" s="68"/>
      <c r="J19" s="68">
        <f t="shared" ref="J19:X19" si="10">SUM(J3:J18)</f>
        <v>45</v>
      </c>
      <c r="K19" s="68">
        <f t="shared" si="10"/>
        <v>45</v>
      </c>
      <c r="L19" s="422">
        <f t="shared" si="10"/>
        <v>0</v>
      </c>
      <c r="M19" s="68">
        <f t="shared" si="10"/>
        <v>300</v>
      </c>
      <c r="N19" s="68">
        <f t="shared" si="10"/>
        <v>0</v>
      </c>
      <c r="O19" s="68">
        <f t="shared" si="10"/>
        <v>0</v>
      </c>
      <c r="P19" s="68">
        <f t="shared" si="10"/>
        <v>50</v>
      </c>
      <c r="Q19" s="68">
        <f t="shared" si="10"/>
        <v>550</v>
      </c>
      <c r="R19" s="68">
        <f t="shared" si="10"/>
        <v>925</v>
      </c>
      <c r="S19" s="68">
        <f t="shared" si="10"/>
        <v>0</v>
      </c>
      <c r="T19" s="68">
        <f t="shared" si="10"/>
        <v>900</v>
      </c>
      <c r="U19" s="68">
        <f t="shared" si="10"/>
        <v>2475</v>
      </c>
      <c r="V19" s="68">
        <f t="shared" si="10"/>
        <v>600</v>
      </c>
      <c r="W19" s="68">
        <f t="shared" si="10"/>
        <v>5890</v>
      </c>
      <c r="X19" s="83">
        <f t="shared" si="10"/>
        <v>0</v>
      </c>
      <c r="Y19" s="139"/>
      <c r="Z19" s="3"/>
      <c r="AA19" s="3"/>
    </row>
    <row r="21" spans="1:27" ht="15.75" customHeight="1">
      <c r="J21" s="136" t="s">
        <v>479</v>
      </c>
      <c r="M21" s="132" t="s">
        <v>487</v>
      </c>
      <c r="Y21" s="150"/>
      <c r="Z21" s="87"/>
      <c r="AA21" s="150"/>
    </row>
    <row r="22" spans="1:27">
      <c r="G22" s="156" t="s">
        <v>170</v>
      </c>
      <c r="H22" s="118"/>
      <c r="I22" s="82"/>
      <c r="M22" s="168" t="s">
        <v>212</v>
      </c>
      <c r="Y22" s="2"/>
    </row>
    <row r="23" spans="1:27">
      <c r="G23" s="82"/>
      <c r="H23" s="118" t="s">
        <v>171</v>
      </c>
      <c r="N23" s="167" t="s">
        <v>213</v>
      </c>
      <c r="X23" s="2"/>
      <c r="Y23" s="2"/>
    </row>
    <row r="24" spans="1:27" ht="12.75">
      <c r="O24" s="383" t="s">
        <v>214</v>
      </c>
      <c r="P24" s="384"/>
      <c r="X24" s="2"/>
      <c r="Y24" s="2"/>
    </row>
    <row r="25" spans="1:27" ht="12.75">
      <c r="C25" s="92"/>
      <c r="D25" s="78" t="s">
        <v>605</v>
      </c>
      <c r="O25" s="384"/>
      <c r="P25" s="385" t="s">
        <v>511</v>
      </c>
      <c r="X25" s="2"/>
      <c r="Y25" s="2"/>
    </row>
    <row r="26" spans="1:27" ht="12.75">
      <c r="C26" s="92"/>
      <c r="D26" s="470" t="s">
        <v>559</v>
      </c>
      <c r="Q26" s="385" t="s">
        <v>512</v>
      </c>
      <c r="R26" s="384"/>
      <c r="S26" s="384"/>
      <c r="T26" s="384"/>
    </row>
    <row r="27" spans="1:27" ht="12.75">
      <c r="C27" s="92"/>
      <c r="D27" s="470" t="s">
        <v>560</v>
      </c>
      <c r="Q27" s="384"/>
      <c r="R27" s="385" t="s">
        <v>513</v>
      </c>
      <c r="S27" s="384"/>
      <c r="T27" s="384"/>
    </row>
    <row r="28" spans="1:27" ht="12.75">
      <c r="C28" s="92"/>
      <c r="D28" s="2"/>
      <c r="Q28" s="384"/>
      <c r="R28" s="384"/>
      <c r="S28" s="384"/>
      <c r="T28" s="384" t="s">
        <v>514</v>
      </c>
    </row>
    <row r="29" spans="1:27" ht="12.75">
      <c r="C29" s="130"/>
      <c r="D29" s="78" t="s">
        <v>606</v>
      </c>
      <c r="O29" s="383"/>
      <c r="P29" s="384"/>
      <c r="Q29" s="384"/>
      <c r="R29" s="384"/>
      <c r="S29" s="384"/>
      <c r="T29" s="384"/>
      <c r="U29" s="384" t="s">
        <v>515</v>
      </c>
      <c r="V29" s="384"/>
      <c r="W29" s="384"/>
      <c r="X29" s="384"/>
      <c r="Y29" s="384"/>
      <c r="Z29" s="384"/>
      <c r="AA29" s="384"/>
    </row>
    <row r="30" spans="1:27">
      <c r="C30" s="131"/>
      <c r="D30" s="470" t="s">
        <v>578</v>
      </c>
      <c r="V30" s="2" t="s">
        <v>534</v>
      </c>
    </row>
    <row r="31" spans="1:27">
      <c r="C31" s="92"/>
      <c r="D31" s="470" t="s">
        <v>560</v>
      </c>
    </row>
    <row r="32" spans="1:27">
      <c r="C32" s="92"/>
      <c r="D32" s="2"/>
    </row>
    <row r="33" spans="3:4">
      <c r="C33" s="3" t="s">
        <v>572</v>
      </c>
      <c r="D33" s="78" t="s">
        <v>607</v>
      </c>
    </row>
    <row r="34" spans="3:4">
      <c r="C34" s="526" t="s">
        <v>573</v>
      </c>
      <c r="D34" s="470" t="s">
        <v>559</v>
      </c>
    </row>
    <row r="35" spans="3:4">
      <c r="C35" s="526" t="s">
        <v>574</v>
      </c>
      <c r="D35" s="470" t="s">
        <v>560</v>
      </c>
    </row>
    <row r="36" spans="3:4">
      <c r="C36" s="92"/>
      <c r="D36" s="2"/>
    </row>
    <row r="37" spans="3:4">
      <c r="C37" s="92"/>
      <c r="D37" s="78" t="s">
        <v>608</v>
      </c>
    </row>
    <row r="38" spans="3:4">
      <c r="C38" s="92"/>
      <c r="D38" s="470" t="s">
        <v>559</v>
      </c>
    </row>
    <row r="39" spans="3:4">
      <c r="C39" s="92"/>
      <c r="D39" s="470" t="s">
        <v>560</v>
      </c>
    </row>
    <row r="40" spans="3:4">
      <c r="C40" s="92"/>
      <c r="D40" s="2"/>
    </row>
    <row r="41" spans="3:4">
      <c r="C41" s="3" t="s">
        <v>617</v>
      </c>
      <c r="D41" s="78" t="s">
        <v>609</v>
      </c>
    </row>
    <row r="42" spans="3:4">
      <c r="C42" s="9" t="s">
        <v>579</v>
      </c>
      <c r="D42" s="470" t="s">
        <v>591</v>
      </c>
    </row>
    <row r="43" spans="3:4">
      <c r="C43" s="526" t="s">
        <v>580</v>
      </c>
      <c r="D43" s="470" t="s">
        <v>560</v>
      </c>
    </row>
    <row r="44" spans="3:4">
      <c r="C44" s="526" t="s">
        <v>581</v>
      </c>
      <c r="D44" s="2"/>
    </row>
    <row r="45" spans="3:4">
      <c r="C45" s="9" t="s">
        <v>582</v>
      </c>
      <c r="D45" s="2"/>
    </row>
    <row r="46" spans="3:4">
      <c r="C46" s="9" t="s">
        <v>583</v>
      </c>
      <c r="D46" s="2"/>
    </row>
    <row r="47" spans="3:4">
      <c r="C47" s="9" t="s">
        <v>584</v>
      </c>
      <c r="D47" s="2"/>
    </row>
    <row r="48" spans="3:4">
      <c r="C48" s="9" t="s">
        <v>585</v>
      </c>
      <c r="D48" s="2"/>
    </row>
    <row r="49" spans="3:4">
      <c r="C49" s="9" t="s">
        <v>586</v>
      </c>
      <c r="D49" s="2"/>
    </row>
    <row r="50" spans="3:4">
      <c r="C50" s="9" t="s">
        <v>587</v>
      </c>
      <c r="D50" s="2"/>
    </row>
    <row r="51" spans="3:4">
      <c r="C51" s="9" t="s">
        <v>588</v>
      </c>
      <c r="D51" s="2"/>
    </row>
    <row r="52" spans="3:4">
      <c r="C52" s="9" t="s">
        <v>589</v>
      </c>
      <c r="D52" s="2"/>
    </row>
    <row r="53" spans="3:4">
      <c r="C53" s="92"/>
      <c r="D53" s="2"/>
    </row>
    <row r="54" spans="3:4">
      <c r="C54" s="3" t="s">
        <v>620</v>
      </c>
      <c r="D54" s="78" t="s">
        <v>610</v>
      </c>
    </row>
    <row r="55" spans="3:4">
      <c r="C55" s="9" t="s">
        <v>579</v>
      </c>
      <c r="D55" s="470" t="s">
        <v>592</v>
      </c>
    </row>
    <row r="56" spans="3:4">
      <c r="C56" s="526" t="s">
        <v>580</v>
      </c>
      <c r="D56" s="470" t="s">
        <v>560</v>
      </c>
    </row>
    <row r="57" spans="3:4">
      <c r="C57" s="526" t="s">
        <v>581</v>
      </c>
      <c r="D57" s="2"/>
    </row>
    <row r="58" spans="3:4">
      <c r="C58" s="9" t="s">
        <v>582</v>
      </c>
      <c r="D58" s="2"/>
    </row>
    <row r="59" spans="3:4">
      <c r="C59" s="9" t="s">
        <v>583</v>
      </c>
      <c r="D59" s="2"/>
    </row>
    <row r="60" spans="3:4">
      <c r="C60" s="9" t="s">
        <v>584</v>
      </c>
      <c r="D60" s="2"/>
    </row>
    <row r="61" spans="3:4">
      <c r="C61" s="9" t="s">
        <v>585</v>
      </c>
      <c r="D61" s="2"/>
    </row>
    <row r="62" spans="3:4">
      <c r="C62" s="9" t="s">
        <v>586</v>
      </c>
      <c r="D62" s="2"/>
    </row>
    <row r="63" spans="3:4">
      <c r="C63" s="9" t="s">
        <v>587</v>
      </c>
      <c r="D63" s="2"/>
    </row>
    <row r="64" spans="3:4">
      <c r="C64" s="9" t="s">
        <v>588</v>
      </c>
      <c r="D64" s="2"/>
    </row>
    <row r="65" spans="3:4">
      <c r="C65" s="9" t="s">
        <v>589</v>
      </c>
      <c r="D65" s="2"/>
    </row>
    <row r="66" spans="3:4">
      <c r="C66" s="3" t="s">
        <v>618</v>
      </c>
      <c r="D66" s="2"/>
    </row>
    <row r="67" spans="3:4">
      <c r="C67" s="92"/>
      <c r="D67" s="2"/>
    </row>
    <row r="68" spans="3:4">
      <c r="C68" s="3" t="s">
        <v>620</v>
      </c>
      <c r="D68" s="78" t="s">
        <v>611</v>
      </c>
    </row>
    <row r="69" spans="3:4">
      <c r="C69" s="9" t="s">
        <v>579</v>
      </c>
      <c r="D69" s="470" t="s">
        <v>592</v>
      </c>
    </row>
    <row r="70" spans="3:4">
      <c r="C70" s="526" t="s">
        <v>580</v>
      </c>
      <c r="D70" s="470" t="s">
        <v>560</v>
      </c>
    </row>
    <row r="71" spans="3:4">
      <c r="C71" s="526" t="s">
        <v>581</v>
      </c>
      <c r="D71" s="2"/>
    </row>
    <row r="72" spans="3:4">
      <c r="C72" s="9" t="s">
        <v>582</v>
      </c>
      <c r="D72" s="2"/>
    </row>
    <row r="73" spans="3:4">
      <c r="C73" s="9" t="s">
        <v>583</v>
      </c>
      <c r="D73" s="2"/>
    </row>
    <row r="74" spans="3:4">
      <c r="C74" s="9" t="s">
        <v>584</v>
      </c>
      <c r="D74" s="2"/>
    </row>
    <row r="75" spans="3:4">
      <c r="C75" s="9" t="s">
        <v>585</v>
      </c>
      <c r="D75" s="2"/>
    </row>
    <row r="76" spans="3:4">
      <c r="C76" s="9" t="s">
        <v>586</v>
      </c>
      <c r="D76" s="2"/>
    </row>
    <row r="77" spans="3:4">
      <c r="C77" s="9" t="s">
        <v>587</v>
      </c>
      <c r="D77" s="2"/>
    </row>
    <row r="78" spans="3:4">
      <c r="C78" s="9" t="s">
        <v>588</v>
      </c>
      <c r="D78" s="2"/>
    </row>
    <row r="79" spans="3:4">
      <c r="C79" s="9" t="s">
        <v>589</v>
      </c>
      <c r="D79" s="2"/>
    </row>
    <row r="80" spans="3:4">
      <c r="C80" s="3" t="s">
        <v>618</v>
      </c>
      <c r="D80" s="2"/>
    </row>
    <row r="81" spans="3:4">
      <c r="C81" s="92"/>
      <c r="D81" s="2"/>
    </row>
    <row r="82" spans="3:4">
      <c r="C82" s="3" t="s">
        <v>621</v>
      </c>
      <c r="D82" s="78" t="s">
        <v>612</v>
      </c>
    </row>
    <row r="83" spans="3:4">
      <c r="C83" s="9" t="s">
        <v>579</v>
      </c>
      <c r="D83" s="470" t="s">
        <v>592</v>
      </c>
    </row>
    <row r="84" spans="3:4">
      <c r="C84" s="526" t="s">
        <v>580</v>
      </c>
      <c r="D84" s="470" t="s">
        <v>593</v>
      </c>
    </row>
    <row r="85" spans="3:4">
      <c r="C85" s="526" t="s">
        <v>581</v>
      </c>
      <c r="D85" s="2"/>
    </row>
    <row r="86" spans="3:4">
      <c r="C86" s="9" t="s">
        <v>582</v>
      </c>
      <c r="D86" s="2"/>
    </row>
    <row r="87" spans="3:4">
      <c r="C87" s="9" t="s">
        <v>583</v>
      </c>
      <c r="D87" s="2"/>
    </row>
    <row r="88" spans="3:4">
      <c r="C88" s="9" t="s">
        <v>584</v>
      </c>
      <c r="D88" s="2"/>
    </row>
    <row r="89" spans="3:4">
      <c r="C89" s="9" t="s">
        <v>585</v>
      </c>
      <c r="D89" s="2"/>
    </row>
    <row r="90" spans="3:4">
      <c r="C90" s="9" t="s">
        <v>586</v>
      </c>
      <c r="D90" s="2"/>
    </row>
    <row r="91" spans="3:4">
      <c r="C91" s="9" t="s">
        <v>587</v>
      </c>
      <c r="D91" s="2"/>
    </row>
    <row r="92" spans="3:4">
      <c r="C92" s="9" t="s">
        <v>588</v>
      </c>
      <c r="D92" s="2"/>
    </row>
    <row r="93" spans="3:4">
      <c r="C93" s="9" t="s">
        <v>589</v>
      </c>
      <c r="D93" s="2"/>
    </row>
    <row r="94" spans="3:4">
      <c r="C94" s="3" t="s">
        <v>619</v>
      </c>
      <c r="D94" s="2"/>
    </row>
    <row r="95" spans="3:4">
      <c r="C95" s="92"/>
      <c r="D95" s="2"/>
    </row>
    <row r="96" spans="3:4">
      <c r="C96" s="3" t="s">
        <v>620</v>
      </c>
      <c r="D96" s="78" t="s">
        <v>613</v>
      </c>
    </row>
    <row r="97" spans="3:4">
      <c r="C97" s="9" t="s">
        <v>579</v>
      </c>
      <c r="D97" s="470" t="s">
        <v>592</v>
      </c>
    </row>
    <row r="98" spans="3:4">
      <c r="C98" s="526" t="s">
        <v>580</v>
      </c>
      <c r="D98" s="470" t="s">
        <v>593</v>
      </c>
    </row>
    <row r="99" spans="3:4">
      <c r="C99" s="526" t="s">
        <v>581</v>
      </c>
      <c r="D99" s="2"/>
    </row>
    <row r="100" spans="3:4">
      <c r="C100" s="9" t="s">
        <v>582</v>
      </c>
      <c r="D100" s="2"/>
    </row>
    <row r="101" spans="3:4">
      <c r="C101" s="9" t="s">
        <v>583</v>
      </c>
      <c r="D101" s="2"/>
    </row>
    <row r="102" spans="3:4">
      <c r="C102" s="9" t="s">
        <v>584</v>
      </c>
      <c r="D102" s="2"/>
    </row>
    <row r="103" spans="3:4">
      <c r="C103" s="9" t="s">
        <v>585</v>
      </c>
      <c r="D103" s="2"/>
    </row>
    <row r="104" spans="3:4">
      <c r="C104" s="9" t="s">
        <v>586</v>
      </c>
      <c r="D104" s="2"/>
    </row>
    <row r="105" spans="3:4">
      <c r="C105" s="9" t="s">
        <v>587</v>
      </c>
      <c r="D105" s="2"/>
    </row>
    <row r="106" spans="3:4">
      <c r="C106" s="9" t="s">
        <v>588</v>
      </c>
      <c r="D106" s="2"/>
    </row>
    <row r="107" spans="3:4">
      <c r="C107" s="9" t="s">
        <v>589</v>
      </c>
      <c r="D107" s="2"/>
    </row>
    <row r="108" spans="3:4">
      <c r="C108" s="3" t="s">
        <v>618</v>
      </c>
      <c r="D108" s="2"/>
    </row>
    <row r="109" spans="3:4">
      <c r="C109" s="92"/>
      <c r="D109" s="2"/>
    </row>
    <row r="110" spans="3:4">
      <c r="C110" s="92"/>
      <c r="D110" s="78" t="s">
        <v>614</v>
      </c>
    </row>
    <row r="111" spans="3:4">
      <c r="C111" s="92"/>
      <c r="D111" s="470" t="s">
        <v>594</v>
      </c>
    </row>
    <row r="112" spans="3:4">
      <c r="C112" s="92"/>
      <c r="D112" s="470" t="s">
        <v>595</v>
      </c>
    </row>
    <row r="113" spans="3:4">
      <c r="C113" s="92"/>
      <c r="D113" s="2"/>
    </row>
    <row r="114" spans="3:4">
      <c r="C114" s="92"/>
      <c r="D114" s="2"/>
    </row>
    <row r="115" spans="3:4">
      <c r="C115" s="92"/>
      <c r="D115" s="78" t="s">
        <v>615</v>
      </c>
    </row>
    <row r="116" spans="3:4">
      <c r="C116" s="92"/>
      <c r="D116" s="470" t="s">
        <v>597</v>
      </c>
    </row>
    <row r="117" spans="3:4">
      <c r="C117" s="92"/>
      <c r="D117" s="470" t="s">
        <v>593</v>
      </c>
    </row>
    <row r="118" spans="3:4">
      <c r="C118" s="92"/>
      <c r="D118" s="2"/>
    </row>
    <row r="119" spans="3:4">
      <c r="C119" s="92"/>
      <c r="D119" s="2"/>
    </row>
    <row r="120" spans="3:4">
      <c r="C120" s="92"/>
      <c r="D120" s="78" t="s">
        <v>616</v>
      </c>
    </row>
    <row r="121" spans="3:4">
      <c r="C121" s="92"/>
      <c r="D121" s="470" t="s">
        <v>592</v>
      </c>
    </row>
    <row r="122" spans="3:4">
      <c r="C122" s="92"/>
      <c r="D122" s="470" t="s">
        <v>595</v>
      </c>
    </row>
    <row r="123" spans="3:4">
      <c r="C123" s="92"/>
      <c r="D123" s="2"/>
    </row>
    <row r="124" spans="3:4">
      <c r="C124" s="92"/>
      <c r="D124" s="2"/>
    </row>
    <row r="125" spans="3:4">
      <c r="C125" s="92"/>
      <c r="D125" s="2"/>
    </row>
    <row r="126" spans="3:4">
      <c r="C126" s="92"/>
      <c r="D126" s="2"/>
    </row>
    <row r="128" spans="3:4">
      <c r="C128" s="141"/>
      <c r="D128" s="2"/>
    </row>
    <row r="129" spans="3:4">
      <c r="C129" s="141"/>
      <c r="D129" s="2"/>
    </row>
    <row r="130" spans="3:4">
      <c r="C130" s="141"/>
      <c r="D130" s="2"/>
    </row>
    <row r="131" spans="3:4">
      <c r="C131" s="141"/>
      <c r="D131" s="2"/>
    </row>
    <row r="132" spans="3:4">
      <c r="C132" s="141"/>
      <c r="D132" s="2"/>
    </row>
  </sheetData>
  <mergeCells count="6">
    <mergeCell ref="J1:W1"/>
    <mergeCell ref="X1:AA2"/>
    <mergeCell ref="A1:E1"/>
    <mergeCell ref="A19:E19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0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5.85546875" style="3" customWidth="1"/>
    <col min="2" max="2" width="53.2851562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6.57031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757" t="s">
        <v>333</v>
      </c>
      <c r="B1" s="758"/>
      <c r="C1" s="758"/>
      <c r="D1" s="758"/>
      <c r="E1" s="758"/>
      <c r="F1" s="758"/>
      <c r="G1" s="758"/>
      <c r="H1" s="758"/>
      <c r="I1" s="758"/>
      <c r="J1" s="758"/>
      <c r="K1" s="758"/>
      <c r="L1" s="758"/>
      <c r="M1" s="758"/>
      <c r="N1" s="758"/>
      <c r="O1" s="758"/>
      <c r="P1" s="758"/>
      <c r="Q1" s="758"/>
      <c r="R1" s="758"/>
      <c r="S1" s="758"/>
      <c r="T1" s="758"/>
      <c r="U1" s="758"/>
      <c r="V1" s="758"/>
      <c r="W1" s="758"/>
      <c r="X1" s="758"/>
      <c r="Y1" s="758"/>
      <c r="Z1" s="758"/>
      <c r="AA1" s="758"/>
      <c r="AB1" s="758"/>
      <c r="AC1" s="758"/>
      <c r="AD1" s="758"/>
      <c r="AE1" s="759" t="s">
        <v>47</v>
      </c>
      <c r="AF1" s="761" t="s">
        <v>9</v>
      </c>
      <c r="AG1" s="763" t="s">
        <v>33</v>
      </c>
      <c r="AH1" s="765" t="s">
        <v>343</v>
      </c>
      <c r="AI1" s="767" t="s">
        <v>85</v>
      </c>
      <c r="AJ1" s="768"/>
      <c r="AK1" s="768"/>
      <c r="AL1" s="769"/>
    </row>
    <row r="2" spans="1:38" ht="12" thickBot="1">
      <c r="A2" s="194"/>
      <c r="B2" s="195" t="s">
        <v>342</v>
      </c>
      <c r="C2" s="195" t="s">
        <v>86</v>
      </c>
      <c r="D2" s="196" t="s">
        <v>334</v>
      </c>
      <c r="E2" s="172" t="s">
        <v>31</v>
      </c>
      <c r="F2" s="172" t="s">
        <v>335</v>
      </c>
      <c r="G2" s="172" t="s">
        <v>336</v>
      </c>
      <c r="H2" s="172" t="s">
        <v>337</v>
      </c>
      <c r="I2" s="172" t="s">
        <v>338</v>
      </c>
      <c r="J2" s="172" t="s">
        <v>339</v>
      </c>
      <c r="K2" s="724" t="s">
        <v>29</v>
      </c>
      <c r="L2" s="725"/>
      <c r="M2" s="182" t="s">
        <v>340</v>
      </c>
      <c r="N2" s="182" t="s">
        <v>31</v>
      </c>
      <c r="O2" s="182" t="s">
        <v>335</v>
      </c>
      <c r="P2" s="182" t="s">
        <v>336</v>
      </c>
      <c r="Q2" s="182" t="s">
        <v>337</v>
      </c>
      <c r="R2" s="182" t="s">
        <v>338</v>
      </c>
      <c r="S2" s="182" t="s">
        <v>339</v>
      </c>
      <c r="T2" s="734" t="s">
        <v>29</v>
      </c>
      <c r="U2" s="735"/>
      <c r="V2" s="172" t="s">
        <v>341</v>
      </c>
      <c r="W2" s="172" t="s">
        <v>31</v>
      </c>
      <c r="X2" s="172" t="s">
        <v>335</v>
      </c>
      <c r="Y2" s="172" t="s">
        <v>336</v>
      </c>
      <c r="Z2" s="172" t="s">
        <v>337</v>
      </c>
      <c r="AA2" s="172" t="s">
        <v>338</v>
      </c>
      <c r="AB2" s="172" t="s">
        <v>339</v>
      </c>
      <c r="AC2" s="724" t="s">
        <v>29</v>
      </c>
      <c r="AD2" s="725"/>
      <c r="AE2" s="760"/>
      <c r="AF2" s="762"/>
      <c r="AG2" s="764"/>
      <c r="AH2" s="766"/>
      <c r="AI2" s="770"/>
      <c r="AJ2" s="771"/>
      <c r="AK2" s="771"/>
      <c r="AL2" s="772"/>
    </row>
    <row r="3" spans="1:38" s="5" customFormat="1" ht="12" thickBot="1">
      <c r="A3" s="508" t="str">
        <f>'1-συμβολαια'!A3</f>
        <v>10ο</v>
      </c>
      <c r="B3" s="508" t="str">
        <f>'1-συμβολαια'!C3</f>
        <v>πληρεξούσιο</v>
      </c>
      <c r="C3" s="483">
        <f>'1-συμβολαια'!D3</f>
        <v>0</v>
      </c>
      <c r="D3" s="483">
        <f t="shared" ref="D3" si="0">C3*1.3%</f>
        <v>0</v>
      </c>
      <c r="E3" s="508"/>
      <c r="F3" s="508"/>
      <c r="G3" s="508"/>
      <c r="H3" s="508"/>
      <c r="I3" s="508"/>
      <c r="J3" s="508"/>
      <c r="K3" s="508"/>
      <c r="L3" s="508"/>
      <c r="M3" s="483">
        <f>C3*0.65%</f>
        <v>0</v>
      </c>
      <c r="N3" s="508"/>
      <c r="O3" s="508"/>
      <c r="P3" s="508"/>
      <c r="Q3" s="508"/>
      <c r="R3" s="508"/>
      <c r="S3" s="508"/>
      <c r="T3" s="508"/>
      <c r="U3" s="508"/>
      <c r="V3" s="483">
        <f>C3*0.125%</f>
        <v>0</v>
      </c>
      <c r="W3" s="508"/>
      <c r="X3" s="508"/>
      <c r="Y3" s="508"/>
      <c r="Z3" s="508"/>
      <c r="AA3" s="508"/>
      <c r="AB3" s="508"/>
      <c r="AC3" s="508"/>
      <c r="AD3" s="508"/>
      <c r="AE3" s="483">
        <f t="shared" ref="AE3" si="1">D3+M3+V3</f>
        <v>0</v>
      </c>
      <c r="AF3" s="483">
        <f t="shared" ref="AF3" si="2">E3+N3+W3</f>
        <v>0</v>
      </c>
      <c r="AG3" s="483">
        <f t="shared" ref="AG3" si="3">AE3-AF3</f>
        <v>0</v>
      </c>
      <c r="AH3" s="508"/>
      <c r="AI3" s="508"/>
      <c r="AJ3" s="508"/>
      <c r="AK3" s="508"/>
      <c r="AL3" s="508"/>
    </row>
    <row r="4" spans="1:38" s="5" customFormat="1">
      <c r="A4" s="410" t="str">
        <f>'1-συμβολαια'!A4</f>
        <v>11ο</v>
      </c>
      <c r="B4" s="348" t="str">
        <f>'1-συμβολαια'!C4</f>
        <v>γονική [αγροτεμάχιο Θεολόγος -''βαλανίδια'' 16.832,18μ2</v>
      </c>
      <c r="C4" s="312">
        <f>'1-συμβολαια'!D4</f>
        <v>4165.96</v>
      </c>
      <c r="D4" s="312"/>
      <c r="E4" s="348"/>
      <c r="F4" s="348"/>
      <c r="G4" s="348"/>
      <c r="H4" s="348"/>
      <c r="I4" s="348"/>
      <c r="J4" s="348"/>
      <c r="K4" s="348"/>
      <c r="L4" s="348"/>
      <c r="M4" s="312">
        <f t="shared" ref="M4:M18" si="4">C4*0.65%</f>
        <v>27.078740000000003</v>
      </c>
      <c r="N4" s="348"/>
      <c r="O4" s="348"/>
      <c r="P4" s="348"/>
      <c r="Q4" s="348"/>
      <c r="R4" s="348"/>
      <c r="S4" s="348"/>
      <c r="T4" s="348"/>
      <c r="U4" s="348"/>
      <c r="V4" s="312">
        <f t="shared" ref="V4:V18" si="5">C4*0.125%</f>
        <v>5.2074500000000006</v>
      </c>
      <c r="W4" s="348"/>
      <c r="X4" s="348"/>
      <c r="Y4" s="348"/>
      <c r="Z4" s="348"/>
      <c r="AA4" s="348"/>
      <c r="AB4" s="348"/>
      <c r="AC4" s="348"/>
      <c r="AD4" s="348"/>
      <c r="AE4" s="312">
        <f t="shared" ref="AE4:AE18" si="6">D4+M4+V4</f>
        <v>32.286190000000005</v>
      </c>
      <c r="AF4" s="312">
        <v>32.29</v>
      </c>
      <c r="AG4" s="312">
        <f t="shared" ref="AG4:AG18" si="7">AE4-AF4</f>
        <v>-3.8099999999943179E-3</v>
      </c>
      <c r="AH4" s="348"/>
      <c r="AI4" s="348"/>
      <c r="AJ4" s="348"/>
      <c r="AK4" s="348"/>
      <c r="AL4" s="348"/>
    </row>
    <row r="5" spans="1:38" s="5" customFormat="1" ht="12" thickBot="1">
      <c r="A5" s="411"/>
      <c r="B5" s="391" t="str">
        <f>'1-συμβολαια'!C5</f>
        <v>χρησικτησία = 1961 πατρός ΔΩΡΕΑ άτυπος</v>
      </c>
      <c r="C5" s="390">
        <f>'1-συμβολαια'!D5</f>
        <v>4165.96</v>
      </c>
      <c r="D5" s="390"/>
      <c r="E5" s="391"/>
      <c r="F5" s="391"/>
      <c r="G5" s="391"/>
      <c r="H5" s="391"/>
      <c r="I5" s="391"/>
      <c r="J5" s="391"/>
      <c r="K5" s="391"/>
      <c r="L5" s="391"/>
      <c r="M5" s="390">
        <f t="shared" si="4"/>
        <v>27.078740000000003</v>
      </c>
      <c r="N5" s="391"/>
      <c r="O5" s="391"/>
      <c r="P5" s="391"/>
      <c r="Q5" s="391"/>
      <c r="R5" s="391"/>
      <c r="S5" s="391"/>
      <c r="T5" s="391"/>
      <c r="U5" s="391"/>
      <c r="V5" s="390">
        <f t="shared" si="5"/>
        <v>5.2074500000000006</v>
      </c>
      <c r="W5" s="391"/>
      <c r="X5" s="391"/>
      <c r="Y5" s="391"/>
      <c r="Z5" s="391"/>
      <c r="AA5" s="391"/>
      <c r="AB5" s="391"/>
      <c r="AC5" s="391"/>
      <c r="AD5" s="391"/>
      <c r="AE5" s="390">
        <f t="shared" si="6"/>
        <v>32.286190000000005</v>
      </c>
      <c r="AF5" s="390">
        <f t="shared" ref="AF5:AF18" si="8">E5+N5+W5</f>
        <v>0</v>
      </c>
      <c r="AG5" s="390">
        <f t="shared" si="7"/>
        <v>32.286190000000005</v>
      </c>
      <c r="AH5" s="391"/>
      <c r="AI5" s="391"/>
      <c r="AJ5" s="391"/>
      <c r="AK5" s="391"/>
      <c r="AL5" s="391"/>
    </row>
    <row r="6" spans="1:38" s="5" customFormat="1">
      <c r="A6" s="527" t="str">
        <f>'1-συμβολαια'!A6</f>
        <v>12ο</v>
      </c>
      <c r="B6" s="348" t="str">
        <f>'1-συμβολαια'!C6</f>
        <v>κληρονομιάς ΑΠΟΔΟΧΗ [οικόπεδο 226μ2 ΜΕ 2όροφο οιίκημα 150μ2 &amp; αποθήκη 15μ2 Θεολόγος</v>
      </c>
      <c r="C6" s="312">
        <f>'1-συμβολαια'!D6</f>
        <v>0</v>
      </c>
      <c r="D6" s="312">
        <f t="shared" ref="D6:D18" si="9">C6*1.3%</f>
        <v>0</v>
      </c>
      <c r="E6" s="348"/>
      <c r="F6" s="348"/>
      <c r="G6" s="348"/>
      <c r="H6" s="348"/>
      <c r="I6" s="348"/>
      <c r="J6" s="348"/>
      <c r="K6" s="348"/>
      <c r="L6" s="348"/>
      <c r="M6" s="312">
        <f t="shared" si="4"/>
        <v>0</v>
      </c>
      <c r="N6" s="348"/>
      <c r="O6" s="348"/>
      <c r="P6" s="348"/>
      <c r="Q6" s="348"/>
      <c r="R6" s="348"/>
      <c r="S6" s="348"/>
      <c r="T6" s="348"/>
      <c r="U6" s="348"/>
      <c r="V6" s="312">
        <f t="shared" si="5"/>
        <v>0</v>
      </c>
      <c r="W6" s="348"/>
      <c r="X6" s="348"/>
      <c r="Y6" s="348"/>
      <c r="Z6" s="348"/>
      <c r="AA6" s="348"/>
      <c r="AB6" s="348"/>
      <c r="AC6" s="348"/>
      <c r="AD6" s="348"/>
      <c r="AE6" s="312">
        <f t="shared" si="6"/>
        <v>0</v>
      </c>
      <c r="AF6" s="312">
        <f t="shared" si="8"/>
        <v>0</v>
      </c>
      <c r="AG6" s="312">
        <f t="shared" si="7"/>
        <v>0</v>
      </c>
      <c r="AH6" s="348"/>
      <c r="AI6" s="348"/>
      <c r="AJ6" s="348"/>
      <c r="AK6" s="348"/>
      <c r="AL6" s="348"/>
    </row>
    <row r="7" spans="1:38" s="5" customFormat="1">
      <c r="A7" s="527"/>
      <c r="B7" s="348" t="str">
        <f>'1-συμβολαια'!C7</f>
        <v>χρησικτησία οικοπέδου &amp; οικήματος = 1950 πατρός ΚΛΗΡΟΝΟΜΙΑ άτυπη</v>
      </c>
      <c r="C7" s="312">
        <f>'1-συμβολαια'!D7</f>
        <v>6629.4</v>
      </c>
      <c r="D7" s="312"/>
      <c r="E7" s="348"/>
      <c r="F7" s="348"/>
      <c r="G7" s="348"/>
      <c r="H7" s="348"/>
      <c r="I7" s="348"/>
      <c r="J7" s="348"/>
      <c r="K7" s="348"/>
      <c r="L7" s="348"/>
      <c r="M7" s="312">
        <f t="shared" si="4"/>
        <v>43.091100000000004</v>
      </c>
      <c r="N7" s="348"/>
      <c r="O7" s="348"/>
      <c r="P7" s="348"/>
      <c r="Q7" s="348"/>
      <c r="R7" s="348"/>
      <c r="S7" s="348"/>
      <c r="T7" s="348"/>
      <c r="U7" s="348"/>
      <c r="V7" s="312">
        <f t="shared" si="5"/>
        <v>8.2867499999999996</v>
      </c>
      <c r="W7" s="348"/>
      <c r="X7" s="348"/>
      <c r="Y7" s="348"/>
      <c r="Z7" s="348"/>
      <c r="AA7" s="348"/>
      <c r="AB7" s="348"/>
      <c r="AC7" s="348"/>
      <c r="AD7" s="348"/>
      <c r="AE7" s="312">
        <f t="shared" si="6"/>
        <v>51.377850000000002</v>
      </c>
      <c r="AF7" s="312">
        <f t="shared" si="8"/>
        <v>0</v>
      </c>
      <c r="AG7" s="312">
        <f t="shared" si="7"/>
        <v>51.377850000000002</v>
      </c>
      <c r="AH7" s="348"/>
      <c r="AI7" s="348"/>
      <c r="AJ7" s="348"/>
      <c r="AK7" s="348"/>
      <c r="AL7" s="348"/>
    </row>
    <row r="8" spans="1:38" s="5" customFormat="1">
      <c r="A8" s="527"/>
      <c r="B8" s="348" t="str">
        <f>'1-συμβολαια'!C8</f>
        <v>χρησικτησία οικοπέδου &amp; οικήματος = 1950 ΔΙΑΝΟΜΗ άτυπη</v>
      </c>
      <c r="C8" s="312">
        <f>'1-συμβολαια'!D8</f>
        <v>11396.88</v>
      </c>
      <c r="D8" s="312"/>
      <c r="E8" s="348"/>
      <c r="F8" s="348"/>
      <c r="G8" s="348"/>
      <c r="H8" s="348"/>
      <c r="I8" s="348"/>
      <c r="J8" s="348"/>
      <c r="K8" s="348"/>
      <c r="L8" s="348"/>
      <c r="M8" s="312"/>
      <c r="N8" s="348"/>
      <c r="O8" s="348"/>
      <c r="P8" s="348"/>
      <c r="Q8" s="348"/>
      <c r="R8" s="348"/>
      <c r="S8" s="348"/>
      <c r="T8" s="348"/>
      <c r="U8" s="348"/>
      <c r="V8" s="312"/>
      <c r="W8" s="348"/>
      <c r="X8" s="348"/>
      <c r="Y8" s="348"/>
      <c r="Z8" s="348"/>
      <c r="AA8" s="348"/>
      <c r="AB8" s="348"/>
      <c r="AC8" s="348"/>
      <c r="AD8" s="348"/>
      <c r="AE8" s="312">
        <f t="shared" si="6"/>
        <v>0</v>
      </c>
      <c r="AF8" s="312">
        <f t="shared" si="8"/>
        <v>0</v>
      </c>
      <c r="AG8" s="312">
        <f t="shared" si="7"/>
        <v>0</v>
      </c>
      <c r="AH8" s="348"/>
      <c r="AI8" s="348"/>
      <c r="AJ8" s="348"/>
      <c r="AK8" s="348"/>
      <c r="AL8" s="348"/>
    </row>
    <row r="9" spans="1:38" s="5" customFormat="1" ht="12" thickBot="1">
      <c r="A9" s="528"/>
      <c r="B9" s="391" t="str">
        <f>'1-συμβολαια'!C9</f>
        <v xml:space="preserve">εξισορόπηση διαφοράς διανεμομένων </v>
      </c>
      <c r="C9" s="390">
        <f>'1-συμβολαια'!D9</f>
        <v>930.96</v>
      </c>
      <c r="D9" s="390">
        <f t="shared" si="9"/>
        <v>12.102480000000002</v>
      </c>
      <c r="E9" s="391"/>
      <c r="F9" s="391"/>
      <c r="G9" s="391"/>
      <c r="H9" s="391"/>
      <c r="I9" s="391"/>
      <c r="J9" s="391"/>
      <c r="K9" s="391"/>
      <c r="L9" s="391"/>
      <c r="M9" s="390"/>
      <c r="N9" s="391"/>
      <c r="O9" s="391"/>
      <c r="P9" s="391"/>
      <c r="Q9" s="391"/>
      <c r="R9" s="391"/>
      <c r="S9" s="391"/>
      <c r="T9" s="391"/>
      <c r="U9" s="391"/>
      <c r="V9" s="390"/>
      <c r="W9" s="391"/>
      <c r="X9" s="391"/>
      <c r="Y9" s="391"/>
      <c r="Z9" s="391"/>
      <c r="AA9" s="391"/>
      <c r="AB9" s="391"/>
      <c r="AC9" s="391"/>
      <c r="AD9" s="391"/>
      <c r="AE9" s="390">
        <f t="shared" si="6"/>
        <v>12.102480000000002</v>
      </c>
      <c r="AF9" s="390">
        <f t="shared" si="8"/>
        <v>0</v>
      </c>
      <c r="AG9" s="390">
        <f t="shared" si="7"/>
        <v>12.102480000000002</v>
      </c>
      <c r="AH9" s="391"/>
      <c r="AI9" s="391"/>
      <c r="AJ9" s="391"/>
      <c r="AK9" s="391"/>
      <c r="AL9" s="391"/>
    </row>
    <row r="10" spans="1:38" s="5" customFormat="1">
      <c r="A10" s="348" t="str">
        <f>'1-συμβολαια'!A10</f>
        <v>13ο</v>
      </c>
      <c r="B10" s="348" t="str">
        <f>'1-συμβολαια'!C10</f>
        <v>πληρεξούσιο</v>
      </c>
      <c r="C10" s="312">
        <f>'1-συμβολαια'!D10</f>
        <v>0</v>
      </c>
      <c r="D10" s="312">
        <f t="shared" si="9"/>
        <v>0</v>
      </c>
      <c r="E10" s="348"/>
      <c r="F10" s="348"/>
      <c r="G10" s="348"/>
      <c r="H10" s="348"/>
      <c r="I10" s="348"/>
      <c r="J10" s="348"/>
      <c r="K10" s="348"/>
      <c r="L10" s="348"/>
      <c r="M10" s="312">
        <f t="shared" si="4"/>
        <v>0</v>
      </c>
      <c r="N10" s="348"/>
      <c r="O10" s="348"/>
      <c r="P10" s="348"/>
      <c r="Q10" s="348"/>
      <c r="R10" s="348"/>
      <c r="S10" s="348"/>
      <c r="T10" s="348"/>
      <c r="U10" s="348"/>
      <c r="V10" s="312">
        <f t="shared" si="5"/>
        <v>0</v>
      </c>
      <c r="W10" s="348"/>
      <c r="X10" s="348"/>
      <c r="Y10" s="348"/>
      <c r="Z10" s="348"/>
      <c r="AA10" s="348"/>
      <c r="AB10" s="348"/>
      <c r="AC10" s="348"/>
      <c r="AD10" s="348"/>
      <c r="AE10" s="312">
        <f t="shared" si="6"/>
        <v>0</v>
      </c>
      <c r="AF10" s="312">
        <f t="shared" si="8"/>
        <v>0</v>
      </c>
      <c r="AG10" s="312">
        <f t="shared" si="7"/>
        <v>0</v>
      </c>
      <c r="AH10" s="348"/>
      <c r="AI10" s="348"/>
      <c r="AJ10" s="348"/>
      <c r="AK10" s="348"/>
      <c r="AL10" s="348"/>
    </row>
    <row r="11" spans="1:38" s="5" customFormat="1">
      <c r="A11" s="348" t="str">
        <f>'1-συμβολαια'!A11</f>
        <v>14ο</v>
      </c>
      <c r="B11" s="348" t="str">
        <f>'1-συμβολαια'!C11</f>
        <v>αγοραπωλησία</v>
      </c>
      <c r="C11" s="312">
        <f>'1-συμβολαια'!D11</f>
        <v>20269.88</v>
      </c>
      <c r="D11" s="312"/>
      <c r="E11" s="348"/>
      <c r="F11" s="348"/>
      <c r="G11" s="348"/>
      <c r="H11" s="348"/>
      <c r="I11" s="348"/>
      <c r="J11" s="348"/>
      <c r="K11" s="348"/>
      <c r="L11" s="348"/>
      <c r="M11" s="312"/>
      <c r="N11" s="348"/>
      <c r="O11" s="348"/>
      <c r="P11" s="348"/>
      <c r="Q11" s="348"/>
      <c r="R11" s="348"/>
      <c r="S11" s="348"/>
      <c r="T11" s="348"/>
      <c r="U11" s="348"/>
      <c r="V11" s="312"/>
      <c r="W11" s="348"/>
      <c r="X11" s="348"/>
      <c r="Y11" s="348"/>
      <c r="Z11" s="348"/>
      <c r="AA11" s="348"/>
      <c r="AB11" s="348"/>
      <c r="AC11" s="348"/>
      <c r="AD11" s="348"/>
      <c r="AE11" s="312">
        <f t="shared" si="6"/>
        <v>0</v>
      </c>
      <c r="AF11" s="312">
        <f t="shared" si="8"/>
        <v>0</v>
      </c>
      <c r="AG11" s="312">
        <f t="shared" si="7"/>
        <v>0</v>
      </c>
      <c r="AH11" s="348"/>
      <c r="AI11" s="348"/>
      <c r="AJ11" s="348"/>
      <c r="AK11" s="348"/>
      <c r="AL11" s="348"/>
    </row>
    <row r="12" spans="1:38" s="5" customFormat="1">
      <c r="A12" s="348" t="str">
        <f>'1-συμβολαια'!A12</f>
        <v>15ο</v>
      </c>
      <c r="B12" s="348" t="str">
        <f>'1-συμβολαια'!C12</f>
        <v>δωρεά</v>
      </c>
      <c r="C12" s="312">
        <f>'1-συμβολαια'!D12</f>
        <v>21765.16</v>
      </c>
      <c r="D12" s="312"/>
      <c r="E12" s="348"/>
      <c r="F12" s="348"/>
      <c r="G12" s="348"/>
      <c r="H12" s="348"/>
      <c r="I12" s="348"/>
      <c r="J12" s="348"/>
      <c r="K12" s="348"/>
      <c r="L12" s="348"/>
      <c r="M12" s="312">
        <f t="shared" si="4"/>
        <v>141.47354000000001</v>
      </c>
      <c r="N12" s="348"/>
      <c r="O12" s="348"/>
      <c r="P12" s="348"/>
      <c r="Q12" s="348"/>
      <c r="R12" s="348"/>
      <c r="S12" s="348"/>
      <c r="T12" s="348"/>
      <c r="U12" s="348"/>
      <c r="V12" s="312">
        <f t="shared" si="5"/>
        <v>27.20645</v>
      </c>
      <c r="W12" s="348"/>
      <c r="X12" s="348"/>
      <c r="Y12" s="348"/>
      <c r="Z12" s="348"/>
      <c r="AA12" s="348"/>
      <c r="AB12" s="348"/>
      <c r="AC12" s="348"/>
      <c r="AD12" s="348"/>
      <c r="AE12" s="312">
        <f t="shared" si="6"/>
        <v>168.67999</v>
      </c>
      <c r="AF12" s="312">
        <v>168.68</v>
      </c>
      <c r="AG12" s="312">
        <f t="shared" si="7"/>
        <v>-1.0000000003174137E-5</v>
      </c>
      <c r="AH12" s="348"/>
      <c r="AI12" s="348"/>
      <c r="AJ12" s="348"/>
      <c r="AK12" s="348"/>
      <c r="AL12" s="348"/>
    </row>
    <row r="13" spans="1:38" s="5" customFormat="1">
      <c r="A13" s="348" t="str">
        <f>'1-συμβολαια'!A13</f>
        <v>16ο</v>
      </c>
      <c r="B13" s="348" t="str">
        <f>'1-συμβολαια'!C13</f>
        <v>γονική</v>
      </c>
      <c r="C13" s="312">
        <f>'1-συμβολαια'!D13</f>
        <v>84070.06</v>
      </c>
      <c r="D13" s="312"/>
      <c r="E13" s="348"/>
      <c r="F13" s="348"/>
      <c r="G13" s="348"/>
      <c r="H13" s="348"/>
      <c r="I13" s="348"/>
      <c r="J13" s="348"/>
      <c r="K13" s="348"/>
      <c r="L13" s="348"/>
      <c r="M13" s="312">
        <f t="shared" si="4"/>
        <v>546.45539000000008</v>
      </c>
      <c r="N13" s="348"/>
      <c r="O13" s="348"/>
      <c r="P13" s="348"/>
      <c r="Q13" s="348"/>
      <c r="R13" s="348"/>
      <c r="S13" s="348"/>
      <c r="T13" s="348"/>
      <c r="U13" s="348"/>
      <c r="V13" s="312">
        <f t="shared" si="5"/>
        <v>105.087575</v>
      </c>
      <c r="W13" s="348"/>
      <c r="X13" s="348"/>
      <c r="Y13" s="348"/>
      <c r="Z13" s="348"/>
      <c r="AA13" s="348"/>
      <c r="AB13" s="348"/>
      <c r="AC13" s="348"/>
      <c r="AD13" s="348"/>
      <c r="AE13" s="312">
        <f t="shared" si="6"/>
        <v>651.54296500000009</v>
      </c>
      <c r="AF13" s="312">
        <v>651.54</v>
      </c>
      <c r="AG13" s="312">
        <f t="shared" si="7"/>
        <v>2.9650000001311128E-3</v>
      </c>
      <c r="AH13" s="348"/>
      <c r="AI13" s="348"/>
      <c r="AJ13" s="348"/>
      <c r="AK13" s="348"/>
      <c r="AL13" s="348"/>
    </row>
    <row r="14" spans="1:38" s="5" customFormat="1">
      <c r="A14" s="348" t="str">
        <f>'1-συμβολαια'!A14</f>
        <v>17ο</v>
      </c>
      <c r="B14" s="348" t="str">
        <f>'1-συμβολαια'!C14</f>
        <v>δωρεά</v>
      </c>
      <c r="C14" s="312">
        <f>'1-συμβολαια'!D14</f>
        <v>42035.040000000001</v>
      </c>
      <c r="D14" s="312"/>
      <c r="E14" s="348"/>
      <c r="F14" s="348"/>
      <c r="G14" s="348"/>
      <c r="H14" s="348"/>
      <c r="I14" s="348"/>
      <c r="J14" s="348"/>
      <c r="K14" s="348"/>
      <c r="L14" s="348"/>
      <c r="M14" s="312">
        <f t="shared" si="4"/>
        <v>273.22776000000005</v>
      </c>
      <c r="N14" s="348"/>
      <c r="O14" s="348"/>
      <c r="P14" s="348"/>
      <c r="Q14" s="348"/>
      <c r="R14" s="348"/>
      <c r="S14" s="348"/>
      <c r="T14" s="348"/>
      <c r="U14" s="348"/>
      <c r="V14" s="312">
        <f t="shared" si="5"/>
        <v>52.543800000000005</v>
      </c>
      <c r="W14" s="348"/>
      <c r="X14" s="348"/>
      <c r="Y14" s="348"/>
      <c r="Z14" s="348"/>
      <c r="AA14" s="348"/>
      <c r="AB14" s="348"/>
      <c r="AC14" s="348"/>
      <c r="AD14" s="348"/>
      <c r="AE14" s="312">
        <f t="shared" si="6"/>
        <v>325.77156000000002</v>
      </c>
      <c r="AF14" s="312">
        <v>325.77</v>
      </c>
      <c r="AG14" s="312">
        <f t="shared" si="7"/>
        <v>1.5600000000404179E-3</v>
      </c>
      <c r="AH14" s="348"/>
      <c r="AI14" s="348"/>
      <c r="AJ14" s="348"/>
      <c r="AK14" s="348"/>
      <c r="AL14" s="348"/>
    </row>
    <row r="15" spans="1:38" s="5" customFormat="1">
      <c r="A15" s="348" t="str">
        <f>'1-συμβολαια'!A15</f>
        <v>18ο</v>
      </c>
      <c r="B15" s="348" t="str">
        <f>'1-συμβολαια'!C15</f>
        <v>γονική</v>
      </c>
      <c r="C15" s="312">
        <f>'1-συμβολαια'!D15</f>
        <v>84070.06</v>
      </c>
      <c r="D15" s="312"/>
      <c r="E15" s="348"/>
      <c r="F15" s="348"/>
      <c r="G15" s="348"/>
      <c r="H15" s="348"/>
      <c r="I15" s="348"/>
      <c r="J15" s="348"/>
      <c r="K15" s="348"/>
      <c r="L15" s="348"/>
      <c r="M15" s="312">
        <f t="shared" si="4"/>
        <v>546.45539000000008</v>
      </c>
      <c r="N15" s="348"/>
      <c r="O15" s="348"/>
      <c r="P15" s="348"/>
      <c r="Q15" s="348"/>
      <c r="R15" s="348"/>
      <c r="S15" s="348"/>
      <c r="T15" s="348"/>
      <c r="U15" s="348"/>
      <c r="V15" s="312">
        <f t="shared" si="5"/>
        <v>105.087575</v>
      </c>
      <c r="W15" s="348"/>
      <c r="X15" s="348"/>
      <c r="Y15" s="348"/>
      <c r="Z15" s="348"/>
      <c r="AA15" s="348"/>
      <c r="AB15" s="348"/>
      <c r="AC15" s="348"/>
      <c r="AD15" s="348"/>
      <c r="AE15" s="312">
        <f t="shared" si="6"/>
        <v>651.54296500000009</v>
      </c>
      <c r="AF15" s="312">
        <v>651.54</v>
      </c>
      <c r="AG15" s="312">
        <f t="shared" si="7"/>
        <v>2.9650000001311128E-3</v>
      </c>
      <c r="AH15" s="348"/>
      <c r="AI15" s="348"/>
      <c r="AJ15" s="348"/>
      <c r="AK15" s="348"/>
      <c r="AL15" s="348"/>
    </row>
    <row r="16" spans="1:38" s="5" customFormat="1">
      <c r="A16" s="348" t="str">
        <f>'1-συμβολαια'!A16</f>
        <v>19ο</v>
      </c>
      <c r="B16" s="348" t="str">
        <f>'1-συμβολαια'!C16</f>
        <v>σύσταση δουλείας</v>
      </c>
      <c r="C16" s="312">
        <f>'1-συμβολαια'!D16</f>
        <v>203.07</v>
      </c>
      <c r="D16" s="312"/>
      <c r="E16" s="348"/>
      <c r="F16" s="348"/>
      <c r="G16" s="348"/>
      <c r="H16" s="348"/>
      <c r="I16" s="348"/>
      <c r="J16" s="348"/>
      <c r="K16" s="348"/>
      <c r="L16" s="348"/>
      <c r="M16" s="312"/>
      <c r="N16" s="348"/>
      <c r="O16" s="348"/>
      <c r="P16" s="348"/>
      <c r="Q16" s="348"/>
      <c r="R16" s="348"/>
      <c r="S16" s="348"/>
      <c r="T16" s="348"/>
      <c r="U16" s="348"/>
      <c r="V16" s="312"/>
      <c r="W16" s="348"/>
      <c r="X16" s="348"/>
      <c r="Y16" s="348"/>
      <c r="Z16" s="348"/>
      <c r="AA16" s="348"/>
      <c r="AB16" s="348"/>
      <c r="AC16" s="348"/>
      <c r="AD16" s="348"/>
      <c r="AE16" s="312">
        <f t="shared" si="6"/>
        <v>0</v>
      </c>
      <c r="AF16" s="312">
        <f t="shared" si="8"/>
        <v>0</v>
      </c>
      <c r="AG16" s="312">
        <f t="shared" si="7"/>
        <v>0</v>
      </c>
      <c r="AH16" s="348"/>
      <c r="AI16" s="348"/>
      <c r="AJ16" s="348"/>
      <c r="AK16" s="348"/>
      <c r="AL16" s="348"/>
    </row>
    <row r="17" spans="1:38" s="5" customFormat="1">
      <c r="A17" s="348" t="str">
        <f>'1-συμβολαια'!A17</f>
        <v>20ο</v>
      </c>
      <c r="B17" s="348" t="str">
        <f>'1-συμβολαια'!C17</f>
        <v>σύσταση δουλείας</v>
      </c>
      <c r="C17" s="312">
        <f>'1-συμβολαια'!D17</f>
        <v>186.07</v>
      </c>
      <c r="D17" s="312"/>
      <c r="E17" s="348"/>
      <c r="F17" s="348"/>
      <c r="G17" s="348"/>
      <c r="H17" s="348"/>
      <c r="I17" s="348"/>
      <c r="J17" s="348"/>
      <c r="K17" s="348"/>
      <c r="L17" s="348"/>
      <c r="M17" s="312"/>
      <c r="N17" s="348"/>
      <c r="O17" s="348"/>
      <c r="P17" s="348"/>
      <c r="Q17" s="348"/>
      <c r="R17" s="348"/>
      <c r="S17" s="348"/>
      <c r="T17" s="348"/>
      <c r="U17" s="348"/>
      <c r="V17" s="312"/>
      <c r="W17" s="348"/>
      <c r="X17" s="348"/>
      <c r="Y17" s="348"/>
      <c r="Z17" s="348"/>
      <c r="AA17" s="348"/>
      <c r="AB17" s="348"/>
      <c r="AC17" s="348"/>
      <c r="AD17" s="348"/>
      <c r="AE17" s="312">
        <f t="shared" si="6"/>
        <v>0</v>
      </c>
      <c r="AF17" s="312">
        <f t="shared" si="8"/>
        <v>0</v>
      </c>
      <c r="AG17" s="312">
        <f t="shared" si="7"/>
        <v>0</v>
      </c>
      <c r="AH17" s="348"/>
      <c r="AI17" s="348"/>
      <c r="AJ17" s="348"/>
      <c r="AK17" s="348"/>
      <c r="AL17" s="348"/>
    </row>
    <row r="18" spans="1:38" s="5" customFormat="1">
      <c r="A18" s="348" t="str">
        <f>'1-συμβολαια'!A18</f>
        <v>21ο</v>
      </c>
      <c r="B18" s="348" t="str">
        <f>'1-συμβολαια'!C18</f>
        <v>χρήσης ακινήτου ΚΑΝΟΝΙΣΜΟΣ</v>
      </c>
      <c r="C18" s="312">
        <f>'1-συμβολαια'!D18</f>
        <v>0</v>
      </c>
      <c r="D18" s="312">
        <f t="shared" si="9"/>
        <v>0</v>
      </c>
      <c r="E18" s="348"/>
      <c r="F18" s="348"/>
      <c r="G18" s="348"/>
      <c r="H18" s="348"/>
      <c r="I18" s="348"/>
      <c r="J18" s="348"/>
      <c r="K18" s="348"/>
      <c r="L18" s="348"/>
      <c r="M18" s="312">
        <f t="shared" si="4"/>
        <v>0</v>
      </c>
      <c r="N18" s="348"/>
      <c r="O18" s="348"/>
      <c r="P18" s="348"/>
      <c r="Q18" s="348"/>
      <c r="R18" s="348"/>
      <c r="S18" s="348"/>
      <c r="T18" s="348"/>
      <c r="U18" s="348"/>
      <c r="V18" s="312">
        <f t="shared" si="5"/>
        <v>0</v>
      </c>
      <c r="W18" s="348"/>
      <c r="X18" s="348"/>
      <c r="Y18" s="348"/>
      <c r="Z18" s="348"/>
      <c r="AA18" s="348"/>
      <c r="AB18" s="348"/>
      <c r="AC18" s="348"/>
      <c r="AD18" s="348"/>
      <c r="AE18" s="312">
        <f t="shared" si="6"/>
        <v>0</v>
      </c>
      <c r="AF18" s="312">
        <f t="shared" si="8"/>
        <v>0</v>
      </c>
      <c r="AG18" s="312">
        <f t="shared" si="7"/>
        <v>0</v>
      </c>
      <c r="AH18" s="348"/>
      <c r="AI18" s="348"/>
      <c r="AJ18" s="348"/>
      <c r="AK18" s="348"/>
      <c r="AL18" s="348"/>
    </row>
    <row r="19" spans="1:38">
      <c r="A19" s="754" t="str">
        <f>'1-συμβολαια'!A19</f>
        <v>σύνολο</v>
      </c>
      <c r="B19" s="755"/>
      <c r="C19" s="756"/>
      <c r="D19" s="295">
        <f>SUM(D3:D18)</f>
        <v>12.102480000000002</v>
      </c>
      <c r="E19" s="193"/>
      <c r="F19" s="193"/>
      <c r="G19" s="193"/>
      <c r="H19" s="193"/>
      <c r="I19" s="193"/>
      <c r="J19" s="193"/>
      <c r="K19" s="193"/>
      <c r="L19" s="193"/>
      <c r="M19" s="295">
        <f>SUM(M3:M18)</f>
        <v>1604.8606600000003</v>
      </c>
      <c r="N19" s="193"/>
      <c r="O19" s="193"/>
      <c r="P19" s="193"/>
      <c r="Q19" s="193"/>
      <c r="R19" s="193"/>
      <c r="S19" s="193"/>
      <c r="T19" s="193"/>
      <c r="U19" s="193"/>
      <c r="V19" s="295"/>
      <c r="W19" s="193"/>
      <c r="X19" s="193"/>
      <c r="Y19" s="193"/>
      <c r="Z19" s="193"/>
      <c r="AA19" s="193"/>
      <c r="AB19" s="193"/>
      <c r="AC19" s="193"/>
      <c r="AD19" s="193"/>
      <c r="AE19" s="295">
        <f>SUM(AE3:AE18)</f>
        <v>1925.5901900000003</v>
      </c>
      <c r="AF19" s="295">
        <f>SUM(AF3:AF18)</f>
        <v>1829.82</v>
      </c>
      <c r="AG19" s="295">
        <f>SUM(AG3:AG18)</f>
        <v>95.770190000000312</v>
      </c>
      <c r="AH19" s="193">
        <f>SUM(AH3:AH18)</f>
        <v>0</v>
      </c>
      <c r="AI19" s="193"/>
      <c r="AJ19" s="193"/>
      <c r="AK19" s="193"/>
      <c r="AL19" s="193"/>
    </row>
    <row r="21" spans="1:38">
      <c r="E21" s="2"/>
      <c r="F21" s="2"/>
      <c r="G21" s="2"/>
      <c r="H21" s="163" t="s">
        <v>344</v>
      </c>
      <c r="I21" s="2"/>
      <c r="J21" s="2"/>
      <c r="K21" s="2"/>
      <c r="L21" s="2"/>
      <c r="M21" s="2"/>
      <c r="N21" s="2"/>
      <c r="O21" s="2"/>
      <c r="P21" s="2"/>
      <c r="Q21" s="163" t="s">
        <v>344</v>
      </c>
      <c r="R21" s="2"/>
      <c r="S21" s="2"/>
      <c r="T21" s="2"/>
      <c r="U21" s="2"/>
      <c r="V21" s="2"/>
      <c r="W21" s="2"/>
      <c r="X21" s="2"/>
      <c r="Y21" s="2"/>
      <c r="Z21" s="163" t="s">
        <v>344</v>
      </c>
      <c r="AA21" s="2"/>
      <c r="AB21" s="2"/>
      <c r="AC21" s="2"/>
      <c r="AD21" s="2"/>
      <c r="AE21" s="2"/>
    </row>
    <row r="22" spans="1:38">
      <c r="E22" s="2"/>
      <c r="F22" s="197" t="s">
        <v>345</v>
      </c>
      <c r="G22" s="197"/>
      <c r="H22" s="197"/>
      <c r="I22" s="197"/>
      <c r="J22" s="197"/>
      <c r="K22" s="197"/>
      <c r="L22" s="197"/>
      <c r="M22" s="197"/>
      <c r="N22" s="197"/>
      <c r="O22" s="197" t="s">
        <v>345</v>
      </c>
      <c r="P22" s="2"/>
      <c r="Q22" s="2"/>
      <c r="R22" s="2"/>
      <c r="S22" s="2"/>
      <c r="T22" s="2"/>
      <c r="U22" s="2"/>
      <c r="V22" s="2"/>
      <c r="W22" s="2"/>
      <c r="X22" s="197" t="s">
        <v>345</v>
      </c>
      <c r="Y22" s="2"/>
      <c r="Z22" s="2"/>
      <c r="AA22" s="2"/>
      <c r="AB22" s="2"/>
      <c r="AC22" s="2"/>
      <c r="AD22" s="2"/>
      <c r="AE22" s="2"/>
    </row>
    <row r="23" spans="1:38">
      <c r="E23" s="2"/>
      <c r="F23" s="2"/>
      <c r="G23" s="2"/>
      <c r="H23" s="2"/>
      <c r="I23" s="4"/>
      <c r="J23" s="165" t="s">
        <v>346</v>
      </c>
      <c r="K23" s="163"/>
      <c r="L23" s="2"/>
      <c r="M23" s="2"/>
      <c r="N23" s="2"/>
      <c r="O23" s="2"/>
      <c r="P23" s="2"/>
      <c r="Q23" s="4"/>
      <c r="R23" s="165" t="s">
        <v>347</v>
      </c>
      <c r="S23" s="165"/>
      <c r="T23" s="165"/>
      <c r="U23" s="165"/>
      <c r="V23" s="4"/>
      <c r="W23" s="4"/>
      <c r="X23" s="4"/>
      <c r="Y23" s="4"/>
      <c r="Z23" s="4"/>
      <c r="AA23" s="165" t="s">
        <v>347</v>
      </c>
      <c r="AB23" s="165"/>
      <c r="AC23" s="165"/>
      <c r="AD23" s="163"/>
      <c r="AE23" s="2"/>
    </row>
    <row r="24" spans="1:38">
      <c r="E24" s="2"/>
      <c r="F24" s="2"/>
      <c r="G24" s="2"/>
      <c r="H24" s="2"/>
      <c r="I24" s="165" t="s">
        <v>347</v>
      </c>
      <c r="J24" s="4"/>
      <c r="K24" s="2"/>
      <c r="L24" s="2"/>
      <c r="M24" s="2"/>
      <c r="N24" s="2"/>
      <c r="O24" s="2"/>
      <c r="P24" s="2"/>
      <c r="Q24" s="4"/>
      <c r="R24" s="4"/>
      <c r="S24" s="165" t="s">
        <v>346</v>
      </c>
      <c r="T24" s="165"/>
      <c r="U24" s="4"/>
      <c r="V24" s="4"/>
      <c r="W24" s="4"/>
      <c r="X24" s="4"/>
      <c r="Y24" s="4"/>
      <c r="Z24" s="4"/>
      <c r="AA24" s="4"/>
      <c r="AB24" s="165" t="s">
        <v>346</v>
      </c>
      <c r="AC24" s="165"/>
      <c r="AD24" s="2"/>
      <c r="AE24" s="2"/>
    </row>
    <row r="25" spans="1:38">
      <c r="E25" s="2"/>
      <c r="F25" s="2"/>
      <c r="G25" s="2"/>
      <c r="H25" s="2"/>
      <c r="I25" s="4"/>
      <c r="J25" s="4"/>
      <c r="K25" s="2"/>
      <c r="L25" s="2"/>
      <c r="M25" s="2"/>
      <c r="N25" s="2"/>
      <c r="O25" s="2"/>
      <c r="P25" s="2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2"/>
      <c r="AE25" s="2"/>
    </row>
    <row r="26" spans="1:38">
      <c r="E26" s="198" t="s">
        <v>348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199" t="s">
        <v>349</v>
      </c>
      <c r="R26" s="2"/>
      <c r="S26" s="2"/>
      <c r="T26" s="2"/>
      <c r="U26" s="2"/>
      <c r="V26" s="2"/>
      <c r="W26" s="2"/>
      <c r="X26" s="2"/>
      <c r="Y26" s="2"/>
      <c r="Z26" s="200" t="s">
        <v>350</v>
      </c>
      <c r="AA26" s="2"/>
      <c r="AB26" s="2"/>
      <c r="AC26" s="2"/>
      <c r="AD26" s="2"/>
      <c r="AE26" s="2"/>
    </row>
    <row r="27" spans="1:38">
      <c r="E27" s="201" t="s">
        <v>351</v>
      </c>
      <c r="F27" s="2"/>
      <c r="G27" s="2"/>
      <c r="H27" s="2"/>
      <c r="I27" s="2"/>
      <c r="J27" s="2"/>
      <c r="K27" s="2"/>
      <c r="L27" s="2"/>
      <c r="M27" s="8"/>
      <c r="N27" s="2"/>
      <c r="O27" s="163"/>
      <c r="P27" s="163"/>
      <c r="Q27" s="163"/>
      <c r="R27" s="163"/>
      <c r="S27" s="202" t="s">
        <v>352</v>
      </c>
      <c r="T27" s="163"/>
      <c r="U27" s="163"/>
      <c r="V27" s="163"/>
      <c r="W27" s="2"/>
      <c r="X27" s="2"/>
      <c r="Y27" s="2"/>
      <c r="Z27" s="2"/>
      <c r="AA27" s="203" t="s">
        <v>353</v>
      </c>
      <c r="AB27" s="2"/>
      <c r="AC27" s="2"/>
      <c r="AD27" s="2"/>
      <c r="AE27" s="2"/>
    </row>
    <row r="28" spans="1:38">
      <c r="E28" s="2"/>
      <c r="F28" s="201" t="s">
        <v>354</v>
      </c>
      <c r="G28" s="2"/>
      <c r="H28" s="2"/>
      <c r="I28" s="2"/>
      <c r="J28" s="2"/>
      <c r="K28" s="2"/>
      <c r="L28" s="2"/>
      <c r="M28" s="8"/>
      <c r="N28" s="2"/>
      <c r="O28" s="2"/>
      <c r="P28" s="2"/>
      <c r="Q28" s="2"/>
      <c r="R28" s="2"/>
      <c r="S28" s="204" t="s">
        <v>355</v>
      </c>
      <c r="T28" s="2"/>
      <c r="U28" s="2"/>
      <c r="V28" s="2"/>
      <c r="W28" s="2"/>
      <c r="X28" s="2"/>
      <c r="Y28" s="2"/>
      <c r="Z28" s="2"/>
      <c r="AA28" s="2"/>
      <c r="AB28" s="204" t="s">
        <v>355</v>
      </c>
      <c r="AC28" s="2"/>
      <c r="AD28" s="2"/>
      <c r="AE28" s="2"/>
    </row>
    <row r="29" spans="1:38">
      <c r="E29" s="2"/>
      <c r="F29" s="2"/>
      <c r="G29" s="2"/>
      <c r="H29" s="2"/>
      <c r="I29" s="2"/>
      <c r="J29" s="2"/>
      <c r="K29" s="2"/>
      <c r="L29" s="2"/>
      <c r="M29" s="8"/>
      <c r="N29" s="2"/>
      <c r="O29" s="2"/>
      <c r="P29" s="163"/>
      <c r="Q29" s="163"/>
      <c r="R29" s="163"/>
      <c r="S29" s="163"/>
      <c r="T29" s="163"/>
      <c r="U29" s="163"/>
      <c r="V29" s="163"/>
      <c r="W29" s="163"/>
      <c r="X29" s="163"/>
      <c r="Y29" s="2"/>
      <c r="Z29" s="2"/>
      <c r="AA29" s="2"/>
      <c r="AB29" s="202" t="s">
        <v>352</v>
      </c>
      <c r="AC29" s="2"/>
      <c r="AD29" s="2"/>
      <c r="AE29" s="2"/>
    </row>
    <row r="30" spans="1:38">
      <c r="E30" s="2"/>
      <c r="F30" s="2"/>
      <c r="G30" s="2"/>
      <c r="H30" s="2"/>
      <c r="I30" s="2"/>
      <c r="J30" s="2"/>
      <c r="K30" s="2"/>
      <c r="L30" s="2"/>
      <c r="M30" s="8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</sheetData>
  <mergeCells count="10">
    <mergeCell ref="AH1:AH2"/>
    <mergeCell ref="AI1:AL2"/>
    <mergeCell ref="K2:L2"/>
    <mergeCell ref="T2:U2"/>
    <mergeCell ref="AC2:AD2"/>
    <mergeCell ref="A19:C1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2026-03-06T06:03:07Z</dcterms:modified>
</cp:coreProperties>
</file>