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W4" i="5"/>
  <c r="W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3"/>
  <c r="AC43" l="1"/>
  <c r="AD43" s="1"/>
  <c r="AC44"/>
  <c r="AC42"/>
  <c r="AD42" s="1"/>
  <c r="AC41"/>
  <c r="AG41" s="1"/>
  <c r="AC39"/>
  <c r="AC40"/>
  <c r="AC38"/>
  <c r="AG38" s="1"/>
  <c r="AC37"/>
  <c r="AD37" s="1"/>
  <c r="AC35"/>
  <c r="AD35" s="1"/>
  <c r="AC36"/>
  <c r="AD36" s="1"/>
  <c r="AC34"/>
  <c r="AD34" s="1"/>
  <c r="AC33"/>
  <c r="AG33" s="1"/>
  <c r="AC31"/>
  <c r="AD31" s="1"/>
  <c r="AC26"/>
  <c r="AC27"/>
  <c r="AC28"/>
  <c r="AC29"/>
  <c r="AC30"/>
  <c r="AG30" s="1"/>
  <c r="AC25"/>
  <c r="AG25" s="1"/>
  <c r="AC24"/>
  <c r="AD24" s="1"/>
  <c r="AC23"/>
  <c r="AG23" s="1"/>
  <c r="AC22"/>
  <c r="AC20"/>
  <c r="AC21"/>
  <c r="AC19"/>
  <c r="AC18"/>
  <c r="AC17"/>
  <c r="AC16"/>
  <c r="AC15"/>
  <c r="AC14"/>
  <c r="AC13"/>
  <c r="AC12"/>
  <c r="AC11"/>
  <c r="AC10"/>
  <c r="AC4"/>
  <c r="AC5"/>
  <c r="AC6"/>
  <c r="AC7"/>
  <c r="AC8"/>
  <c r="AC3"/>
  <c r="AC9"/>
  <c r="AE4"/>
  <c r="AE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23"/>
  <c r="AF23" s="1"/>
  <c r="AE24"/>
  <c r="AF24" s="1"/>
  <c r="AE25"/>
  <c r="AF25" s="1"/>
  <c r="AE26"/>
  <c r="AE27"/>
  <c r="AF27" s="1"/>
  <c r="AE28"/>
  <c r="AG28" s="1"/>
  <c r="AE29"/>
  <c r="AE30"/>
  <c r="AE31"/>
  <c r="AE33"/>
  <c r="AE34"/>
  <c r="AE35"/>
  <c r="AF35" s="1"/>
  <c r="AE36"/>
  <c r="AF36" s="1"/>
  <c r="AE37"/>
  <c r="AE38"/>
  <c r="AE39"/>
  <c r="AE40"/>
  <c r="AF40" s="1"/>
  <c r="AE41"/>
  <c r="AE42"/>
  <c r="AE43"/>
  <c r="AF43" s="1"/>
  <c r="AE44"/>
  <c r="AF44" s="1"/>
  <c r="AE45"/>
  <c r="AE3"/>
  <c r="AD28"/>
  <c r="AD29"/>
  <c r="AD40"/>
  <c r="AC45"/>
  <c r="B22"/>
  <c r="B24"/>
  <c r="B31"/>
  <c r="B33"/>
  <c r="B37"/>
  <c r="B41"/>
  <c r="B45"/>
  <c r="B14"/>
  <c r="B13"/>
  <c r="B10"/>
  <c r="AJ46"/>
  <c r="H46"/>
  <c r="G46"/>
  <c r="F46"/>
  <c r="E46"/>
  <c r="D46"/>
  <c r="C46"/>
  <c r="A46"/>
  <c r="AJ45"/>
  <c r="AF45"/>
  <c r="AD45"/>
  <c r="N45"/>
  <c r="O45" s="1"/>
  <c r="M45"/>
  <c r="L45"/>
  <c r="J45"/>
  <c r="K45" s="1"/>
  <c r="G45"/>
  <c r="F45"/>
  <c r="H45" s="1"/>
  <c r="I45" s="1"/>
  <c r="E45"/>
  <c r="D45"/>
  <c r="C45"/>
  <c r="A45"/>
  <c r="AJ44"/>
  <c r="N44"/>
  <c r="O44" s="1"/>
  <c r="M44"/>
  <c r="L44"/>
  <c r="J44"/>
  <c r="K44" s="1"/>
  <c r="G44"/>
  <c r="F44"/>
  <c r="E44"/>
  <c r="D44"/>
  <c r="C44"/>
  <c r="A44"/>
  <c r="AJ43"/>
  <c r="N43"/>
  <c r="O43" s="1"/>
  <c r="L43"/>
  <c r="M43" s="1"/>
  <c r="K43"/>
  <c r="J43"/>
  <c r="G43"/>
  <c r="F43"/>
  <c r="H43" s="1"/>
  <c r="I43" s="1"/>
  <c r="E43"/>
  <c r="D43"/>
  <c r="C43"/>
  <c r="A43"/>
  <c r="AJ42"/>
  <c r="AF42"/>
  <c r="N42"/>
  <c r="O42" s="1"/>
  <c r="M42"/>
  <c r="L42"/>
  <c r="J42"/>
  <c r="K42" s="1"/>
  <c r="G42"/>
  <c r="F42"/>
  <c r="H42" s="1"/>
  <c r="I42" s="1"/>
  <c r="E42"/>
  <c r="D42"/>
  <c r="C42"/>
  <c r="A42"/>
  <c r="AJ41"/>
  <c r="AF41"/>
  <c r="N41"/>
  <c r="O41" s="1"/>
  <c r="L41"/>
  <c r="M41" s="1"/>
  <c r="J41"/>
  <c r="K41" s="1"/>
  <c r="G41"/>
  <c r="F41"/>
  <c r="E41"/>
  <c r="D41"/>
  <c r="C41"/>
  <c r="A41"/>
  <c r="AJ40"/>
  <c r="O40"/>
  <c r="N40"/>
  <c r="L40"/>
  <c r="M40" s="1"/>
  <c r="K40"/>
  <c r="J40"/>
  <c r="G40"/>
  <c r="F40"/>
  <c r="H40" s="1"/>
  <c r="I40" s="1"/>
  <c r="E40"/>
  <c r="D40"/>
  <c r="C40"/>
  <c r="A40"/>
  <c r="AJ39"/>
  <c r="AF39"/>
  <c r="AD39"/>
  <c r="O39"/>
  <c r="N39"/>
  <c r="L39"/>
  <c r="M39" s="1"/>
  <c r="J39"/>
  <c r="K39" s="1"/>
  <c r="H39"/>
  <c r="I39" s="1"/>
  <c r="G39"/>
  <c r="F39"/>
  <c r="E39"/>
  <c r="D39"/>
  <c r="C39"/>
  <c r="A39"/>
  <c r="AJ38"/>
  <c r="AF38"/>
  <c r="O38"/>
  <c r="N38"/>
  <c r="L38"/>
  <c r="M38" s="1"/>
  <c r="K38"/>
  <c r="J38"/>
  <c r="H38"/>
  <c r="I38" s="1"/>
  <c r="G38"/>
  <c r="F38"/>
  <c r="E38"/>
  <c r="D38"/>
  <c r="C38"/>
  <c r="A38"/>
  <c r="AJ37"/>
  <c r="AF37"/>
  <c r="N37"/>
  <c r="O37" s="1"/>
  <c r="M37"/>
  <c r="L37"/>
  <c r="J37"/>
  <c r="K37" s="1"/>
  <c r="G37"/>
  <c r="F37"/>
  <c r="H37" s="1"/>
  <c r="I37" s="1"/>
  <c r="E37"/>
  <c r="D37"/>
  <c r="C37"/>
  <c r="A37"/>
  <c r="AJ36"/>
  <c r="N36"/>
  <c r="O36" s="1"/>
  <c r="M36"/>
  <c r="L36"/>
  <c r="J36"/>
  <c r="K36" s="1"/>
  <c r="G36"/>
  <c r="F36"/>
  <c r="E36"/>
  <c r="D36"/>
  <c r="C36"/>
  <c r="A36"/>
  <c r="AJ35"/>
  <c r="N35"/>
  <c r="O35" s="1"/>
  <c r="L35"/>
  <c r="M35" s="1"/>
  <c r="K35"/>
  <c r="J35"/>
  <c r="G35"/>
  <c r="F35"/>
  <c r="H35" s="1"/>
  <c r="I35" s="1"/>
  <c r="E35"/>
  <c r="D35"/>
  <c r="C35"/>
  <c r="A35"/>
  <c r="AJ34"/>
  <c r="AF34"/>
  <c r="N34"/>
  <c r="O34" s="1"/>
  <c r="M34"/>
  <c r="L34"/>
  <c r="J34"/>
  <c r="K34" s="1"/>
  <c r="G34"/>
  <c r="F34"/>
  <c r="H34" s="1"/>
  <c r="I34" s="1"/>
  <c r="E34"/>
  <c r="D34"/>
  <c r="C34"/>
  <c r="A34"/>
  <c r="AJ33"/>
  <c r="AF33"/>
  <c r="N33"/>
  <c r="O33" s="1"/>
  <c r="L33"/>
  <c r="M33" s="1"/>
  <c r="J33"/>
  <c r="K33" s="1"/>
  <c r="G33"/>
  <c r="F33"/>
  <c r="E33"/>
  <c r="D33"/>
  <c r="C33"/>
  <c r="A33"/>
  <c r="AJ32"/>
  <c r="G32"/>
  <c r="F32"/>
  <c r="H32" s="1"/>
  <c r="E32"/>
  <c r="D32"/>
  <c r="C32"/>
  <c r="A32"/>
  <c r="AJ31"/>
  <c r="AF31"/>
  <c r="O31"/>
  <c r="N31"/>
  <c r="L31"/>
  <c r="M31" s="1"/>
  <c r="J31"/>
  <c r="K31" s="1"/>
  <c r="H31"/>
  <c r="I31" s="1"/>
  <c r="G31"/>
  <c r="F31"/>
  <c r="E31"/>
  <c r="D31"/>
  <c r="C31"/>
  <c r="A31"/>
  <c r="AJ30"/>
  <c r="AF30"/>
  <c r="O30"/>
  <c r="N30"/>
  <c r="L30"/>
  <c r="M30" s="1"/>
  <c r="K30"/>
  <c r="J30"/>
  <c r="H30"/>
  <c r="I30" s="1"/>
  <c r="G30"/>
  <c r="F30"/>
  <c r="E30"/>
  <c r="D30"/>
  <c r="C30"/>
  <c r="A30"/>
  <c r="AJ29"/>
  <c r="AF29"/>
  <c r="N29"/>
  <c r="O29" s="1"/>
  <c r="M29"/>
  <c r="L29"/>
  <c r="J29"/>
  <c r="K29" s="1"/>
  <c r="G29"/>
  <c r="F29"/>
  <c r="H29" s="1"/>
  <c r="I29" s="1"/>
  <c r="E29"/>
  <c r="D29"/>
  <c r="C29"/>
  <c r="A29"/>
  <c r="AJ28"/>
  <c r="AF28"/>
  <c r="N28"/>
  <c r="O28" s="1"/>
  <c r="M28"/>
  <c r="L28"/>
  <c r="J28"/>
  <c r="K28" s="1"/>
  <c r="G28"/>
  <c r="F28"/>
  <c r="E28"/>
  <c r="D28"/>
  <c r="C28"/>
  <c r="A28"/>
  <c r="AJ27"/>
  <c r="N27"/>
  <c r="O27" s="1"/>
  <c r="L27"/>
  <c r="M27" s="1"/>
  <c r="K27"/>
  <c r="J27"/>
  <c r="G27"/>
  <c r="F27"/>
  <c r="H27" s="1"/>
  <c r="I27" s="1"/>
  <c r="E27"/>
  <c r="D27"/>
  <c r="C27"/>
  <c r="A27"/>
  <c r="AJ26"/>
  <c r="AF26"/>
  <c r="AD26"/>
  <c r="N26"/>
  <c r="O26" s="1"/>
  <c r="M26"/>
  <c r="L26"/>
  <c r="J26"/>
  <c r="K26" s="1"/>
  <c r="G26"/>
  <c r="F26"/>
  <c r="H26" s="1"/>
  <c r="I26" s="1"/>
  <c r="E26"/>
  <c r="D26"/>
  <c r="C26"/>
  <c r="A26"/>
  <c r="AJ25"/>
  <c r="N25"/>
  <c r="O25" s="1"/>
  <c r="L25"/>
  <c r="M25" s="1"/>
  <c r="J25"/>
  <c r="K25" s="1"/>
  <c r="G25"/>
  <c r="F25"/>
  <c r="E25"/>
  <c r="D25"/>
  <c r="C25"/>
  <c r="A25"/>
  <c r="AJ24"/>
  <c r="O24"/>
  <c r="N24"/>
  <c r="L24"/>
  <c r="M24" s="1"/>
  <c r="K24"/>
  <c r="J24"/>
  <c r="G24"/>
  <c r="F24"/>
  <c r="H24" s="1"/>
  <c r="I24" s="1"/>
  <c r="E24"/>
  <c r="D24"/>
  <c r="C24"/>
  <c r="A24"/>
  <c r="AJ23"/>
  <c r="O23"/>
  <c r="N23"/>
  <c r="L23"/>
  <c r="M23" s="1"/>
  <c r="J23"/>
  <c r="K23" s="1"/>
  <c r="H23"/>
  <c r="I23" s="1"/>
  <c r="G23"/>
  <c r="F23"/>
  <c r="E23"/>
  <c r="D23"/>
  <c r="C23"/>
  <c r="A23"/>
  <c r="C46" i="28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R46" i="10"/>
  <c r="P46" s="1"/>
  <c r="L46"/>
  <c r="J46"/>
  <c r="H46"/>
  <c r="G46"/>
  <c r="E46"/>
  <c r="C46"/>
  <c r="A46"/>
  <c r="R45"/>
  <c r="P45" s="1"/>
  <c r="L45"/>
  <c r="J45"/>
  <c r="H45"/>
  <c r="G45"/>
  <c r="E45"/>
  <c r="C45"/>
  <c r="A45"/>
  <c r="R44"/>
  <c r="P44" s="1"/>
  <c r="L44"/>
  <c r="J44"/>
  <c r="H44"/>
  <c r="G44"/>
  <c r="E44"/>
  <c r="C44"/>
  <c r="A44"/>
  <c r="R43"/>
  <c r="P43" s="1"/>
  <c r="L43"/>
  <c r="J43"/>
  <c r="H43"/>
  <c r="G43"/>
  <c r="E43"/>
  <c r="C43"/>
  <c r="A43"/>
  <c r="R42"/>
  <c r="P42" s="1"/>
  <c r="L42"/>
  <c r="J42"/>
  <c r="H42"/>
  <c r="G42"/>
  <c r="E42"/>
  <c r="C42"/>
  <c r="A42"/>
  <c r="R41"/>
  <c r="P41"/>
  <c r="L41"/>
  <c r="J41"/>
  <c r="H41"/>
  <c r="G41"/>
  <c r="E41"/>
  <c r="C41"/>
  <c r="A41"/>
  <c r="R40"/>
  <c r="P40" s="1"/>
  <c r="L40"/>
  <c r="J40"/>
  <c r="H40"/>
  <c r="G40"/>
  <c r="E40"/>
  <c r="C40"/>
  <c r="A40"/>
  <c r="R39"/>
  <c r="P39"/>
  <c r="L39"/>
  <c r="J39"/>
  <c r="H39"/>
  <c r="G39"/>
  <c r="E39"/>
  <c r="C39"/>
  <c r="A39"/>
  <c r="R38"/>
  <c r="P38" s="1"/>
  <c r="L38"/>
  <c r="J38"/>
  <c r="H38"/>
  <c r="G38"/>
  <c r="E38"/>
  <c r="C38"/>
  <c r="A38"/>
  <c r="R37"/>
  <c r="P37" s="1"/>
  <c r="L37"/>
  <c r="J37"/>
  <c r="H37"/>
  <c r="G37"/>
  <c r="E37"/>
  <c r="C37"/>
  <c r="A37"/>
  <c r="R36"/>
  <c r="P36" s="1"/>
  <c r="L36"/>
  <c r="J36"/>
  <c r="H36"/>
  <c r="G36"/>
  <c r="E36"/>
  <c r="C36"/>
  <c r="A36"/>
  <c r="R35"/>
  <c r="P35" s="1"/>
  <c r="L35"/>
  <c r="J35"/>
  <c r="H35"/>
  <c r="G35"/>
  <c r="E35"/>
  <c r="C35"/>
  <c r="A35"/>
  <c r="R34"/>
  <c r="P34" s="1"/>
  <c r="L34"/>
  <c r="J34"/>
  <c r="H34"/>
  <c r="G34"/>
  <c r="E34"/>
  <c r="C34"/>
  <c r="A34"/>
  <c r="R33"/>
  <c r="P33"/>
  <c r="L33"/>
  <c r="J33"/>
  <c r="H33"/>
  <c r="G33"/>
  <c r="E33"/>
  <c r="C33"/>
  <c r="A33"/>
  <c r="R32"/>
  <c r="P32" s="1"/>
  <c r="L32"/>
  <c r="J32"/>
  <c r="H32"/>
  <c r="G32"/>
  <c r="E32"/>
  <c r="C32"/>
  <c r="A32"/>
  <c r="R31"/>
  <c r="P31"/>
  <c r="L31"/>
  <c r="J31"/>
  <c r="H31"/>
  <c r="G31"/>
  <c r="E31"/>
  <c r="C31"/>
  <c r="A31"/>
  <c r="R30"/>
  <c r="P30" s="1"/>
  <c r="L30"/>
  <c r="J30"/>
  <c r="H30"/>
  <c r="G30"/>
  <c r="E30"/>
  <c r="C30"/>
  <c r="A30"/>
  <c r="R29"/>
  <c r="P29" s="1"/>
  <c r="L29"/>
  <c r="J29"/>
  <c r="H29"/>
  <c r="G29"/>
  <c r="E29"/>
  <c r="C29"/>
  <c r="A29"/>
  <c r="R28"/>
  <c r="P28" s="1"/>
  <c r="L28"/>
  <c r="J28"/>
  <c r="H28"/>
  <c r="G28"/>
  <c r="E28"/>
  <c r="C28"/>
  <c r="A28"/>
  <c r="R27"/>
  <c r="P27" s="1"/>
  <c r="L27"/>
  <c r="J27"/>
  <c r="H27"/>
  <c r="G27"/>
  <c r="E27"/>
  <c r="C27"/>
  <c r="A27"/>
  <c r="R26"/>
  <c r="P26" s="1"/>
  <c r="L26"/>
  <c r="J26"/>
  <c r="H26"/>
  <c r="G26"/>
  <c r="E26"/>
  <c r="C26"/>
  <c r="A26"/>
  <c r="R25"/>
  <c r="P25"/>
  <c r="L25"/>
  <c r="J25"/>
  <c r="H25"/>
  <c r="G25"/>
  <c r="E25"/>
  <c r="C25"/>
  <c r="A25"/>
  <c r="R24"/>
  <c r="P24" s="1"/>
  <c r="L24"/>
  <c r="J24"/>
  <c r="H24"/>
  <c r="G24"/>
  <c r="E24"/>
  <c r="C24"/>
  <c r="A24"/>
  <c r="R23"/>
  <c r="P23"/>
  <c r="L23"/>
  <c r="J23"/>
  <c r="H23"/>
  <c r="G23"/>
  <c r="E23"/>
  <c r="C23"/>
  <c r="A23"/>
  <c r="A23" i="8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R8" i="9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BB37" i="24"/>
  <c r="BC37" s="1"/>
  <c r="BB45"/>
  <c r="BB41"/>
  <c r="BC41"/>
  <c r="BC38"/>
  <c r="BB34"/>
  <c r="BC34" s="1"/>
  <c r="BB33"/>
  <c r="BC33" s="1"/>
  <c r="BB31"/>
  <c r="BC31" s="1"/>
  <c r="BB24"/>
  <c r="BC24" s="1"/>
  <c r="BB22"/>
  <c r="BB18"/>
  <c r="BB16"/>
  <c r="BB14"/>
  <c r="BB9"/>
  <c r="BB7"/>
  <c r="BB3"/>
  <c r="BB10"/>
  <c r="AT45"/>
  <c r="AT41"/>
  <c r="AY41" s="1"/>
  <c r="AT31"/>
  <c r="AT22"/>
  <c r="AT18"/>
  <c r="AT10"/>
  <c r="AT3"/>
  <c r="AL10"/>
  <c r="AH24"/>
  <c r="AH22"/>
  <c r="AH18"/>
  <c r="AH14"/>
  <c r="AH13"/>
  <c r="AH10"/>
  <c r="AH9"/>
  <c r="AF22"/>
  <c r="AF10"/>
  <c r="Q10"/>
  <c r="L10"/>
  <c r="Q22"/>
  <c r="L22"/>
  <c r="B41"/>
  <c r="B45"/>
  <c r="B6"/>
  <c r="B9"/>
  <c r="B10"/>
  <c r="B13"/>
  <c r="B14"/>
  <c r="B15"/>
  <c r="B18"/>
  <c r="B22"/>
  <c r="B24"/>
  <c r="B31"/>
  <c r="B33"/>
  <c r="B34"/>
  <c r="B37"/>
  <c r="B38"/>
  <c r="B3"/>
  <c r="BU46"/>
  <c r="BO46"/>
  <c r="BC46"/>
  <c r="AY46"/>
  <c r="AS46"/>
  <c r="AD46"/>
  <c r="J46"/>
  <c r="I46"/>
  <c r="H46"/>
  <c r="G46"/>
  <c r="F46"/>
  <c r="E46"/>
  <c r="D46"/>
  <c r="C46"/>
  <c r="A46"/>
  <c r="BU45"/>
  <c r="BO45"/>
  <c r="BC45"/>
  <c r="AY45"/>
  <c r="AS45"/>
  <c r="AD45"/>
  <c r="J45"/>
  <c r="I45"/>
  <c r="H45"/>
  <c r="G45"/>
  <c r="F45"/>
  <c r="E45"/>
  <c r="D45"/>
  <c r="C45"/>
  <c r="A45"/>
  <c r="BU44"/>
  <c r="BO44"/>
  <c r="BC44"/>
  <c r="AY44"/>
  <c r="AS44"/>
  <c r="AD44"/>
  <c r="J44"/>
  <c r="I44"/>
  <c r="H44"/>
  <c r="G44"/>
  <c r="F44"/>
  <c r="E44"/>
  <c r="D44"/>
  <c r="C44"/>
  <c r="A44"/>
  <c r="BU43"/>
  <c r="BO43"/>
  <c r="BC43"/>
  <c r="AY43"/>
  <c r="AS43"/>
  <c r="AD43"/>
  <c r="J43"/>
  <c r="I43"/>
  <c r="H43"/>
  <c r="G43"/>
  <c r="F43"/>
  <c r="E43"/>
  <c r="D43"/>
  <c r="C43"/>
  <c r="A43"/>
  <c r="BU42"/>
  <c r="BO42"/>
  <c r="BC42"/>
  <c r="AY42"/>
  <c r="AS42"/>
  <c r="AD42"/>
  <c r="J42"/>
  <c r="I42"/>
  <c r="H42"/>
  <c r="G42"/>
  <c r="F42"/>
  <c r="E42"/>
  <c r="D42"/>
  <c r="C42"/>
  <c r="A42"/>
  <c r="BU41"/>
  <c r="BO41"/>
  <c r="AS41"/>
  <c r="AD41"/>
  <c r="J41"/>
  <c r="I41"/>
  <c r="H41"/>
  <c r="G41"/>
  <c r="F41"/>
  <c r="E41"/>
  <c r="D41"/>
  <c r="C41"/>
  <c r="A41"/>
  <c r="BU40"/>
  <c r="BO40"/>
  <c r="BC40"/>
  <c r="AY40"/>
  <c r="AS40"/>
  <c r="AD40"/>
  <c r="J40"/>
  <c r="I40"/>
  <c r="H40"/>
  <c r="G40"/>
  <c r="F40"/>
  <c r="E40"/>
  <c r="D40"/>
  <c r="C40"/>
  <c r="A40"/>
  <c r="BU39"/>
  <c r="BO39"/>
  <c r="BC39"/>
  <c r="AY39"/>
  <c r="AS39"/>
  <c r="AD39"/>
  <c r="J39"/>
  <c r="I39"/>
  <c r="H39"/>
  <c r="G39"/>
  <c r="F39"/>
  <c r="E39"/>
  <c r="D39"/>
  <c r="C39"/>
  <c r="A39"/>
  <c r="BU38"/>
  <c r="BO38"/>
  <c r="AY38"/>
  <c r="AS38"/>
  <c r="AD38"/>
  <c r="J38"/>
  <c r="I38"/>
  <c r="H38"/>
  <c r="G38"/>
  <c r="F38"/>
  <c r="E38"/>
  <c r="D38"/>
  <c r="C38"/>
  <c r="A38"/>
  <c r="BU37"/>
  <c r="BO37"/>
  <c r="AY37"/>
  <c r="AS37"/>
  <c r="AD37"/>
  <c r="J37"/>
  <c r="I37"/>
  <c r="H37"/>
  <c r="G37"/>
  <c r="F37"/>
  <c r="E37"/>
  <c r="D37"/>
  <c r="C37"/>
  <c r="A37"/>
  <c r="BU36"/>
  <c r="BO36"/>
  <c r="BC36"/>
  <c r="AY36"/>
  <c r="AS36"/>
  <c r="AD36"/>
  <c r="J36"/>
  <c r="I36"/>
  <c r="H36"/>
  <c r="G36"/>
  <c r="F36"/>
  <c r="E36"/>
  <c r="D36"/>
  <c r="C36"/>
  <c r="A36"/>
  <c r="BU35"/>
  <c r="BO35"/>
  <c r="BC35"/>
  <c r="AY35"/>
  <c r="AS35"/>
  <c r="AD35"/>
  <c r="J35"/>
  <c r="I35"/>
  <c r="H35"/>
  <c r="G35"/>
  <c r="F35"/>
  <c r="E35"/>
  <c r="D35"/>
  <c r="C35"/>
  <c r="A35"/>
  <c r="BU34"/>
  <c r="BO34"/>
  <c r="AY34"/>
  <c r="AS34"/>
  <c r="AD34"/>
  <c r="J34"/>
  <c r="I34"/>
  <c r="H34"/>
  <c r="G34"/>
  <c r="F34"/>
  <c r="E34"/>
  <c r="D34"/>
  <c r="C34"/>
  <c r="A34"/>
  <c r="BU33"/>
  <c r="BO33"/>
  <c r="AY33"/>
  <c r="AS33"/>
  <c r="AD33"/>
  <c r="J33"/>
  <c r="I33"/>
  <c r="H33"/>
  <c r="G33"/>
  <c r="F33"/>
  <c r="E33"/>
  <c r="D33"/>
  <c r="C33"/>
  <c r="A33"/>
  <c r="BU32"/>
  <c r="BO32"/>
  <c r="BC32"/>
  <c r="AY32"/>
  <c r="AS32"/>
  <c r="AD32"/>
  <c r="J32"/>
  <c r="I32"/>
  <c r="H32"/>
  <c r="G32"/>
  <c r="F32"/>
  <c r="E32"/>
  <c r="D32"/>
  <c r="C32"/>
  <c r="A32"/>
  <c r="BU31"/>
  <c r="BO31"/>
  <c r="AY31"/>
  <c r="AS31"/>
  <c r="AD31"/>
  <c r="J31"/>
  <c r="I31"/>
  <c r="H31"/>
  <c r="G31"/>
  <c r="F31"/>
  <c r="E31"/>
  <c r="D31"/>
  <c r="C31"/>
  <c r="A31"/>
  <c r="BU30"/>
  <c r="BO30"/>
  <c r="BC30"/>
  <c r="AY30"/>
  <c r="AS30"/>
  <c r="AD30"/>
  <c r="J30"/>
  <c r="I30"/>
  <c r="H30"/>
  <c r="G30"/>
  <c r="F30"/>
  <c r="E30"/>
  <c r="D30"/>
  <c r="C30"/>
  <c r="A30"/>
  <c r="BU29"/>
  <c r="BO29"/>
  <c r="BC29"/>
  <c r="AY29"/>
  <c r="AS29"/>
  <c r="AD29"/>
  <c r="J29"/>
  <c r="I29"/>
  <c r="H29"/>
  <c r="G29"/>
  <c r="F29"/>
  <c r="E29"/>
  <c r="D29"/>
  <c r="C29"/>
  <c r="A29"/>
  <c r="BU28"/>
  <c r="BO28"/>
  <c r="BC28"/>
  <c r="AY28"/>
  <c r="AS28"/>
  <c r="AD28"/>
  <c r="J28"/>
  <c r="I28"/>
  <c r="H28"/>
  <c r="G28"/>
  <c r="F28"/>
  <c r="E28"/>
  <c r="D28"/>
  <c r="C28"/>
  <c r="A28"/>
  <c r="BU27"/>
  <c r="BO27"/>
  <c r="BC27"/>
  <c r="AY27"/>
  <c r="AS27"/>
  <c r="AD27"/>
  <c r="J27"/>
  <c r="I27"/>
  <c r="H27"/>
  <c r="G27"/>
  <c r="F27"/>
  <c r="E27"/>
  <c r="D27"/>
  <c r="C27"/>
  <c r="A27"/>
  <c r="BU26"/>
  <c r="BO26"/>
  <c r="BC26"/>
  <c r="AY26"/>
  <c r="AS26"/>
  <c r="AD26"/>
  <c r="J26"/>
  <c r="I26"/>
  <c r="H26"/>
  <c r="G26"/>
  <c r="F26"/>
  <c r="E26"/>
  <c r="D26"/>
  <c r="C26"/>
  <c r="A26"/>
  <c r="BU25"/>
  <c r="BO25"/>
  <c r="BC25"/>
  <c r="AY25"/>
  <c r="AS25"/>
  <c r="AD25"/>
  <c r="J25"/>
  <c r="I25"/>
  <c r="H25"/>
  <c r="G25"/>
  <c r="F25"/>
  <c r="E25"/>
  <c r="D25"/>
  <c r="C25"/>
  <c r="A25"/>
  <c r="BU24"/>
  <c r="BO24"/>
  <c r="AY24"/>
  <c r="AS24"/>
  <c r="AD24"/>
  <c r="J24"/>
  <c r="I24"/>
  <c r="H24"/>
  <c r="G24"/>
  <c r="F24"/>
  <c r="E24"/>
  <c r="D24"/>
  <c r="C24"/>
  <c r="A24"/>
  <c r="BU23"/>
  <c r="BO23"/>
  <c r="BC23"/>
  <c r="AY23"/>
  <c r="AS23"/>
  <c r="AD23"/>
  <c r="J23"/>
  <c r="I23"/>
  <c r="H23"/>
  <c r="G23"/>
  <c r="F23"/>
  <c r="E23"/>
  <c r="BW23" s="1"/>
  <c r="D23"/>
  <c r="C23"/>
  <c r="A23"/>
  <c r="E21" i="23"/>
  <c r="E23"/>
  <c r="D21"/>
  <c r="D23"/>
  <c r="C21"/>
  <c r="D46"/>
  <c r="C46"/>
  <c r="B46"/>
  <c r="A46"/>
  <c r="B45"/>
  <c r="A45"/>
  <c r="E44"/>
  <c r="D44"/>
  <c r="C44"/>
  <c r="B44"/>
  <c r="A44"/>
  <c r="D43"/>
  <c r="C43"/>
  <c r="E43" s="1"/>
  <c r="B43"/>
  <c r="A43"/>
  <c r="D42"/>
  <c r="C42"/>
  <c r="E42" s="1"/>
  <c r="B42"/>
  <c r="A42"/>
  <c r="B41"/>
  <c r="A41"/>
  <c r="D40"/>
  <c r="C40"/>
  <c r="E40" s="1"/>
  <c r="B40"/>
  <c r="A40"/>
  <c r="D39"/>
  <c r="E39" s="1"/>
  <c r="C39"/>
  <c r="B39"/>
  <c r="A39"/>
  <c r="D38"/>
  <c r="C38"/>
  <c r="B38"/>
  <c r="A38"/>
  <c r="B37"/>
  <c r="A37"/>
  <c r="E36"/>
  <c r="D36"/>
  <c r="C36"/>
  <c r="B36"/>
  <c r="A36"/>
  <c r="D35"/>
  <c r="C35"/>
  <c r="B35"/>
  <c r="A35"/>
  <c r="D34"/>
  <c r="C34"/>
  <c r="B34"/>
  <c r="A34"/>
  <c r="B33"/>
  <c r="A33"/>
  <c r="D32"/>
  <c r="C32"/>
  <c r="E32" s="1"/>
  <c r="B32"/>
  <c r="A32"/>
  <c r="B31"/>
  <c r="A31"/>
  <c r="D30"/>
  <c r="C30"/>
  <c r="B30"/>
  <c r="A30"/>
  <c r="D29"/>
  <c r="C29"/>
  <c r="B29"/>
  <c r="A29"/>
  <c r="E28"/>
  <c r="D28"/>
  <c r="C28"/>
  <c r="B28"/>
  <c r="A28"/>
  <c r="D27"/>
  <c r="C27"/>
  <c r="E27" s="1"/>
  <c r="B27"/>
  <c r="A27"/>
  <c r="D26"/>
  <c r="C26"/>
  <c r="E26" s="1"/>
  <c r="B26"/>
  <c r="A26"/>
  <c r="D25"/>
  <c r="C25"/>
  <c r="E25" s="1"/>
  <c r="B25"/>
  <c r="A25"/>
  <c r="B24"/>
  <c r="A24"/>
  <c r="C23"/>
  <c r="B23"/>
  <c r="A23"/>
  <c r="K45" i="15"/>
  <c r="C46"/>
  <c r="B46"/>
  <c r="A46"/>
  <c r="C45"/>
  <c r="B45"/>
  <c r="A45"/>
  <c r="C44"/>
  <c r="B44"/>
  <c r="A44"/>
  <c r="C43"/>
  <c r="B43"/>
  <c r="A43"/>
  <c r="C42"/>
  <c r="B42"/>
  <c r="A42"/>
  <c r="C41"/>
  <c r="B41"/>
  <c r="A41"/>
  <c r="C40"/>
  <c r="B40"/>
  <c r="A40"/>
  <c r="C39"/>
  <c r="B39"/>
  <c r="A39"/>
  <c r="C38"/>
  <c r="B38"/>
  <c r="A38"/>
  <c r="C37"/>
  <c r="B37"/>
  <c r="A37"/>
  <c r="C36"/>
  <c r="B36"/>
  <c r="A36"/>
  <c r="C35"/>
  <c r="B35"/>
  <c r="A35"/>
  <c r="C34"/>
  <c r="B34"/>
  <c r="A34"/>
  <c r="C33"/>
  <c r="B33"/>
  <c r="A33"/>
  <c r="C32"/>
  <c r="B32"/>
  <c r="A32"/>
  <c r="C31"/>
  <c r="B31"/>
  <c r="A31"/>
  <c r="C30"/>
  <c r="B30"/>
  <c r="A30"/>
  <c r="C29"/>
  <c r="B29"/>
  <c r="A29"/>
  <c r="C28"/>
  <c r="B28"/>
  <c r="A28"/>
  <c r="C27"/>
  <c r="B27"/>
  <c r="A27"/>
  <c r="C26"/>
  <c r="B26"/>
  <c r="A26"/>
  <c r="C25"/>
  <c r="B25"/>
  <c r="A25"/>
  <c r="C24"/>
  <c r="B24"/>
  <c r="A24"/>
  <c r="C23"/>
  <c r="B23"/>
  <c r="A23"/>
  <c r="X46" i="27"/>
  <c r="W46"/>
  <c r="V46"/>
  <c r="J46"/>
  <c r="I46"/>
  <c r="H46"/>
  <c r="G46"/>
  <c r="F46"/>
  <c r="E46"/>
  <c r="D46"/>
  <c r="C46"/>
  <c r="B46"/>
  <c r="A46"/>
  <c r="X45"/>
  <c r="W45"/>
  <c r="V45"/>
  <c r="J45"/>
  <c r="I45"/>
  <c r="H45"/>
  <c r="G45"/>
  <c r="F45"/>
  <c r="E45"/>
  <c r="D45"/>
  <c r="C45"/>
  <c r="B45"/>
  <c r="A45"/>
  <c r="X44"/>
  <c r="W44"/>
  <c r="V44"/>
  <c r="J44"/>
  <c r="I44"/>
  <c r="H44"/>
  <c r="G44"/>
  <c r="F44"/>
  <c r="E44"/>
  <c r="D44"/>
  <c r="C44"/>
  <c r="B44"/>
  <c r="A44"/>
  <c r="X43"/>
  <c r="W43"/>
  <c r="V43"/>
  <c r="J43"/>
  <c r="I43"/>
  <c r="H43"/>
  <c r="G43"/>
  <c r="F43"/>
  <c r="E43"/>
  <c r="D43"/>
  <c r="C43"/>
  <c r="B43"/>
  <c r="A43"/>
  <c r="X42"/>
  <c r="W42"/>
  <c r="V42"/>
  <c r="J42"/>
  <c r="I42"/>
  <c r="H42"/>
  <c r="G42"/>
  <c r="F42"/>
  <c r="E42"/>
  <c r="D42"/>
  <c r="C42"/>
  <c r="B42"/>
  <c r="A42"/>
  <c r="X41"/>
  <c r="W41"/>
  <c r="V41"/>
  <c r="J41"/>
  <c r="I41"/>
  <c r="H41"/>
  <c r="G41"/>
  <c r="F41"/>
  <c r="E41"/>
  <c r="D41"/>
  <c r="C41"/>
  <c r="B41"/>
  <c r="A41"/>
  <c r="X40"/>
  <c r="W40"/>
  <c r="V40"/>
  <c r="J40"/>
  <c r="I40"/>
  <c r="H40"/>
  <c r="G40"/>
  <c r="F40"/>
  <c r="E40"/>
  <c r="D40"/>
  <c r="C40"/>
  <c r="B40"/>
  <c r="A40"/>
  <c r="X39"/>
  <c r="W39"/>
  <c r="V39"/>
  <c r="J39"/>
  <c r="I39"/>
  <c r="H39"/>
  <c r="G39"/>
  <c r="F39"/>
  <c r="E39"/>
  <c r="D39"/>
  <c r="C39"/>
  <c r="B39"/>
  <c r="A39"/>
  <c r="X38"/>
  <c r="W38"/>
  <c r="V38"/>
  <c r="J38"/>
  <c r="I38"/>
  <c r="H38"/>
  <c r="G38"/>
  <c r="F38"/>
  <c r="E38"/>
  <c r="D38"/>
  <c r="C38"/>
  <c r="B38"/>
  <c r="A38"/>
  <c r="X37"/>
  <c r="W37"/>
  <c r="V37"/>
  <c r="J37"/>
  <c r="I37"/>
  <c r="H37"/>
  <c r="G37"/>
  <c r="F37"/>
  <c r="E37"/>
  <c r="D37"/>
  <c r="C37"/>
  <c r="B37"/>
  <c r="A37"/>
  <c r="X36"/>
  <c r="W36"/>
  <c r="V36"/>
  <c r="J36"/>
  <c r="I36"/>
  <c r="H36"/>
  <c r="G36"/>
  <c r="F36"/>
  <c r="E36"/>
  <c r="D36"/>
  <c r="C36"/>
  <c r="B36"/>
  <c r="A36"/>
  <c r="X35"/>
  <c r="W35"/>
  <c r="V35"/>
  <c r="J35"/>
  <c r="I35"/>
  <c r="H35"/>
  <c r="G35"/>
  <c r="F35"/>
  <c r="E35"/>
  <c r="D35"/>
  <c r="C35"/>
  <c r="B35"/>
  <c r="A35"/>
  <c r="X34"/>
  <c r="W34"/>
  <c r="V34"/>
  <c r="J34"/>
  <c r="I34"/>
  <c r="H34"/>
  <c r="G34"/>
  <c r="F34"/>
  <c r="E34"/>
  <c r="D34"/>
  <c r="C34"/>
  <c r="B34"/>
  <c r="A34"/>
  <c r="X33"/>
  <c r="W33"/>
  <c r="V33"/>
  <c r="J33"/>
  <c r="I33"/>
  <c r="H33"/>
  <c r="G33"/>
  <c r="F33"/>
  <c r="E33"/>
  <c r="D33"/>
  <c r="C33"/>
  <c r="B33"/>
  <c r="A33"/>
  <c r="X32"/>
  <c r="W32"/>
  <c r="V32"/>
  <c r="J32"/>
  <c r="I32"/>
  <c r="H32"/>
  <c r="G32"/>
  <c r="F32"/>
  <c r="E32"/>
  <c r="D32"/>
  <c r="C32"/>
  <c r="B32"/>
  <c r="A32"/>
  <c r="X31"/>
  <c r="W31"/>
  <c r="V31"/>
  <c r="J31"/>
  <c r="I31"/>
  <c r="H31"/>
  <c r="G31"/>
  <c r="F31"/>
  <c r="E31"/>
  <c r="D31"/>
  <c r="C31"/>
  <c r="B31"/>
  <c r="A31"/>
  <c r="X30"/>
  <c r="W30"/>
  <c r="V30"/>
  <c r="J30"/>
  <c r="I30"/>
  <c r="H30"/>
  <c r="G30"/>
  <c r="F30"/>
  <c r="E30"/>
  <c r="D30"/>
  <c r="C30"/>
  <c r="B30"/>
  <c r="A30"/>
  <c r="X29"/>
  <c r="W29"/>
  <c r="V29"/>
  <c r="J29"/>
  <c r="I29"/>
  <c r="H29"/>
  <c r="G29"/>
  <c r="F29"/>
  <c r="E29"/>
  <c r="D29"/>
  <c r="C29"/>
  <c r="B29"/>
  <c r="A29"/>
  <c r="X28"/>
  <c r="W28"/>
  <c r="V28"/>
  <c r="J28"/>
  <c r="I28"/>
  <c r="H28"/>
  <c r="G28"/>
  <c r="F28"/>
  <c r="E28"/>
  <c r="D28"/>
  <c r="C28"/>
  <c r="B28"/>
  <c r="A28"/>
  <c r="X27"/>
  <c r="W27"/>
  <c r="V27"/>
  <c r="J27"/>
  <c r="I27"/>
  <c r="H27"/>
  <c r="G27"/>
  <c r="F27"/>
  <c r="E27"/>
  <c r="D27"/>
  <c r="C27"/>
  <c r="B27"/>
  <c r="A27"/>
  <c r="X26"/>
  <c r="W26"/>
  <c r="V26"/>
  <c r="J26"/>
  <c r="I26"/>
  <c r="H26"/>
  <c r="G26"/>
  <c r="F26"/>
  <c r="E26"/>
  <c r="D26"/>
  <c r="C26"/>
  <c r="B26"/>
  <c r="A26"/>
  <c r="X25"/>
  <c r="W25"/>
  <c r="V25"/>
  <c r="J25"/>
  <c r="I25"/>
  <c r="H25"/>
  <c r="G25"/>
  <c r="F25"/>
  <c r="E25"/>
  <c r="D25"/>
  <c r="C25"/>
  <c r="B25"/>
  <c r="A25"/>
  <c r="X24"/>
  <c r="W24"/>
  <c r="V24"/>
  <c r="J24"/>
  <c r="I24"/>
  <c r="H24"/>
  <c r="G24"/>
  <c r="F24"/>
  <c r="E24"/>
  <c r="D24"/>
  <c r="C24"/>
  <c r="B24"/>
  <c r="A24"/>
  <c r="X23"/>
  <c r="W23"/>
  <c r="V23"/>
  <c r="J23"/>
  <c r="I23"/>
  <c r="H23"/>
  <c r="G23"/>
  <c r="F23"/>
  <c r="E23"/>
  <c r="D23"/>
  <c r="C23"/>
  <c r="B23"/>
  <c r="A23"/>
  <c r="U22" i="20"/>
  <c r="T22"/>
  <c r="R22"/>
  <c r="P22"/>
  <c r="F22"/>
  <c r="U12"/>
  <c r="T10"/>
  <c r="F12"/>
  <c r="U11"/>
  <c r="U10"/>
  <c r="T11"/>
  <c r="R11"/>
  <c r="F11"/>
  <c r="P10"/>
  <c r="AG44" i="5" l="1"/>
  <c r="AH44" s="1"/>
  <c r="AG36"/>
  <c r="U36" s="1"/>
  <c r="V36" s="1"/>
  <c r="AD44"/>
  <c r="AG27"/>
  <c r="U27" s="1"/>
  <c r="V27" s="1"/>
  <c r="H28"/>
  <c r="I28" s="1"/>
  <c r="H36"/>
  <c r="I36" s="1"/>
  <c r="H44"/>
  <c r="I44" s="1"/>
  <c r="H25"/>
  <c r="I25" s="1"/>
  <c r="AG26"/>
  <c r="U26" s="1"/>
  <c r="V26" s="1"/>
  <c r="AG29"/>
  <c r="U29" s="1"/>
  <c r="V29" s="1"/>
  <c r="H33"/>
  <c r="I33" s="1"/>
  <c r="AG34"/>
  <c r="U34" s="1"/>
  <c r="V34" s="1"/>
  <c r="AG37"/>
  <c r="AH37" s="1"/>
  <c r="H41"/>
  <c r="I41" s="1"/>
  <c r="AG42"/>
  <c r="AH42" s="1"/>
  <c r="AG45"/>
  <c r="AG24"/>
  <c r="U24" s="1"/>
  <c r="V24" s="1"/>
  <c r="AD25"/>
  <c r="AD30"/>
  <c r="AD33"/>
  <c r="AD38"/>
  <c r="AG40"/>
  <c r="U40" s="1"/>
  <c r="V40" s="1"/>
  <c r="AD41"/>
  <c r="U28"/>
  <c r="V28" s="1"/>
  <c r="AH28"/>
  <c r="AH23"/>
  <c r="X23"/>
  <c r="U23"/>
  <c r="V23" s="1"/>
  <c r="AH40"/>
  <c r="U25"/>
  <c r="V25" s="1"/>
  <c r="AH25"/>
  <c r="AH30"/>
  <c r="U30"/>
  <c r="V30" s="1"/>
  <c r="U33"/>
  <c r="V33" s="1"/>
  <c r="AH33"/>
  <c r="X38"/>
  <c r="U38"/>
  <c r="V38" s="1"/>
  <c r="AH38"/>
  <c r="U41"/>
  <c r="V41" s="1"/>
  <c r="AH41"/>
  <c r="AG31"/>
  <c r="AG35"/>
  <c r="AG39"/>
  <c r="AG43"/>
  <c r="AD23"/>
  <c r="AD27"/>
  <c r="BW28" i="24"/>
  <c r="BW32"/>
  <c r="BW36"/>
  <c r="BW40"/>
  <c r="BW44"/>
  <c r="BW24"/>
  <c r="BV23"/>
  <c r="BW25"/>
  <c r="BW27"/>
  <c r="BV27"/>
  <c r="BW29"/>
  <c r="BW31"/>
  <c r="BV31"/>
  <c r="BW33"/>
  <c r="BW35"/>
  <c r="BV35"/>
  <c r="BW37"/>
  <c r="BW39"/>
  <c r="BV39"/>
  <c r="BW41"/>
  <c r="BW43"/>
  <c r="BV43"/>
  <c r="BW45"/>
  <c r="BV24"/>
  <c r="BV26"/>
  <c r="BW26"/>
  <c r="BV28"/>
  <c r="BV30"/>
  <c r="BW30"/>
  <c r="BV32"/>
  <c r="BV34"/>
  <c r="BW34"/>
  <c r="BV36"/>
  <c r="BV38"/>
  <c r="BW38"/>
  <c r="BV40"/>
  <c r="BV42"/>
  <c r="BW42"/>
  <c r="BV44"/>
  <c r="BV46"/>
  <c r="BW46"/>
  <c r="BV25"/>
  <c r="BV29"/>
  <c r="BV33"/>
  <c r="BV37"/>
  <c r="BV41"/>
  <c r="BV45"/>
  <c r="E34" i="23"/>
  <c r="E35"/>
  <c r="E29"/>
  <c r="E30"/>
  <c r="E38"/>
  <c r="E46"/>
  <c r="F10" i="20"/>
  <c r="P21" i="4"/>
  <c r="P20"/>
  <c r="J20" i="1"/>
  <c r="P19" i="4"/>
  <c r="P18"/>
  <c r="P17"/>
  <c r="P16"/>
  <c r="G16"/>
  <c r="I16" s="1"/>
  <c r="P15"/>
  <c r="P14"/>
  <c r="G14"/>
  <c r="I14" s="1"/>
  <c r="P13"/>
  <c r="P12"/>
  <c r="P11"/>
  <c r="P10"/>
  <c r="G10"/>
  <c r="I10" s="1"/>
  <c r="P9"/>
  <c r="G9"/>
  <c r="I9" s="1"/>
  <c r="P8"/>
  <c r="P7"/>
  <c r="G7"/>
  <c r="I7" s="1"/>
  <c r="P6"/>
  <c r="P5"/>
  <c r="P3"/>
  <c r="S45" i="16"/>
  <c r="AO45" s="1"/>
  <c r="S24"/>
  <c r="AO24" s="1"/>
  <c r="S22"/>
  <c r="S14"/>
  <c r="S10"/>
  <c r="P23" i="14"/>
  <c r="P24"/>
  <c r="P25"/>
  <c r="P26"/>
  <c r="P27"/>
  <c r="H27" i="1" s="1"/>
  <c r="P28" i="14"/>
  <c r="H28" i="1" s="1"/>
  <c r="P29" i="14"/>
  <c r="P30"/>
  <c r="P31"/>
  <c r="H31" i="1" s="1"/>
  <c r="P32" i="14"/>
  <c r="P33"/>
  <c r="P34"/>
  <c r="P35"/>
  <c r="H35" i="1" s="1"/>
  <c r="P36" i="14"/>
  <c r="P37"/>
  <c r="P38"/>
  <c r="P39"/>
  <c r="H39" i="1" s="1"/>
  <c r="P40" i="14"/>
  <c r="H40" i="1" s="1"/>
  <c r="P41" i="14"/>
  <c r="P42"/>
  <c r="P43"/>
  <c r="H43" i="1" s="1"/>
  <c r="P44" i="14"/>
  <c r="H44" i="1" s="1"/>
  <c r="P45" i="14"/>
  <c r="P46"/>
  <c r="S233" i="1"/>
  <c r="R233"/>
  <c r="Q233"/>
  <c r="P233"/>
  <c r="O233"/>
  <c r="N233"/>
  <c r="M233"/>
  <c r="K233"/>
  <c r="J233"/>
  <c r="I233"/>
  <c r="H233"/>
  <c r="H234" s="1"/>
  <c r="I43" i="16"/>
  <c r="M43" s="1"/>
  <c r="G45" i="12"/>
  <c r="G45" i="1" s="1"/>
  <c r="H211"/>
  <c r="H217" s="1"/>
  <c r="H218" s="1"/>
  <c r="E44"/>
  <c r="E43"/>
  <c r="S217"/>
  <c r="R217"/>
  <c r="Q217"/>
  <c r="P217"/>
  <c r="O217"/>
  <c r="N217"/>
  <c r="M217"/>
  <c r="K217"/>
  <c r="J217"/>
  <c r="I217"/>
  <c r="K39"/>
  <c r="K40"/>
  <c r="K41"/>
  <c r="K42"/>
  <c r="K43"/>
  <c r="K44"/>
  <c r="K45"/>
  <c r="E46" i="4"/>
  <c r="D46"/>
  <c r="C46"/>
  <c r="A46"/>
  <c r="P45"/>
  <c r="J45" i="1"/>
  <c r="E45" i="4"/>
  <c r="D45"/>
  <c r="C45"/>
  <c r="B45"/>
  <c r="A45"/>
  <c r="P44"/>
  <c r="J44" i="1"/>
  <c r="E44" i="4"/>
  <c r="D44"/>
  <c r="C44"/>
  <c r="A44"/>
  <c r="P43"/>
  <c r="J43" i="1"/>
  <c r="E43" i="4"/>
  <c r="D43"/>
  <c r="C43"/>
  <c r="A43"/>
  <c r="P42"/>
  <c r="J42" i="1"/>
  <c r="E42" i="4"/>
  <c r="D42"/>
  <c r="C42"/>
  <c r="A42"/>
  <c r="P41"/>
  <c r="J41" i="1"/>
  <c r="E41" i="4"/>
  <c r="D41"/>
  <c r="C41"/>
  <c r="B41"/>
  <c r="A41"/>
  <c r="P40"/>
  <c r="J40" i="1"/>
  <c r="E40" i="4"/>
  <c r="D40"/>
  <c r="C40"/>
  <c r="A40"/>
  <c r="P39"/>
  <c r="J39" i="1"/>
  <c r="E39" i="4"/>
  <c r="D39"/>
  <c r="C39"/>
  <c r="A39"/>
  <c r="P38"/>
  <c r="G38"/>
  <c r="I38" s="1"/>
  <c r="J38" i="1" s="1"/>
  <c r="E38" i="4"/>
  <c r="D38"/>
  <c r="C38"/>
  <c r="B38"/>
  <c r="A38"/>
  <c r="X46" i="20"/>
  <c r="E46"/>
  <c r="D46"/>
  <c r="C46"/>
  <c r="A46"/>
  <c r="X45"/>
  <c r="E45"/>
  <c r="D45"/>
  <c r="C45"/>
  <c r="B45"/>
  <c r="A45"/>
  <c r="X44"/>
  <c r="E44"/>
  <c r="D44"/>
  <c r="C44"/>
  <c r="A44"/>
  <c r="X43"/>
  <c r="E43"/>
  <c r="D43"/>
  <c r="C43"/>
  <c r="A43"/>
  <c r="X42"/>
  <c r="E42"/>
  <c r="D42"/>
  <c r="C42"/>
  <c r="A42"/>
  <c r="X41"/>
  <c r="E41"/>
  <c r="D41"/>
  <c r="C41"/>
  <c r="B41"/>
  <c r="A41"/>
  <c r="X40"/>
  <c r="E40"/>
  <c r="D40"/>
  <c r="C40"/>
  <c r="A40"/>
  <c r="X39"/>
  <c r="E39"/>
  <c r="D39"/>
  <c r="C39"/>
  <c r="A39"/>
  <c r="X38"/>
  <c r="E38"/>
  <c r="D38"/>
  <c r="C38"/>
  <c r="B38"/>
  <c r="A38"/>
  <c r="R46" i="9"/>
  <c r="Q46"/>
  <c r="D46"/>
  <c r="C46"/>
  <c r="B46"/>
  <c r="A46"/>
  <c r="D45"/>
  <c r="C45"/>
  <c r="B45"/>
  <c r="A45"/>
  <c r="K44"/>
  <c r="D44"/>
  <c r="C44"/>
  <c r="B44"/>
  <c r="A44"/>
  <c r="D43"/>
  <c r="C43"/>
  <c r="B43"/>
  <c r="A43"/>
  <c r="D42"/>
  <c r="C42"/>
  <c r="B42"/>
  <c r="A42"/>
  <c r="D41"/>
  <c r="C41"/>
  <c r="B41"/>
  <c r="A41"/>
  <c r="K40"/>
  <c r="D40"/>
  <c r="C40"/>
  <c r="A40"/>
  <c r="K39"/>
  <c r="D39"/>
  <c r="C39"/>
  <c r="A39"/>
  <c r="Q39" i="1"/>
  <c r="Q41"/>
  <c r="Q42"/>
  <c r="Q43"/>
  <c r="Q46"/>
  <c r="O37"/>
  <c r="D46" i="13"/>
  <c r="C46"/>
  <c r="A46"/>
  <c r="O45"/>
  <c r="K45"/>
  <c r="D45"/>
  <c r="H45" s="1"/>
  <c r="I45" s="1"/>
  <c r="C45"/>
  <c r="B45"/>
  <c r="A45"/>
  <c r="O44"/>
  <c r="K44"/>
  <c r="D44"/>
  <c r="H44" s="1"/>
  <c r="C44"/>
  <c r="A44"/>
  <c r="O43"/>
  <c r="K43"/>
  <c r="D43"/>
  <c r="H43" s="1"/>
  <c r="C43"/>
  <c r="A43"/>
  <c r="O42"/>
  <c r="K42"/>
  <c r="D42"/>
  <c r="H42" s="1"/>
  <c r="C42"/>
  <c r="A42"/>
  <c r="O41"/>
  <c r="K41"/>
  <c r="D41"/>
  <c r="H41" s="1"/>
  <c r="I41" s="1"/>
  <c r="C41"/>
  <c r="B41"/>
  <c r="A41"/>
  <c r="O40"/>
  <c r="K40"/>
  <c r="D40"/>
  <c r="H40" s="1"/>
  <c r="C40"/>
  <c r="A40"/>
  <c r="O39"/>
  <c r="K39"/>
  <c r="D39"/>
  <c r="H39" s="1"/>
  <c r="C39"/>
  <c r="A39"/>
  <c r="AF46" i="26"/>
  <c r="C46"/>
  <c r="D46" s="1"/>
  <c r="AE46" s="1"/>
  <c r="B46"/>
  <c r="A46"/>
  <c r="AF45"/>
  <c r="C45"/>
  <c r="D45" s="1"/>
  <c r="AE45" s="1"/>
  <c r="B45"/>
  <c r="A45"/>
  <c r="AF44"/>
  <c r="C44"/>
  <c r="D44" s="1"/>
  <c r="AE44" s="1"/>
  <c r="B44"/>
  <c r="A44"/>
  <c r="AF43"/>
  <c r="C43"/>
  <c r="D43" s="1"/>
  <c r="AE43" s="1"/>
  <c r="B43"/>
  <c r="A43"/>
  <c r="C42"/>
  <c r="D42" s="1"/>
  <c r="AE42" s="1"/>
  <c r="AG42" s="1"/>
  <c r="B42"/>
  <c r="A42"/>
  <c r="AF41"/>
  <c r="C41"/>
  <c r="D41" s="1"/>
  <c r="AE41" s="1"/>
  <c r="B41"/>
  <c r="A41"/>
  <c r="AF40"/>
  <c r="C40"/>
  <c r="D40" s="1"/>
  <c r="AE40" s="1"/>
  <c r="B40"/>
  <c r="A40"/>
  <c r="AF39"/>
  <c r="C39"/>
  <c r="D39" s="1"/>
  <c r="AE39" s="1"/>
  <c r="B39"/>
  <c r="A39"/>
  <c r="C46" i="16"/>
  <c r="B46"/>
  <c r="A46"/>
  <c r="AN45"/>
  <c r="F45"/>
  <c r="J45" s="1"/>
  <c r="Q45" s="1"/>
  <c r="E45"/>
  <c r="I45" s="1"/>
  <c r="M45" s="1"/>
  <c r="D45"/>
  <c r="C45"/>
  <c r="B45"/>
  <c r="A45"/>
  <c r="AO44"/>
  <c r="AN44"/>
  <c r="F44"/>
  <c r="J44" s="1"/>
  <c r="E44"/>
  <c r="I44" s="1"/>
  <c r="D44"/>
  <c r="C44"/>
  <c r="A44"/>
  <c r="AO43"/>
  <c r="AN43"/>
  <c r="J43"/>
  <c r="Q43" s="1"/>
  <c r="F43"/>
  <c r="E43"/>
  <c r="D43"/>
  <c r="C43"/>
  <c r="A43"/>
  <c r="AO42"/>
  <c r="AN42"/>
  <c r="F42"/>
  <c r="J42" s="1"/>
  <c r="E42"/>
  <c r="I42" s="1"/>
  <c r="D42"/>
  <c r="C42"/>
  <c r="A42"/>
  <c r="AO41"/>
  <c r="AN41"/>
  <c r="J41"/>
  <c r="Q41" s="1"/>
  <c r="F41"/>
  <c r="E41"/>
  <c r="I41" s="1"/>
  <c r="E100" s="1"/>
  <c r="D41"/>
  <c r="C41"/>
  <c r="B41"/>
  <c r="A41"/>
  <c r="AO40"/>
  <c r="AN40"/>
  <c r="F40"/>
  <c r="J40" s="1"/>
  <c r="E40"/>
  <c r="I40" s="1"/>
  <c r="D40"/>
  <c r="C40"/>
  <c r="A40"/>
  <c r="AO39"/>
  <c r="AN39"/>
  <c r="J39"/>
  <c r="Q39" s="1"/>
  <c r="F39"/>
  <c r="E39"/>
  <c r="I39" s="1"/>
  <c r="M39" s="1"/>
  <c r="D39"/>
  <c r="C39"/>
  <c r="A39"/>
  <c r="AO38"/>
  <c r="AN38"/>
  <c r="F38"/>
  <c r="J38" s="1"/>
  <c r="E38"/>
  <c r="I38" s="1"/>
  <c r="D38"/>
  <c r="C38"/>
  <c r="B38"/>
  <c r="A38"/>
  <c r="H37" i="12"/>
  <c r="G38"/>
  <c r="G38" i="1" s="1"/>
  <c r="G39" i="12"/>
  <c r="G40"/>
  <c r="G40" i="1" s="1"/>
  <c r="G41" i="12"/>
  <c r="G41" i="1" s="1"/>
  <c r="G42" i="12"/>
  <c r="G42" i="1" s="1"/>
  <c r="G43" i="12"/>
  <c r="G43" i="1" s="1"/>
  <c r="G44" i="12"/>
  <c r="G44" i="1" s="1"/>
  <c r="G37" i="12"/>
  <c r="C46"/>
  <c r="B46"/>
  <c r="A46"/>
  <c r="D45"/>
  <c r="C45"/>
  <c r="B45"/>
  <c r="A45"/>
  <c r="D44"/>
  <c r="C44"/>
  <c r="A44"/>
  <c r="D43"/>
  <c r="C43"/>
  <c r="A43"/>
  <c r="D42"/>
  <c r="C42"/>
  <c r="A42"/>
  <c r="D41"/>
  <c r="C41"/>
  <c r="B41"/>
  <c r="A41"/>
  <c r="D40"/>
  <c r="C40"/>
  <c r="A40"/>
  <c r="D39"/>
  <c r="C39"/>
  <c r="A39"/>
  <c r="A38" i="14"/>
  <c r="B46"/>
  <c r="A46"/>
  <c r="H45" i="1"/>
  <c r="B45" i="14"/>
  <c r="A45"/>
  <c r="B44"/>
  <c r="A44"/>
  <c r="B43"/>
  <c r="A43"/>
  <c r="H42" i="1"/>
  <c r="B42" i="14"/>
  <c r="A42"/>
  <c r="H41" i="1"/>
  <c r="B41" i="14"/>
  <c r="A41"/>
  <c r="B40"/>
  <c r="A40"/>
  <c r="B39"/>
  <c r="A39"/>
  <c r="S202" i="1"/>
  <c r="R202"/>
  <c r="Q202"/>
  <c r="P202"/>
  <c r="O202"/>
  <c r="N202"/>
  <c r="M202"/>
  <c r="K202"/>
  <c r="J202"/>
  <c r="I202"/>
  <c r="H202"/>
  <c r="H203" s="1"/>
  <c r="J45" i="25"/>
  <c r="C45"/>
  <c r="B45"/>
  <c r="A45"/>
  <c r="J44"/>
  <c r="Q45" i="1" s="1"/>
  <c r="C44" i="25"/>
  <c r="B44"/>
  <c r="A44"/>
  <c r="J43"/>
  <c r="Q44" i="1" s="1"/>
  <c r="C43" i="25"/>
  <c r="B43"/>
  <c r="A43"/>
  <c r="J42"/>
  <c r="C42"/>
  <c r="B42"/>
  <c r="A42"/>
  <c r="J41"/>
  <c r="C41"/>
  <c r="B41"/>
  <c r="A41"/>
  <c r="J40"/>
  <c r="C40"/>
  <c r="B40"/>
  <c r="A40"/>
  <c r="J39"/>
  <c r="Q40" i="1" s="1"/>
  <c r="C39" i="25"/>
  <c r="B39"/>
  <c r="A39"/>
  <c r="J38"/>
  <c r="C38"/>
  <c r="B38"/>
  <c r="A38"/>
  <c r="E45" i="1"/>
  <c r="E42"/>
  <c r="E41"/>
  <c r="E40"/>
  <c r="G39"/>
  <c r="E39"/>
  <c r="Q38"/>
  <c r="K38"/>
  <c r="E38"/>
  <c r="H33" i="12"/>
  <c r="H31"/>
  <c r="S187" i="1"/>
  <c r="R187"/>
  <c r="Q187"/>
  <c r="P187"/>
  <c r="O187"/>
  <c r="N187"/>
  <c r="M187"/>
  <c r="K187"/>
  <c r="J187"/>
  <c r="I187"/>
  <c r="H187"/>
  <c r="H188" s="1"/>
  <c r="G20" i="12"/>
  <c r="G21"/>
  <c r="E20" i="16"/>
  <c r="I20" s="1"/>
  <c r="E21"/>
  <c r="I21" s="1"/>
  <c r="K20" i="9"/>
  <c r="K21"/>
  <c r="Q29" i="1"/>
  <c r="K20"/>
  <c r="K21"/>
  <c r="J21"/>
  <c r="H20"/>
  <c r="H21"/>
  <c r="G20"/>
  <c r="G21"/>
  <c r="S172"/>
  <c r="R172"/>
  <c r="Q172"/>
  <c r="P172"/>
  <c r="O172"/>
  <c r="N172"/>
  <c r="M172"/>
  <c r="K172"/>
  <c r="J172"/>
  <c r="I172"/>
  <c r="H172"/>
  <c r="H173" s="1"/>
  <c r="F23" i="16"/>
  <c r="J23" s="1"/>
  <c r="F24"/>
  <c r="J24" s="1"/>
  <c r="F25"/>
  <c r="J25" s="1"/>
  <c r="Q25" s="1"/>
  <c r="O25" s="1"/>
  <c r="F26"/>
  <c r="J26" s="1"/>
  <c r="F27"/>
  <c r="J27" s="1"/>
  <c r="F28"/>
  <c r="J28" s="1"/>
  <c r="F29"/>
  <c r="J29" s="1"/>
  <c r="Q29" s="1"/>
  <c r="O29" s="1"/>
  <c r="F30"/>
  <c r="J30" s="1"/>
  <c r="Q30" s="1"/>
  <c r="F31"/>
  <c r="J31" s="1"/>
  <c r="F32"/>
  <c r="J32" s="1"/>
  <c r="F33"/>
  <c r="J33" s="1"/>
  <c r="Q33" s="1"/>
  <c r="O33" s="1"/>
  <c r="F34"/>
  <c r="J34" s="1"/>
  <c r="F35"/>
  <c r="J35" s="1"/>
  <c r="F36"/>
  <c r="J36" s="1"/>
  <c r="F37"/>
  <c r="J37" s="1"/>
  <c r="Q37" s="1"/>
  <c r="O37" s="1"/>
  <c r="E23"/>
  <c r="E24"/>
  <c r="I24" s="1"/>
  <c r="E84" s="1"/>
  <c r="E25"/>
  <c r="I25" s="1"/>
  <c r="E26"/>
  <c r="I26" s="1"/>
  <c r="L26" s="1"/>
  <c r="E27"/>
  <c r="I27" s="1"/>
  <c r="K27" s="1"/>
  <c r="E28"/>
  <c r="I28" s="1"/>
  <c r="E29"/>
  <c r="I29" s="1"/>
  <c r="E30"/>
  <c r="I30" s="1"/>
  <c r="L30" s="1"/>
  <c r="E31"/>
  <c r="I31" s="1"/>
  <c r="K31" s="1"/>
  <c r="E32"/>
  <c r="I32" s="1"/>
  <c r="E33"/>
  <c r="I33" s="1"/>
  <c r="E92" s="1"/>
  <c r="E34"/>
  <c r="I34" s="1"/>
  <c r="L34" s="1"/>
  <c r="E35"/>
  <c r="I35" s="1"/>
  <c r="K35" s="1"/>
  <c r="E36"/>
  <c r="I36" s="1"/>
  <c r="E37"/>
  <c r="I37" s="1"/>
  <c r="E96" s="1"/>
  <c r="H24" i="12"/>
  <c r="S157" i="1"/>
  <c r="R157"/>
  <c r="Q157"/>
  <c r="P157"/>
  <c r="O157"/>
  <c r="N157"/>
  <c r="M157"/>
  <c r="K157"/>
  <c r="J157"/>
  <c r="I157"/>
  <c r="H157"/>
  <c r="H158" s="1"/>
  <c r="K27" i="9"/>
  <c r="K28"/>
  <c r="K26"/>
  <c r="K29"/>
  <c r="K30"/>
  <c r="AF38" i="26"/>
  <c r="C38"/>
  <c r="D38" s="1"/>
  <c r="AE38" s="1"/>
  <c r="B38"/>
  <c r="A38"/>
  <c r="C37"/>
  <c r="D37" s="1"/>
  <c r="AE37" s="1"/>
  <c r="AG37" s="1"/>
  <c r="B37"/>
  <c r="A37"/>
  <c r="AF36"/>
  <c r="C36"/>
  <c r="D36" s="1"/>
  <c r="AE36" s="1"/>
  <c r="B36"/>
  <c r="A36"/>
  <c r="AF35"/>
  <c r="C35"/>
  <c r="D35" s="1"/>
  <c r="AE35" s="1"/>
  <c r="B35"/>
  <c r="A35"/>
  <c r="AF34"/>
  <c r="C34"/>
  <c r="D34" s="1"/>
  <c r="AE34" s="1"/>
  <c r="B34"/>
  <c r="A34"/>
  <c r="C33"/>
  <c r="D33" s="1"/>
  <c r="AE33" s="1"/>
  <c r="AG33" s="1"/>
  <c r="B33"/>
  <c r="A33"/>
  <c r="AF32"/>
  <c r="C32"/>
  <c r="D32" s="1"/>
  <c r="AE32" s="1"/>
  <c r="B32"/>
  <c r="A32"/>
  <c r="AF31"/>
  <c r="C31"/>
  <c r="D31" s="1"/>
  <c r="AE31" s="1"/>
  <c r="B31"/>
  <c r="A31"/>
  <c r="AF30"/>
  <c r="C30"/>
  <c r="D30" s="1"/>
  <c r="AE30" s="1"/>
  <c r="B30"/>
  <c r="A30"/>
  <c r="AF29"/>
  <c r="C29"/>
  <c r="D29" s="1"/>
  <c r="AE29" s="1"/>
  <c r="B29"/>
  <c r="A29"/>
  <c r="AF28"/>
  <c r="C28"/>
  <c r="D28" s="1"/>
  <c r="AE28" s="1"/>
  <c r="B28"/>
  <c r="A28"/>
  <c r="AF27"/>
  <c r="C27"/>
  <c r="D27" s="1"/>
  <c r="AE27" s="1"/>
  <c r="B27"/>
  <c r="A27"/>
  <c r="AF26"/>
  <c r="C26"/>
  <c r="D26" s="1"/>
  <c r="AE26" s="1"/>
  <c r="B26"/>
  <c r="A26"/>
  <c r="AF25"/>
  <c r="C25"/>
  <c r="D25" s="1"/>
  <c r="AE25" s="1"/>
  <c r="B25"/>
  <c r="A25"/>
  <c r="AF24"/>
  <c r="C24"/>
  <c r="D24" s="1"/>
  <c r="AE24" s="1"/>
  <c r="B24"/>
  <c r="A24"/>
  <c r="AF23"/>
  <c r="C23"/>
  <c r="D23" s="1"/>
  <c r="AE23" s="1"/>
  <c r="B23"/>
  <c r="A23"/>
  <c r="K23" i="1"/>
  <c r="K24"/>
  <c r="K25"/>
  <c r="K26"/>
  <c r="K27"/>
  <c r="K28"/>
  <c r="K29"/>
  <c r="K30"/>
  <c r="K31"/>
  <c r="K33"/>
  <c r="K34"/>
  <c r="K35"/>
  <c r="K36"/>
  <c r="K37"/>
  <c r="J23"/>
  <c r="J31"/>
  <c r="G33"/>
  <c r="G37"/>
  <c r="X37" i="20"/>
  <c r="E37"/>
  <c r="D37"/>
  <c r="C37"/>
  <c r="B37"/>
  <c r="A37"/>
  <c r="X36"/>
  <c r="E36"/>
  <c r="D36"/>
  <c r="C36"/>
  <c r="A36"/>
  <c r="X35"/>
  <c r="E35"/>
  <c r="D35"/>
  <c r="C35"/>
  <c r="A35"/>
  <c r="X34"/>
  <c r="E34"/>
  <c r="D34"/>
  <c r="C34"/>
  <c r="B34"/>
  <c r="A34"/>
  <c r="X33"/>
  <c r="E33"/>
  <c r="D33"/>
  <c r="C33"/>
  <c r="B33"/>
  <c r="A33"/>
  <c r="X32"/>
  <c r="E32"/>
  <c r="D32"/>
  <c r="C32"/>
  <c r="A32"/>
  <c r="X31"/>
  <c r="E31"/>
  <c r="D31"/>
  <c r="C31"/>
  <c r="B31"/>
  <c r="A31"/>
  <c r="X30"/>
  <c r="E30"/>
  <c r="D30"/>
  <c r="C30"/>
  <c r="A30"/>
  <c r="X29"/>
  <c r="E29"/>
  <c r="D29"/>
  <c r="C29"/>
  <c r="A29"/>
  <c r="X28"/>
  <c r="E28"/>
  <c r="D28"/>
  <c r="C28"/>
  <c r="A28"/>
  <c r="X27"/>
  <c r="E27"/>
  <c r="D27"/>
  <c r="C27"/>
  <c r="A27"/>
  <c r="X26"/>
  <c r="E26"/>
  <c r="D26"/>
  <c r="C26"/>
  <c r="A26"/>
  <c r="X25"/>
  <c r="E25"/>
  <c r="D25"/>
  <c r="C25"/>
  <c r="A25"/>
  <c r="X24"/>
  <c r="E24"/>
  <c r="D24"/>
  <c r="C24"/>
  <c r="B24"/>
  <c r="A24"/>
  <c r="X23"/>
  <c r="E23"/>
  <c r="D23"/>
  <c r="C23"/>
  <c r="A23"/>
  <c r="B6"/>
  <c r="B9"/>
  <c r="B10"/>
  <c r="B13"/>
  <c r="B14"/>
  <c r="B15"/>
  <c r="B18"/>
  <c r="B22"/>
  <c r="B3"/>
  <c r="B6" i="4"/>
  <c r="B9"/>
  <c r="B10"/>
  <c r="B13"/>
  <c r="B14"/>
  <c r="B15"/>
  <c r="B18"/>
  <c r="B22"/>
  <c r="B24"/>
  <c r="B31"/>
  <c r="B33"/>
  <c r="B34"/>
  <c r="B37"/>
  <c r="B3"/>
  <c r="P37"/>
  <c r="I37"/>
  <c r="J37" i="1" s="1"/>
  <c r="G37" i="4"/>
  <c r="E37"/>
  <c r="D37"/>
  <c r="C37"/>
  <c r="A37"/>
  <c r="P36"/>
  <c r="J36" i="1"/>
  <c r="E36" i="4"/>
  <c r="D36"/>
  <c r="C36"/>
  <c r="A36"/>
  <c r="P35"/>
  <c r="J35" i="1"/>
  <c r="E35" i="4"/>
  <c r="D35"/>
  <c r="C35"/>
  <c r="A35"/>
  <c r="P34"/>
  <c r="I34"/>
  <c r="J34" i="1" s="1"/>
  <c r="G34" i="4"/>
  <c r="E34"/>
  <c r="D34"/>
  <c r="C34"/>
  <c r="A34"/>
  <c r="P33"/>
  <c r="G33"/>
  <c r="I33" s="1"/>
  <c r="J33" i="1" s="1"/>
  <c r="E33" i="4"/>
  <c r="D33"/>
  <c r="C33"/>
  <c r="A33"/>
  <c r="E32"/>
  <c r="D32"/>
  <c r="C32"/>
  <c r="A32"/>
  <c r="P31"/>
  <c r="E31"/>
  <c r="D31"/>
  <c r="C31"/>
  <c r="A31"/>
  <c r="P30"/>
  <c r="J30" i="1"/>
  <c r="E30" i="4"/>
  <c r="D30"/>
  <c r="C30"/>
  <c r="A30"/>
  <c r="P29"/>
  <c r="J29" i="1"/>
  <c r="E29" i="4"/>
  <c r="D29"/>
  <c r="C29"/>
  <c r="A29"/>
  <c r="P28"/>
  <c r="G28"/>
  <c r="I28" s="1"/>
  <c r="J28" i="1" s="1"/>
  <c r="E28" i="4"/>
  <c r="D28"/>
  <c r="C28"/>
  <c r="A28"/>
  <c r="P27"/>
  <c r="J27" i="1"/>
  <c r="E27" i="4"/>
  <c r="D27"/>
  <c r="C27"/>
  <c r="A27"/>
  <c r="P26"/>
  <c r="J26" i="1"/>
  <c r="E26" i="4"/>
  <c r="D26"/>
  <c r="C26"/>
  <c r="A26"/>
  <c r="P25"/>
  <c r="G25"/>
  <c r="I25" s="1"/>
  <c r="J25" i="1" s="1"/>
  <c r="E25" i="4"/>
  <c r="D25"/>
  <c r="C25"/>
  <c r="A25"/>
  <c r="P24"/>
  <c r="G24"/>
  <c r="I24" s="1"/>
  <c r="J24" i="1" s="1"/>
  <c r="E24" i="4"/>
  <c r="D24"/>
  <c r="C24"/>
  <c r="A24"/>
  <c r="P23"/>
  <c r="E23"/>
  <c r="D23"/>
  <c r="C23"/>
  <c r="A23"/>
  <c r="I23" i="16"/>
  <c r="I22"/>
  <c r="E80" s="1"/>
  <c r="B24"/>
  <c r="B31"/>
  <c r="B33"/>
  <c r="B34"/>
  <c r="B37"/>
  <c r="B6"/>
  <c r="B9"/>
  <c r="B10"/>
  <c r="B13"/>
  <c r="B14"/>
  <c r="B15"/>
  <c r="B18"/>
  <c r="B22"/>
  <c r="B3"/>
  <c r="G23" i="12"/>
  <c r="G23" i="1" s="1"/>
  <c r="G24" i="12"/>
  <c r="G24" i="1" s="1"/>
  <c r="G25" i="12"/>
  <c r="G25" i="1" s="1"/>
  <c r="G26" i="12"/>
  <c r="G26" i="1" s="1"/>
  <c r="G27" i="12"/>
  <c r="G27" i="1" s="1"/>
  <c r="G28" i="12"/>
  <c r="G28" i="1" s="1"/>
  <c r="G29" i="12"/>
  <c r="G29" i="1" s="1"/>
  <c r="G30" i="12"/>
  <c r="G30" i="1" s="1"/>
  <c r="G31" i="12"/>
  <c r="G31" i="1" s="1"/>
  <c r="G33" i="12"/>
  <c r="G34"/>
  <c r="G34" i="1" s="1"/>
  <c r="G35" i="12"/>
  <c r="G35" i="1" s="1"/>
  <c r="G36" i="12"/>
  <c r="G36" i="1" s="1"/>
  <c r="H22" i="12"/>
  <c r="G22"/>
  <c r="D38"/>
  <c r="C38"/>
  <c r="B38"/>
  <c r="A38"/>
  <c r="D37"/>
  <c r="C37"/>
  <c r="B37"/>
  <c r="A37"/>
  <c r="D36"/>
  <c r="C36"/>
  <c r="A36"/>
  <c r="D35"/>
  <c r="C35"/>
  <c r="A35"/>
  <c r="D34"/>
  <c r="C34"/>
  <c r="B34"/>
  <c r="A34"/>
  <c r="D33"/>
  <c r="C33"/>
  <c r="B33"/>
  <c r="A33"/>
  <c r="D32"/>
  <c r="C32"/>
  <c r="A32"/>
  <c r="D31"/>
  <c r="C31"/>
  <c r="B31"/>
  <c r="A31"/>
  <c r="D30"/>
  <c r="C30"/>
  <c r="A30"/>
  <c r="D29"/>
  <c r="C29"/>
  <c r="A29"/>
  <c r="D28"/>
  <c r="C28"/>
  <c r="A28"/>
  <c r="D27"/>
  <c r="C27"/>
  <c r="A27"/>
  <c r="D26"/>
  <c r="C26"/>
  <c r="A26"/>
  <c r="D25"/>
  <c r="C25"/>
  <c r="A25"/>
  <c r="D24"/>
  <c r="C24"/>
  <c r="B24"/>
  <c r="A24"/>
  <c r="D23"/>
  <c r="C23"/>
  <c r="A23"/>
  <c r="D38" i="9"/>
  <c r="C38"/>
  <c r="B38"/>
  <c r="A38"/>
  <c r="D37"/>
  <c r="C37"/>
  <c r="B37"/>
  <c r="A37"/>
  <c r="D36"/>
  <c r="C36"/>
  <c r="A36"/>
  <c r="D35"/>
  <c r="C35"/>
  <c r="A35"/>
  <c r="D34"/>
  <c r="C34"/>
  <c r="B34"/>
  <c r="A34"/>
  <c r="D33"/>
  <c r="C33"/>
  <c r="B33"/>
  <c r="A33"/>
  <c r="D32"/>
  <c r="C32"/>
  <c r="A32"/>
  <c r="D31"/>
  <c r="C31"/>
  <c r="B31"/>
  <c r="A31"/>
  <c r="D30"/>
  <c r="C30"/>
  <c r="A30"/>
  <c r="D29"/>
  <c r="C29"/>
  <c r="A29"/>
  <c r="D28"/>
  <c r="C28"/>
  <c r="A28"/>
  <c r="D27"/>
  <c r="C27"/>
  <c r="A27"/>
  <c r="D26"/>
  <c r="C26"/>
  <c r="A26"/>
  <c r="K25"/>
  <c r="D25"/>
  <c r="C25"/>
  <c r="A25"/>
  <c r="D24"/>
  <c r="C24"/>
  <c r="B24"/>
  <c r="A24"/>
  <c r="D23"/>
  <c r="C23"/>
  <c r="B23"/>
  <c r="A23"/>
  <c r="O38" i="13"/>
  <c r="K38"/>
  <c r="D38"/>
  <c r="H38" s="1"/>
  <c r="C38"/>
  <c r="B38"/>
  <c r="A38"/>
  <c r="O37"/>
  <c r="K37"/>
  <c r="D37"/>
  <c r="H37" s="1"/>
  <c r="C37"/>
  <c r="B37"/>
  <c r="A37"/>
  <c r="O36"/>
  <c r="K36"/>
  <c r="D36"/>
  <c r="H36" s="1"/>
  <c r="C36"/>
  <c r="A36"/>
  <c r="O35"/>
  <c r="K35"/>
  <c r="D35"/>
  <c r="H35" s="1"/>
  <c r="C35"/>
  <c r="A35"/>
  <c r="O34"/>
  <c r="K34"/>
  <c r="D34"/>
  <c r="H34" s="1"/>
  <c r="C34"/>
  <c r="B34"/>
  <c r="A34"/>
  <c r="O33"/>
  <c r="K33"/>
  <c r="D33"/>
  <c r="H33" s="1"/>
  <c r="I33" s="1"/>
  <c r="C33"/>
  <c r="B33"/>
  <c r="A33"/>
  <c r="D32"/>
  <c r="C32"/>
  <c r="A32"/>
  <c r="O31"/>
  <c r="K31"/>
  <c r="D31"/>
  <c r="H31" s="1"/>
  <c r="C31"/>
  <c r="B31"/>
  <c r="A31"/>
  <c r="O30"/>
  <c r="K30"/>
  <c r="D30"/>
  <c r="H30" s="1"/>
  <c r="C30"/>
  <c r="A30"/>
  <c r="O29"/>
  <c r="K29"/>
  <c r="D29"/>
  <c r="I29" s="1"/>
  <c r="C29"/>
  <c r="A29"/>
  <c r="O28"/>
  <c r="K28"/>
  <c r="D28"/>
  <c r="C28"/>
  <c r="A28"/>
  <c r="O27"/>
  <c r="K27"/>
  <c r="D27"/>
  <c r="H27" s="1"/>
  <c r="C27"/>
  <c r="A27"/>
  <c r="O26"/>
  <c r="K26"/>
  <c r="D26"/>
  <c r="C26"/>
  <c r="A26"/>
  <c r="O25"/>
  <c r="K25"/>
  <c r="D25"/>
  <c r="I25" s="1"/>
  <c r="C25"/>
  <c r="A25"/>
  <c r="O24"/>
  <c r="K24"/>
  <c r="D24"/>
  <c r="C24"/>
  <c r="B24"/>
  <c r="A24"/>
  <c r="O23"/>
  <c r="K23"/>
  <c r="D23"/>
  <c r="C23"/>
  <c r="A23"/>
  <c r="AO37" i="16"/>
  <c r="AN37"/>
  <c r="D37"/>
  <c r="C37"/>
  <c r="A37"/>
  <c r="AO36"/>
  <c r="AN36"/>
  <c r="D36"/>
  <c r="C36"/>
  <c r="A36"/>
  <c r="AO35"/>
  <c r="AN35"/>
  <c r="D35"/>
  <c r="C35"/>
  <c r="A35"/>
  <c r="AO34"/>
  <c r="AN34"/>
  <c r="D34"/>
  <c r="C34"/>
  <c r="A34"/>
  <c r="AO33"/>
  <c r="AN33"/>
  <c r="D33"/>
  <c r="C33"/>
  <c r="A33"/>
  <c r="D32"/>
  <c r="C32"/>
  <c r="A32"/>
  <c r="AO31"/>
  <c r="AN31"/>
  <c r="D31"/>
  <c r="C31"/>
  <c r="A31"/>
  <c r="AO30"/>
  <c r="AN30"/>
  <c r="D30"/>
  <c r="C30"/>
  <c r="A30"/>
  <c r="AO29"/>
  <c r="AN29"/>
  <c r="D29"/>
  <c r="C29"/>
  <c r="A29"/>
  <c r="AO28"/>
  <c r="AN28"/>
  <c r="D28"/>
  <c r="C28"/>
  <c r="A28"/>
  <c r="AO27"/>
  <c r="AN27"/>
  <c r="D27"/>
  <c r="C27"/>
  <c r="A27"/>
  <c r="AO26"/>
  <c r="AN26"/>
  <c r="D26"/>
  <c r="C26"/>
  <c r="A26"/>
  <c r="AO25"/>
  <c r="AN25"/>
  <c r="D25"/>
  <c r="C25"/>
  <c r="A25"/>
  <c r="AN24"/>
  <c r="D24"/>
  <c r="C24"/>
  <c r="A24"/>
  <c r="AO23"/>
  <c r="AN23"/>
  <c r="D23"/>
  <c r="C23"/>
  <c r="A23"/>
  <c r="H38" i="1"/>
  <c r="B38" i="14"/>
  <c r="H37" i="1"/>
  <c r="B37" i="14"/>
  <c r="A37"/>
  <c r="B36"/>
  <c r="A36"/>
  <c r="B35"/>
  <c r="A35"/>
  <c r="H34" i="1"/>
  <c r="B34" i="14"/>
  <c r="A34"/>
  <c r="H33" i="1"/>
  <c r="B33" i="14"/>
  <c r="A33"/>
  <c r="B32"/>
  <c r="A32"/>
  <c r="B31"/>
  <c r="A31"/>
  <c r="H30" i="1"/>
  <c r="B30" i="14"/>
  <c r="A30"/>
  <c r="H29" i="1"/>
  <c r="B29" i="14"/>
  <c r="A29"/>
  <c r="B28"/>
  <c r="A28"/>
  <c r="B27"/>
  <c r="A27"/>
  <c r="H26" i="1"/>
  <c r="B26" i="14"/>
  <c r="A26"/>
  <c r="H25" i="1"/>
  <c r="B25" i="14"/>
  <c r="A25"/>
  <c r="B24"/>
  <c r="A24"/>
  <c r="B23"/>
  <c r="A23"/>
  <c r="S142" i="1"/>
  <c r="R142"/>
  <c r="Q142"/>
  <c r="P142"/>
  <c r="O142"/>
  <c r="N142"/>
  <c r="M142"/>
  <c r="K142"/>
  <c r="J142"/>
  <c r="I142"/>
  <c r="H142"/>
  <c r="H143" s="1"/>
  <c r="J37" i="25"/>
  <c r="C37"/>
  <c r="B37"/>
  <c r="A37"/>
  <c r="J36"/>
  <c r="Q37" i="1" s="1"/>
  <c r="C36" i="25"/>
  <c r="B36"/>
  <c r="A36"/>
  <c r="J35"/>
  <c r="Q36" i="1" s="1"/>
  <c r="C35" i="25"/>
  <c r="B35"/>
  <c r="A35"/>
  <c r="J34"/>
  <c r="Q35" i="1" s="1"/>
  <c r="C34" i="25"/>
  <c r="B34"/>
  <c r="A34"/>
  <c r="J33"/>
  <c r="Q34" i="1" s="1"/>
  <c r="C33" i="25"/>
  <c r="B33"/>
  <c r="A33"/>
  <c r="J32"/>
  <c r="Q33" i="1" s="1"/>
  <c r="O33" s="1"/>
  <c r="C32" i="25"/>
  <c r="B32"/>
  <c r="A32"/>
  <c r="J31"/>
  <c r="Q32" i="1" s="1"/>
  <c r="K32" i="9" s="1"/>
  <c r="C31" i="25"/>
  <c r="B31"/>
  <c r="A31"/>
  <c r="J30"/>
  <c r="Q31" i="1" s="1"/>
  <c r="C30" i="25"/>
  <c r="B30"/>
  <c r="A30"/>
  <c r="J29"/>
  <c r="Q30" i="1" s="1"/>
  <c r="C29" i="25"/>
  <c r="B29"/>
  <c r="A29"/>
  <c r="J28"/>
  <c r="C28"/>
  <c r="B28"/>
  <c r="A28"/>
  <c r="J27"/>
  <c r="Q28" i="1" s="1"/>
  <c r="C27" i="25"/>
  <c r="B27"/>
  <c r="A27"/>
  <c r="J26"/>
  <c r="Q27" i="1" s="1"/>
  <c r="C26" i="25"/>
  <c r="B26"/>
  <c r="A26"/>
  <c r="J25"/>
  <c r="Q26" i="1" s="1"/>
  <c r="C25" i="25"/>
  <c r="B25"/>
  <c r="A25"/>
  <c r="J24"/>
  <c r="Q25" i="1" s="1"/>
  <c r="C24" i="25"/>
  <c r="B24"/>
  <c r="A24"/>
  <c r="J23"/>
  <c r="Q24" i="1" s="1"/>
  <c r="C23" i="25"/>
  <c r="B23"/>
  <c r="A23"/>
  <c r="J22"/>
  <c r="Q23" i="1" s="1"/>
  <c r="C22" i="25"/>
  <c r="B22"/>
  <c r="A22"/>
  <c r="E37" i="1"/>
  <c r="E36"/>
  <c r="E35"/>
  <c r="E34"/>
  <c r="E33"/>
  <c r="E31"/>
  <c r="E30"/>
  <c r="E29"/>
  <c r="E28"/>
  <c r="E27"/>
  <c r="E26"/>
  <c r="E25"/>
  <c r="E24"/>
  <c r="E23"/>
  <c r="B6" i="13"/>
  <c r="B9"/>
  <c r="B10"/>
  <c r="B13"/>
  <c r="B14"/>
  <c r="B15"/>
  <c r="B18"/>
  <c r="B22"/>
  <c r="B3"/>
  <c r="J20" i="25"/>
  <c r="Q21" i="1" s="1"/>
  <c r="G19" i="12"/>
  <c r="H18"/>
  <c r="G18"/>
  <c r="B6"/>
  <c r="B9"/>
  <c r="B10"/>
  <c r="B13"/>
  <c r="B14"/>
  <c r="B15"/>
  <c r="B18"/>
  <c r="B22"/>
  <c r="B3"/>
  <c r="U44" i="5" l="1"/>
  <c r="V44" s="1"/>
  <c r="U37"/>
  <c r="V37" s="1"/>
  <c r="AH36"/>
  <c r="AH24"/>
  <c r="AH27"/>
  <c r="AH26"/>
  <c r="AH29"/>
  <c r="U42"/>
  <c r="V42" s="1"/>
  <c r="X41"/>
  <c r="AH34"/>
  <c r="X45"/>
  <c r="U45"/>
  <c r="V45" s="1"/>
  <c r="X44"/>
  <c r="X40"/>
  <c r="AH45"/>
  <c r="X34"/>
  <c r="X25"/>
  <c r="X36"/>
  <c r="AH39"/>
  <c r="U39"/>
  <c r="V39" s="1"/>
  <c r="X27"/>
  <c r="X24"/>
  <c r="X28"/>
  <c r="AH31"/>
  <c r="U31"/>
  <c r="V31" s="1"/>
  <c r="AH35"/>
  <c r="X35"/>
  <c r="U35"/>
  <c r="V35" s="1"/>
  <c r="AH43"/>
  <c r="X43"/>
  <c r="U43"/>
  <c r="V43" s="1"/>
  <c r="X33"/>
  <c r="X30"/>
  <c r="X29"/>
  <c r="X42"/>
  <c r="X26"/>
  <c r="AG24" i="26"/>
  <c r="AG26"/>
  <c r="AG28"/>
  <c r="AG30"/>
  <c r="AG32"/>
  <c r="AG40"/>
  <c r="AG41"/>
  <c r="O31" i="1"/>
  <c r="K31" i="9" s="1"/>
  <c r="K35"/>
  <c r="AG34" i="26"/>
  <c r="AG35"/>
  <c r="AG36"/>
  <c r="O45" i="1"/>
  <c r="K45" i="9" s="1"/>
  <c r="AG43" i="26"/>
  <c r="AG44"/>
  <c r="AG45"/>
  <c r="AG46"/>
  <c r="P46" i="9" s="1"/>
  <c r="O41" i="1"/>
  <c r="K41" i="9" s="1"/>
  <c r="AG23" i="26"/>
  <c r="AG25"/>
  <c r="AG27"/>
  <c r="AG29"/>
  <c r="AG31"/>
  <c r="AG39"/>
  <c r="O24" i="1"/>
  <c r="K34" i="9"/>
  <c r="K36"/>
  <c r="AG38" i="26"/>
  <c r="E104" i="16"/>
  <c r="K37" i="9"/>
  <c r="T233" i="1"/>
  <c r="M41" i="16"/>
  <c r="L41"/>
  <c r="T217" i="1"/>
  <c r="K42" i="9"/>
  <c r="K46"/>
  <c r="K38"/>
  <c r="I37" i="13"/>
  <c r="L37" s="1"/>
  <c r="M41"/>
  <c r="L41"/>
  <c r="I43"/>
  <c r="J43"/>
  <c r="I39"/>
  <c r="J39"/>
  <c r="J42"/>
  <c r="I42"/>
  <c r="J44"/>
  <c r="I44"/>
  <c r="I40"/>
  <c r="J40"/>
  <c r="M45"/>
  <c r="L45"/>
  <c r="J41"/>
  <c r="J45"/>
  <c r="L43" i="16"/>
  <c r="L39"/>
  <c r="L45"/>
  <c r="K38"/>
  <c r="L38"/>
  <c r="M38"/>
  <c r="Q40"/>
  <c r="O40" s="1"/>
  <c r="K40"/>
  <c r="L40"/>
  <c r="M40"/>
  <c r="Q42"/>
  <c r="O42" s="1"/>
  <c r="K42"/>
  <c r="L42"/>
  <c r="M42"/>
  <c r="Q44"/>
  <c r="O44" s="1"/>
  <c r="Q38"/>
  <c r="O38" s="1"/>
  <c r="K44"/>
  <c r="L44"/>
  <c r="M44"/>
  <c r="K39"/>
  <c r="O39"/>
  <c r="K41"/>
  <c r="O41"/>
  <c r="K43"/>
  <c r="O43"/>
  <c r="K45"/>
  <c r="P45" s="1"/>
  <c r="O45"/>
  <c r="E88"/>
  <c r="T202" i="1"/>
  <c r="K33" i="9"/>
  <c r="T187" i="1"/>
  <c r="T172"/>
  <c r="T157"/>
  <c r="H23"/>
  <c r="M25" i="13"/>
  <c r="L25"/>
  <c r="I27"/>
  <c r="J27"/>
  <c r="I34"/>
  <c r="J34"/>
  <c r="J36"/>
  <c r="I36"/>
  <c r="I23"/>
  <c r="J23"/>
  <c r="I30"/>
  <c r="J30"/>
  <c r="I26"/>
  <c r="J26"/>
  <c r="J28"/>
  <c r="I28"/>
  <c r="M33"/>
  <c r="L33"/>
  <c r="I35"/>
  <c r="J35"/>
  <c r="J24"/>
  <c r="I24"/>
  <c r="M29"/>
  <c r="L29"/>
  <c r="I31"/>
  <c r="J31"/>
  <c r="I38"/>
  <c r="J38"/>
  <c r="J25"/>
  <c r="J29"/>
  <c r="J33"/>
  <c r="J37"/>
  <c r="Q23" i="16"/>
  <c r="O23" s="1"/>
  <c r="Q24"/>
  <c r="O24" s="1"/>
  <c r="Q27"/>
  <c r="O27" s="1"/>
  <c r="Q28"/>
  <c r="O28" s="1"/>
  <c r="Q31"/>
  <c r="O31" s="1"/>
  <c r="Q32"/>
  <c r="O32" s="1"/>
  <c r="Q35"/>
  <c r="O35" s="1"/>
  <c r="Q36"/>
  <c r="O36" s="1"/>
  <c r="M24"/>
  <c r="K24"/>
  <c r="L24"/>
  <c r="K28"/>
  <c r="M28"/>
  <c r="L28"/>
  <c r="K32"/>
  <c r="M32"/>
  <c r="L32"/>
  <c r="K36"/>
  <c r="L36"/>
  <c r="M36"/>
  <c r="K25"/>
  <c r="L25"/>
  <c r="M25"/>
  <c r="K29"/>
  <c r="L29"/>
  <c r="M29"/>
  <c r="M33"/>
  <c r="K33"/>
  <c r="L33"/>
  <c r="M37"/>
  <c r="K37"/>
  <c r="L37"/>
  <c r="M23"/>
  <c r="M27"/>
  <c r="M31"/>
  <c r="L23"/>
  <c r="M26"/>
  <c r="Q26"/>
  <c r="O26" s="1"/>
  <c r="L27"/>
  <c r="M34"/>
  <c r="Q34"/>
  <c r="O34" s="1"/>
  <c r="L35"/>
  <c r="K23"/>
  <c r="K26"/>
  <c r="K30"/>
  <c r="O30"/>
  <c r="K34"/>
  <c r="M35"/>
  <c r="M30"/>
  <c r="L31"/>
  <c r="T142" i="1"/>
  <c r="S127"/>
  <c r="R127"/>
  <c r="Q127"/>
  <c r="P127"/>
  <c r="O127"/>
  <c r="N127"/>
  <c r="M127"/>
  <c r="K127"/>
  <c r="J127"/>
  <c r="I127"/>
  <c r="H127"/>
  <c r="H128" s="1"/>
  <c r="X37" i="5" l="1"/>
  <c r="X31"/>
  <c r="X39"/>
  <c r="P41" i="16"/>
  <c r="R41" s="1"/>
  <c r="P41" i="13"/>
  <c r="M37"/>
  <c r="P37" s="1"/>
  <c r="N37" s="1"/>
  <c r="F37" i="1" s="1"/>
  <c r="P45" i="13"/>
  <c r="N45" s="1"/>
  <c r="F45" i="1" s="1"/>
  <c r="L44" i="13"/>
  <c r="M44"/>
  <c r="L40"/>
  <c r="M40"/>
  <c r="L42"/>
  <c r="M42"/>
  <c r="M39"/>
  <c r="L39"/>
  <c r="M43"/>
  <c r="L43"/>
  <c r="P43" i="16"/>
  <c r="R43" s="1"/>
  <c r="P39"/>
  <c r="N39" s="1"/>
  <c r="I39" i="1" s="1"/>
  <c r="R45" i="16"/>
  <c r="N45"/>
  <c r="I45" i="1" s="1"/>
  <c r="N41" i="16"/>
  <c r="I41" i="1" s="1"/>
  <c r="P44" i="16"/>
  <c r="P42"/>
  <c r="P40"/>
  <c r="P38"/>
  <c r="P31"/>
  <c r="R31" s="1"/>
  <c r="P35"/>
  <c r="P27"/>
  <c r="P28"/>
  <c r="P37"/>
  <c r="N37" s="1"/>
  <c r="I37" i="1" s="1"/>
  <c r="P34" i="16"/>
  <c r="P29"/>
  <c r="P36"/>
  <c r="P24"/>
  <c r="P33"/>
  <c r="P32"/>
  <c r="P33" i="13"/>
  <c r="N33" s="1"/>
  <c r="F33" i="1" s="1"/>
  <c r="P29" i="13"/>
  <c r="N29" s="1"/>
  <c r="F29" i="1" s="1"/>
  <c r="L31" i="13"/>
  <c r="M31"/>
  <c r="M24"/>
  <c r="L24"/>
  <c r="L23"/>
  <c r="M23"/>
  <c r="L36"/>
  <c r="M36"/>
  <c r="L34"/>
  <c r="M34"/>
  <c r="P25"/>
  <c r="N25" s="1"/>
  <c r="F25" i="1" s="1"/>
  <c r="L38" i="13"/>
  <c r="M38"/>
  <c r="L35"/>
  <c r="M35"/>
  <c r="M28"/>
  <c r="L28"/>
  <c r="L30"/>
  <c r="M30"/>
  <c r="L26"/>
  <c r="M26"/>
  <c r="L27"/>
  <c r="M27"/>
  <c r="P30" i="16"/>
  <c r="P23"/>
  <c r="P26"/>
  <c r="P25"/>
  <c r="T127" i="1"/>
  <c r="H14" i="12"/>
  <c r="G15"/>
  <c r="G16"/>
  <c r="G17"/>
  <c r="E4" i="1"/>
  <c r="E5"/>
  <c r="E6"/>
  <c r="E7"/>
  <c r="E8"/>
  <c r="E9"/>
  <c r="E10"/>
  <c r="E11"/>
  <c r="E12"/>
  <c r="E13"/>
  <c r="E14"/>
  <c r="E15"/>
  <c r="E16"/>
  <c r="E17"/>
  <c r="E18"/>
  <c r="E19"/>
  <c r="E20"/>
  <c r="E21"/>
  <c r="E22"/>
  <c r="E3"/>
  <c r="H13" i="12"/>
  <c r="S112" i="1"/>
  <c r="R112"/>
  <c r="Q112"/>
  <c r="P112"/>
  <c r="O112"/>
  <c r="N112"/>
  <c r="M112"/>
  <c r="K112"/>
  <c r="J112"/>
  <c r="I112"/>
  <c r="H112"/>
  <c r="H113" s="1"/>
  <c r="S97"/>
  <c r="R97"/>
  <c r="Q97"/>
  <c r="P97"/>
  <c r="O97"/>
  <c r="N97"/>
  <c r="M97"/>
  <c r="K97"/>
  <c r="J97"/>
  <c r="I97"/>
  <c r="H97"/>
  <c r="H98" s="1"/>
  <c r="S82"/>
  <c r="G11" i="12"/>
  <c r="G12"/>
  <c r="G13"/>
  <c r="G14"/>
  <c r="H10"/>
  <c r="G10"/>
  <c r="H9"/>
  <c r="R82" i="1"/>
  <c r="Q82"/>
  <c r="P82"/>
  <c r="O82"/>
  <c r="N82"/>
  <c r="M82"/>
  <c r="K82"/>
  <c r="J82"/>
  <c r="I82"/>
  <c r="H82"/>
  <c r="H83" s="1"/>
  <c r="L45" i="9" l="1"/>
  <c r="R39" i="16"/>
  <c r="N43"/>
  <c r="I43" i="1" s="1"/>
  <c r="N41" i="13"/>
  <c r="F41" i="1" s="1"/>
  <c r="M41" s="1"/>
  <c r="P41" s="1"/>
  <c r="L41" i="9"/>
  <c r="P44" i="13"/>
  <c r="P40"/>
  <c r="N40" s="1"/>
  <c r="F40" i="1" s="1"/>
  <c r="P43" i="13"/>
  <c r="P42"/>
  <c r="P39"/>
  <c r="N39" s="1"/>
  <c r="F39" i="1" s="1"/>
  <c r="R38" i="16"/>
  <c r="N38"/>
  <c r="I38" i="1" s="1"/>
  <c r="M45"/>
  <c r="R42" i="16"/>
  <c r="N42"/>
  <c r="I42" i="1" s="1"/>
  <c r="R40" i="16"/>
  <c r="N40"/>
  <c r="I40" i="1" s="1"/>
  <c r="R44" i="16"/>
  <c r="N44"/>
  <c r="I44" i="1" s="1"/>
  <c r="M37"/>
  <c r="P37" s="1"/>
  <c r="L33" i="9"/>
  <c r="L25"/>
  <c r="R32" i="16"/>
  <c r="R36"/>
  <c r="R27"/>
  <c r="N31"/>
  <c r="I31" i="1" s="1"/>
  <c r="R28" i="16"/>
  <c r="R37"/>
  <c r="L37" i="9"/>
  <c r="R29" i="16"/>
  <c r="L29" i="9"/>
  <c r="N34" i="16"/>
  <c r="I34" i="1" s="1"/>
  <c r="R35" i="16"/>
  <c r="N28"/>
  <c r="I28" i="1" s="1"/>
  <c r="N27" i="16"/>
  <c r="I27" i="1" s="1"/>
  <c r="N36" i="16"/>
  <c r="I36" i="1" s="1"/>
  <c r="N32" i="16"/>
  <c r="N35"/>
  <c r="I35" i="1" s="1"/>
  <c r="P30" i="13"/>
  <c r="N30" s="1"/>
  <c r="F30" i="1" s="1"/>
  <c r="P28" i="13"/>
  <c r="N28" s="1"/>
  <c r="F28" i="1" s="1"/>
  <c r="P38" i="13"/>
  <c r="N38" s="1"/>
  <c r="F38" i="1" s="1"/>
  <c r="P36" i="13"/>
  <c r="N36" s="1"/>
  <c r="F36" i="1" s="1"/>
  <c r="R34" i="16"/>
  <c r="R33"/>
  <c r="N33"/>
  <c r="I33" i="1" s="1"/>
  <c r="M33" s="1"/>
  <c r="P33" s="1"/>
  <c r="R24" i="16"/>
  <c r="N24"/>
  <c r="I24" i="1" s="1"/>
  <c r="N29" i="16"/>
  <c r="I29" i="1" s="1"/>
  <c r="M29" s="1"/>
  <c r="P29" s="1"/>
  <c r="P34" i="13"/>
  <c r="N34" s="1"/>
  <c r="F34" i="1" s="1"/>
  <c r="P26" i="13"/>
  <c r="N26" s="1"/>
  <c r="F26" i="1" s="1"/>
  <c r="P35" i="13"/>
  <c r="N35" s="1"/>
  <c r="F35" i="1" s="1"/>
  <c r="P27" i="13"/>
  <c r="N27" s="1"/>
  <c r="F27" i="1" s="1"/>
  <c r="P31" i="13"/>
  <c r="N31" s="1"/>
  <c r="F31" i="1" s="1"/>
  <c r="P23" i="13"/>
  <c r="N23" s="1"/>
  <c r="F23" i="1" s="1"/>
  <c r="P24" i="13"/>
  <c r="N24" s="1"/>
  <c r="F24" i="1" s="1"/>
  <c r="R30" i="16"/>
  <c r="N30"/>
  <c r="I30" i="1" s="1"/>
  <c r="R25" i="16"/>
  <c r="N25"/>
  <c r="I25" i="1" s="1"/>
  <c r="M25" s="1"/>
  <c r="P25" s="1"/>
  <c r="R23" i="16"/>
  <c r="N23"/>
  <c r="I23" i="1" s="1"/>
  <c r="R26" i="16"/>
  <c r="N26"/>
  <c r="I26" i="1" s="1"/>
  <c r="T112"/>
  <c r="T97"/>
  <c r="T82"/>
  <c r="O67"/>
  <c r="S67"/>
  <c r="R67"/>
  <c r="Q67"/>
  <c r="P67"/>
  <c r="G4" i="12"/>
  <c r="G5"/>
  <c r="G6"/>
  <c r="G7"/>
  <c r="G8"/>
  <c r="G3"/>
  <c r="G9"/>
  <c r="M23" i="1" l="1"/>
  <c r="L28" i="9"/>
  <c r="L23"/>
  <c r="L40"/>
  <c r="L39"/>
  <c r="L46"/>
  <c r="O46" s="1"/>
  <c r="P45" i="1"/>
  <c r="N42" i="13"/>
  <c r="F42" i="1" s="1"/>
  <c r="L42" i="9"/>
  <c r="N43" i="13"/>
  <c r="F43" i="1" s="1"/>
  <c r="M43" s="1"/>
  <c r="P43" s="1"/>
  <c r="L43" i="9"/>
  <c r="N44" i="13"/>
  <c r="F44" i="1" s="1"/>
  <c r="M44" s="1"/>
  <c r="P44" s="1"/>
  <c r="L44" i="9"/>
  <c r="M40" i="1"/>
  <c r="P40" s="1"/>
  <c r="M39"/>
  <c r="P39" s="1"/>
  <c r="M38"/>
  <c r="P38" s="1"/>
  <c r="L38" i="9"/>
  <c r="L36"/>
  <c r="M34" i="1"/>
  <c r="P34" s="1"/>
  <c r="L34" i="9"/>
  <c r="M35" i="1"/>
  <c r="P35" s="1"/>
  <c r="L35" i="9"/>
  <c r="L32"/>
  <c r="L31"/>
  <c r="M31" i="1"/>
  <c r="P31" s="1"/>
  <c r="M28"/>
  <c r="P28" s="1"/>
  <c r="L30" i="9"/>
  <c r="M30" i="1"/>
  <c r="P30" s="1"/>
  <c r="M26"/>
  <c r="P26" s="1"/>
  <c r="L26" i="9"/>
  <c r="L24"/>
  <c r="M27" i="1"/>
  <c r="P27" s="1"/>
  <c r="L27" i="9"/>
  <c r="J9" i="25" l="1"/>
  <c r="Q10" i="1" s="1"/>
  <c r="C9" i="25"/>
  <c r="B9"/>
  <c r="A9"/>
  <c r="J8"/>
  <c r="Q9" i="1" s="1"/>
  <c r="C8" i="25"/>
  <c r="B8"/>
  <c r="A8"/>
  <c r="J7"/>
  <c r="Q8" i="1" s="1"/>
  <c r="C7" i="25"/>
  <c r="B7"/>
  <c r="A7"/>
  <c r="J6"/>
  <c r="Q7" i="1" s="1"/>
  <c r="C6" i="25"/>
  <c r="B6"/>
  <c r="A6"/>
  <c r="J5"/>
  <c r="Q6" i="1" s="1"/>
  <c r="C5" i="25"/>
  <c r="B5"/>
  <c r="A5"/>
  <c r="J4"/>
  <c r="Q5" i="1" s="1"/>
  <c r="C4" i="25"/>
  <c r="B4"/>
  <c r="A4"/>
  <c r="J3"/>
  <c r="Q4" i="1" s="1"/>
  <c r="C3" i="25"/>
  <c r="B3"/>
  <c r="A3"/>
  <c r="J2"/>
  <c r="Q3" i="1" s="1"/>
  <c r="C2" i="25"/>
  <c r="B2"/>
  <c r="A2"/>
  <c r="O18" i="13"/>
  <c r="P18" i="14" s="1"/>
  <c r="H18" i="1" s="1"/>
  <c r="K18" i="13"/>
  <c r="D18"/>
  <c r="H18" s="1"/>
  <c r="I18" s="1"/>
  <c r="C18"/>
  <c r="A18"/>
  <c r="O17"/>
  <c r="K17"/>
  <c r="D17"/>
  <c r="H17" s="1"/>
  <c r="I17" s="1"/>
  <c r="C17"/>
  <c r="A17"/>
  <c r="O16"/>
  <c r="P16" i="14" s="1"/>
  <c r="H16" i="1" s="1"/>
  <c r="K16" i="13"/>
  <c r="D16"/>
  <c r="H16" s="1"/>
  <c r="I16" s="1"/>
  <c r="C16"/>
  <c r="A16"/>
  <c r="O15"/>
  <c r="P15" i="14" s="1"/>
  <c r="H15" i="1" s="1"/>
  <c r="K15" i="13"/>
  <c r="D15"/>
  <c r="H15" s="1"/>
  <c r="I15" s="1"/>
  <c r="C15"/>
  <c r="A15"/>
  <c r="O14"/>
  <c r="K14"/>
  <c r="D14"/>
  <c r="H14" s="1"/>
  <c r="I14" s="1"/>
  <c r="C14"/>
  <c r="A14"/>
  <c r="O13"/>
  <c r="K13"/>
  <c r="D13"/>
  <c r="I13" s="1"/>
  <c r="C13"/>
  <c r="A13"/>
  <c r="O12"/>
  <c r="K12"/>
  <c r="D12"/>
  <c r="C12"/>
  <c r="A12"/>
  <c r="O11"/>
  <c r="P11" i="14" s="1"/>
  <c r="H11" i="1" s="1"/>
  <c r="K11" i="13"/>
  <c r="D11"/>
  <c r="C11"/>
  <c r="A11"/>
  <c r="O10"/>
  <c r="K10"/>
  <c r="D10"/>
  <c r="C10"/>
  <c r="A10"/>
  <c r="O9"/>
  <c r="K9"/>
  <c r="D9"/>
  <c r="I9" s="1"/>
  <c r="C9"/>
  <c r="A9"/>
  <c r="O8"/>
  <c r="K8"/>
  <c r="D8"/>
  <c r="C8"/>
  <c r="A8"/>
  <c r="O7"/>
  <c r="K7"/>
  <c r="D7"/>
  <c r="C7"/>
  <c r="A7"/>
  <c r="O6"/>
  <c r="K6"/>
  <c r="D6"/>
  <c r="C6"/>
  <c r="A6"/>
  <c r="O5"/>
  <c r="K5"/>
  <c r="D5"/>
  <c r="C5"/>
  <c r="A5"/>
  <c r="O4"/>
  <c r="K4"/>
  <c r="D4"/>
  <c r="C4"/>
  <c r="A4"/>
  <c r="O3"/>
  <c r="K3"/>
  <c r="D3"/>
  <c r="C3"/>
  <c r="A3"/>
  <c r="D18" i="12"/>
  <c r="C18"/>
  <c r="A18"/>
  <c r="G17" i="1"/>
  <c r="D17" i="12"/>
  <c r="C17"/>
  <c r="A17"/>
  <c r="D16"/>
  <c r="C16"/>
  <c r="A16"/>
  <c r="D15"/>
  <c r="C15"/>
  <c r="A15"/>
  <c r="D14"/>
  <c r="C14"/>
  <c r="A14"/>
  <c r="G13" i="1"/>
  <c r="D13" i="12"/>
  <c r="C13"/>
  <c r="A13"/>
  <c r="D12"/>
  <c r="C12"/>
  <c r="A12"/>
  <c r="D11"/>
  <c r="C11"/>
  <c r="A11"/>
  <c r="D10"/>
  <c r="C10"/>
  <c r="A10"/>
  <c r="D9"/>
  <c r="C9"/>
  <c r="A9"/>
  <c r="D8"/>
  <c r="C8"/>
  <c r="A8"/>
  <c r="D7"/>
  <c r="C7"/>
  <c r="A7"/>
  <c r="G6" i="1"/>
  <c r="D6" i="12"/>
  <c r="C6"/>
  <c r="A6"/>
  <c r="D5"/>
  <c r="C5"/>
  <c r="A5"/>
  <c r="G4" i="1"/>
  <c r="D4" i="12"/>
  <c r="C4"/>
  <c r="A4"/>
  <c r="G3" i="1"/>
  <c r="D3" i="12"/>
  <c r="C3"/>
  <c r="A3"/>
  <c r="B18" i="14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AO18" i="16"/>
  <c r="AN18"/>
  <c r="F18"/>
  <c r="J18" s="1"/>
  <c r="E18"/>
  <c r="I18" s="1"/>
  <c r="E76" s="1"/>
  <c r="D18"/>
  <c r="C18"/>
  <c r="A18"/>
  <c r="AO17"/>
  <c r="AN17"/>
  <c r="F17"/>
  <c r="J17" s="1"/>
  <c r="E17"/>
  <c r="I17" s="1"/>
  <c r="D17"/>
  <c r="C17"/>
  <c r="A17"/>
  <c r="AO16"/>
  <c r="D16" i="24" s="1"/>
  <c r="AN16" i="16"/>
  <c r="F16"/>
  <c r="J16" s="1"/>
  <c r="E16"/>
  <c r="I16" s="1"/>
  <c r="D16"/>
  <c r="C16"/>
  <c r="A16"/>
  <c r="AO15"/>
  <c r="D15" i="24" s="1"/>
  <c r="AN15" i="16"/>
  <c r="F15"/>
  <c r="E15"/>
  <c r="I15" s="1"/>
  <c r="D15"/>
  <c r="C15"/>
  <c r="A15"/>
  <c r="AO14"/>
  <c r="D14" i="24" s="1"/>
  <c r="AN14" i="16"/>
  <c r="F14"/>
  <c r="J14" s="1"/>
  <c r="E14"/>
  <c r="I14" s="1"/>
  <c r="E72" s="1"/>
  <c r="D14"/>
  <c r="C14"/>
  <c r="A14"/>
  <c r="AO13"/>
  <c r="D13" i="24" s="1"/>
  <c r="AN13" i="16"/>
  <c r="F13"/>
  <c r="J13" s="1"/>
  <c r="E13"/>
  <c r="I13" s="1"/>
  <c r="E68" s="1"/>
  <c r="D13"/>
  <c r="C13"/>
  <c r="A13"/>
  <c r="AO12"/>
  <c r="D12" i="24" s="1"/>
  <c r="AN12" i="16"/>
  <c r="F12"/>
  <c r="J12" s="1"/>
  <c r="E12"/>
  <c r="D12"/>
  <c r="C12"/>
  <c r="A12"/>
  <c r="AO11"/>
  <c r="D11" i="24" s="1"/>
  <c r="AN11" i="16"/>
  <c r="F11"/>
  <c r="J11" s="1"/>
  <c r="Q11" s="1"/>
  <c r="O11" s="1"/>
  <c r="E11"/>
  <c r="I11" s="1"/>
  <c r="D11"/>
  <c r="C11"/>
  <c r="A11"/>
  <c r="AO10"/>
  <c r="D10" i="24" s="1"/>
  <c r="AN10" i="16"/>
  <c r="F10"/>
  <c r="J10" s="1"/>
  <c r="E10"/>
  <c r="D10"/>
  <c r="C10"/>
  <c r="A10"/>
  <c r="AO9"/>
  <c r="D9" i="24" s="1"/>
  <c r="AN9" i="16"/>
  <c r="F9"/>
  <c r="J9" s="1"/>
  <c r="E9"/>
  <c r="I9" s="1"/>
  <c r="E60" s="1"/>
  <c r="D9"/>
  <c r="C9"/>
  <c r="A9"/>
  <c r="AO8"/>
  <c r="D8" i="24" s="1"/>
  <c r="AN8" i="16"/>
  <c r="F8"/>
  <c r="J8" s="1"/>
  <c r="E8"/>
  <c r="D8"/>
  <c r="C8"/>
  <c r="A8"/>
  <c r="AO7"/>
  <c r="D7" i="24" s="1"/>
  <c r="AN7" i="16"/>
  <c r="F7"/>
  <c r="J7" s="1"/>
  <c r="Q7" s="1"/>
  <c r="O7" s="1"/>
  <c r="E7"/>
  <c r="I7" s="1"/>
  <c r="D7"/>
  <c r="C7"/>
  <c r="A7"/>
  <c r="AO6"/>
  <c r="D6" i="24" s="1"/>
  <c r="AN6" i="16"/>
  <c r="F6"/>
  <c r="J6" s="1"/>
  <c r="E6"/>
  <c r="I6" s="1"/>
  <c r="D6"/>
  <c r="C6"/>
  <c r="A6"/>
  <c r="AO5"/>
  <c r="D5" i="24" s="1"/>
  <c r="AN5" i="16"/>
  <c r="F5"/>
  <c r="J5" s="1"/>
  <c r="E5"/>
  <c r="I5" s="1"/>
  <c r="D5"/>
  <c r="C5"/>
  <c r="A5"/>
  <c r="AO4"/>
  <c r="D4" i="24" s="1"/>
  <c r="AN4" i="16"/>
  <c r="F4"/>
  <c r="J4" s="1"/>
  <c r="E4"/>
  <c r="D4"/>
  <c r="C4"/>
  <c r="A4"/>
  <c r="AO3"/>
  <c r="D3" i="24" s="1"/>
  <c r="AN3" i="16"/>
  <c r="F3"/>
  <c r="J3" s="1"/>
  <c r="Q3" s="1"/>
  <c r="O3" s="1"/>
  <c r="E3"/>
  <c r="I3" s="1"/>
  <c r="D3"/>
  <c r="C3"/>
  <c r="A3"/>
  <c r="E19" i="4"/>
  <c r="D19"/>
  <c r="C19"/>
  <c r="A19"/>
  <c r="E18"/>
  <c r="D18"/>
  <c r="C18"/>
  <c r="A18"/>
  <c r="E17"/>
  <c r="D17"/>
  <c r="C17"/>
  <c r="A17"/>
  <c r="E16"/>
  <c r="D16"/>
  <c r="C16"/>
  <c r="A16"/>
  <c r="F15" i="24"/>
  <c r="E15" i="4"/>
  <c r="D15"/>
  <c r="C15"/>
  <c r="A15"/>
  <c r="F14" i="24"/>
  <c r="E14" i="4"/>
  <c r="D14"/>
  <c r="C14"/>
  <c r="A14"/>
  <c r="F13" i="24"/>
  <c r="J13" i="1"/>
  <c r="E13" i="4"/>
  <c r="D13"/>
  <c r="C13"/>
  <c r="A13"/>
  <c r="F12" i="24"/>
  <c r="J12" i="1"/>
  <c r="E12" i="4"/>
  <c r="D12"/>
  <c r="C12"/>
  <c r="A12"/>
  <c r="F11" i="24"/>
  <c r="E11" i="4"/>
  <c r="D11"/>
  <c r="C11"/>
  <c r="A11"/>
  <c r="F10" i="24"/>
  <c r="E10" i="4"/>
  <c r="D10"/>
  <c r="C10"/>
  <c r="A10"/>
  <c r="F9" i="24"/>
  <c r="J9" i="1"/>
  <c r="E9" i="4"/>
  <c r="D9"/>
  <c r="C9"/>
  <c r="A9"/>
  <c r="F8" i="24"/>
  <c r="J8" i="1"/>
  <c r="E8" i="4"/>
  <c r="D8"/>
  <c r="C8"/>
  <c r="A8"/>
  <c r="F7" i="24"/>
  <c r="E7" i="4"/>
  <c r="D7"/>
  <c r="C7"/>
  <c r="A7"/>
  <c r="F6" i="24"/>
  <c r="E6" i="4"/>
  <c r="D6"/>
  <c r="C6"/>
  <c r="A6"/>
  <c r="J5" i="1"/>
  <c r="E5" i="4"/>
  <c r="D5"/>
  <c r="C5"/>
  <c r="A5"/>
  <c r="P4"/>
  <c r="F4" i="24" s="1"/>
  <c r="G4" i="4"/>
  <c r="I4" s="1"/>
  <c r="E4"/>
  <c r="D4"/>
  <c r="C4"/>
  <c r="A4"/>
  <c r="F3" i="24"/>
  <c r="E3" i="4"/>
  <c r="D3"/>
  <c r="C3"/>
  <c r="A3"/>
  <c r="X15" i="20"/>
  <c r="I15" i="24" s="1"/>
  <c r="E15" i="20"/>
  <c r="D15"/>
  <c r="C15"/>
  <c r="A15"/>
  <c r="X14"/>
  <c r="I14" i="24" s="1"/>
  <c r="E14" i="20"/>
  <c r="D14"/>
  <c r="C14"/>
  <c r="A14"/>
  <c r="X13"/>
  <c r="I13" i="24" s="1"/>
  <c r="E13" i="20"/>
  <c r="D13"/>
  <c r="C13"/>
  <c r="A13"/>
  <c r="X12"/>
  <c r="I12" i="24" s="1"/>
  <c r="E12" i="20"/>
  <c r="D12"/>
  <c r="C12"/>
  <c r="A12"/>
  <c r="X11"/>
  <c r="I11" i="24" s="1"/>
  <c r="E11" i="20"/>
  <c r="D11"/>
  <c r="C11"/>
  <c r="A11"/>
  <c r="X10"/>
  <c r="I10" i="24" s="1"/>
  <c r="E10" i="20"/>
  <c r="D10"/>
  <c r="C10"/>
  <c r="A10"/>
  <c r="X9"/>
  <c r="I9" i="24" s="1"/>
  <c r="E9" i="20"/>
  <c r="D9"/>
  <c r="C9"/>
  <c r="A9"/>
  <c r="X8"/>
  <c r="I8" i="24" s="1"/>
  <c r="E8" i="20"/>
  <c r="D8"/>
  <c r="C8"/>
  <c r="A8"/>
  <c r="X7"/>
  <c r="I7" i="24" s="1"/>
  <c r="E7" i="20"/>
  <c r="D7"/>
  <c r="C7"/>
  <c r="A7"/>
  <c r="X6"/>
  <c r="I6" i="24" s="1"/>
  <c r="E6" i="20"/>
  <c r="D6"/>
  <c r="C6"/>
  <c r="A6"/>
  <c r="X5"/>
  <c r="I5" i="24" s="1"/>
  <c r="E5" i="20"/>
  <c r="D5"/>
  <c r="C5"/>
  <c r="A5"/>
  <c r="X4"/>
  <c r="I4" i="24" s="1"/>
  <c r="E4" i="20"/>
  <c r="D4"/>
  <c r="C4"/>
  <c r="A4"/>
  <c r="X3"/>
  <c r="I3" i="24" s="1"/>
  <c r="E3" i="20"/>
  <c r="D3"/>
  <c r="C3"/>
  <c r="A3"/>
  <c r="C18" i="26"/>
  <c r="D18" s="1"/>
  <c r="B18"/>
  <c r="A18"/>
  <c r="AF17"/>
  <c r="C17"/>
  <c r="D17" s="1"/>
  <c r="B17"/>
  <c r="A17"/>
  <c r="AF16"/>
  <c r="AF16" i="5" s="1"/>
  <c r="C16" i="26"/>
  <c r="D16" s="1"/>
  <c r="B16"/>
  <c r="A16"/>
  <c r="AF15"/>
  <c r="AF15" i="5" s="1"/>
  <c r="C15" i="26"/>
  <c r="B15"/>
  <c r="A15"/>
  <c r="C14"/>
  <c r="D14" s="1"/>
  <c r="B14"/>
  <c r="A14"/>
  <c r="AF13"/>
  <c r="C13"/>
  <c r="D13" s="1"/>
  <c r="B13"/>
  <c r="A13"/>
  <c r="AF12"/>
  <c r="AF12" i="5" s="1"/>
  <c r="C12" i="26"/>
  <c r="B12"/>
  <c r="A12"/>
  <c r="AF11"/>
  <c r="AF11" i="5" s="1"/>
  <c r="C11" i="26"/>
  <c r="B11"/>
  <c r="A11"/>
  <c r="AF10"/>
  <c r="C10"/>
  <c r="B10"/>
  <c r="A10"/>
  <c r="AF9" i="5"/>
  <c r="C9" i="26"/>
  <c r="D9" s="1"/>
  <c r="B9"/>
  <c r="A9"/>
  <c r="AF8"/>
  <c r="C8"/>
  <c r="D8" s="1"/>
  <c r="B8"/>
  <c r="A8"/>
  <c r="AF7"/>
  <c r="C7"/>
  <c r="B7"/>
  <c r="A7"/>
  <c r="AF6"/>
  <c r="AF6" i="5" s="1"/>
  <c r="C6" i="26"/>
  <c r="B6"/>
  <c r="A6"/>
  <c r="AF5"/>
  <c r="C5"/>
  <c r="D5" s="1"/>
  <c r="B5"/>
  <c r="AF4"/>
  <c r="C4"/>
  <c r="D4" s="1"/>
  <c r="B4"/>
  <c r="AF3"/>
  <c r="AF3" i="5" s="1"/>
  <c r="C3" i="26"/>
  <c r="B3"/>
  <c r="A3"/>
  <c r="C16" i="15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B16" i="23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BU16" i="24"/>
  <c r="BO16"/>
  <c r="BC16"/>
  <c r="AY16"/>
  <c r="AS16"/>
  <c r="AD16"/>
  <c r="J16"/>
  <c r="H16"/>
  <c r="G16"/>
  <c r="E16"/>
  <c r="C16"/>
  <c r="A16"/>
  <c r="BU15"/>
  <c r="BO15"/>
  <c r="BC15"/>
  <c r="AY15"/>
  <c r="AS15"/>
  <c r="AD15"/>
  <c r="J15"/>
  <c r="H15"/>
  <c r="G15"/>
  <c r="E15"/>
  <c r="C15"/>
  <c r="A15"/>
  <c r="BU14"/>
  <c r="BO14"/>
  <c r="BC14"/>
  <c r="AY14"/>
  <c r="AS14"/>
  <c r="AD14"/>
  <c r="J14"/>
  <c r="H14"/>
  <c r="G14"/>
  <c r="E14"/>
  <c r="C14"/>
  <c r="A14"/>
  <c r="BU13"/>
  <c r="BO13"/>
  <c r="BC13"/>
  <c r="AY13"/>
  <c r="AS13"/>
  <c r="AD13"/>
  <c r="J13"/>
  <c r="H13"/>
  <c r="G13"/>
  <c r="E13"/>
  <c r="C13"/>
  <c r="A13"/>
  <c r="BU12"/>
  <c r="BO12"/>
  <c r="BC12"/>
  <c r="AY12"/>
  <c r="AS12"/>
  <c r="AD12"/>
  <c r="J12"/>
  <c r="H12"/>
  <c r="G12"/>
  <c r="E12"/>
  <c r="C12"/>
  <c r="A12"/>
  <c r="BU11"/>
  <c r="BO11"/>
  <c r="BC11"/>
  <c r="AY11"/>
  <c r="AS11"/>
  <c r="AD11"/>
  <c r="J11"/>
  <c r="H11"/>
  <c r="G11"/>
  <c r="E11"/>
  <c r="C11"/>
  <c r="A11"/>
  <c r="BU10"/>
  <c r="BO10"/>
  <c r="BC10"/>
  <c r="AY10"/>
  <c r="AS10"/>
  <c r="AD10"/>
  <c r="J10"/>
  <c r="H10"/>
  <c r="G10"/>
  <c r="E10"/>
  <c r="C10"/>
  <c r="A10"/>
  <c r="BU9"/>
  <c r="BO9"/>
  <c r="BC9"/>
  <c r="AY9"/>
  <c r="AS9"/>
  <c r="AD9"/>
  <c r="J9"/>
  <c r="H9"/>
  <c r="G9"/>
  <c r="E9"/>
  <c r="C9"/>
  <c r="A9"/>
  <c r="BU8"/>
  <c r="BO8"/>
  <c r="BC8"/>
  <c r="AY8"/>
  <c r="AS8"/>
  <c r="AD8"/>
  <c r="J8"/>
  <c r="H8"/>
  <c r="G8"/>
  <c r="E8"/>
  <c r="C8"/>
  <c r="A8"/>
  <c r="BU7"/>
  <c r="BO7"/>
  <c r="BC7"/>
  <c r="AY7"/>
  <c r="AS7"/>
  <c r="AD7"/>
  <c r="J7"/>
  <c r="H7"/>
  <c r="G7"/>
  <c r="E7"/>
  <c r="C7"/>
  <c r="A7"/>
  <c r="BU6"/>
  <c r="BO6"/>
  <c r="BC6"/>
  <c r="AY6"/>
  <c r="AS6"/>
  <c r="AD6"/>
  <c r="J6"/>
  <c r="H6"/>
  <c r="G6"/>
  <c r="E6"/>
  <c r="C6"/>
  <c r="A6"/>
  <c r="BU5"/>
  <c r="BO5"/>
  <c r="BC5"/>
  <c r="AY5"/>
  <c r="AS5"/>
  <c r="AD5"/>
  <c r="J5"/>
  <c r="H5"/>
  <c r="G5"/>
  <c r="F5"/>
  <c r="E5"/>
  <c r="C5"/>
  <c r="A5"/>
  <c r="BU4"/>
  <c r="BO4"/>
  <c r="BC4"/>
  <c r="AY4"/>
  <c r="AS4"/>
  <c r="AD4"/>
  <c r="J4"/>
  <c r="H4"/>
  <c r="G4"/>
  <c r="E4"/>
  <c r="C4"/>
  <c r="A4"/>
  <c r="BU3"/>
  <c r="BO3"/>
  <c r="BC3"/>
  <c r="AY3"/>
  <c r="AS3"/>
  <c r="AD3"/>
  <c r="J3"/>
  <c r="H3"/>
  <c r="G3"/>
  <c r="E3"/>
  <c r="C3"/>
  <c r="A3"/>
  <c r="D16" i="9"/>
  <c r="C16"/>
  <c r="A16"/>
  <c r="D15"/>
  <c r="C15"/>
  <c r="B15"/>
  <c r="A15"/>
  <c r="D14"/>
  <c r="C14"/>
  <c r="B14"/>
  <c r="A14"/>
  <c r="D13"/>
  <c r="C13"/>
  <c r="B13"/>
  <c r="A13"/>
  <c r="D12"/>
  <c r="C12"/>
  <c r="A12"/>
  <c r="D11"/>
  <c r="C11"/>
  <c r="A11"/>
  <c r="D10"/>
  <c r="C10"/>
  <c r="B10"/>
  <c r="A10"/>
  <c r="D9"/>
  <c r="C9"/>
  <c r="B9"/>
  <c r="A9"/>
  <c r="D8"/>
  <c r="C8"/>
  <c r="A8"/>
  <c r="D7"/>
  <c r="C7"/>
  <c r="A7"/>
  <c r="D6"/>
  <c r="C6"/>
  <c r="B6"/>
  <c r="A6"/>
  <c r="D5"/>
  <c r="C5"/>
  <c r="A5"/>
  <c r="D4"/>
  <c r="C4"/>
  <c r="A4"/>
  <c r="D3"/>
  <c r="C3"/>
  <c r="B3"/>
  <c r="A3"/>
  <c r="AJ21" i="5"/>
  <c r="E21"/>
  <c r="D21"/>
  <c r="C21"/>
  <c r="A21"/>
  <c r="AJ20"/>
  <c r="E20"/>
  <c r="D20"/>
  <c r="C20"/>
  <c r="A20"/>
  <c r="AJ19"/>
  <c r="E19"/>
  <c r="D19"/>
  <c r="C19"/>
  <c r="A19"/>
  <c r="AJ18"/>
  <c r="E18"/>
  <c r="D18"/>
  <c r="C18"/>
  <c r="B18"/>
  <c r="A18"/>
  <c r="AJ17"/>
  <c r="E17"/>
  <c r="D17"/>
  <c r="C17"/>
  <c r="A17"/>
  <c r="AJ16"/>
  <c r="E16"/>
  <c r="D16"/>
  <c r="C16"/>
  <c r="A16"/>
  <c r="AJ15"/>
  <c r="E15"/>
  <c r="D15"/>
  <c r="C15"/>
  <c r="A15"/>
  <c r="AJ14"/>
  <c r="AF14"/>
  <c r="E14"/>
  <c r="D14"/>
  <c r="C14"/>
  <c r="A14"/>
  <c r="AJ13"/>
  <c r="AF13"/>
  <c r="E13"/>
  <c r="D13"/>
  <c r="C13"/>
  <c r="A13"/>
  <c r="AJ12"/>
  <c r="E12"/>
  <c r="D12"/>
  <c r="C12"/>
  <c r="A12"/>
  <c r="AJ11"/>
  <c r="E11"/>
  <c r="D11"/>
  <c r="C11"/>
  <c r="A11"/>
  <c r="AJ10"/>
  <c r="AF10"/>
  <c r="E10"/>
  <c r="D10"/>
  <c r="C10"/>
  <c r="A10"/>
  <c r="AJ9"/>
  <c r="E9"/>
  <c r="D9"/>
  <c r="C9"/>
  <c r="B9"/>
  <c r="A9"/>
  <c r="AJ8"/>
  <c r="AF8"/>
  <c r="E8"/>
  <c r="D8"/>
  <c r="C8"/>
  <c r="A8"/>
  <c r="AJ7"/>
  <c r="E7"/>
  <c r="D7"/>
  <c r="C7"/>
  <c r="A7"/>
  <c r="AJ6"/>
  <c r="E6"/>
  <c r="D6"/>
  <c r="C6"/>
  <c r="A6"/>
  <c r="AJ5"/>
  <c r="E5"/>
  <c r="D5"/>
  <c r="C5"/>
  <c r="A5"/>
  <c r="AJ4"/>
  <c r="E4"/>
  <c r="D4"/>
  <c r="C4"/>
  <c r="A4"/>
  <c r="AJ3"/>
  <c r="E3"/>
  <c r="D3"/>
  <c r="C3"/>
  <c r="A3"/>
  <c r="J19" i="25"/>
  <c r="Q20" i="1" s="1"/>
  <c r="C19" i="25"/>
  <c r="B19"/>
  <c r="A19"/>
  <c r="J18"/>
  <c r="Q19" i="1" s="1"/>
  <c r="C18" i="25"/>
  <c r="B18"/>
  <c r="A18"/>
  <c r="J17"/>
  <c r="Q18" i="1" s="1"/>
  <c r="O18" s="1"/>
  <c r="C17" i="25"/>
  <c r="B17"/>
  <c r="A17"/>
  <c r="J16"/>
  <c r="Q17" i="1" s="1"/>
  <c r="C16" i="25"/>
  <c r="B16"/>
  <c r="A16"/>
  <c r="J15"/>
  <c r="Q16" i="1" s="1"/>
  <c r="C15" i="25"/>
  <c r="B15"/>
  <c r="A15"/>
  <c r="J14"/>
  <c r="Q15" i="1" s="1"/>
  <c r="C14" i="25"/>
  <c r="B14"/>
  <c r="A14"/>
  <c r="J13"/>
  <c r="Q14" i="1" s="1"/>
  <c r="O14" s="1"/>
  <c r="K14" i="9" s="1"/>
  <c r="C13" i="25"/>
  <c r="B13"/>
  <c r="A13"/>
  <c r="J12"/>
  <c r="Q13" i="1" s="1"/>
  <c r="C12" i="25"/>
  <c r="B12"/>
  <c r="A12"/>
  <c r="J11"/>
  <c r="Q12" i="1" s="1"/>
  <c r="C11" i="25"/>
  <c r="B11"/>
  <c r="A11"/>
  <c r="J10"/>
  <c r="Q11" i="1" s="1"/>
  <c r="C10" i="25"/>
  <c r="B10"/>
  <c r="A10"/>
  <c r="K18" i="1"/>
  <c r="G18"/>
  <c r="K17"/>
  <c r="K16"/>
  <c r="G16"/>
  <c r="K15"/>
  <c r="J15"/>
  <c r="G15"/>
  <c r="K14"/>
  <c r="G14"/>
  <c r="K13"/>
  <c r="K12"/>
  <c r="G12"/>
  <c r="K11"/>
  <c r="J11"/>
  <c r="G11"/>
  <c r="K10"/>
  <c r="K9"/>
  <c r="K8"/>
  <c r="K7"/>
  <c r="G7"/>
  <c r="K6"/>
  <c r="K5"/>
  <c r="G5"/>
  <c r="K4"/>
  <c r="K3"/>
  <c r="BL47" i="24"/>
  <c r="BM47"/>
  <c r="O16" i="1" l="1"/>
  <c r="K16" i="9" s="1"/>
  <c r="O3" i="1"/>
  <c r="O5"/>
  <c r="K5" i="9" s="1"/>
  <c r="O7" i="1"/>
  <c r="D7" i="23" s="1"/>
  <c r="O8" i="1"/>
  <c r="K8" i="9" s="1"/>
  <c r="I10" i="16"/>
  <c r="M10" s="1"/>
  <c r="J15"/>
  <c r="Q15" s="1"/>
  <c r="O15" s="1"/>
  <c r="I4"/>
  <c r="K4" s="1"/>
  <c r="I8"/>
  <c r="K8" s="1"/>
  <c r="I12"/>
  <c r="K12" s="1"/>
  <c r="K16"/>
  <c r="O4" i="1"/>
  <c r="D4" i="23" s="1"/>
  <c r="H7" i="13"/>
  <c r="I7" s="1"/>
  <c r="H10"/>
  <c r="I10" s="1"/>
  <c r="H4"/>
  <c r="I4" s="1"/>
  <c r="H8"/>
  <c r="I8" s="1"/>
  <c r="H12"/>
  <c r="J12" s="1"/>
  <c r="O10" i="1"/>
  <c r="K10" i="9" s="1"/>
  <c r="H3" i="13"/>
  <c r="I3" s="1"/>
  <c r="H11"/>
  <c r="I11" s="1"/>
  <c r="H6"/>
  <c r="J6" s="1"/>
  <c r="O13" i="1"/>
  <c r="K13" i="9" s="1"/>
  <c r="H5" i="13"/>
  <c r="J5" s="1"/>
  <c r="P4" i="14"/>
  <c r="H4" i="1" s="1"/>
  <c r="P7" i="14"/>
  <c r="H7" i="1" s="1"/>
  <c r="K3" i="9"/>
  <c r="O6" i="1"/>
  <c r="K6" i="9" s="1"/>
  <c r="P8" i="14"/>
  <c r="H8" i="1" s="1"/>
  <c r="K9" i="9"/>
  <c r="O12" i="1"/>
  <c r="K12" i="9" s="1"/>
  <c r="BV12" i="24"/>
  <c r="L12" i="5" s="1"/>
  <c r="M12" s="1"/>
  <c r="P6" i="14"/>
  <c r="H6" i="1" s="1"/>
  <c r="P10" i="14"/>
  <c r="H10" i="1" s="1"/>
  <c r="P14" i="14"/>
  <c r="H14" i="1" s="1"/>
  <c r="G8"/>
  <c r="P12" i="14"/>
  <c r="H12" i="1" s="1"/>
  <c r="D15" i="26"/>
  <c r="D7"/>
  <c r="D6"/>
  <c r="AE18"/>
  <c r="AG18" s="1"/>
  <c r="AF5" i="5"/>
  <c r="AF4"/>
  <c r="P3" i="14"/>
  <c r="H3" i="1" s="1"/>
  <c r="AE5" i="26"/>
  <c r="AG5" s="1"/>
  <c r="J5" i="5" s="1"/>
  <c r="K5" s="1"/>
  <c r="D3" i="26"/>
  <c r="AE3" s="1"/>
  <c r="AG3" s="1"/>
  <c r="M9" i="13"/>
  <c r="L9"/>
  <c r="M13"/>
  <c r="L13"/>
  <c r="M15"/>
  <c r="L15"/>
  <c r="M17"/>
  <c r="L17"/>
  <c r="M14"/>
  <c r="L14"/>
  <c r="M16"/>
  <c r="L16"/>
  <c r="M18"/>
  <c r="L18"/>
  <c r="P5" i="14"/>
  <c r="H5" i="1" s="1"/>
  <c r="P9" i="14"/>
  <c r="H9" i="1" s="1"/>
  <c r="P13" i="14"/>
  <c r="H13" i="1" s="1"/>
  <c r="P17" i="14"/>
  <c r="H17" i="1" s="1"/>
  <c r="J9" i="13"/>
  <c r="J13"/>
  <c r="J14"/>
  <c r="J15"/>
  <c r="J16"/>
  <c r="J17"/>
  <c r="J18"/>
  <c r="G9" i="1"/>
  <c r="G10"/>
  <c r="L3" i="16"/>
  <c r="M3"/>
  <c r="K3"/>
  <c r="L7"/>
  <c r="K7"/>
  <c r="M7"/>
  <c r="L11"/>
  <c r="M11"/>
  <c r="K11"/>
  <c r="L15"/>
  <c r="M15"/>
  <c r="K15"/>
  <c r="Q5"/>
  <c r="O5" s="1"/>
  <c r="Q6"/>
  <c r="O6" s="1"/>
  <c r="Q9"/>
  <c r="O9" s="1"/>
  <c r="Q10"/>
  <c r="O10" s="1"/>
  <c r="Q13"/>
  <c r="O13" s="1"/>
  <c r="Q14"/>
  <c r="O14" s="1"/>
  <c r="Q17"/>
  <c r="O17" s="1"/>
  <c r="Q18"/>
  <c r="O18" s="1"/>
  <c r="M6"/>
  <c r="L6"/>
  <c r="K6"/>
  <c r="M14"/>
  <c r="K14"/>
  <c r="L14"/>
  <c r="M18"/>
  <c r="L18"/>
  <c r="K18"/>
  <c r="M9"/>
  <c r="Q8"/>
  <c r="O8" s="1"/>
  <c r="L9"/>
  <c r="Q12"/>
  <c r="O12" s="1"/>
  <c r="L13"/>
  <c r="Q16"/>
  <c r="O16" s="1"/>
  <c r="BV4" i="24"/>
  <c r="K5" i="16"/>
  <c r="K9"/>
  <c r="K13"/>
  <c r="L16"/>
  <c r="K17"/>
  <c r="M5"/>
  <c r="M13"/>
  <c r="M17"/>
  <c r="BW4" i="24"/>
  <c r="Q4" i="9" s="1"/>
  <c r="G4" i="5" s="1"/>
  <c r="Q4" i="16"/>
  <c r="O4" s="1"/>
  <c r="L5"/>
  <c r="M16"/>
  <c r="L17"/>
  <c r="BV8" i="24"/>
  <c r="L8" i="5" s="1"/>
  <c r="M8" s="1"/>
  <c r="BW8" i="24"/>
  <c r="G8" i="5" s="1"/>
  <c r="BW12" i="24"/>
  <c r="G12" i="5" s="1"/>
  <c r="BV10" i="24"/>
  <c r="BW15"/>
  <c r="G15" i="5" s="1"/>
  <c r="BV6" i="24"/>
  <c r="BV13"/>
  <c r="BV15"/>
  <c r="O15" i="1"/>
  <c r="O11"/>
  <c r="AF7" i="5"/>
  <c r="AE4" i="26"/>
  <c r="AG4" s="1"/>
  <c r="AE16"/>
  <c r="AG16" s="1"/>
  <c r="BV3" i="24"/>
  <c r="BV7"/>
  <c r="BV11"/>
  <c r="BW3"/>
  <c r="Q3" i="9" s="1"/>
  <c r="G3" i="5" s="1"/>
  <c r="BW5" i="24"/>
  <c r="Q5" i="9" s="1"/>
  <c r="G5" i="5" s="1"/>
  <c r="BV5" i="24"/>
  <c r="R5" i="9" s="1"/>
  <c r="L5" i="5" s="1"/>
  <c r="M5" s="1"/>
  <c r="BW7" i="24"/>
  <c r="G7" i="5" s="1"/>
  <c r="BW9" i="24"/>
  <c r="G9" i="5" s="1"/>
  <c r="BV9" i="24"/>
  <c r="BW11"/>
  <c r="G11" i="5" s="1"/>
  <c r="BW13" i="24"/>
  <c r="G13" i="5" s="1"/>
  <c r="BW14" i="24"/>
  <c r="G14" i="5" s="1"/>
  <c r="BW6" i="24"/>
  <c r="Q6" i="9" s="1"/>
  <c r="G6" i="5" s="1"/>
  <c r="BW10" i="24"/>
  <c r="G10" i="5" s="1"/>
  <c r="BV14" i="24"/>
  <c r="BW16"/>
  <c r="G16" i="5" s="1"/>
  <c r="AJ22"/>
  <c r="O47" i="4"/>
  <c r="G22"/>
  <c r="F16" i="24"/>
  <c r="P22" i="4"/>
  <c r="M8" i="16" l="1"/>
  <c r="M4"/>
  <c r="D16" i="23"/>
  <c r="L12" i="16"/>
  <c r="D5" i="23"/>
  <c r="K7" i="9"/>
  <c r="I12" i="13"/>
  <c r="L12" s="1"/>
  <c r="J3"/>
  <c r="K4" i="9"/>
  <c r="D8" i="23"/>
  <c r="P5" i="9"/>
  <c r="J10" i="13"/>
  <c r="M12" i="16"/>
  <c r="L10"/>
  <c r="E64"/>
  <c r="K10"/>
  <c r="L4"/>
  <c r="P4" s="1"/>
  <c r="R4" s="1"/>
  <c r="L8"/>
  <c r="J11" i="13"/>
  <c r="I5"/>
  <c r="L5" s="1"/>
  <c r="L4"/>
  <c r="M4"/>
  <c r="J4"/>
  <c r="L3"/>
  <c r="M3"/>
  <c r="L7"/>
  <c r="M7"/>
  <c r="J7"/>
  <c r="J8"/>
  <c r="I6"/>
  <c r="L6" s="1"/>
  <c r="L8"/>
  <c r="M8"/>
  <c r="L10"/>
  <c r="M10"/>
  <c r="L11"/>
  <c r="M11"/>
  <c r="D6" i="23"/>
  <c r="D12"/>
  <c r="P16" i="16"/>
  <c r="N16" s="1"/>
  <c r="I16" i="1" s="1"/>
  <c r="P18" i="16"/>
  <c r="R18" s="1"/>
  <c r="P6"/>
  <c r="R6" s="1"/>
  <c r="AE13" i="26"/>
  <c r="AG13" s="1"/>
  <c r="AE15"/>
  <c r="AG15" s="1"/>
  <c r="AE7"/>
  <c r="AG7" s="1"/>
  <c r="AE9"/>
  <c r="AG9" s="1"/>
  <c r="AE17"/>
  <c r="AG17" s="1"/>
  <c r="AE10"/>
  <c r="AG10" s="1"/>
  <c r="AE6"/>
  <c r="AG6" s="1"/>
  <c r="AE14"/>
  <c r="AG14" s="1"/>
  <c r="AE11"/>
  <c r="AG11" s="1"/>
  <c r="AE8"/>
  <c r="AG8" s="1"/>
  <c r="P16" i="13"/>
  <c r="N16" s="1"/>
  <c r="AE12" i="26"/>
  <c r="AG12" s="1"/>
  <c r="J12" i="5" s="1"/>
  <c r="K12" s="1"/>
  <c r="P3" i="16"/>
  <c r="N3" s="1"/>
  <c r="I3" i="1" s="1"/>
  <c r="P13" i="13"/>
  <c r="N13" s="1"/>
  <c r="P15"/>
  <c r="N15" s="1"/>
  <c r="P17"/>
  <c r="N17" s="1"/>
  <c r="P9"/>
  <c r="N9" s="1"/>
  <c r="P18"/>
  <c r="N18" s="1"/>
  <c r="P14"/>
  <c r="N14" s="1"/>
  <c r="P15" i="16"/>
  <c r="N15" s="1"/>
  <c r="I15" i="1" s="1"/>
  <c r="P11" i="16"/>
  <c r="R11" s="1"/>
  <c r="P17"/>
  <c r="P9"/>
  <c r="P14"/>
  <c r="P7"/>
  <c r="P13"/>
  <c r="P5"/>
  <c r="D11" i="23"/>
  <c r="K11" i="9"/>
  <c r="K15"/>
  <c r="D15" i="23"/>
  <c r="G17" i="24"/>
  <c r="G18"/>
  <c r="G19"/>
  <c r="G20"/>
  <c r="G21"/>
  <c r="G22"/>
  <c r="M6" i="13" l="1"/>
  <c r="P6" s="1"/>
  <c r="N6" s="1"/>
  <c r="P8" i="16"/>
  <c r="N8" s="1"/>
  <c r="I8" i="1" s="1"/>
  <c r="P12" i="16"/>
  <c r="R12" s="1"/>
  <c r="P10"/>
  <c r="N10" s="1"/>
  <c r="I10" i="1" s="1"/>
  <c r="M12" i="13"/>
  <c r="P12" s="1"/>
  <c r="N12" s="1"/>
  <c r="F12" i="1" s="1"/>
  <c r="M5" i="13"/>
  <c r="P5" s="1"/>
  <c r="N5" s="1"/>
  <c r="F5" i="1" s="1"/>
  <c r="P4" i="13"/>
  <c r="N4" s="1"/>
  <c r="P11"/>
  <c r="N11" s="1"/>
  <c r="P8"/>
  <c r="N8" s="1"/>
  <c r="F8" i="1" s="1"/>
  <c r="P7" i="13"/>
  <c r="N7" s="1"/>
  <c r="P3"/>
  <c r="N3" s="1"/>
  <c r="P10"/>
  <c r="N10" s="1"/>
  <c r="R3" i="16"/>
  <c r="N18"/>
  <c r="I18" i="1" s="1"/>
  <c r="N4" i="16"/>
  <c r="I4" i="1" s="1"/>
  <c r="N11" i="16"/>
  <c r="I11" i="1" s="1"/>
  <c r="J8" i="5"/>
  <c r="K8" s="1"/>
  <c r="N6" i="16"/>
  <c r="I6" i="1" s="1"/>
  <c r="R16" i="16"/>
  <c r="L16" i="9"/>
  <c r="R15" i="16"/>
  <c r="L15" i="9"/>
  <c r="F15" i="5" s="1"/>
  <c r="H15" s="1"/>
  <c r="I15" s="1"/>
  <c r="R5" i="16"/>
  <c r="N5"/>
  <c r="I5" i="1" s="1"/>
  <c r="R17" i="16"/>
  <c r="N17"/>
  <c r="I17" i="1" s="1"/>
  <c r="R14" i="16"/>
  <c r="L14" i="9"/>
  <c r="F14" i="5" s="1"/>
  <c r="H14" s="1"/>
  <c r="I14" s="1"/>
  <c r="N14" i="16"/>
  <c r="I14" i="1" s="1"/>
  <c r="R9" i="16"/>
  <c r="L9" i="9"/>
  <c r="F9" i="5" s="1"/>
  <c r="H9" s="1"/>
  <c r="I9" s="1"/>
  <c r="N9" i="16"/>
  <c r="I9" i="1" s="1"/>
  <c r="R13" i="16"/>
  <c r="L13" i="9"/>
  <c r="F13" i="5" s="1"/>
  <c r="H13" s="1"/>
  <c r="I13" s="1"/>
  <c r="N13" i="16"/>
  <c r="I13" i="1" s="1"/>
  <c r="R7" i="16"/>
  <c r="N7"/>
  <c r="I7" i="1" s="1"/>
  <c r="N67"/>
  <c r="F16" i="5" l="1"/>
  <c r="H16" s="1"/>
  <c r="I16" s="1"/>
  <c r="M8" i="1"/>
  <c r="C8" i="23" s="1"/>
  <c r="E8" s="1"/>
  <c r="N12" i="16"/>
  <c r="I12" i="1" s="1"/>
  <c r="M12" s="1"/>
  <c r="C12" i="23" s="1"/>
  <c r="E12" s="1"/>
  <c r="R8" i="16"/>
  <c r="R10"/>
  <c r="L6" i="9"/>
  <c r="O6" s="1"/>
  <c r="F6" i="5" s="1"/>
  <c r="H6" s="1"/>
  <c r="I6" s="1"/>
  <c r="L12" i="9"/>
  <c r="F12" i="5" s="1"/>
  <c r="H12" s="1"/>
  <c r="I12" s="1"/>
  <c r="L11" i="9"/>
  <c r="F11" i="5" s="1"/>
  <c r="H11" s="1"/>
  <c r="I11" s="1"/>
  <c r="L5" i="9"/>
  <c r="O5" s="1"/>
  <c r="F5" i="5" s="1"/>
  <c r="H5" s="1"/>
  <c r="I5" s="1"/>
  <c r="M5" i="1"/>
  <c r="P5" s="1"/>
  <c r="N5" i="9" s="1"/>
  <c r="L7"/>
  <c r="O7" s="1"/>
  <c r="F7" i="5" s="1"/>
  <c r="H7" s="1"/>
  <c r="I7" s="1"/>
  <c r="L4" i="9"/>
  <c r="O4" s="1"/>
  <c r="F4" i="5" s="1"/>
  <c r="H4" s="1"/>
  <c r="I4" s="1"/>
  <c r="L10" i="9"/>
  <c r="F10" i="5" s="1"/>
  <c r="H10" s="1"/>
  <c r="I10" s="1"/>
  <c r="L8" i="9"/>
  <c r="O8" s="1"/>
  <c r="F8" i="5" s="1"/>
  <c r="H8" s="1"/>
  <c r="I8" s="1"/>
  <c r="L3" i="9"/>
  <c r="O3" s="1"/>
  <c r="F3" i="5" s="1"/>
  <c r="H3" s="1"/>
  <c r="I3" s="1"/>
  <c r="M67" i="1"/>
  <c r="T67" s="1"/>
  <c r="K67"/>
  <c r="J67"/>
  <c r="I67"/>
  <c r="H67"/>
  <c r="H68" s="1"/>
  <c r="P8" l="1"/>
  <c r="N8" i="9" s="1"/>
  <c r="N8" i="5" s="1"/>
  <c r="O8" s="1"/>
  <c r="AG12"/>
  <c r="U12" s="1"/>
  <c r="V12" s="1"/>
  <c r="N5"/>
  <c r="O5" s="1"/>
  <c r="P12" i="1"/>
  <c r="N12" i="5" s="1"/>
  <c r="O12" s="1"/>
  <c r="C5" i="23"/>
  <c r="E5" s="1"/>
  <c r="AG5" i="5"/>
  <c r="AG8"/>
  <c r="U8" s="1"/>
  <c r="V8" s="1"/>
  <c r="AO19" i="16"/>
  <c r="AO20"/>
  <c r="AO21"/>
  <c r="AO22"/>
  <c r="G62" i="12"/>
  <c r="H36" i="1" l="1"/>
  <c r="M36" s="1"/>
  <c r="P36" s="1"/>
  <c r="AH12" i="5"/>
  <c r="AD12"/>
  <c r="X12"/>
  <c r="AD8"/>
  <c r="AD5"/>
  <c r="AH8"/>
  <c r="X8"/>
  <c r="U5"/>
  <c r="V5" s="1"/>
  <c r="AH5"/>
  <c r="K19" i="13"/>
  <c r="K20"/>
  <c r="K21"/>
  <c r="K22"/>
  <c r="X5" i="5" l="1"/>
  <c r="BU17" i="24"/>
  <c r="BU18"/>
  <c r="BU19"/>
  <c r="BU20"/>
  <c r="BU21"/>
  <c r="BU22"/>
  <c r="BP47" l="1"/>
  <c r="BQ47"/>
  <c r="BR47"/>
  <c r="BS47"/>
  <c r="BT47"/>
  <c r="AN19" i="16"/>
  <c r="AN20"/>
  <c r="AN21"/>
  <c r="AN22"/>
  <c r="BU47" i="24" l="1"/>
  <c r="A20" i="25" l="1"/>
  <c r="A21"/>
  <c r="P47" i="24"/>
  <c r="AP47"/>
  <c r="AQ47"/>
  <c r="T47"/>
  <c r="K19" i="1"/>
  <c r="K22"/>
  <c r="T47" i="23"/>
  <c r="R47" i="24"/>
  <c r="S47"/>
  <c r="T47" i="9"/>
  <c r="U47"/>
  <c r="AE47" i="16" l="1"/>
  <c r="AF47"/>
  <c r="AG47"/>
  <c r="AI47"/>
  <c r="AJ47"/>
  <c r="AM47"/>
  <c r="AN47"/>
  <c r="M47" i="9"/>
  <c r="K43" l="1"/>
  <c r="D47" i="15"/>
  <c r="E47"/>
  <c r="F47"/>
  <c r="G47"/>
  <c r="H47"/>
  <c r="I47"/>
  <c r="J47"/>
  <c r="J3" i="1" l="1"/>
  <c r="J4"/>
  <c r="J6"/>
  <c r="J7"/>
  <c r="J10"/>
  <c r="J14"/>
  <c r="J16"/>
  <c r="J17"/>
  <c r="J18"/>
  <c r="I22" i="4"/>
  <c r="G19" i="1" l="1"/>
  <c r="G22"/>
  <c r="J21" i="25"/>
  <c r="Q22" i="1" s="1"/>
  <c r="Y47" i="5" l="1"/>
  <c r="E22" l="1"/>
  <c r="D22"/>
  <c r="C22"/>
  <c r="A22"/>
  <c r="C22" i="28" l="1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47" i="10"/>
  <c r="Q47" l="1"/>
  <c r="O47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47" l="1"/>
  <c r="A22" i="8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S47" i="9" l="1"/>
  <c r="J47" l="1"/>
  <c r="I47"/>
  <c r="H47"/>
  <c r="G47"/>
  <c r="F47"/>
  <c r="E47"/>
  <c r="D22"/>
  <c r="C22"/>
  <c r="B22"/>
  <c r="A22"/>
  <c r="D21"/>
  <c r="C21"/>
  <c r="A21"/>
  <c r="D20"/>
  <c r="C20"/>
  <c r="A20"/>
  <c r="D19"/>
  <c r="C19"/>
  <c r="A19"/>
  <c r="D18"/>
  <c r="C18"/>
  <c r="B18"/>
  <c r="A18"/>
  <c r="D17"/>
  <c r="C17"/>
  <c r="A17"/>
  <c r="BN47" i="24" l="1"/>
  <c r="BK47"/>
  <c r="BJ47"/>
  <c r="BI47"/>
  <c r="BH47"/>
  <c r="BG47"/>
  <c r="BF47"/>
  <c r="BE47"/>
  <c r="BD47"/>
  <c r="BB47"/>
  <c r="BA47"/>
  <c r="AZ47"/>
  <c r="AX47"/>
  <c r="AW47"/>
  <c r="AV47"/>
  <c r="AU47"/>
  <c r="AT47"/>
  <c r="AR47"/>
  <c r="AO47"/>
  <c r="AN47"/>
  <c r="AM47"/>
  <c r="AL47"/>
  <c r="AK47"/>
  <c r="AJ47"/>
  <c r="AI47"/>
  <c r="AH47"/>
  <c r="AG47"/>
  <c r="AF47"/>
  <c r="AC47"/>
  <c r="AB47"/>
  <c r="AA47"/>
  <c r="Z47"/>
  <c r="Y47"/>
  <c r="X47"/>
  <c r="W47"/>
  <c r="V47"/>
  <c r="U47"/>
  <c r="Q47"/>
  <c r="O47"/>
  <c r="N47"/>
  <c r="M47"/>
  <c r="L47"/>
  <c r="K47"/>
  <c r="BO22"/>
  <c r="BC22"/>
  <c r="AY22"/>
  <c r="AS22"/>
  <c r="AD22"/>
  <c r="J22"/>
  <c r="H22"/>
  <c r="E22"/>
  <c r="C22"/>
  <c r="A22"/>
  <c r="BO21"/>
  <c r="BC21"/>
  <c r="AY21"/>
  <c r="AS21"/>
  <c r="AD21"/>
  <c r="J21"/>
  <c r="H21"/>
  <c r="E21"/>
  <c r="C21"/>
  <c r="A21"/>
  <c r="BO20"/>
  <c r="BC20"/>
  <c r="AY20"/>
  <c r="AS20"/>
  <c r="AD20"/>
  <c r="J20"/>
  <c r="H20"/>
  <c r="E20"/>
  <c r="C20"/>
  <c r="A20"/>
  <c r="BO19"/>
  <c r="BC19"/>
  <c r="AY19"/>
  <c r="AS19"/>
  <c r="AD19"/>
  <c r="J19"/>
  <c r="H19"/>
  <c r="E19"/>
  <c r="C19"/>
  <c r="A19"/>
  <c r="BO18"/>
  <c r="BC18"/>
  <c r="AY18"/>
  <c r="AS18"/>
  <c r="AD18"/>
  <c r="J18"/>
  <c r="H18"/>
  <c r="E18"/>
  <c r="C18"/>
  <c r="A18"/>
  <c r="BO17"/>
  <c r="BC17"/>
  <c r="AY17"/>
  <c r="AS17"/>
  <c r="AD17"/>
  <c r="J17"/>
  <c r="H17"/>
  <c r="E17"/>
  <c r="C17"/>
  <c r="A17"/>
  <c r="C56" i="23"/>
  <c r="S47"/>
  <c r="R47"/>
  <c r="Q47"/>
  <c r="P47"/>
  <c r="O47"/>
  <c r="N47"/>
  <c r="M47"/>
  <c r="L47"/>
  <c r="K47"/>
  <c r="J47"/>
  <c r="I47"/>
  <c r="BW20" i="24" l="1"/>
  <c r="BW19"/>
  <c r="G19" i="5" s="1"/>
  <c r="BW17" i="24"/>
  <c r="G17" i="5" s="1"/>
  <c r="BW21" i="24"/>
  <c r="BW18"/>
  <c r="BW22"/>
  <c r="BC47"/>
  <c r="AY47"/>
  <c r="BO47"/>
  <c r="AS47"/>
  <c r="AD47"/>
  <c r="H47"/>
  <c r="G47" s="1"/>
  <c r="E47"/>
  <c r="J47"/>
  <c r="G22" i="5" l="1"/>
  <c r="G21"/>
  <c r="G20"/>
  <c r="BW47" i="24"/>
  <c r="B22" i="23"/>
  <c r="A22"/>
  <c r="B21"/>
  <c r="A21"/>
  <c r="B20"/>
  <c r="A20"/>
  <c r="B19"/>
  <c r="A19"/>
  <c r="B18"/>
  <c r="A18"/>
  <c r="B17"/>
  <c r="A17"/>
  <c r="G18" i="5" l="1"/>
  <c r="G47" s="1"/>
  <c r="Q47" i="9"/>
  <c r="K47" i="15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A47" i="27" l="1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47" i="26"/>
  <c r="A47"/>
  <c r="K23" i="9" l="1"/>
  <c r="AF22" i="26"/>
  <c r="O22" i="1" s="1"/>
  <c r="C22" i="26"/>
  <c r="B22"/>
  <c r="A22"/>
  <c r="AF21"/>
  <c r="AF21" i="5" s="1"/>
  <c r="C21" i="26"/>
  <c r="D21" s="1"/>
  <c r="B21"/>
  <c r="A21"/>
  <c r="AF20"/>
  <c r="AF20" i="5" s="1"/>
  <c r="C20" i="26"/>
  <c r="D20" s="1"/>
  <c r="B20"/>
  <c r="A20"/>
  <c r="AF19"/>
  <c r="AF19" i="5" s="1"/>
  <c r="C19" i="26"/>
  <c r="B19"/>
  <c r="A19"/>
  <c r="D17" i="27"/>
  <c r="F16"/>
  <c r="F12"/>
  <c r="O17" i="1" l="1"/>
  <c r="AF17" i="5"/>
  <c r="AF18"/>
  <c r="D22" i="26"/>
  <c r="D19"/>
  <c r="O19" i="1"/>
  <c r="AF22" i="5"/>
  <c r="D11" i="27"/>
  <c r="F7"/>
  <c r="E16"/>
  <c r="D16"/>
  <c r="D3"/>
  <c r="F8"/>
  <c r="D8"/>
  <c r="E12"/>
  <c r="D9"/>
  <c r="D21"/>
  <c r="D13"/>
  <c r="F19"/>
  <c r="D7"/>
  <c r="D20"/>
  <c r="D4"/>
  <c r="D5"/>
  <c r="D15"/>
  <c r="F4"/>
  <c r="F20"/>
  <c r="E8"/>
  <c r="Y47" i="20"/>
  <c r="W47"/>
  <c r="O47"/>
  <c r="N47"/>
  <c r="M47"/>
  <c r="L47"/>
  <c r="K47"/>
  <c r="J47"/>
  <c r="F47"/>
  <c r="X22"/>
  <c r="I22" i="24" s="1"/>
  <c r="E22" i="20"/>
  <c r="D22"/>
  <c r="C22"/>
  <c r="A22"/>
  <c r="X21"/>
  <c r="I21" i="24" s="1"/>
  <c r="E21" i="20"/>
  <c r="D21"/>
  <c r="C21"/>
  <c r="A21"/>
  <c r="X20"/>
  <c r="I20" i="24" s="1"/>
  <c r="E20" i="20"/>
  <c r="D20"/>
  <c r="C20"/>
  <c r="A20"/>
  <c r="X19"/>
  <c r="I19" i="24" s="1"/>
  <c r="E19" i="20"/>
  <c r="D19"/>
  <c r="C19"/>
  <c r="A19"/>
  <c r="X18"/>
  <c r="I18" i="24" s="1"/>
  <c r="E18" i="20"/>
  <c r="D18"/>
  <c r="C18"/>
  <c r="A18"/>
  <c r="X17"/>
  <c r="I17" i="24" s="1"/>
  <c r="E17" i="20"/>
  <c r="D17"/>
  <c r="C17"/>
  <c r="A17"/>
  <c r="X16"/>
  <c r="I16" i="24" s="1"/>
  <c r="BV16" s="1"/>
  <c r="E16" i="20"/>
  <c r="D16"/>
  <c r="C16"/>
  <c r="A16"/>
  <c r="BJ47" i="4"/>
  <c r="BI47"/>
  <c r="BH47"/>
  <c r="BG47"/>
  <c r="BF47"/>
  <c r="BE47"/>
  <c r="BD47"/>
  <c r="BC47"/>
  <c r="BB47"/>
  <c r="BA47"/>
  <c r="AZ47"/>
  <c r="AY47"/>
  <c r="AX47"/>
  <c r="AW47"/>
  <c r="AV47"/>
  <c r="AU47"/>
  <c r="AT47"/>
  <c r="AS47"/>
  <c r="AR47"/>
  <c r="AQ47"/>
  <c r="AO47"/>
  <c r="AN47"/>
  <c r="AM47"/>
  <c r="AK47"/>
  <c r="AJ47"/>
  <c r="AI47"/>
  <c r="AH47"/>
  <c r="AG47"/>
  <c r="AF47"/>
  <c r="AD47"/>
  <c r="AC47"/>
  <c r="AB47"/>
  <c r="AA47"/>
  <c r="Z47"/>
  <c r="X47"/>
  <c r="V47"/>
  <c r="S47"/>
  <c r="R47"/>
  <c r="Q47"/>
  <c r="N47"/>
  <c r="M47"/>
  <c r="L47"/>
  <c r="H47"/>
  <c r="G47"/>
  <c r="F47"/>
  <c r="F22" i="24"/>
  <c r="E22" i="4"/>
  <c r="D22"/>
  <c r="C22"/>
  <c r="A22"/>
  <c r="F21" i="24"/>
  <c r="E21" i="4"/>
  <c r="D21"/>
  <c r="C21"/>
  <c r="A21"/>
  <c r="F20" i="24"/>
  <c r="E20" i="4"/>
  <c r="D20"/>
  <c r="C20"/>
  <c r="A20"/>
  <c r="F19" i="24"/>
  <c r="F18"/>
  <c r="F17"/>
  <c r="D19" i="27" l="1"/>
  <c r="AF47" i="5"/>
  <c r="AE47"/>
  <c r="AE19" i="26"/>
  <c r="AG19" s="1"/>
  <c r="J19" i="5" s="1"/>
  <c r="K19" s="1"/>
  <c r="E4" i="27"/>
  <c r="E19"/>
  <c r="AE20" i="26"/>
  <c r="AG20" s="1"/>
  <c r="I47" i="24"/>
  <c r="X47" i="20"/>
  <c r="F47" i="24"/>
  <c r="P47" i="4"/>
  <c r="I47"/>
  <c r="D12" i="27"/>
  <c r="E20"/>
  <c r="E7"/>
  <c r="AD47" i="16"/>
  <c r="AB47"/>
  <c r="X47"/>
  <c r="W47"/>
  <c r="V47"/>
  <c r="U47"/>
  <c r="T47"/>
  <c r="S47"/>
  <c r="J20" i="5" l="1"/>
  <c r="K20" s="1"/>
  <c r="J7"/>
  <c r="P7" i="9"/>
  <c r="P4"/>
  <c r="J4" i="5"/>
  <c r="D47" i="26"/>
  <c r="M47"/>
  <c r="H47" i="16"/>
  <c r="G47"/>
  <c r="K4" i="5" l="1"/>
  <c r="J16"/>
  <c r="K7"/>
  <c r="D22" i="24"/>
  <c r="BV22" s="1"/>
  <c r="F22" i="16"/>
  <c r="J22" s="1"/>
  <c r="E22"/>
  <c r="D22"/>
  <c r="C22"/>
  <c r="A22"/>
  <c r="D21" i="24"/>
  <c r="BV21" s="1"/>
  <c r="F21" i="16"/>
  <c r="J21" s="1"/>
  <c r="D21"/>
  <c r="C21"/>
  <c r="A21"/>
  <c r="D20" i="24"/>
  <c r="BV20" s="1"/>
  <c r="F20" i="16"/>
  <c r="J20" s="1"/>
  <c r="D20"/>
  <c r="C20"/>
  <c r="A20"/>
  <c r="D19" i="24"/>
  <c r="BV19" s="1"/>
  <c r="F19" i="16"/>
  <c r="J19" s="1"/>
  <c r="E19"/>
  <c r="I19" s="1"/>
  <c r="D19"/>
  <c r="C19"/>
  <c r="A19"/>
  <c r="D18" i="24"/>
  <c r="BV18" s="1"/>
  <c r="D17"/>
  <c r="BV17" s="1"/>
  <c r="L16" i="5"/>
  <c r="L15"/>
  <c r="L14"/>
  <c r="L13"/>
  <c r="L11"/>
  <c r="L10"/>
  <c r="L9"/>
  <c r="R7" i="9"/>
  <c r="L7" i="5" s="1"/>
  <c r="R6" i="9"/>
  <c r="L6" i="5" s="1"/>
  <c r="R4" i="9"/>
  <c r="L4" i="5" s="1"/>
  <c r="R3" i="9"/>
  <c r="L3" i="5" s="1"/>
  <c r="K16" l="1"/>
  <c r="M4"/>
  <c r="M10"/>
  <c r="M15"/>
  <c r="M6"/>
  <c r="M11"/>
  <c r="M16"/>
  <c r="M7"/>
  <c r="M13"/>
  <c r="M3"/>
  <c r="M9"/>
  <c r="M14"/>
  <c r="Q19" i="16"/>
  <c r="O19" s="1"/>
  <c r="Q22"/>
  <c r="O22" s="1"/>
  <c r="M20"/>
  <c r="K20"/>
  <c r="L20"/>
  <c r="L22"/>
  <c r="M22"/>
  <c r="K22"/>
  <c r="M19"/>
  <c r="K19"/>
  <c r="L19"/>
  <c r="M21"/>
  <c r="L21"/>
  <c r="K21"/>
  <c r="L18" i="5"/>
  <c r="M18" s="1"/>
  <c r="L20"/>
  <c r="M20" s="1"/>
  <c r="L17"/>
  <c r="M17" s="1"/>
  <c r="L19"/>
  <c r="M19" s="1"/>
  <c r="L21"/>
  <c r="M21" s="1"/>
  <c r="B22" i="14"/>
  <c r="A22"/>
  <c r="B21"/>
  <c r="A21"/>
  <c r="B20"/>
  <c r="A20"/>
  <c r="B19"/>
  <c r="A19"/>
  <c r="H47" i="12"/>
  <c r="AC47" i="16" l="1"/>
  <c r="P22"/>
  <c r="R22" s="1"/>
  <c r="R22" i="10" s="1"/>
  <c r="P20" i="16"/>
  <c r="R8" i="10"/>
  <c r="Q21" i="16"/>
  <c r="O21" s="1"/>
  <c r="Q20"/>
  <c r="P21"/>
  <c r="P19"/>
  <c r="N20" l="1"/>
  <c r="I20" i="1" s="1"/>
  <c r="N22" i="16"/>
  <c r="I22" i="1" s="1"/>
  <c r="AO47" i="16"/>
  <c r="R20"/>
  <c r="R20" i="10" s="1"/>
  <c r="O20" i="16"/>
  <c r="R13" i="10"/>
  <c r="R15"/>
  <c r="R3"/>
  <c r="R18"/>
  <c r="R5"/>
  <c r="K47" i="16"/>
  <c r="R14" i="10"/>
  <c r="N21" i="16"/>
  <c r="I21" i="1" s="1"/>
  <c r="R21" i="16"/>
  <c r="R21" i="10" s="1"/>
  <c r="R12"/>
  <c r="R11"/>
  <c r="R6"/>
  <c r="R9"/>
  <c r="R19" i="16"/>
  <c r="R19" i="10" s="1"/>
  <c r="N19" i="16"/>
  <c r="I19" i="1" s="1"/>
  <c r="R7" i="10"/>
  <c r="R10"/>
  <c r="R16"/>
  <c r="R4"/>
  <c r="R17"/>
  <c r="M47" i="16"/>
  <c r="L47"/>
  <c r="J47"/>
  <c r="D47" i="24"/>
  <c r="I47" i="16"/>
  <c r="D22" i="12"/>
  <c r="C22"/>
  <c r="A22"/>
  <c r="C21"/>
  <c r="A21"/>
  <c r="C20"/>
  <c r="A20"/>
  <c r="D19"/>
  <c r="C19"/>
  <c r="A19"/>
  <c r="G47"/>
  <c r="Q47" i="16" l="1"/>
  <c r="P47"/>
  <c r="BV47" i="24"/>
  <c r="G47" i="13"/>
  <c r="F47"/>
  <c r="E47"/>
  <c r="R47" i="9" l="1"/>
  <c r="O47" i="16"/>
  <c r="R47"/>
  <c r="R47" i="10"/>
  <c r="N47" i="16"/>
  <c r="N46" i="9" l="1"/>
  <c r="O22" i="13"/>
  <c r="P22" i="14" s="1"/>
  <c r="D22" i="13"/>
  <c r="C22"/>
  <c r="A22"/>
  <c r="O21"/>
  <c r="D21"/>
  <c r="H21" s="1"/>
  <c r="C21"/>
  <c r="A21"/>
  <c r="O20"/>
  <c r="D20"/>
  <c r="H20" s="1"/>
  <c r="C20"/>
  <c r="A20"/>
  <c r="O19"/>
  <c r="P19" i="14" s="1"/>
  <c r="D19" i="13"/>
  <c r="H19" s="1"/>
  <c r="C19"/>
  <c r="A19"/>
  <c r="J46" i="25" l="1"/>
  <c r="I46"/>
  <c r="H46"/>
  <c r="G46"/>
  <c r="F46"/>
  <c r="E46"/>
  <c r="D46"/>
  <c r="A46"/>
  <c r="C21"/>
  <c r="B21"/>
  <c r="C20"/>
  <c r="B20"/>
  <c r="N47" i="1"/>
  <c r="L47"/>
  <c r="J22" l="1"/>
  <c r="J19"/>
  <c r="G47" l="1"/>
  <c r="J47" l="1"/>
  <c r="K47"/>
  <c r="L22" i="5" l="1"/>
  <c r="M22" s="1"/>
  <c r="H22" i="1" l="1"/>
  <c r="H19"/>
  <c r="I47" l="1"/>
  <c r="O47" i="13" l="1"/>
  <c r="F9" i="27"/>
  <c r="F14"/>
  <c r="F21"/>
  <c r="F22"/>
  <c r="AF47" i="26"/>
  <c r="D6" i="27"/>
  <c r="D10"/>
  <c r="D14"/>
  <c r="D18"/>
  <c r="D22"/>
  <c r="E3"/>
  <c r="E5"/>
  <c r="E6"/>
  <c r="E9"/>
  <c r="E10"/>
  <c r="E11"/>
  <c r="E13"/>
  <c r="E14"/>
  <c r="E15"/>
  <c r="E17"/>
  <c r="E18"/>
  <c r="E21"/>
  <c r="E22"/>
  <c r="P47" i="14" l="1"/>
  <c r="H24" i="1"/>
  <c r="M24" s="1"/>
  <c r="K24" i="9"/>
  <c r="I21" i="13"/>
  <c r="L21" s="1"/>
  <c r="J21"/>
  <c r="G21" i="27" s="1"/>
  <c r="G13"/>
  <c r="H5"/>
  <c r="I22" i="13"/>
  <c r="M22" s="1"/>
  <c r="X22" i="27" s="1"/>
  <c r="W10"/>
  <c r="I19" i="13"/>
  <c r="L19" s="1"/>
  <c r="J19"/>
  <c r="H7" i="27"/>
  <c r="H17"/>
  <c r="V17"/>
  <c r="J6"/>
  <c r="I20" i="13"/>
  <c r="L20" s="1"/>
  <c r="J20"/>
  <c r="I16" i="27"/>
  <c r="F3"/>
  <c r="M47" i="5"/>
  <c r="L47"/>
  <c r="D47" i="27"/>
  <c r="F6"/>
  <c r="F15"/>
  <c r="E47"/>
  <c r="F10"/>
  <c r="H11"/>
  <c r="H3"/>
  <c r="H21"/>
  <c r="H13"/>
  <c r="H9"/>
  <c r="F11"/>
  <c r="V47" i="26"/>
  <c r="H15" i="27"/>
  <c r="F18"/>
  <c r="AE22" i="26"/>
  <c r="AG22" s="1"/>
  <c r="F13" i="27"/>
  <c r="F5"/>
  <c r="H4"/>
  <c r="H20"/>
  <c r="H18"/>
  <c r="H14"/>
  <c r="H8"/>
  <c r="H47" i="13"/>
  <c r="F17" i="27"/>
  <c r="AE21" i="26"/>
  <c r="AG21" s="1"/>
  <c r="H12" i="27"/>
  <c r="H22"/>
  <c r="H19"/>
  <c r="H16"/>
  <c r="H10"/>
  <c r="H6"/>
  <c r="J21" i="5" l="1"/>
  <c r="K21" s="1"/>
  <c r="H47" i="1"/>
  <c r="J17" i="5"/>
  <c r="K17" s="1"/>
  <c r="J3"/>
  <c r="P3" i="9"/>
  <c r="J10" i="5"/>
  <c r="J15"/>
  <c r="P6" i="9"/>
  <c r="J6" i="5"/>
  <c r="J13"/>
  <c r="J18"/>
  <c r="K18" s="1"/>
  <c r="M21" i="13"/>
  <c r="J21" i="27" s="1"/>
  <c r="J16"/>
  <c r="I10"/>
  <c r="M19" i="13"/>
  <c r="X19" i="27" s="1"/>
  <c r="J12"/>
  <c r="J11"/>
  <c r="I8"/>
  <c r="W17"/>
  <c r="J3"/>
  <c r="W16"/>
  <c r="X10"/>
  <c r="L22" i="13"/>
  <c r="P22" s="1"/>
  <c r="W5" i="27"/>
  <c r="X6"/>
  <c r="I7"/>
  <c r="X18"/>
  <c r="X17"/>
  <c r="X14"/>
  <c r="I47" i="13"/>
  <c r="X15" i="27"/>
  <c r="X7"/>
  <c r="J22"/>
  <c r="M20" i="13"/>
  <c r="P20" s="1"/>
  <c r="L20" i="9" s="1"/>
  <c r="X4" i="27"/>
  <c r="X5"/>
  <c r="I6"/>
  <c r="V9"/>
  <c r="J8"/>
  <c r="X8"/>
  <c r="J22" i="5"/>
  <c r="K22" s="1"/>
  <c r="I15" i="27"/>
  <c r="W15"/>
  <c r="G11"/>
  <c r="V11"/>
  <c r="I12"/>
  <c r="W12"/>
  <c r="I18"/>
  <c r="W18"/>
  <c r="I14"/>
  <c r="W14"/>
  <c r="I19"/>
  <c r="W19"/>
  <c r="I3"/>
  <c r="W3"/>
  <c r="I11"/>
  <c r="W11"/>
  <c r="G19"/>
  <c r="V19"/>
  <c r="V16"/>
  <c r="V10"/>
  <c r="V22"/>
  <c r="V18"/>
  <c r="V4"/>
  <c r="V21"/>
  <c r="I4"/>
  <c r="W4"/>
  <c r="J9"/>
  <c r="X9"/>
  <c r="J13"/>
  <c r="X13"/>
  <c r="I21"/>
  <c r="W21"/>
  <c r="G3"/>
  <c r="V3"/>
  <c r="I20"/>
  <c r="W20"/>
  <c r="G5"/>
  <c r="V5"/>
  <c r="G7"/>
  <c r="V7"/>
  <c r="V20"/>
  <c r="V6"/>
  <c r="V12"/>
  <c r="V8"/>
  <c r="V14"/>
  <c r="V13"/>
  <c r="V15"/>
  <c r="G17"/>
  <c r="G9"/>
  <c r="G15"/>
  <c r="G6"/>
  <c r="G10"/>
  <c r="K47" i="13"/>
  <c r="G20" i="27"/>
  <c r="G16"/>
  <c r="G22"/>
  <c r="G8"/>
  <c r="G14"/>
  <c r="G18"/>
  <c r="AE47" i="26"/>
  <c r="G12" i="27"/>
  <c r="J47" i="13"/>
  <c r="G4" i="27"/>
  <c r="F47"/>
  <c r="J9" i="5" l="1"/>
  <c r="K3"/>
  <c r="J11"/>
  <c r="K6"/>
  <c r="K13"/>
  <c r="AG47" i="26"/>
  <c r="J14" i="5"/>
  <c r="K15"/>
  <c r="K10"/>
  <c r="X21" i="27"/>
  <c r="P21" i="13"/>
  <c r="X16" i="27"/>
  <c r="I9"/>
  <c r="W9"/>
  <c r="J17"/>
  <c r="X3"/>
  <c r="F4" i="1"/>
  <c r="M4" s="1"/>
  <c r="I17" i="27"/>
  <c r="J4"/>
  <c r="W22"/>
  <c r="X11"/>
  <c r="P19" i="13"/>
  <c r="L19" i="9" s="1"/>
  <c r="J19" i="27"/>
  <c r="X12"/>
  <c r="J10"/>
  <c r="I13"/>
  <c r="J20"/>
  <c r="W8"/>
  <c r="W13"/>
  <c r="W7"/>
  <c r="I5"/>
  <c r="I22"/>
  <c r="L17" i="9"/>
  <c r="J5" i="27"/>
  <c r="J7"/>
  <c r="X20"/>
  <c r="L18" i="9"/>
  <c r="J18" i="27"/>
  <c r="J14"/>
  <c r="F14" i="1"/>
  <c r="M14" s="1"/>
  <c r="W6" i="27"/>
  <c r="M47" i="13"/>
  <c r="L47"/>
  <c r="J15" i="27"/>
  <c r="N22" i="13"/>
  <c r="F22" i="1" s="1"/>
  <c r="M22" s="1"/>
  <c r="L22" i="9"/>
  <c r="N20" i="13"/>
  <c r="F20" i="1" s="1"/>
  <c r="M20" s="1"/>
  <c r="P20" s="1"/>
  <c r="F9"/>
  <c r="M9" s="1"/>
  <c r="F13"/>
  <c r="M13" s="1"/>
  <c r="H47" i="27"/>
  <c r="G47"/>
  <c r="N21" i="13" l="1"/>
  <c r="F21" i="1" s="1"/>
  <c r="M21" s="1"/>
  <c r="P21" s="1"/>
  <c r="L21" i="9"/>
  <c r="F21" i="5" s="1"/>
  <c r="H21" s="1"/>
  <c r="P47" i="9"/>
  <c r="J47" i="5"/>
  <c r="P14" i="1"/>
  <c r="N14" i="5" s="1"/>
  <c r="O14" s="1"/>
  <c r="P13" i="1"/>
  <c r="N13" i="5" s="1"/>
  <c r="O13" s="1"/>
  <c r="P9" i="1"/>
  <c r="N9" i="9" s="1"/>
  <c r="N9" i="5" s="1"/>
  <c r="O9" s="1"/>
  <c r="P4" i="1"/>
  <c r="N4" i="9" s="1"/>
  <c r="N4" i="5" s="1"/>
  <c r="C4" i="23"/>
  <c r="E4" s="1"/>
  <c r="K11" i="5"/>
  <c r="K14"/>
  <c r="K9"/>
  <c r="F11" i="1"/>
  <c r="M11" s="1"/>
  <c r="F10"/>
  <c r="M10" s="1"/>
  <c r="P23"/>
  <c r="N19" i="13"/>
  <c r="F19" i="1" s="1"/>
  <c r="M19" s="1"/>
  <c r="F7"/>
  <c r="M7" s="1"/>
  <c r="F15"/>
  <c r="M15" s="1"/>
  <c r="J47" i="27"/>
  <c r="I47"/>
  <c r="P47" i="13"/>
  <c r="F6" i="1"/>
  <c r="M6" s="1"/>
  <c r="F17" i="5"/>
  <c r="H17" s="1"/>
  <c r="F18"/>
  <c r="H18" s="1"/>
  <c r="F19"/>
  <c r="H19" s="1"/>
  <c r="F20"/>
  <c r="H20" s="1"/>
  <c r="F22"/>
  <c r="H22" s="1"/>
  <c r="C20" i="23"/>
  <c r="O4" i="5" l="1"/>
  <c r="C19" i="23"/>
  <c r="N21" i="5"/>
  <c r="O21" s="1"/>
  <c r="P6" i="1"/>
  <c r="N6" i="9" s="1"/>
  <c r="N6" i="5" s="1"/>
  <c r="O6" s="1"/>
  <c r="C6" i="23"/>
  <c r="E6" s="1"/>
  <c r="P11" i="1"/>
  <c r="N11" i="5" s="1"/>
  <c r="O11" s="1"/>
  <c r="C11" i="23"/>
  <c r="E11" s="1"/>
  <c r="AG14" i="5"/>
  <c r="AD14"/>
  <c r="P10" i="1"/>
  <c r="N10" i="5" s="1"/>
  <c r="O10" s="1"/>
  <c r="AG9"/>
  <c r="AD9"/>
  <c r="P7" i="1"/>
  <c r="N7" i="9" s="1"/>
  <c r="N7" i="5" s="1"/>
  <c r="O7" s="1"/>
  <c r="C7" i="23"/>
  <c r="E7" s="1"/>
  <c r="AD13" i="5"/>
  <c r="AG13"/>
  <c r="P15" i="1"/>
  <c r="N15" i="5" s="1"/>
  <c r="O15" s="1"/>
  <c r="C15" i="23"/>
  <c r="E15" s="1"/>
  <c r="AD4" i="5"/>
  <c r="AG4"/>
  <c r="K47"/>
  <c r="I19"/>
  <c r="I21"/>
  <c r="I17"/>
  <c r="I20"/>
  <c r="I18"/>
  <c r="F3" i="1"/>
  <c r="M3" s="1"/>
  <c r="F16"/>
  <c r="M16" s="1"/>
  <c r="F18"/>
  <c r="M18" s="1"/>
  <c r="F17"/>
  <c r="M17" s="1"/>
  <c r="L47" i="9"/>
  <c r="N47" i="13"/>
  <c r="AD22" i="5"/>
  <c r="AG22"/>
  <c r="P5" i="10"/>
  <c r="P13"/>
  <c r="K22" i="9"/>
  <c r="P22" i="10" s="1"/>
  <c r="P22" i="1"/>
  <c r="P11" i="10"/>
  <c r="K17" i="9"/>
  <c r="P17" i="10" s="1"/>
  <c r="D17" i="23"/>
  <c r="P8" i="10"/>
  <c r="P16"/>
  <c r="P15"/>
  <c r="P3"/>
  <c r="K18" i="9"/>
  <c r="P18" i="10" s="1"/>
  <c r="P21"/>
  <c r="I22" i="5"/>
  <c r="K19" i="9"/>
  <c r="P19" i="10" s="1"/>
  <c r="D19" i="23"/>
  <c r="P19" i="1"/>
  <c r="P7" i="10"/>
  <c r="D20" i="23"/>
  <c r="E20" s="1"/>
  <c r="P20" i="10"/>
  <c r="N20" i="5"/>
  <c r="O20" s="1"/>
  <c r="P12" i="10"/>
  <c r="P14"/>
  <c r="P6"/>
  <c r="P9"/>
  <c r="P4"/>
  <c r="P10"/>
  <c r="P24" i="1" l="1"/>
  <c r="M42"/>
  <c r="N19" i="5"/>
  <c r="O19" s="1"/>
  <c r="N22"/>
  <c r="O22" s="1"/>
  <c r="E19" i="23"/>
  <c r="C3"/>
  <c r="E3" s="1"/>
  <c r="P17" i="1"/>
  <c r="AD17" i="5"/>
  <c r="P18" i="1"/>
  <c r="AD18" i="5"/>
  <c r="AH9"/>
  <c r="U9"/>
  <c r="V9" s="1"/>
  <c r="U13"/>
  <c r="V13" s="1"/>
  <c r="U14"/>
  <c r="V14" s="1"/>
  <c r="AH22"/>
  <c r="U22"/>
  <c r="V22" s="1"/>
  <c r="C17" i="23"/>
  <c r="E17" s="1"/>
  <c r="U4" i="5"/>
  <c r="V4" s="1"/>
  <c r="P16" i="1"/>
  <c r="C16" i="23"/>
  <c r="E16" s="1"/>
  <c r="AH13" i="5"/>
  <c r="AH4"/>
  <c r="AG10"/>
  <c r="AD10"/>
  <c r="AD6"/>
  <c r="AG6"/>
  <c r="P3" i="1"/>
  <c r="N3" i="9" s="1"/>
  <c r="N3" i="5" s="1"/>
  <c r="O3" s="1"/>
  <c r="AG15"/>
  <c r="AD15"/>
  <c r="AD11"/>
  <c r="AG11"/>
  <c r="AH14"/>
  <c r="AG7"/>
  <c r="AD7"/>
  <c r="AD20"/>
  <c r="AG20"/>
  <c r="AG19"/>
  <c r="AD19"/>
  <c r="AD21"/>
  <c r="AG21"/>
  <c r="O47" i="1"/>
  <c r="H47" i="5"/>
  <c r="O47" i="9"/>
  <c r="F47" i="5"/>
  <c r="P42" i="1" l="1"/>
  <c r="P47" s="1"/>
  <c r="F47"/>
  <c r="M47"/>
  <c r="N16" i="5"/>
  <c r="N18"/>
  <c r="O18" s="1"/>
  <c r="N17"/>
  <c r="O17" s="1"/>
  <c r="X22"/>
  <c r="X14"/>
  <c r="X9"/>
  <c r="X13"/>
  <c r="U19"/>
  <c r="V19" s="1"/>
  <c r="U6"/>
  <c r="V6" s="1"/>
  <c r="U15"/>
  <c r="V15" s="1"/>
  <c r="U11"/>
  <c r="V11" s="1"/>
  <c r="U10"/>
  <c r="V10" s="1"/>
  <c r="U21"/>
  <c r="V21" s="1"/>
  <c r="U20"/>
  <c r="V20" s="1"/>
  <c r="U7"/>
  <c r="V7" s="1"/>
  <c r="X4"/>
  <c r="AG17"/>
  <c r="AG18"/>
  <c r="AD16"/>
  <c r="AG16"/>
  <c r="AD3"/>
  <c r="AG3"/>
  <c r="AH10"/>
  <c r="AH7"/>
  <c r="AH11"/>
  <c r="AH15"/>
  <c r="AH6"/>
  <c r="AH21"/>
  <c r="AH20"/>
  <c r="AH19"/>
  <c r="K47" i="9"/>
  <c r="I47" i="5"/>
  <c r="D47" i="23"/>
  <c r="P47" i="10"/>
  <c r="AC47" i="5"/>
  <c r="E47" i="23"/>
  <c r="C47"/>
  <c r="N47" i="9" l="1"/>
  <c r="O16" i="5"/>
  <c r="O47" s="1"/>
  <c r="N47"/>
  <c r="X20"/>
  <c r="AD47"/>
  <c r="X10"/>
  <c r="X7"/>
  <c r="X15"/>
  <c r="X11"/>
  <c r="U16"/>
  <c r="V16" s="1"/>
  <c r="AH17"/>
  <c r="U17"/>
  <c r="V17" s="1"/>
  <c r="X19"/>
  <c r="AH18"/>
  <c r="U18"/>
  <c r="V18" s="1"/>
  <c r="X21"/>
  <c r="X6"/>
  <c r="U3"/>
  <c r="V3" s="1"/>
  <c r="AH16"/>
  <c r="AH3"/>
  <c r="AG47"/>
  <c r="AJ47"/>
  <c r="X16" l="1"/>
  <c r="X18"/>
  <c r="X17"/>
  <c r="X3"/>
  <c r="AH47"/>
  <c r="V47"/>
  <c r="U47"/>
  <c r="W47" l="1"/>
  <c r="X47"/>
</calcChain>
</file>

<file path=xl/sharedStrings.xml><?xml version="1.0" encoding="utf-8"?>
<sst xmlns="http://schemas.openxmlformats.org/spreadsheetml/2006/main" count="2399" uniqueCount="724">
  <si>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</si>
  <si>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</si>
  <si>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</si>
  <si>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</si>
  <si>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</si>
  <si>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</si>
  <si>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</si>
  <si>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</si>
  <si>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</si>
  <si>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</si>
  <si>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</si>
  <si>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</si>
  <si>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</si>
  <si>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</si>
  <si>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</si>
  <si>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</si>
  <si>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</si>
  <si>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</si>
  <si>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</si>
  <si>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</si>
  <si>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</si>
  <si>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</si>
  <si>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</si>
  <si>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</si>
  <si>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</si>
  <si>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</si>
  <si>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</si>
  <si>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</si>
  <si>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</si>
  <si>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</si>
  <si>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</si>
  <si>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</si>
  <si>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</si>
  <si>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</si>
  <si>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</si>
  <si>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</si>
  <si>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</si>
  <si>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</si>
  <si>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</si>
  <si>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</si>
  <si>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</si>
  <si>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</si>
  <si>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</si>
  <si>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</si>
  <si>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</si>
  <si>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</si>
  <si>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</si>
  <si>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</si>
  <si>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</si>
  <si>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</si>
  <si>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</si>
  <si>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</si>
  <si>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</si>
  <si>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</si>
  <si>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</si>
  <si>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</si>
  <si>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</si>
  <si>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</si>
  <si>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</si>
  <si>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</si>
  <si>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</si>
  <si>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</si>
  <si>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</si>
  <si>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</si>
  <si>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</si>
  <si>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</si>
  <si>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</si>
  <si>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</si>
  <si>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</si>
  <si>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</si>
  <si>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</si>
  <si>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</si>
  <si>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</si>
  <si>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</si>
  <si>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</si>
  <si>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</si>
  <si>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</si>
  <si>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</si>
  <si>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</si>
  <si>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</si>
  <si>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</si>
  <si>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</si>
  <si>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</si>
  <si>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</si>
  <si>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</si>
  <si>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</si>
  <si>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</si>
  <si>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</si>
  <si>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</si>
  <si>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</si>
  <si>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</si>
  <si>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</si>
  <si>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</si>
  <si>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</si>
  <si>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</si>
  <si>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</si>
  <si>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</si>
  <si>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</si>
  <si>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</si>
  <si>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</si>
  <si>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</si>
  <si>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</si>
  <si>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</si>
  <si>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</si>
  <si>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</si>
  <si>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</si>
  <si>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</si>
  <si>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</si>
  <si>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</si>
  <si>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</si>
  <si>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</si>
  <si>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</si>
  <si>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</si>
  <si>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</si>
  <si>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</si>
  <si>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</si>
  <si>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</si>
  <si>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</si>
  <si>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</si>
  <si>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</si>
  <si>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</si>
  <si>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</si>
  <si>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</si>
  <si>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</si>
  <si>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</si>
  <si>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</si>
  <si>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</si>
  <si>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</si>
  <si>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</si>
  <si>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</si>
  <si>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</si>
  <si>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</si>
  <si>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</si>
  <si>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</si>
  <si>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</si>
  <si>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</si>
  <si>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</si>
  <si>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</si>
  <si>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</si>
  <si>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</si>
  <si>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</si>
  <si>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</si>
  <si>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</si>
  <si>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</si>
  <si>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</si>
  <si>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</si>
  <si>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</si>
  <si>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</si>
  <si>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</si>
  <si>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</si>
  <si>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</si>
  <si>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</si>
  <si>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</si>
  <si>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</si>
  <si>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</si>
  <si>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</si>
  <si>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</si>
  <si>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</si>
  <si>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</si>
  <si>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</si>
  <si>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</si>
  <si>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</si>
  <si>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</si>
  <si>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</si>
  <si>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</si>
  <si>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</si>
  <si>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</si>
  <si>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</si>
  <si>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</si>
  <si>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</si>
  <si>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</si>
  <si>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</si>
  <si>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</si>
  <si>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</si>
  <si>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</si>
  <si>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</si>
  <si>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</si>
  <si>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</si>
  <si>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</si>
  <si>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</si>
  <si>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</si>
  <si>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</si>
  <si>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</si>
  <si>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</si>
  <si>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</si>
  <si>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</si>
  <si>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</si>
  <si>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</si>
  <si>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</si>
  <si>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</si>
  <si>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</si>
  <si>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</si>
  <si>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</si>
  <si>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</si>
  <si>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</si>
  <si>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</si>
  <si>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</si>
  <si>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</si>
  <si>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</si>
  <si>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</si>
  <si>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</si>
  <si>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</si>
  <si>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</si>
  <si>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</si>
  <si>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</si>
  <si>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</si>
  <si>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</si>
  <si>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</si>
  <si>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</si>
  <si>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</si>
  <si>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</si>
  <si>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</si>
  <si>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</si>
  <si>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</si>
  <si>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</si>
  <si>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</si>
  <si>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</si>
  <si>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</si>
  <si>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</si>
  <si>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</si>
  <si>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</si>
  <si>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</si>
  <si>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</si>
  <si>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</si>
  <si>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</si>
  <si>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</si>
  <si>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</si>
  <si>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</si>
  <si>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</si>
  <si>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</si>
  <si>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</si>
  <si>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</si>
  <si>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</si>
  <si>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</si>
  <si>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</si>
  <si>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</si>
  <si>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</si>
  <si>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</si>
  <si>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</si>
  <si>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</si>
  <si>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</si>
  <si>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</si>
  <si>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</si>
  <si>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</si>
  <si>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</si>
  <si>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</si>
  <si>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</si>
  <si>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</si>
  <si>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</si>
  <si>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</si>
  <si>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</si>
  <si>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</si>
  <si>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</si>
  <si>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</si>
  <si>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</si>
  <si>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</si>
  <si>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</si>
  <si>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</si>
  <si>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</si>
  <si>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</si>
  <si>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</si>
  <si>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</si>
  <si>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</si>
  <si>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</si>
  <si>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</si>
  <si>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</si>
  <si>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</si>
  <si>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</si>
  <si>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</si>
  <si>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</si>
  <si>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</si>
  <si>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</si>
  <si>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</si>
  <si>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</si>
  <si>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</si>
  <si>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</si>
  <si>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</si>
  <si>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</si>
  <si>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</si>
  <si>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</si>
  <si>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</si>
  <si>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</si>
  <si>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</si>
  <si>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</si>
  <si>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</si>
  <si>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</si>
  <si>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</si>
  <si>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</si>
  <si>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</si>
  <si>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</si>
  <si>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</si>
  <si>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</si>
  <si>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</si>
  <si>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</si>
  <si>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</si>
  <si>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</si>
  <si>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</si>
  <si>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</si>
  <si>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</si>
  <si>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</si>
  <si>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</si>
  <si>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</si>
  <si>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</si>
  <si>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</si>
  <si>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</si>
  <si>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</si>
  <si>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</si>
  <si>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</si>
  <si>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</si>
  <si>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</si>
  <si>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</si>
  <si>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</si>
  <si>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</si>
  <si>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</si>
  <si>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</si>
  <si>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</si>
  <si>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</si>
  <si>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</si>
  <si>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</si>
  <si>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</si>
  <si>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</si>
  <si>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</si>
  <si>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</si>
  <si>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</si>
  <si>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</si>
  <si>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</si>
  <si>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</si>
  <si>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</si>
  <si>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</si>
  <si>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</si>
  <si>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</si>
  <si>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</si>
  <si>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</si>
  <si>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</si>
  <si>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</si>
  <si>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</si>
  <si>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</si>
  <si>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</si>
  <si>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</si>
  <si>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</si>
  <si>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</si>
  <si>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</si>
  <si>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</si>
  <si>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</si>
  <si>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</si>
  <si>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</si>
  <si>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</si>
  <si>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</si>
  <si>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</si>
  <si>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</si>
  <si>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</si>
  <si>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</si>
  <si>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</si>
  <si>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</si>
  <si>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</si>
  <si>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</si>
  <si>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</si>
  <si>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</si>
  <si>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</si>
  <si>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</si>
  <si>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</si>
  <si>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</si>
  <si>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</si>
  <si>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</si>
  <si>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</si>
  <si>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</si>
  <si>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</si>
  <si>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</si>
  <si>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</si>
  <si>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</si>
  <si>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</si>
  <si>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</si>
  <si>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</si>
  <si>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</si>
  <si>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</si>
  <si>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</si>
  <si>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</si>
  <si>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</si>
  <si>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</si>
  <si>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</si>
  <si>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</si>
  <si>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</si>
  <si>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</si>
  <si>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</si>
  <si>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</si>
  <si>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</si>
  <si>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</si>
  <si>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</si>
  <si>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</si>
  <si>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</si>
  <si>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</si>
  <si>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</si>
  <si>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</si>
  <si>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</si>
  <si>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</si>
  <si>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</si>
  <si>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</si>
  <si>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</si>
  <si>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</si>
  <si>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</si>
  <si>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</si>
  <si>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</si>
  <si>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</si>
  <si>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</si>
  <si>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</si>
  <si>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</si>
  <si>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</si>
  <si>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</si>
  <si>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</si>
  <si>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</si>
  <si>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</si>
  <si>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</si>
  <si>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</si>
  <si>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</si>
  <si>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</si>
  <si>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</si>
  <si>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</si>
  <si>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</si>
  <si>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</si>
  <si>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</si>
  <si>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</si>
  <si>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</si>
  <si>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</si>
  <si>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</si>
  <si>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</si>
  <si>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</si>
  <si>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</si>
  <si>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</si>
  <si>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</si>
  <si>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</si>
  <si>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</si>
  <si>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</si>
  <si>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</si>
  <si>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</si>
  <si>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</si>
  <si>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</si>
  <si>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</si>
  <si>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</si>
  <si>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</si>
  <si>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</si>
  <si>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</si>
  <si>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</si>
  <si>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</si>
  <si>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</si>
  <si>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</si>
  <si>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</si>
  <si>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</si>
  <si>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</si>
  <si>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</si>
  <si>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</si>
  <si>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</si>
  <si>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</si>
  <si>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</si>
  <si>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</si>
  <si>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</si>
  <si>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</si>
  <si>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</si>
  <si>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</si>
  <si>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</si>
  <si>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</si>
  <si>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</si>
  <si>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</si>
  <si>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</si>
  <si>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</si>
  <si>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</si>
  <si>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</si>
  <si>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</si>
  <si>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</si>
  <si>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</si>
  <si>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</si>
  <si>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</si>
  <si>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</si>
  <si>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</si>
  <si>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</si>
  <si>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</si>
  <si>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</si>
  <si>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</si>
  <si>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</si>
  <si>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</si>
  <si>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</si>
  <si>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</si>
  <si>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</si>
  <si>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</si>
  <si>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</si>
  <si>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</si>
  <si>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</si>
  <si>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</si>
  <si>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</si>
  <si>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</si>
  <si>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</si>
  <si>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</si>
  <si>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>Κύρος</t>
  </si>
  <si>
    <t>300δρχ για τα 10 φύλλα + 250δρχ  υπόλοιπα φύλλα {{{ από ??/??/1988 έως 27/09/1994 }}}</t>
  </si>
  <si>
    <t>αντίγραφα = 300</t>
  </si>
  <si>
    <t>δικαιώματα επί μεταγραφής = 300</t>
  </si>
  <si>
    <t>500 + 1000</t>
  </si>
  <si>
    <t>300 ανά φύλλο</t>
  </si>
  <si>
    <t>ΚΥΡΟΣ</t>
  </si>
  <si>
    <t>υποθήκη δανείου</t>
  </si>
  <si>
    <t xml:space="preserve">ΕΠΙ ΠΑΝΤΟΣ συμβολαιογραφικού εγγράφου ο Συμβολαιογράφος παίρνει ως αμοιβή = 400δρχ (25-05-1988 έως 27-09-1994) </t>
  </si>
  <si>
    <t>το 1</t>
  </si>
  <si>
    <t>120 έως 250 + 120 έως 360 + 10/χλμ</t>
  </si>
  <si>
    <t>10/05/1981 έως 30/08/1984</t>
  </si>
  <si>
    <t>σύμβαση παροχής δικαιώματος εγγραφής υποθήκης 20.000δρχ</t>
  </si>
  <si>
    <t>υποθήκη τυχόν αυξήσεως ΤΟΚΩΝ δανείου</t>
  </si>
  <si>
    <t>δάνειο</t>
  </si>
  <si>
    <t>τόκοι δανείου</t>
  </si>
  <si>
    <t>αγοραπ</t>
  </si>
  <si>
    <t>τόκοι δανείου {εμπρόθεσμα πληρωθέντες}</t>
  </si>
  <si>
    <t>αναλογικα</t>
  </si>
  <si>
    <t xml:space="preserve"> 2' φύλλα [= </t>
  </si>
  <si>
    <t>φ7</t>
  </si>
  <si>
    <t>1 με 1</t>
  </si>
  <si>
    <t>επόμενες πράξεις</t>
  </si>
  <si>
    <t>2 δάνειο ΕΞΟΦΛΗΣΗ</t>
  </si>
  <si>
    <t>3 υποθήκης ΕΞΑΛΕΙΨΗ</t>
  </si>
  <si>
    <t>3 =  ΤΟΚΟΙ {= προπληρωθέντες VS υπερΠληρωθέντες</t>
  </si>
  <si>
    <t>ΚΥΡΟΣ σύνολο</t>
  </si>
  <si>
    <t>Δ.Ο.Υ. = τέλη χαρτοσήμου {κ-15 ;;;;??? ή ''3.600'' ;;;???} = 720</t>
  </si>
  <si>
    <t>κ15 πληρωμή = 256δρχ</t>
  </si>
  <si>
    <t>τσουλκανης/χατζηαναστασιου</t>
  </si>
  <si>
    <t>οικόπεδο 4.050μ2</t>
  </si>
  <si>
    <t>ΤΑΝ-κ-18</t>
  </si>
  <si>
    <t>Λλειπει αξία εργαστασίου</t>
  </si>
  <si>
    <t>ΛΕΙΠΕΙ αξία παγίων</t>
  </si>
  <si>
    <t>ΛΕΙΠΟΥΝ εργοασταίου μ2</t>
  </si>
  <si>
    <t>αγορά εργοστασίου ;;;??? μ2</t>
  </si>
  <si>
    <t>αγορά εργοστασίου ΕΞΟΠΛΙΣΜΟΣ</t>
  </si>
  <si>
    <t>Δ.Ο.Υ. που είναι ;;;???</t>
  </si>
  <si>
    <t>1200 το 1</t>
  </si>
  <si>
    <t>τεληΧαρτοσ</t>
  </si>
  <si>
    <t>ΙΣΤ</t>
  </si>
  <si>
    <t>69/3292/1982</t>
  </si>
  <si>
    <t>υποθήκη 100.000δρχ</t>
  </si>
  <si>
    <t>πληρεξούσιο</t>
  </si>
  <si>
    <t>φ3</t>
  </si>
  <si>
    <t>φ4</t>
  </si>
  <si>
    <t>μαντεψιά</t>
  </si>
  <si>
    <t>ΔΕΝ υπάρχουν τα απαραίτητα έγγραφα [375 &amp; 389</t>
  </si>
  <si>
    <t>σε €</t>
  </si>
  <si>
    <t>ΞΑΝΑ υποθήκη το οικόπεδο &amp; το εργοαστάσιο &amp; ο εξοπλισμός</t>
  </si>
  <si>
    <t>στο 6137 ΛΕΕΙ ως υποθήκη = ΙΕ-98</t>
  </si>
  <si>
    <t>7ος/220/1983</t>
  </si>
  <si>
    <t>αναφέρει ΞΑΝΑ την 93-31/01/1976εθν</t>
  </si>
  <si>
    <t xml:space="preserve">επόμενες πράξεις </t>
  </si>
  <si>
    <t>δανείου 389εθν ΕΞΟΦΛΗΣΗ</t>
  </si>
  <si>
    <t>υποθήκης  389εθν ΕΞΑΛΕΙΨΗ</t>
  </si>
  <si>
    <t>ΤΟΚΟΙ {= προπληρωθέντες VS υπερΠληρωθέντες</t>
  </si>
  <si>
    <t>800 το 1</t>
  </si>
  <si>
    <t>κοινότηταΠαναγιας [= ματσανηςΓεωργιος</t>
  </si>
  <si>
    <t>8% στις πωλήσεις &amp; 10% στα ακατέργαστα προιόντα</t>
  </si>
  <si>
    <t>μίσθωση … ΚΤΙΡΙΑΚΑ &amp; τεχνικές εγκαταστάσεις &amp; ΚΛΠ</t>
  </si>
  <si>
    <t>μίσθωση … ΕΡΕΥΝΗΤΙΚΕΣ εργασίες</t>
  </si>
  <si>
    <t>μίσθωση ….. κόστος έργων αποκατάστασης</t>
  </si>
  <si>
    <t>παράταη κάθε 3 έτη έως 15ετία [προ 3μηνου της λήξης</t>
  </si>
  <si>
    <t>παράταση , μετά =+ 10ετία</t>
  </si>
  <si>
    <t>ΑΠΑΓΟΡΕΥΕΤΑΙ υπομίσθωση ή παραχώρηση χρήσης</t>
  </si>
  <si>
    <t>εκτός ΑΝ μπεί σε εταιρεία</t>
  </si>
  <si>
    <t>15/7/1987 έως 25/5/1988</t>
  </si>
  <si>
    <t xml:space="preserve">από 25/05/1988 έως 27/09/1994 </t>
  </si>
  <si>
    <t xml:space="preserve">ΕΠΙ ΠΑΝΤΟΣ συμβολαιογραφικού εγγράφου ο Συμβολαιογράφος παίρνει ως αμοιβή = 400δρχ (15-07-1987 έως 25-05-1988) </t>
  </si>
  <si>
    <t xml:space="preserve">ΕΠΙ ΠΑΝΤΟΣ συμβολαιογραφικού εγγράφου ο Συμβολαιογράφος παίρνει ως αμοιβή = 100δρχ (11-05-1981 έως 30-08-1984) </t>
  </si>
  <si>
    <t>60.000δρχ*3% = 1.800 ---+---  υπόλοιπο *1,15% {{{ από 15-07-19+87  έως 25-05-1988}}}</t>
  </si>
  <si>
    <t>πάγιες = 1.000δρχ για 1ο φύλλο {{{ 15-07-1987 έως 25-05-1988 }}}</t>
  </si>
  <si>
    <t>300δρχ για υπόλοιπα 10 φύλλα + 250δρχ  υπόλοιπα φύλλα {{{ από 15-07-1987 έως 25-05-1988 }}}</t>
  </si>
  <si>
    <t>300δρχ για υπόλοιπα 10 φύλλα + 250δρχ  υπόλοιπα φύλλα {{{ από 26-05-1988 έως 27/09/1994 }}}</t>
  </si>
  <si>
    <t>300δρχ για τα 10 φύλλα + 250δρχ  υπόλοιπα φύλλα {{{ από 15-07-1987 έως 25-05-1988 }}}</t>
  </si>
  <si>
    <t>300δρχ για τα 10 φύλλα + 250δρχ  υπόλοιπα φύλλα {{{ από 26-05-1988 έως 27/09/1994 }}}</t>
  </si>
  <si>
    <t xml:space="preserve">από  26-05-1988 έως 27/09/1994 </t>
  </si>
  <si>
    <t>από  15-07-1987 έως 25-05-1988</t>
  </si>
  <si>
    <t>μίσθωση … ΕΡΕΥΝΗΤΙΚΕΣ εργασίες … ΔΕΝ αναφέρεται σε κανένα έγγραφο</t>
  </si>
  <si>
    <t>μίσθωση ….. κόστος έργων αποκατάστασης   ΔΕΝ αναφέρεται σε κανένα έγγραφο</t>
  </si>
  <si>
    <t>ημερ</t>
  </si>
  <si>
    <t>φ13</t>
  </si>
  <si>
    <t>3900 το 1</t>
  </si>
  <si>
    <t>μετρτητά = 153.129δρχ</t>
  </si>
  <si>
    <t>πρώην επιχ = 37.846.871δρχ</t>
  </si>
  <si>
    <t>διάρκεια = 50 έτη</t>
  </si>
  <si>
    <t>1000δρχ η κάθε μετοχή</t>
  </si>
  <si>
    <t xml:space="preserve">οικόπεδο 0,99μ2 &amp; ξενοδοχείο [μπετάΤοιχΗλεκτρολ] Λιμένα </t>
  </si>
  <si>
    <t>πληρεξουσιότητα</t>
  </si>
  <si>
    <t>2.000 + 3.000</t>
  </si>
  <si>
    <t>από 27/09/1994 έως 08/11/1996</t>
  </si>
  <si>
    <t>1.000 + 2.000</t>
  </si>
  <si>
    <t>πάγιες = 1.000δρχ για 1ο φύλλο {{{ 25-05-1988 έως 25-05-1994 }}}</t>
  </si>
  <si>
    <t>60.000δρχ*3% = 1.800 ---+---  υπόλοιπο *1,15% {{{ από 25-05-1988 έως 27-09-1994}}}</t>
  </si>
  <si>
    <t>40.000δρχ*3% = 1.200 ---+---  υπόλοιπο *1% {{{ από 11-05-1981 έως 30-08-1984}}}</t>
  </si>
  <si>
    <t>πάγιες = 250δρχ για 1ο φύλλο {{{ 11-05-1981 έως 30-08-1984 }}}</t>
  </si>
  <si>
    <t>100δρχ για υπόλοιπα φύλλα {{{ από 11-05-1981 έως 30/08/1984 }}}</t>
  </si>
  <si>
    <t>100δρχ {{{ από 11-05-1981 έως 30/08/1984 }}}</t>
  </si>
  <si>
    <t>300δρχ για τα 10 φύλλα + 250δρχ  υπόλοιπα φύλλα {{{ από 11-05-1981 έως 30/08/1984 }}}</t>
  </si>
  <si>
    <t>01/09/1984 έως 04/07/1985</t>
  </si>
  <si>
    <t>05-07-1985 έως 15/7/1987</t>
  </si>
  <si>
    <t>300δρχ για τα 10 φύλλα + 250δρχ  υπόλοιπα φύλλα {{{ από 01-09-1984 έως 03-07-1985 }}}</t>
  </si>
  <si>
    <t>300δρχ για τα 10 φύλλα + 250δρχ  υπόλοιπα φύλλα {{{ από 04-07-1985 έως 15-07-1987 }}}</t>
  </si>
  <si>
    <t>100δρχ {{{ από  01-09-1984 έως 03-07-1985 }}}</t>
  </si>
  <si>
    <t>200δρχ για υπόλοιπα φύλλα {{{ από 04-07-1985 έως …1987 }}}</t>
  </si>
  <si>
    <t>100δρχ για υπόλοιπα φύλλα {{{ από  01-09-1984 έως03-07-1985 }}}</t>
  </si>
  <si>
    <t>200δρχ για υπόλοιπα φύλλα {{{ από 04/-07-1985 έως 14-07-1987 }}}</t>
  </si>
  <si>
    <t xml:space="preserve">ΕΠΙ ΠΑΝΤΟΣ συμβολαιογραφικού εγγράφου ο Συμβολαιογράφος παίρνει ως αμοιβή = 100δρχ (01-09-1984 έως 03-07-1985) </t>
  </si>
  <si>
    <t xml:space="preserve">ΕΠΙ ΠΑΝΤΟΣ συμβολαιογραφικού εγγράφου ο Συμβολαιογράφος παίρνει ως αμοιβή = 100δρχ (04-07-1985 έως 15-07-1987) </t>
  </si>
  <si>
    <t>40.000δρχ*3% = 1.200 ---+---  υπόλοιπο *1% {{{ από 01-09-1984 έως 03-07-1985}}}</t>
  </si>
  <si>
    <t>40.000δρχ*3% = 1.200 ---+---  υπόλοιπο *1% {{{ από 04-07-1985 έως 15-07-1987}}}</t>
  </si>
  <si>
    <t>πάγιες = 5050δρχ για 1ο φύλλο {{{ 01-09-1984 έως 03-07-1985 }}}</t>
  </si>
  <si>
    <t>πάγιες = 500δρχ για 1ο φύλλο {{{ 04-07-1985 έως 15-07-1987 }}}</t>
  </si>
  <si>
    <t>01/09/1984 έως 03-07-1985</t>
  </si>
  <si>
    <t>04/07/1985 έως 15/7/1987</t>
  </si>
  <si>
    <t>1994=300</t>
  </si>
  <si>
    <t>1996=500</t>
  </si>
  <si>
    <t xml:space="preserve">ΕΠΙ ΠΑΝΤΟΣ συμβολαιογραφικού εγγράφου ο Συμβολαιογράφος παίρνει ως αμοιβή = 800δρχ (28-09-1994 έως 08-11-1996) </t>
  </si>
  <si>
    <t>πάγιες = 2.000δρχ για 1ο φύλλο {{{ 28-09-1994 έως 08-11-1996 }}}</t>
  </si>
  <si>
    <t>πάγιες = 3.000δρχ για 1ο φύλλο {{{  09-11-1996 έως 09-05-2005 }}}</t>
  </si>
  <si>
    <t>09-11-1996 έως 9-5-2005</t>
  </si>
  <si>
    <t>600δρχ για υπόλοιπα 10 φύλλα + 500δρχ  υπόλοιπα φύλλα {{{ από 30-09-1994 έως 08-11-1996 }}}</t>
  </si>
  <si>
    <t>600δρχ για τα 10 φύλλα + 500δρχ  υπόλοιπα φύλλα {{{ από 28-09-1994 έως 08-11-1996 }}}</t>
  </si>
  <si>
    <t>600δρχ {{{ από 28-09-1994 έως 08-11-1996 }}}</t>
  </si>
  <si>
    <t xml:space="preserve">ΕΠΙ ΠΑΝΤΟΣ συμβολαιογραφικού εγγράφου ο Συμβολαιογράφος παίρνει ως αμοιβή = 1.000δρχ (09-11-1996 έως 09-05-2005) </t>
  </si>
  <si>
    <t>120.000δρχ*3% = 3.600 ---+---  υπόλοιπο *1,20% {{{ από 09-11-1996 έως 09-05-2005}}}</t>
  </si>
  <si>
    <t>120.000δρχ*3% = 3.600 ---+---  υπόλοιπο *1,20% {{{ από 28-09-1994 έως 08-11-1996}}}</t>
  </si>
  <si>
    <t>1.000δρχ για υπόλοιπα 10 φύλλα + 800δρχ  υπόλοιπα φύλλα {{{ από 09-11-1996 έως 09-05-2005 }}}</t>
  </si>
  <si>
    <t>1.100δρχ {{{ από 09-11-1996 έως 09-05-2005 }}}</t>
  </si>
  <si>
    <t>09-11-1996 έως 09-05-2005</t>
  </si>
  <si>
    <t>8.500 το 1</t>
  </si>
  <si>
    <t>φ32</t>
  </si>
  <si>
    <t>οι 3</t>
  </si>
  <si>
    <t>1977 = 4.500δρχ/στρ</t>
  </si>
  <si>
    <t>1984 = ;;;???</t>
  </si>
  <si>
    <t>1998 = 12.000δρχ/στρ</t>
  </si>
  <si>
    <t>ΔΕΝ έχω</t>
  </si>
  <si>
    <t>αντίγραφο στο αρχείο</t>
  </si>
  <si>
    <t>ΛΕΕΙ τόμος = 137 , α.α. = 98 &amp; 137</t>
  </si>
  <si>
    <t>περί υποθήκης ΛΕΕΙ τόμος = 137 , α.α. = 98 &amp; 137 [ΜΕ ΠΑΡΑΠΟΜΠΗ το 98 &amp;</t>
  </si>
  <si>
    <t>ΕΚΠΡΟΘΕΣΜΗ η παράταση !!!!!!!!!!!!!!!</t>
  </si>
  <si>
    <t>μίσθωσης ΠΑΡΑΤΑΣΗ 3 έτη = ..0..ΔΡΧ !!!!!!!!!!!!!</t>
  </si>
  <si>
    <t>παράτση 1977 = 6.000δρχ</t>
  </si>
  <si>
    <t>παράταση 1998 = 18.000δρχ</t>
  </si>
  <si>
    <t>το βάζω 11.111δρχ*29*3</t>
  </si>
  <si>
    <t>τι πλήρωσε στον έλεγχο ο παππούς ;;;;;;!!!!!!!!!!!!!!</t>
  </si>
  <si>
    <t>ΧΑΟΣ = νέα μίσθωση &amp; τεχνΕγκατ &amp; ερευνΡγ &amp; έργαΑποκ</t>
  </si>
  <si>
    <t>ΧΑΟΣ= κλείσιμο &amp; εκ ΝΕΟΥ</t>
  </si>
  <si>
    <t>φ2</t>
  </si>
  <si>
    <t>ο1</t>
  </si>
  <si>
    <t xml:space="preserve">υποθήκη </t>
  </si>
  <si>
    <t>10ος/491/1992</t>
  </si>
  <si>
    <t>είχε ΛΕΙ 1 υποθήκη για 25εκ σε τόμο Κ , α.α.-37</t>
  </si>
  <si>
    <t>δάνεια ανωτέρω υποθηκών</t>
  </si>
  <si>
    <t>υποθήκες δανείων [7/8/89-25/1/1991-8/3/1991-22/11/1991</t>
  </si>
  <si>
    <t>τόκοι  ανωτέρω δανείων προπληρωθέντες</t>
  </si>
  <si>
    <t>2700 το 1</t>
  </si>
  <si>
    <t>ΌΧΙ σφραγίδα /// ΌΧΙ γραμμάτια εθνικης</t>
  </si>
  <si>
    <t>υποθήκες δανείων [27/08/1992-30/10/1992</t>
  </si>
  <si>
    <t>υποθήκη  τοιχόν τόκων</t>
  </si>
  <si>
    <t>είχε ΛΕΙ 1 υποθήκη για 25εκ σε τόμο Κ , α.α.-37 &amp; 46-47</t>
  </si>
  <si>
    <t>φ8</t>
  </si>
  <si>
    <t>δημοςΘασου [= μερεσηςΕλευθεριος</t>
  </si>
  <si>
    <t>ΜΕ 8.000/στρ</t>
  </si>
  <si>
    <t>ΛΕΙΠΕΙ 11.176αποφΝομαρχιας</t>
  </si>
  <si>
    <t>μίσθωση μαρμαροΝταμαριού [24,526στρ*1000*3 = 73.578δρχ</t>
  </si>
  <si>
    <t>ΔΕΝ το βάζει αναλογικό ΑΛΛΑ λέει *των 600.000δρχ [=εγκατΠροσωπ</t>
  </si>
  <si>
    <t>αναλΤων600χιλ</t>
  </si>
  <si>
    <t>κ-15των600χιλ</t>
  </si>
  <si>
    <t>8.400 το 1</t>
  </si>
  <si>
    <t>φ14</t>
  </si>
  <si>
    <t>1 σε 1</t>
  </si>
  <si>
    <t>ΕΚΠΡΟΘΕΣΜΗ κατά 1,5 έτος , η παράταση !!!!!!!!!!!!!!!</t>
  </si>
  <si>
    <t>ο 1</t>
  </si>
  <si>
    <t>ΔΕΝ τον βαράει ο έλεγχος ;;;;;;!!!!!!!!!!!!!!</t>
  </si>
  <si>
    <t>1985-7-8=150</t>
  </si>
  <si>
    <t>1981-4=100</t>
  </si>
  <si>
    <t>1978=60</t>
  </si>
  <si>
    <t>13ζ</t>
  </si>
  <si>
    <t>13η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</si>
  <si>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</si>
  <si>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</si>
  <si>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</si>
  <si>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</si>
  <si>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</si>
  <si>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</si>
  <si>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</si>
  <si>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</si>
  <si>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</si>
  <si>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αγοραπωλησία οικοπεδου τίμημα = 800.000 Δ.Ο.Υ. =</t>
  </si>
  <si>
    <t>τα 440 των αντιγράφων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</si>
  <si>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</si>
  <si>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</si>
  <si>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</si>
  <si>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</si>
  <si>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</si>
  <si>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</si>
  <si>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</si>
  <si>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</si>
  <si>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</si>
  <si>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10ο</t>
  </si>
  <si>
    <t>11ο</t>
  </si>
  <si>
    <t>12ο</t>
  </si>
  <si>
    <t>ΜΕ εργοστάσιο</t>
  </si>
  <si>
    <t>…πατηρ = 40.000.000 δρχ</t>
  </si>
  <si>
    <t>;;;???</t>
  </si>
  <si>
    <t xml:space="preserve">τραπεζα [= </t>
  </si>
  <si>
    <t>219-16</t>
  </si>
  <si>
    <t>;;;??? = 4στρ + εργοστασιο + 10 ελιες + γερανογέφυρα + κόπτη</t>
  </si>
  <si>
    <t>υποθήκης ;;;??? ΕΞΑΛΕΙΨΗ = έγινε με ;;;???Α'</t>
  </si>
  <si>
    <t>;;;???πατηρ = 40.000.000 δρχ</t>
  </si>
  <si>
    <t>2ος  = 1.000δρχ</t>
  </si>
  <si>
    <t>3ος  = 1.000.000δρχ</t>
  </si>
  <si>
    <t>το 75% του πατρός ΔΕΝ μπορεί να μεταβιβαστεί για 5 έτη</t>
  </si>
  <si>
    <t>794-4-5τραπ</t>
  </si>
  <si>
    <t>794-1-2-3τραπ</t>
  </si>
  <si>
    <t>389τραπ</t>
  </si>
  <si>
    <t>375τραπ</t>
  </si>
  <si>
    <t>93τραπ &amp; σημ</t>
  </si>
  <si>
    <t>υποθήκη [έναντι του δανείου 375-29/07/1982τραπ</t>
  </si>
  <si>
    <t>μίσθωσις νταμάρι  Παναγία -'';;;???'' 29στρ 3έτη [1000/έτος/στρ</t>
  </si>
  <si>
    <t>;;;???ΑΕ σύσταση από ΜΕΤΑΤΡΟΠΗ ατομικής [= 40.000.000δρχ</t>
  </si>
  <si>
    <t>;;;??? υποθήκης ΕΞΑΛΕΙΨΗ</t>
  </si>
  <si>
    <t>υποθήκης 375τραπ29/7/82 ΕΞΑΛΕΙΨΗ</t>
  </si>
  <si>
    <t>δάνειο 375τραπ 9/7/82 ΕΞΟΦΛΗΣΗ</t>
  </si>
  <si>
    <t>τόκοι δανείου 375τραπ {= προπληρωθέντες VS υπερΠληρωθέντες</t>
  </si>
  <si>
    <t>υποθήκης 389τραπ29/7/82 ΕΞΑΛΕΙΨΗ</t>
  </si>
  <si>
    <t>δάνειο 389τραπ29/7/82 ΕΞΟΦΛΗΣΗ</t>
  </si>
  <si>
    <t>τόκοι δανείου 389τραπ {= προπληρωθέντες VS υπερΠληρωθέντες</t>
  </si>
  <si>
    <t>μίσθωσης νταμάρι …. ΠΑΡΑΤΑΣΗ 3έτη</t>
  </si>
  <si>
    <t>μίσθωσις νταμάρι  Λιμένας -'';;;???'' 24,526στρ 3έτη [8000/έτος/στρ</t>
  </si>
  <si>
    <t>μίσθωσης νταμάρι ... &amp; ... ΠΑΡΑΤΑΣΗ 3έτη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</si>
</sst>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u val="singleAccounting"/>
      <sz val="8"/>
      <color theme="1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4257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3" fillId="0" borderId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3" fillId="0" borderId="0"/>
    <xf numFmtId="43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3" fillId="0" borderId="0"/>
    <xf numFmtId="43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</cellStyleXfs>
  <cellXfs count="1047">
    <xf numFmtId="0" fontId="0" fillId="0" borderId="0" xfId="0"/>
    <xf numFmtId="43" fontId="16" fillId="0" borderId="1" xfId="0" applyNumberFormat="1" applyFont="1" applyFill="1" applyBorder="1" applyAlignment="1"/>
    <xf numFmtId="43" fontId="18" fillId="0" borderId="0" xfId="1" applyFont="1"/>
    <xf numFmtId="0" fontId="18" fillId="0" borderId="0" xfId="0" applyFont="1"/>
    <xf numFmtId="43" fontId="18" fillId="0" borderId="0" xfId="1" applyFont="1" applyFill="1"/>
    <xf numFmtId="0" fontId="18" fillId="0" borderId="0" xfId="0" applyFont="1" applyFill="1"/>
    <xf numFmtId="0" fontId="18" fillId="0" borderId="0" xfId="0" applyFont="1" applyAlignment="1">
      <alignment wrapText="1"/>
    </xf>
    <xf numFmtId="164" fontId="18" fillId="0" borderId="0" xfId="1" applyNumberFormat="1" applyFont="1"/>
    <xf numFmtId="0" fontId="18" fillId="0" borderId="0" xfId="0" applyFont="1" applyAlignment="1">
      <alignment horizontal="center"/>
    </xf>
    <xf numFmtId="164" fontId="17" fillId="0" borderId="9" xfId="1" applyNumberFormat="1" applyFont="1" applyFill="1" applyBorder="1" applyAlignment="1">
      <alignment horizontal="center" vertical="center" wrapText="1"/>
    </xf>
    <xf numFmtId="0" fontId="17" fillId="0" borderId="0" xfId="0" applyFont="1"/>
    <xf numFmtId="164" fontId="18" fillId="7" borderId="1" xfId="1" applyNumberFormat="1" applyFont="1" applyFill="1" applyBorder="1"/>
    <xf numFmtId="164" fontId="20" fillId="7" borderId="2" xfId="1" applyNumberFormat="1" applyFont="1" applyFill="1" applyBorder="1" applyAlignment="1">
      <alignment horizontal="center" vertical="center"/>
    </xf>
    <xf numFmtId="0" fontId="15" fillId="7" borderId="1" xfId="0" applyFont="1" applyFill="1" applyBorder="1"/>
    <xf numFmtId="164" fontId="15" fillId="7" borderId="1" xfId="1" applyNumberFormat="1" applyFont="1" applyFill="1" applyBorder="1"/>
    <xf numFmtId="43" fontId="15" fillId="7" borderId="14" xfId="1" applyFont="1" applyFill="1" applyBorder="1" applyAlignment="1">
      <alignment horizontal="right" vertical="center"/>
    </xf>
    <xf numFmtId="43" fontId="15" fillId="7" borderId="1" xfId="1" applyFont="1" applyFill="1" applyBorder="1" applyAlignment="1">
      <alignment horizontal="right" vertical="center"/>
    </xf>
    <xf numFmtId="0" fontId="18" fillId="7" borderId="0" xfId="0" applyFont="1" applyFill="1"/>
    <xf numFmtId="14" fontId="15" fillId="7" borderId="1" xfId="0" applyNumberFormat="1" applyFont="1" applyFill="1" applyBorder="1" applyAlignment="1">
      <alignment horizontal="center" vertical="center"/>
    </xf>
    <xf numFmtId="164" fontId="15" fillId="7" borderId="14" xfId="1" applyNumberFormat="1" applyFont="1" applyFill="1" applyBorder="1"/>
    <xf numFmtId="1" fontId="20" fillId="7" borderId="1" xfId="1" applyNumberFormat="1" applyFont="1" applyFill="1" applyBorder="1" applyAlignment="1">
      <alignment horizontal="center" vertical="center"/>
    </xf>
    <xf numFmtId="43" fontId="20" fillId="7" borderId="1" xfId="0" applyNumberFormat="1" applyFont="1" applyFill="1" applyBorder="1" applyAlignment="1">
      <alignment horizontal="center" vertical="center" wrapText="1"/>
    </xf>
    <xf numFmtId="43" fontId="15" fillId="7" borderId="3" xfId="1" applyFont="1" applyFill="1" applyBorder="1" applyAlignment="1">
      <alignment horizontal="right" vertical="center"/>
    </xf>
    <xf numFmtId="43" fontId="15" fillId="7" borderId="3" xfId="1" applyFont="1" applyFill="1" applyBorder="1" applyAlignment="1">
      <alignment horizontal="center" vertical="center"/>
    </xf>
    <xf numFmtId="0" fontId="18" fillId="7" borderId="1" xfId="0" applyFont="1" applyFill="1" applyBorder="1"/>
    <xf numFmtId="0" fontId="18" fillId="7" borderId="1" xfId="0" applyFont="1" applyFill="1" applyBorder="1" applyAlignment="1">
      <alignment wrapText="1"/>
    </xf>
    <xf numFmtId="164" fontId="20" fillId="7" borderId="1" xfId="1" applyNumberFormat="1" applyFont="1" applyFill="1" applyBorder="1" applyAlignment="1">
      <alignment horizontal="center" vertical="center"/>
    </xf>
    <xf numFmtId="14" fontId="18" fillId="0" borderId="0" xfId="0" applyNumberFormat="1" applyFont="1"/>
    <xf numFmtId="14" fontId="18" fillId="7" borderId="1" xfId="0" applyNumberFormat="1" applyFont="1" applyFill="1" applyBorder="1"/>
    <xf numFmtId="164" fontId="18" fillId="7" borderId="1" xfId="1" applyNumberFormat="1" applyFont="1" applyFill="1" applyBorder="1" applyAlignment="1">
      <alignment wrapText="1"/>
    </xf>
    <xf numFmtId="0" fontId="17" fillId="6" borderId="9" xfId="0" applyFont="1" applyFill="1" applyBorder="1" applyAlignment="1">
      <alignment horizontal="center" vertical="center" wrapText="1"/>
    </xf>
    <xf numFmtId="43" fontId="17" fillId="7" borderId="9" xfId="1" applyFont="1" applyFill="1" applyBorder="1" applyAlignment="1">
      <alignment horizontal="center" vertical="center" wrapText="1"/>
    </xf>
    <xf numFmtId="43" fontId="17" fillId="4" borderId="9" xfId="1" applyFont="1" applyFill="1" applyBorder="1" applyAlignment="1">
      <alignment horizontal="center" vertical="center" wrapText="1"/>
    </xf>
    <xf numFmtId="43" fontId="16" fillId="0" borderId="1" xfId="1" applyFont="1" applyFill="1" applyBorder="1" applyAlignment="1"/>
    <xf numFmtId="164" fontId="17" fillId="6" borderId="9" xfId="1" applyNumberFormat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17" fillId="2" borderId="9" xfId="1" applyFont="1" applyFill="1" applyBorder="1" applyAlignment="1">
      <alignment horizontal="center" vertical="center" wrapText="1"/>
    </xf>
    <xf numFmtId="43" fontId="17" fillId="0" borderId="14" xfId="1" applyFont="1" applyBorder="1"/>
    <xf numFmtId="0" fontId="23" fillId="0" borderId="0" xfId="0" applyFont="1" applyAlignment="1">
      <alignment wrapText="1"/>
    </xf>
    <xf numFmtId="0" fontId="16" fillId="2" borderId="12" xfId="0" applyFont="1" applyFill="1" applyBorder="1" applyAlignment="1">
      <alignment horizontal="right"/>
    </xf>
    <xf numFmtId="0" fontId="17" fillId="0" borderId="10" xfId="0" applyFont="1" applyFill="1" applyBorder="1" applyAlignment="1">
      <alignment horizontal="center" vertical="center" wrapText="1"/>
    </xf>
    <xf numFmtId="0" fontId="17" fillId="6" borderId="10" xfId="0" applyFont="1" applyFill="1" applyBorder="1" applyAlignment="1">
      <alignment horizontal="center" vertical="center" wrapText="1"/>
    </xf>
    <xf numFmtId="164" fontId="17" fillId="0" borderId="10" xfId="1" applyNumberFormat="1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164" fontId="20" fillId="7" borderId="13" xfId="1" applyNumberFormat="1" applyFont="1" applyFill="1" applyBorder="1" applyAlignment="1">
      <alignment horizontal="center" vertical="center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vertical="center" wrapText="1"/>
    </xf>
    <xf numFmtId="0" fontId="17" fillId="7" borderId="9" xfId="0" applyFont="1" applyFill="1" applyBorder="1" applyAlignment="1">
      <alignment horizontal="center" vertical="center" wrapText="1"/>
    </xf>
    <xf numFmtId="14" fontId="17" fillId="2" borderId="10" xfId="0" applyNumberFormat="1" applyFont="1" applyFill="1" applyBorder="1" applyAlignment="1">
      <alignment horizontal="center" vertical="center" wrapText="1"/>
    </xf>
    <xf numFmtId="14" fontId="17" fillId="0" borderId="9" xfId="1" applyNumberFormat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/>
    </xf>
    <xf numFmtId="14" fontId="17" fillId="0" borderId="9" xfId="1" applyNumberFormat="1" applyFont="1" applyFill="1" applyBorder="1" applyAlignment="1">
      <alignment horizontal="center"/>
    </xf>
    <xf numFmtId="164" fontId="18" fillId="0" borderId="0" xfId="1" applyNumberFormat="1" applyFont="1" applyFill="1"/>
    <xf numFmtId="164" fontId="17" fillId="2" borderId="10" xfId="1" applyNumberFormat="1" applyFont="1" applyFill="1" applyBorder="1" applyAlignment="1">
      <alignment horizontal="center" vertical="center" wrapText="1"/>
    </xf>
    <xf numFmtId="43" fontId="17" fillId="0" borderId="10" xfId="1" applyFont="1" applyBorder="1" applyAlignment="1">
      <alignment horizontal="center" vertical="center" wrapText="1"/>
    </xf>
    <xf numFmtId="43" fontId="16" fillId="0" borderId="9" xfId="1" applyFont="1" applyFill="1" applyBorder="1" applyAlignment="1">
      <alignment horizontal="center" wrapText="1"/>
    </xf>
    <xf numFmtId="43" fontId="16" fillId="6" borderId="9" xfId="1" applyFont="1" applyFill="1" applyBorder="1" applyAlignment="1">
      <alignment horizontal="center" wrapText="1"/>
    </xf>
    <xf numFmtId="43" fontId="17" fillId="0" borderId="10" xfId="1" applyFont="1" applyFill="1" applyBorder="1" applyAlignment="1">
      <alignment horizontal="center" vertical="center" wrapText="1"/>
    </xf>
    <xf numFmtId="43" fontId="11" fillId="0" borderId="0" xfId="1" applyFont="1" applyFill="1"/>
    <xf numFmtId="14" fontId="23" fillId="0" borderId="9" xfId="1" applyNumberFormat="1" applyFont="1" applyFill="1" applyBorder="1" applyAlignment="1">
      <alignment horizontal="center" vertical="center" wrapText="1"/>
    </xf>
    <xf numFmtId="14" fontId="23" fillId="7" borderId="9" xfId="1" applyNumberFormat="1" applyFont="1" applyFill="1" applyBorder="1" applyAlignment="1">
      <alignment horizontal="center" vertical="center" wrapText="1"/>
    </xf>
    <xf numFmtId="43" fontId="17" fillId="0" borderId="13" xfId="1" applyFont="1" applyFill="1" applyBorder="1" applyAlignment="1">
      <alignment horizontal="right"/>
    </xf>
    <xf numFmtId="0" fontId="23" fillId="0" borderId="1" xfId="0" applyFont="1" applyBorder="1" applyAlignment="1">
      <alignment horizontal="center" wrapText="1"/>
    </xf>
    <xf numFmtId="164" fontId="17" fillId="9" borderId="9" xfId="1" applyNumberFormat="1" applyFont="1" applyFill="1" applyBorder="1" applyAlignment="1">
      <alignment horizontal="center" vertical="center" wrapText="1"/>
    </xf>
    <xf numFmtId="164" fontId="17" fillId="5" borderId="9" xfId="1" applyNumberFormat="1" applyFont="1" applyFill="1" applyBorder="1" applyAlignment="1">
      <alignment horizontal="center" vertical="center" wrapText="1"/>
    </xf>
    <xf numFmtId="164" fontId="17" fillId="0" borderId="13" xfId="1" applyNumberFormat="1" applyFont="1" applyFill="1" applyBorder="1" applyAlignment="1">
      <alignment horizontal="right"/>
    </xf>
    <xf numFmtId="0" fontId="17" fillId="0" borderId="10" xfId="0" applyFont="1" applyBorder="1" applyAlignment="1">
      <alignment horizontal="center" vertical="center" wrapText="1"/>
    </xf>
    <xf numFmtId="0" fontId="18" fillId="0" borderId="1" xfId="0" applyFont="1" applyFill="1" applyBorder="1"/>
    <xf numFmtId="0" fontId="18" fillId="0" borderId="10" xfId="1" applyNumberFormat="1" applyFont="1" applyFill="1" applyBorder="1" applyAlignment="1">
      <alignment horizontal="center" vertical="center" wrapText="1"/>
    </xf>
    <xf numFmtId="0" fontId="18" fillId="0" borderId="0" xfId="1" applyNumberFormat="1" applyFont="1"/>
    <xf numFmtId="0" fontId="18" fillId="0" borderId="1" xfId="0" applyFont="1" applyBorder="1"/>
    <xf numFmtId="164" fontId="18" fillId="0" borderId="0" xfId="1" applyNumberFormat="1" applyFont="1" applyAlignment="1">
      <alignment horizontal="center"/>
    </xf>
    <xf numFmtId="164" fontId="23" fillId="0" borderId="9" xfId="1" applyNumberFormat="1" applyFont="1" applyFill="1" applyBorder="1" applyAlignment="1">
      <alignment horizontal="center" vertical="center" wrapText="1"/>
    </xf>
    <xf numFmtId="164" fontId="15" fillId="7" borderId="1" xfId="1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164" fontId="18" fillId="0" borderId="0" xfId="1" applyNumberFormat="1" applyFont="1" applyAlignment="1">
      <alignment horizontal="center" wrapText="1"/>
    </xf>
    <xf numFmtId="164" fontId="17" fillId="0" borderId="10" xfId="1" applyNumberFormat="1" applyFont="1" applyBorder="1" applyAlignment="1">
      <alignment vertical="center" wrapText="1"/>
    </xf>
    <xf numFmtId="43" fontId="15" fillId="7" borderId="1" xfId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0" fontId="23" fillId="0" borderId="9" xfId="1" applyNumberFormat="1" applyFont="1" applyFill="1" applyBorder="1" applyAlignment="1">
      <alignment horizontal="center" vertical="center" wrapText="1"/>
    </xf>
    <xf numFmtId="0" fontId="18" fillId="0" borderId="0" xfId="0" applyNumberFormat="1" applyFont="1" applyAlignment="1">
      <alignment horizontal="left"/>
    </xf>
    <xf numFmtId="0" fontId="15" fillId="7" borderId="1" xfId="0" applyFont="1" applyFill="1" applyBorder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Fill="1" applyAlignment="1">
      <alignment horizontal="left"/>
    </xf>
    <xf numFmtId="14" fontId="31" fillId="0" borderId="9" xfId="1" applyNumberFormat="1" applyFont="1" applyFill="1" applyBorder="1" applyAlignment="1">
      <alignment horizontal="center" vertical="center" wrapText="1"/>
    </xf>
    <xf numFmtId="164" fontId="17" fillId="0" borderId="27" xfId="1" applyNumberFormat="1" applyFont="1" applyBorder="1" applyAlignment="1">
      <alignment vertical="center" wrapText="1"/>
    </xf>
    <xf numFmtId="0" fontId="17" fillId="0" borderId="10" xfId="0" applyFont="1" applyFill="1" applyBorder="1" applyAlignment="1">
      <alignment horizontal="left" vertical="center" wrapText="1"/>
    </xf>
    <xf numFmtId="43" fontId="18" fillId="3" borderId="9" xfId="1" applyFont="1" applyFill="1" applyBorder="1" applyAlignment="1">
      <alignment horizontal="center" vertical="center" wrapText="1"/>
    </xf>
    <xf numFmtId="43" fontId="18" fillId="3" borderId="10" xfId="1" applyFont="1" applyFill="1" applyBorder="1" applyAlignment="1">
      <alignment horizontal="center" vertical="center" wrapText="1"/>
    </xf>
    <xf numFmtId="0" fontId="9" fillId="0" borderId="0" xfId="0" applyFont="1"/>
    <xf numFmtId="43" fontId="27" fillId="7" borderId="10" xfId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43" fontId="23" fillId="0" borderId="21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64" fontId="9" fillId="0" borderId="0" xfId="1" applyNumberFormat="1" applyFont="1"/>
    <xf numFmtId="0" fontId="9" fillId="0" borderId="0" xfId="0" applyNumberFormat="1" applyFont="1"/>
    <xf numFmtId="43" fontId="9" fillId="0" borderId="0" xfId="1" applyFont="1"/>
    <xf numFmtId="43" fontId="26" fillId="0" borderId="9" xfId="1" applyFont="1" applyFill="1" applyBorder="1" applyAlignment="1">
      <alignment horizontal="center" vertical="center" wrapText="1"/>
    </xf>
    <xf numFmtId="164" fontId="25" fillId="0" borderId="1" xfId="1" applyNumberFormat="1" applyFont="1" applyFill="1" applyBorder="1" applyAlignment="1"/>
    <xf numFmtId="43" fontId="26" fillId="6" borderId="9" xfId="1" applyFont="1" applyFill="1" applyBorder="1" applyAlignment="1">
      <alignment horizontal="center" vertical="center" wrapText="1"/>
    </xf>
    <xf numFmtId="14" fontId="18" fillId="0" borderId="0" xfId="1" applyNumberFormat="1" applyFont="1" applyFill="1"/>
    <xf numFmtId="0" fontId="18" fillId="0" borderId="0" xfId="0" applyNumberFormat="1" applyFont="1" applyFill="1" applyAlignment="1">
      <alignment horizontal="left"/>
    </xf>
    <xf numFmtId="14" fontId="31" fillId="2" borderId="9" xfId="1" applyNumberFormat="1" applyFont="1" applyFill="1" applyBorder="1" applyAlignment="1">
      <alignment horizontal="center" vertical="center" wrapText="1"/>
    </xf>
    <xf numFmtId="0" fontId="38" fillId="0" borderId="0" xfId="0" applyFont="1" applyAlignment="1"/>
    <xf numFmtId="0" fontId="8" fillId="0" borderId="0" xfId="0" applyFont="1"/>
    <xf numFmtId="0" fontId="39" fillId="0" borderId="0" xfId="0" applyFont="1"/>
    <xf numFmtId="0" fontId="18" fillId="0" borderId="0" xfId="0" applyFont="1" applyAlignment="1"/>
    <xf numFmtId="0" fontId="31" fillId="0" borderId="0" xfId="0" applyFont="1" applyFill="1" applyAlignment="1"/>
    <xf numFmtId="0" fontId="9" fillId="0" borderId="0" xfId="0" applyFont="1" applyFill="1" applyAlignment="1">
      <alignment horizontal="center" wrapText="1"/>
    </xf>
    <xf numFmtId="0" fontId="24" fillId="0" borderId="0" xfId="0" applyFont="1" applyFill="1" applyBorder="1" applyAlignment="1">
      <alignment wrapText="1"/>
    </xf>
    <xf numFmtId="0" fontId="8" fillId="0" borderId="0" xfId="0" applyFont="1" applyFill="1"/>
    <xf numFmtId="0" fontId="18" fillId="0" borderId="0" xfId="0" applyFont="1" applyFill="1" applyAlignment="1">
      <alignment horizontal="center"/>
    </xf>
    <xf numFmtId="0" fontId="18" fillId="7" borderId="14" xfId="0" applyFont="1" applyFill="1" applyBorder="1"/>
    <xf numFmtId="0" fontId="7" fillId="0" borderId="0" xfId="0" applyFont="1"/>
    <xf numFmtId="0" fontId="14" fillId="0" borderId="0" xfId="0" applyFont="1" applyAlignment="1"/>
    <xf numFmtId="0" fontId="38" fillId="0" borderId="0" xfId="0" applyFont="1" applyFill="1" applyAlignment="1"/>
    <xf numFmtId="0" fontId="23" fillId="0" borderId="0" xfId="0" applyFont="1"/>
    <xf numFmtId="0" fontId="25" fillId="0" borderId="0" xfId="0" applyFont="1" applyFill="1" applyAlignment="1"/>
    <xf numFmtId="0" fontId="23" fillId="0" borderId="0" xfId="0" applyFont="1" applyAlignment="1">
      <alignment horizontal="left"/>
    </xf>
    <xf numFmtId="0" fontId="23" fillId="0" borderId="0" xfId="0" applyFont="1" applyAlignment="1"/>
    <xf numFmtId="0" fontId="39" fillId="0" borderId="0" xfId="0" applyFont="1" applyAlignment="1"/>
    <xf numFmtId="0" fontId="15" fillId="0" borderId="0" xfId="0" applyFont="1"/>
    <xf numFmtId="43" fontId="18" fillId="0" borderId="0" xfId="1" applyFont="1" applyAlignment="1">
      <alignment horizontal="left"/>
    </xf>
    <xf numFmtId="43" fontId="31" fillId="0" borderId="0" xfId="1" applyFont="1" applyAlignment="1">
      <alignment horizontal="right"/>
    </xf>
    <xf numFmtId="43" fontId="21" fillId="0" borderId="0" xfId="1" applyFont="1" applyAlignment="1">
      <alignment horizontal="right"/>
    </xf>
    <xf numFmtId="43" fontId="31" fillId="0" borderId="0" xfId="1" applyFont="1"/>
    <xf numFmtId="43" fontId="18" fillId="0" borderId="0" xfId="1" applyFont="1" applyAlignment="1">
      <alignment horizontal="right"/>
    </xf>
    <xf numFmtId="14" fontId="17" fillId="0" borderId="13" xfId="1" applyNumberFormat="1" applyFont="1" applyFill="1" applyBorder="1" applyAlignment="1">
      <alignment horizontal="right"/>
    </xf>
    <xf numFmtId="14" fontId="18" fillId="0" borderId="0" xfId="1" applyNumberFormat="1" applyFont="1"/>
    <xf numFmtId="0" fontId="9" fillId="0" borderId="0" xfId="0" applyFont="1" applyFill="1"/>
    <xf numFmtId="0" fontId="39" fillId="0" borderId="0" xfId="0" applyFont="1" applyAlignment="1">
      <alignment horizontal="left"/>
    </xf>
    <xf numFmtId="0" fontId="24" fillId="7" borderId="0" xfId="0" applyFont="1" applyFill="1" applyAlignment="1"/>
    <xf numFmtId="0" fontId="24" fillId="0" borderId="0" xfId="0" applyFont="1" applyFill="1" applyAlignment="1"/>
    <xf numFmtId="43" fontId="17" fillId="0" borderId="0" xfId="1" applyFont="1" applyFill="1" applyBorder="1" applyAlignment="1">
      <alignment horizontal="center" wrapText="1"/>
    </xf>
    <xf numFmtId="43" fontId="18" fillId="7" borderId="1" xfId="1" applyFont="1" applyFill="1" applyBorder="1" applyAlignment="1">
      <alignment horizontal="center" wrapText="1"/>
    </xf>
    <xf numFmtId="0" fontId="18" fillId="0" borderId="0" xfId="0" applyNumberFormat="1" applyFont="1"/>
    <xf numFmtId="43" fontId="17" fillId="7" borderId="9" xfId="1" applyFont="1" applyFill="1" applyBorder="1" applyAlignment="1">
      <alignment vertical="center" wrapText="1"/>
    </xf>
    <xf numFmtId="43" fontId="18" fillId="7" borderId="9" xfId="1" applyFont="1" applyFill="1" applyBorder="1" applyAlignment="1">
      <alignment vertical="center" wrapText="1"/>
    </xf>
    <xf numFmtId="43" fontId="17" fillId="0" borderId="9" xfId="1" applyFont="1" applyFill="1" applyBorder="1" applyAlignment="1">
      <alignment vertical="center" wrapText="1"/>
    </xf>
    <xf numFmtId="43" fontId="17" fillId="2" borderId="9" xfId="1" applyFont="1" applyFill="1" applyBorder="1" applyAlignment="1">
      <alignment vertical="center" wrapText="1"/>
    </xf>
    <xf numFmtId="0" fontId="17" fillId="7" borderId="10" xfId="0" applyFont="1" applyFill="1" applyBorder="1" applyAlignment="1">
      <alignment horizontal="center" vertical="center" wrapText="1"/>
    </xf>
    <xf numFmtId="43" fontId="17" fillId="6" borderId="9" xfId="1" applyFont="1" applyFill="1" applyBorder="1" applyAlignment="1">
      <alignment vertical="center" wrapText="1"/>
    </xf>
    <xf numFmtId="0" fontId="17" fillId="0" borderId="9" xfId="1" applyNumberFormat="1" applyFont="1" applyFill="1" applyBorder="1" applyAlignment="1">
      <alignment horizontal="center" vertical="center" wrapText="1"/>
    </xf>
    <xf numFmtId="14" fontId="17" fillId="7" borderId="9" xfId="1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wrapText="1"/>
    </xf>
    <xf numFmtId="43" fontId="18" fillId="7" borderId="0" xfId="1" applyFont="1" applyFill="1"/>
    <xf numFmtId="43" fontId="18" fillId="2" borderId="10" xfId="1" applyFont="1" applyFill="1" applyBorder="1" applyAlignment="1">
      <alignment vertical="center" wrapText="1"/>
    </xf>
    <xf numFmtId="164" fontId="16" fillId="0" borderId="1" xfId="1" applyNumberFormat="1" applyFont="1" applyFill="1" applyBorder="1" applyAlignment="1"/>
    <xf numFmtId="0" fontId="18" fillId="0" borderId="9" xfId="0" applyFont="1" applyFill="1" applyBorder="1" applyAlignment="1">
      <alignment wrapText="1"/>
    </xf>
    <xf numFmtId="0" fontId="18" fillId="6" borderId="9" xfId="0" applyFont="1" applyFill="1" applyBorder="1" applyAlignment="1">
      <alignment wrapText="1"/>
    </xf>
    <xf numFmtId="0" fontId="25" fillId="7" borderId="0" xfId="0" applyFont="1" applyFill="1" applyAlignment="1"/>
    <xf numFmtId="0" fontId="16" fillId="7" borderId="0" xfId="0" applyFont="1" applyFill="1" applyAlignment="1"/>
    <xf numFmtId="0" fontId="15" fillId="7" borderId="0" xfId="0" applyFont="1" applyFill="1" applyAlignment="1"/>
    <xf numFmtId="0" fontId="15" fillId="7" borderId="0" xfId="0" applyFont="1" applyFill="1"/>
    <xf numFmtId="0" fontId="39" fillId="0" borderId="0" xfId="0" applyFont="1" applyFill="1"/>
    <xf numFmtId="0" fontId="17" fillId="0" borderId="10" xfId="0" applyFont="1" applyBorder="1" applyAlignment="1">
      <alignment vertical="center" wrapText="1"/>
    </xf>
    <xf numFmtId="164" fontId="18" fillId="0" borderId="10" xfId="1" applyNumberFormat="1" applyFont="1" applyFill="1" applyBorder="1" applyAlignment="1">
      <alignment horizontal="center" vertical="center" wrapText="1"/>
    </xf>
    <xf numFmtId="43" fontId="17" fillId="0" borderId="10" xfId="1" applyFont="1" applyFill="1" applyBorder="1" applyAlignment="1">
      <alignment vertical="center" wrapText="1"/>
    </xf>
    <xf numFmtId="0" fontId="17" fillId="0" borderId="9" xfId="0" applyFont="1" applyFill="1" applyBorder="1" applyAlignment="1">
      <alignment wrapText="1"/>
    </xf>
    <xf numFmtId="43" fontId="39" fillId="0" borderId="0" xfId="1" applyFont="1" applyAlignment="1"/>
    <xf numFmtId="43" fontId="15" fillId="7" borderId="0" xfId="1" applyFont="1" applyFill="1" applyAlignment="1"/>
    <xf numFmtId="0" fontId="15" fillId="0" borderId="0" xfId="0" applyFont="1" applyFill="1" applyAlignment="1"/>
    <xf numFmtId="0" fontId="15" fillId="0" borderId="0" xfId="0" applyFont="1" applyFill="1" applyAlignment="1">
      <alignment horizontal="center" wrapText="1"/>
    </xf>
    <xf numFmtId="43" fontId="39" fillId="0" borderId="0" xfId="1" applyFont="1" applyFill="1" applyAlignment="1"/>
    <xf numFmtId="43" fontId="15" fillId="0" borderId="0" xfId="1" applyFont="1" applyFill="1" applyAlignment="1"/>
    <xf numFmtId="43" fontId="39" fillId="0" borderId="0" xfId="1" applyFont="1"/>
    <xf numFmtId="43" fontId="15" fillId="7" borderId="0" xfId="1" applyFont="1" applyFill="1"/>
    <xf numFmtId="43" fontId="39" fillId="0" borderId="0" xfId="1" applyFont="1" applyFill="1"/>
    <xf numFmtId="43" fontId="23" fillId="0" borderId="9" xfId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wrapText="1"/>
    </xf>
    <xf numFmtId="0" fontId="39" fillId="0" borderId="0" xfId="0" applyFont="1" applyFill="1" applyAlignment="1">
      <alignment horizontal="center" wrapText="1"/>
    </xf>
    <xf numFmtId="43" fontId="18" fillId="0" borderId="21" xfId="1" applyFont="1" applyFill="1" applyBorder="1" applyAlignment="1">
      <alignment horizontal="center" vertical="center" wrapText="1"/>
    </xf>
    <xf numFmtId="164" fontId="17" fillId="2" borderId="9" xfId="1" applyNumberFormat="1" applyFont="1" applyFill="1" applyBorder="1" applyAlignment="1">
      <alignment vertical="center" wrapText="1"/>
    </xf>
    <xf numFmtId="0" fontId="40" fillId="0" borderId="0" xfId="0" applyFont="1" applyAlignment="1">
      <alignment horizontal="center"/>
    </xf>
    <xf numFmtId="0" fontId="18" fillId="5" borderId="15" xfId="0" applyFont="1" applyFill="1" applyBorder="1"/>
    <xf numFmtId="43" fontId="17" fillId="6" borderId="21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7" fillId="6" borderId="10" xfId="1" applyFont="1" applyFill="1" applyBorder="1" applyAlignment="1">
      <alignment horizontal="center" vertical="center" wrapText="1"/>
    </xf>
    <xf numFmtId="14" fontId="17" fillId="0" borderId="1" xfId="1" applyNumberFormat="1" applyFont="1" applyFill="1" applyBorder="1" applyAlignment="1">
      <alignment horizontal="center" vertical="center" wrapText="1"/>
    </xf>
    <xf numFmtId="14" fontId="17" fillId="0" borderId="15" xfId="1" applyNumberFormat="1" applyFont="1" applyFill="1" applyBorder="1" applyAlignment="1">
      <alignment horizontal="center" vertical="center" wrapText="1"/>
    </xf>
    <xf numFmtId="43" fontId="17" fillId="0" borderId="15" xfId="1" applyFont="1" applyFill="1" applyBorder="1" applyAlignment="1">
      <alignment horizontal="center" wrapText="1"/>
    </xf>
    <xf numFmtId="43" fontId="17" fillId="6" borderId="15" xfId="1" applyFont="1" applyFill="1" applyBorder="1" applyAlignment="1">
      <alignment horizontal="center" wrapText="1"/>
    </xf>
    <xf numFmtId="43" fontId="17" fillId="0" borderId="15" xfId="1" applyFont="1" applyFill="1" applyBorder="1" applyAlignment="1">
      <alignment horizontal="center"/>
    </xf>
    <xf numFmtId="43" fontId="17" fillId="7" borderId="15" xfId="1" applyFont="1" applyFill="1" applyBorder="1" applyAlignment="1">
      <alignment horizontal="center" wrapText="1"/>
    </xf>
    <xf numFmtId="43" fontId="17" fillId="2" borderId="15" xfId="1" applyFont="1" applyFill="1" applyBorder="1" applyAlignment="1">
      <alignment horizontal="center" wrapText="1"/>
    </xf>
    <xf numFmtId="0" fontId="18" fillId="7" borderId="1" xfId="0" applyFont="1" applyFill="1" applyBorder="1" applyAlignment="1">
      <alignment horizontal="center"/>
    </xf>
    <xf numFmtId="43" fontId="18" fillId="0" borderId="0" xfId="1" applyFont="1" applyFill="1" applyAlignment="1">
      <alignment wrapText="1"/>
    </xf>
    <xf numFmtId="164" fontId="18" fillId="0" borderId="1" xfId="1" applyNumberFormat="1" applyFont="1" applyBorder="1"/>
    <xf numFmtId="0" fontId="17" fillId="0" borderId="17" xfId="0" applyFont="1" applyBorder="1" applyAlignment="1">
      <alignment horizontal="center" vertical="center" wrapText="1"/>
    </xf>
    <xf numFmtId="43" fontId="17" fillId="7" borderId="10" xfId="1" applyFont="1" applyFill="1" applyBorder="1" applyAlignment="1">
      <alignment vertical="center" wrapText="1"/>
    </xf>
    <xf numFmtId="164" fontId="39" fillId="0" borderId="0" xfId="1" applyNumberFormat="1" applyFont="1" applyAlignment="1"/>
    <xf numFmtId="164" fontId="31" fillId="7" borderId="0" xfId="1" applyNumberFormat="1" applyFont="1" applyFill="1" applyAlignment="1"/>
    <xf numFmtId="43" fontId="39" fillId="3" borderId="0" xfId="1" applyFont="1" applyFill="1"/>
    <xf numFmtId="43" fontId="18" fillId="3" borderId="0" xfId="1" applyFont="1" applyFill="1"/>
    <xf numFmtId="43" fontId="31" fillId="7" borderId="0" xfId="1" applyFont="1" applyFill="1" applyAlignment="1"/>
    <xf numFmtId="43" fontId="15" fillId="5" borderId="0" xfId="1" applyFont="1" applyFill="1" applyAlignment="1"/>
    <xf numFmtId="43" fontId="18" fillId="11" borderId="0" xfId="1" applyFont="1" applyFill="1"/>
    <xf numFmtId="43" fontId="18" fillId="6" borderId="0" xfId="1" applyFont="1" applyFill="1"/>
    <xf numFmtId="43" fontId="17" fillId="0" borderId="9" xfId="1" applyFont="1" applyBorder="1" applyAlignment="1">
      <alignment vertical="center" wrapText="1"/>
    </xf>
    <xf numFmtId="43" fontId="18" fillId="0" borderId="9" xfId="1" applyFont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164" fontId="18" fillId="7" borderId="14" xfId="1" applyNumberFormat="1" applyFont="1" applyFill="1" applyBorder="1"/>
    <xf numFmtId="0" fontId="16" fillId="5" borderId="0" xfId="0" applyFont="1" applyFill="1" applyAlignment="1"/>
    <xf numFmtId="0" fontId="40" fillId="0" borderId="0" xfId="0" applyFont="1" applyFill="1" applyAlignment="1">
      <alignment horizontal="left"/>
    </xf>
    <xf numFmtId="43" fontId="17" fillId="0" borderId="17" xfId="1" applyFont="1" applyBorder="1" applyAlignment="1">
      <alignment horizontal="center" vertical="center" wrapText="1"/>
    </xf>
    <xf numFmtId="43" fontId="17" fillId="6" borderId="17" xfId="1" applyFont="1" applyFill="1" applyBorder="1" applyAlignment="1">
      <alignment horizontal="center" vertical="center" wrapText="1"/>
    </xf>
    <xf numFmtId="43" fontId="31" fillId="0" borderId="0" xfId="1" applyFont="1" applyFill="1" applyAlignment="1"/>
    <xf numFmtId="43" fontId="16" fillId="0" borderId="0" xfId="1" applyFont="1" applyFill="1" applyAlignment="1"/>
    <xf numFmtId="43" fontId="16" fillId="7" borderId="17" xfId="1" applyFont="1" applyFill="1" applyBorder="1" applyAlignment="1">
      <alignment horizontal="center" vertical="center" wrapText="1"/>
    </xf>
    <xf numFmtId="43" fontId="16" fillId="0" borderId="9" xfId="1" applyFont="1" applyFill="1" applyBorder="1" applyAlignment="1">
      <alignment horizontal="center" vertical="center" wrapText="1"/>
    </xf>
    <xf numFmtId="43" fontId="34" fillId="2" borderId="0" xfId="1" applyFont="1" applyFill="1" applyAlignment="1"/>
    <xf numFmtId="43" fontId="34" fillId="6" borderId="0" xfId="1" applyFont="1" applyFill="1" applyAlignment="1"/>
    <xf numFmtId="164" fontId="39" fillId="0" borderId="0" xfId="1" applyNumberFormat="1" applyFont="1"/>
    <xf numFmtId="3" fontId="18" fillId="0" borderId="0" xfId="0" applyNumberFormat="1" applyFont="1" applyFill="1"/>
    <xf numFmtId="164" fontId="25" fillId="5" borderId="0" xfId="1" applyNumberFormat="1" applyFont="1" applyFill="1" applyAlignment="1"/>
    <xf numFmtId="164" fontId="18" fillId="0" borderId="10" xfId="1" applyNumberFormat="1" applyFont="1" applyFill="1" applyBorder="1" applyAlignment="1">
      <alignment vertical="center" wrapText="1"/>
    </xf>
    <xf numFmtId="43" fontId="17" fillId="6" borderId="9" xfId="1" applyFont="1" applyFill="1" applyBorder="1" applyAlignment="1">
      <alignment horizontal="center" vertical="center" wrapText="1"/>
    </xf>
    <xf numFmtId="43" fontId="17" fillId="0" borderId="10" xfId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left"/>
    </xf>
    <xf numFmtId="43" fontId="26" fillId="2" borderId="10" xfId="1" applyFont="1" applyFill="1" applyBorder="1" applyAlignment="1">
      <alignment horizontal="center" vertical="center" wrapText="1"/>
    </xf>
    <xf numFmtId="43" fontId="25" fillId="12" borderId="0" xfId="1" applyFont="1" applyFill="1" applyAlignment="1">
      <alignment horizontal="left"/>
    </xf>
    <xf numFmtId="43" fontId="26" fillId="0" borderId="10" xfId="1" applyFont="1" applyFill="1" applyBorder="1" applyAlignment="1">
      <alignment vertical="center" wrapText="1"/>
    </xf>
    <xf numFmtId="43" fontId="26" fillId="0" borderId="10" xfId="1" applyFont="1" applyFill="1" applyBorder="1" applyAlignment="1">
      <alignment horizontal="center" vertical="center" wrapText="1"/>
    </xf>
    <xf numFmtId="43" fontId="17" fillId="3" borderId="9" xfId="1" applyFont="1" applyFill="1" applyBorder="1" applyAlignment="1">
      <alignment horizontal="center" vertical="center" wrapText="1"/>
    </xf>
    <xf numFmtId="164" fontId="34" fillId="0" borderId="1" xfId="1" applyNumberFormat="1" applyFont="1" applyFill="1" applyBorder="1" applyAlignment="1"/>
    <xf numFmtId="0" fontId="3" fillId="0" borderId="0" xfId="0" applyFont="1" applyFill="1"/>
    <xf numFmtId="0" fontId="23" fillId="0" borderId="0" xfId="0" applyFont="1" applyFill="1" applyAlignment="1"/>
    <xf numFmtId="43" fontId="17" fillId="0" borderId="10" xfId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wrapText="1"/>
    </xf>
    <xf numFmtId="0" fontId="39" fillId="9" borderId="0" xfId="0" applyFont="1" applyFill="1"/>
    <xf numFmtId="43" fontId="18" fillId="9" borderId="0" xfId="1" applyFont="1" applyFill="1"/>
    <xf numFmtId="43" fontId="39" fillId="9" borderId="0" xfId="1" applyFont="1" applyFill="1"/>
    <xf numFmtId="0" fontId="17" fillId="2" borderId="10" xfId="0" applyFont="1" applyFill="1" applyBorder="1" applyAlignment="1">
      <alignment horizontal="center" vertical="center" wrapText="1"/>
    </xf>
    <xf numFmtId="164" fontId="16" fillId="0" borderId="1" xfId="1" applyNumberFormat="1" applyFont="1" applyBorder="1"/>
    <xf numFmtId="0" fontId="18" fillId="0" borderId="0" xfId="0" applyFont="1" applyFill="1" applyAlignment="1">
      <alignment wrapText="1"/>
    </xf>
    <xf numFmtId="0" fontId="24" fillId="0" borderId="0" xfId="0" applyFont="1" applyFill="1" applyBorder="1" applyAlignment="1">
      <alignment horizontal="left" wrapText="1"/>
    </xf>
    <xf numFmtId="164" fontId="23" fillId="0" borderId="9" xfId="1" applyNumberFormat="1" applyFont="1" applyFill="1" applyBorder="1" applyAlignment="1">
      <alignment horizontal="center"/>
    </xf>
    <xf numFmtId="0" fontId="23" fillId="0" borderId="9" xfId="0" applyFont="1" applyBorder="1" applyAlignment="1">
      <alignment horizontal="center" wrapText="1"/>
    </xf>
    <xf numFmtId="0" fontId="17" fillId="7" borderId="9" xfId="0" applyFont="1" applyFill="1" applyBorder="1" applyAlignment="1">
      <alignment wrapText="1"/>
    </xf>
    <xf numFmtId="0" fontId="17" fillId="3" borderId="17" xfId="0" applyFont="1" applyFill="1" applyBorder="1" applyAlignment="1">
      <alignment wrapText="1"/>
    </xf>
    <xf numFmtId="164" fontId="17" fillId="0" borderId="14" xfId="1" applyNumberFormat="1" applyFont="1" applyBorder="1"/>
    <xf numFmtId="164" fontId="30" fillId="0" borderId="10" xfId="1" applyNumberFormat="1" applyFont="1" applyFill="1" applyBorder="1" applyAlignment="1">
      <alignment horizontal="center" vertical="center" wrapText="1"/>
    </xf>
    <xf numFmtId="0" fontId="4" fillId="0" borderId="20" xfId="0" applyFont="1" applyBorder="1"/>
    <xf numFmtId="0" fontId="4" fillId="0" borderId="0" xfId="0" applyFont="1" applyBorder="1"/>
    <xf numFmtId="0" fontId="18" fillId="0" borderId="0" xfId="0" applyFont="1" applyBorder="1"/>
    <xf numFmtId="0" fontId="31" fillId="0" borderId="21" xfId="0" applyFont="1" applyBorder="1" applyAlignment="1">
      <alignment horizontal="center"/>
    </xf>
    <xf numFmtId="0" fontId="31" fillId="0" borderId="30" xfId="0" applyFont="1" applyBorder="1" applyAlignment="1">
      <alignment horizontal="center"/>
    </xf>
    <xf numFmtId="0" fontId="18" fillId="0" borderId="9" xfId="0" applyFont="1" applyBorder="1"/>
    <xf numFmtId="0" fontId="18" fillId="0" borderId="10" xfId="0" applyFont="1" applyBorder="1" applyAlignment="1"/>
    <xf numFmtId="10" fontId="18" fillId="0" borderId="9" xfId="0" applyNumberFormat="1" applyFont="1" applyBorder="1" applyAlignment="1">
      <alignment horizontal="center"/>
    </xf>
    <xf numFmtId="166" fontId="18" fillId="0" borderId="9" xfId="0" applyNumberFormat="1" applyFont="1" applyBorder="1" applyAlignment="1">
      <alignment horizontal="center"/>
    </xf>
    <xf numFmtId="0" fontId="18" fillId="0" borderId="30" xfId="0" applyFont="1" applyBorder="1"/>
    <xf numFmtId="0" fontId="18" fillId="0" borderId="9" xfId="0" applyFont="1" applyBorder="1" applyAlignment="1"/>
    <xf numFmtId="0" fontId="18" fillId="0" borderId="9" xfId="0" applyFont="1" applyBorder="1" applyAlignment="1">
      <alignment horizontal="center"/>
    </xf>
    <xf numFmtId="0" fontId="17" fillId="13" borderId="9" xfId="0" applyFont="1" applyFill="1" applyBorder="1" applyAlignment="1">
      <alignment wrapText="1"/>
    </xf>
    <xf numFmtId="43" fontId="15" fillId="13" borderId="0" xfId="1" applyFont="1" applyFill="1" applyAlignment="1"/>
    <xf numFmtId="164" fontId="15" fillId="0" borderId="1" xfId="1" applyNumberFormat="1" applyFont="1" applyFill="1" applyBorder="1"/>
    <xf numFmtId="164" fontId="15" fillId="0" borderId="14" xfId="1" applyNumberFormat="1" applyFont="1" applyFill="1" applyBorder="1" applyAlignment="1">
      <alignment horizontal="right" vertical="center"/>
    </xf>
    <xf numFmtId="164" fontId="18" fillId="0" borderId="14" xfId="1" applyNumberFormat="1" applyFont="1" applyFill="1" applyBorder="1"/>
    <xf numFmtId="0" fontId="18" fillId="0" borderId="1" xfId="0" applyFont="1" applyFill="1" applyBorder="1" applyAlignment="1">
      <alignment horizontal="center" wrapText="1"/>
    </xf>
    <xf numFmtId="164" fontId="18" fillId="0" borderId="1" xfId="1" applyNumberFormat="1" applyFont="1" applyFill="1" applyBorder="1"/>
    <xf numFmtId="164" fontId="31" fillId="0" borderId="1" xfId="1" applyNumberFormat="1" applyFont="1" applyBorder="1" applyAlignment="1">
      <alignment horizontal="center" wrapText="1"/>
    </xf>
    <xf numFmtId="164" fontId="16" fillId="0" borderId="1" xfId="1" applyNumberFormat="1" applyFont="1" applyBorder="1" applyAlignment="1">
      <alignment horizontal="center" wrapText="1"/>
    </xf>
    <xf numFmtId="43" fontId="23" fillId="7" borderId="1" xfId="1" applyFont="1" applyFill="1" applyBorder="1" applyAlignment="1">
      <alignment vertical="center" wrapText="1"/>
    </xf>
    <xf numFmtId="164" fontId="23" fillId="0" borderId="9" xfId="1" applyNumberFormat="1" applyFont="1" applyFill="1" applyBorder="1" applyAlignment="1">
      <alignment vertical="center" wrapText="1"/>
    </xf>
    <xf numFmtId="164" fontId="23" fillId="3" borderId="9" xfId="1" applyNumberFormat="1" applyFont="1" applyFill="1" applyBorder="1" applyAlignment="1">
      <alignment vertical="center" wrapText="1"/>
    </xf>
    <xf numFmtId="43" fontId="23" fillId="3" borderId="9" xfId="1" applyFont="1" applyFill="1" applyBorder="1" applyAlignment="1">
      <alignment vertical="center" wrapText="1"/>
    </xf>
    <xf numFmtId="164" fontId="23" fillId="7" borderId="9" xfId="1" applyNumberFormat="1" applyFont="1" applyFill="1" applyBorder="1" applyAlignment="1">
      <alignment vertical="center" wrapText="1"/>
    </xf>
    <xf numFmtId="43" fontId="23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8" fillId="0" borderId="0" xfId="0" applyFont="1" applyFill="1" applyAlignment="1">
      <alignment horizontal="center" wrapText="1"/>
    </xf>
    <xf numFmtId="0" fontId="39" fillId="0" borderId="1" xfId="0" applyFont="1" applyFill="1" applyBorder="1"/>
    <xf numFmtId="164" fontId="15" fillId="0" borderId="14" xfId="1" applyNumberFormat="1" applyFont="1" applyFill="1" applyBorder="1"/>
    <xf numFmtId="0" fontId="39" fillId="0" borderId="1" xfId="0" applyFont="1" applyFill="1" applyBorder="1" applyAlignment="1">
      <alignment horizontal="center" wrapText="1"/>
    </xf>
    <xf numFmtId="164" fontId="18" fillId="0" borderId="1" xfId="0" applyNumberFormat="1" applyFont="1" applyBorder="1"/>
    <xf numFmtId="164" fontId="21" fillId="0" borderId="0" xfId="1" applyNumberFormat="1" applyFont="1"/>
    <xf numFmtId="164" fontId="35" fillId="0" borderId="1" xfId="1" applyNumberFormat="1" applyFont="1" applyFill="1" applyBorder="1" applyAlignment="1"/>
    <xf numFmtId="164" fontId="18" fillId="0" borderId="14" xfId="0" applyNumberFormat="1" applyFont="1" applyFill="1" applyBorder="1"/>
    <xf numFmtId="0" fontId="18" fillId="0" borderId="14" xfId="1" applyNumberFormat="1" applyFont="1" applyFill="1" applyBorder="1" applyAlignment="1">
      <alignment horizontal="left" wrapText="1"/>
    </xf>
    <xf numFmtId="164" fontId="18" fillId="2" borderId="1" xfId="1" applyNumberFormat="1" applyFont="1" applyFill="1" applyBorder="1" applyAlignment="1">
      <alignment wrapText="1"/>
    </xf>
    <xf numFmtId="43" fontId="39" fillId="0" borderId="14" xfId="1" applyFont="1" applyFill="1" applyBorder="1"/>
    <xf numFmtId="43" fontId="15" fillId="0" borderId="14" xfId="1" applyFont="1" applyFill="1" applyBorder="1"/>
    <xf numFmtId="0" fontId="18" fillId="0" borderId="14" xfId="0" applyFont="1" applyFill="1" applyBorder="1"/>
    <xf numFmtId="164" fontId="18" fillId="0" borderId="1" xfId="0" applyNumberFormat="1" applyFont="1" applyFill="1" applyBorder="1"/>
    <xf numFmtId="0" fontId="37" fillId="0" borderId="1" xfId="0" applyFont="1" applyFill="1" applyBorder="1" applyAlignment="1">
      <alignment horizontal="left"/>
    </xf>
    <xf numFmtId="164" fontId="37" fillId="0" borderId="14" xfId="1" applyNumberFormat="1" applyFont="1" applyFill="1" applyBorder="1"/>
    <xf numFmtId="164" fontId="32" fillId="0" borderId="14" xfId="1" applyNumberFormat="1" applyFont="1" applyFill="1" applyBorder="1"/>
    <xf numFmtId="0" fontId="32" fillId="0" borderId="0" xfId="0" applyFont="1" applyFill="1"/>
    <xf numFmtId="164" fontId="36" fillId="2" borderId="2" xfId="1" applyNumberFormat="1" applyFont="1" applyFill="1" applyBorder="1" applyAlignment="1">
      <alignment horizontal="center" vertical="center"/>
    </xf>
    <xf numFmtId="164" fontId="30" fillId="2" borderId="10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0" fillId="0" borderId="10" xfId="1" applyNumberFormat="1" applyFont="1" applyFill="1" applyBorder="1" applyAlignment="1">
      <alignment vertical="center" wrapText="1"/>
    </xf>
    <xf numFmtId="164" fontId="17" fillId="0" borderId="9" xfId="1" applyNumberFormat="1" applyFont="1" applyBorder="1" applyAlignment="1">
      <alignment horizontal="center" vertical="center" wrapText="1"/>
    </xf>
    <xf numFmtId="0" fontId="16" fillId="0" borderId="0" xfId="0" applyFont="1" applyFill="1" applyAlignment="1"/>
    <xf numFmtId="164" fontId="18" fillId="0" borderId="0" xfId="0" applyNumberFormat="1" applyFont="1"/>
    <xf numFmtId="164" fontId="39" fillId="13" borderId="14" xfId="1" applyNumberFormat="1" applyFont="1" applyFill="1" applyBorder="1" applyAlignment="1">
      <alignment horizontal="center" wrapText="1"/>
    </xf>
    <xf numFmtId="0" fontId="17" fillId="4" borderId="9" xfId="0" applyFont="1" applyFill="1" applyBorder="1" applyAlignment="1">
      <alignment wrapText="1"/>
    </xf>
    <xf numFmtId="14" fontId="15" fillId="0" borderId="14" xfId="1" applyNumberFormat="1" applyFont="1" applyFill="1" applyBorder="1" applyAlignment="1">
      <alignment horizontal="center" vertical="center"/>
    </xf>
    <xf numFmtId="164" fontId="18" fillId="0" borderId="9" xfId="1" applyNumberFormat="1" applyFont="1" applyFill="1" applyBorder="1" applyAlignment="1">
      <alignment wrapText="1"/>
    </xf>
    <xf numFmtId="164" fontId="18" fillId="0" borderId="0" xfId="1" applyNumberFormat="1" applyFont="1" applyAlignment="1">
      <alignment horizontal="right"/>
    </xf>
    <xf numFmtId="164" fontId="18" fillId="0" borderId="9" xfId="1" applyNumberFormat="1" applyFont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horizontal="center" vertical="center" wrapText="1"/>
    </xf>
    <xf numFmtId="164" fontId="15" fillId="7" borderId="10" xfId="1" applyNumberFormat="1" applyFont="1" applyFill="1" applyBorder="1" applyAlignment="1">
      <alignment horizontal="center" vertical="center" wrapText="1"/>
    </xf>
    <xf numFmtId="164" fontId="24" fillId="6" borderId="0" xfId="1" applyNumberFormat="1" applyFont="1" applyFill="1" applyAlignment="1"/>
    <xf numFmtId="164" fontId="17" fillId="0" borderId="9" xfId="1" applyNumberFormat="1" applyFont="1" applyFill="1" applyBorder="1" applyAlignment="1">
      <alignment wrapText="1"/>
    </xf>
    <xf numFmtId="164" fontId="15" fillId="0" borderId="0" xfId="1" applyNumberFormat="1" applyFont="1" applyFill="1" applyAlignment="1"/>
    <xf numFmtId="164" fontId="15" fillId="0" borderId="0" xfId="1" applyNumberFormat="1" applyFont="1" applyFill="1" applyAlignment="1">
      <alignment horizontal="center" wrapText="1"/>
    </xf>
    <xf numFmtId="164" fontId="39" fillId="0" borderId="0" xfId="1" applyNumberFormat="1" applyFont="1" applyFill="1" applyAlignment="1"/>
    <xf numFmtId="164" fontId="18" fillId="0" borderId="0" xfId="1" applyNumberFormat="1" applyFont="1" applyFill="1" applyAlignment="1">
      <alignment horizontal="center" wrapText="1"/>
    </xf>
    <xf numFmtId="167" fontId="27" fillId="0" borderId="10" xfId="1" applyNumberFormat="1" applyFont="1" applyFill="1" applyBorder="1" applyAlignment="1">
      <alignment horizontal="center" vertical="center" wrapText="1"/>
    </xf>
    <xf numFmtId="164" fontId="15" fillId="7" borderId="0" xfId="1" applyNumberFormat="1" applyFont="1" applyFill="1" applyAlignment="1"/>
    <xf numFmtId="43" fontId="27" fillId="10" borderId="0" xfId="1" applyFont="1" applyFill="1" applyBorder="1" applyAlignment="1">
      <alignment horizontal="center" vertical="center" wrapText="1"/>
    </xf>
    <xf numFmtId="164" fontId="30" fillId="13" borderId="10" xfId="1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right"/>
    </xf>
    <xf numFmtId="43" fontId="18" fillId="0" borderId="1" xfId="1" applyFont="1" applyBorder="1"/>
    <xf numFmtId="164" fontId="17" fillId="0" borderId="9" xfId="1" applyNumberFormat="1" applyFont="1" applyFill="1" applyBorder="1" applyAlignment="1">
      <alignment vertical="center" wrapText="1"/>
    </xf>
    <xf numFmtId="43" fontId="43" fillId="0" borderId="0" xfId="1" applyFont="1" applyFill="1"/>
    <xf numFmtId="164" fontId="17" fillId="0" borderId="10" xfId="1" applyNumberFormat="1" applyFont="1" applyFill="1" applyBorder="1" applyAlignment="1">
      <alignment vertical="center" wrapText="1"/>
    </xf>
    <xf numFmtId="164" fontId="17" fillId="0" borderId="19" xfId="1" applyNumberFormat="1" applyFont="1" applyFill="1" applyBorder="1" applyAlignment="1">
      <alignment vertical="center" wrapText="1"/>
    </xf>
    <xf numFmtId="164" fontId="39" fillId="7" borderId="0" xfId="1" applyNumberFormat="1" applyFont="1" applyFill="1"/>
    <xf numFmtId="164" fontId="15" fillId="0" borderId="0" xfId="1" applyNumberFormat="1" applyFont="1" applyAlignment="1">
      <alignment horizontal="right"/>
    </xf>
    <xf numFmtId="43" fontId="27" fillId="4" borderId="10" xfId="1" applyFont="1" applyFill="1" applyBorder="1" applyAlignment="1">
      <alignment horizontal="center" vertical="center" wrapText="1"/>
    </xf>
    <xf numFmtId="164" fontId="27" fillId="0" borderId="10" xfId="1" applyNumberFormat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16" fillId="9" borderId="1" xfId="1" applyNumberFormat="1" applyFont="1" applyFill="1" applyBorder="1" applyAlignment="1"/>
    <xf numFmtId="164" fontId="15" fillId="0" borderId="0" xfId="1" applyNumberFormat="1" applyFont="1"/>
    <xf numFmtId="164" fontId="31" fillId="0" borderId="0" xfId="1" applyNumberFormat="1" applyFont="1" applyFill="1" applyAlignment="1">
      <alignment horizontal="right"/>
    </xf>
    <xf numFmtId="164" fontId="21" fillId="0" borderId="0" xfId="1" applyNumberFormat="1" applyFont="1" applyFill="1" applyAlignment="1">
      <alignment horizontal="right"/>
    </xf>
    <xf numFmtId="164" fontId="18" fillId="4" borderId="0" xfId="1" applyNumberFormat="1" applyFont="1" applyFill="1"/>
    <xf numFmtId="164" fontId="15" fillId="0" borderId="0" xfId="1" applyNumberFormat="1" applyFont="1" applyFill="1" applyAlignment="1">
      <alignment horizontal="left"/>
    </xf>
    <xf numFmtId="0" fontId="18" fillId="0" borderId="0" xfId="0" applyFont="1" applyFill="1" applyAlignment="1">
      <alignment horizontal="right"/>
    </xf>
    <xf numFmtId="164" fontId="17" fillId="6" borderId="10" xfId="1" applyNumberFormat="1" applyFont="1" applyFill="1" applyBorder="1" applyAlignment="1">
      <alignment horizontal="center" vertical="center" wrapText="1"/>
    </xf>
    <xf numFmtId="164" fontId="20" fillId="2" borderId="18" xfId="1" applyNumberFormat="1" applyFont="1" applyFill="1" applyBorder="1" applyAlignment="1">
      <alignment horizontal="center" vertical="center"/>
    </xf>
    <xf numFmtId="164" fontId="20" fillId="2" borderId="8" xfId="1" applyNumberFormat="1" applyFont="1" applyFill="1" applyBorder="1" applyAlignment="1">
      <alignment horizontal="center" vertical="center"/>
    </xf>
    <xf numFmtId="14" fontId="15" fillId="0" borderId="9" xfId="1" applyNumberFormat="1" applyFont="1" applyFill="1" applyBorder="1" applyAlignment="1">
      <alignment horizontal="center" vertical="center"/>
    </xf>
    <xf numFmtId="164" fontId="15" fillId="0" borderId="9" xfId="1" applyNumberFormat="1" applyFont="1" applyFill="1" applyBorder="1"/>
    <xf numFmtId="164" fontId="15" fillId="0" borderId="9" xfId="1" applyNumberFormat="1" applyFont="1" applyFill="1" applyBorder="1" applyAlignment="1">
      <alignment horizontal="right" vertical="center"/>
    </xf>
    <xf numFmtId="164" fontId="18" fillId="0" borderId="9" xfId="1" applyNumberFormat="1" applyFont="1" applyFill="1" applyBorder="1"/>
    <xf numFmtId="164" fontId="39" fillId="0" borderId="9" xfId="1" applyNumberFormat="1" applyFont="1" applyFill="1" applyBorder="1"/>
    <xf numFmtId="0" fontId="18" fillId="0" borderId="9" xfId="0" applyFont="1" applyFill="1" applyBorder="1"/>
    <xf numFmtId="0" fontId="15" fillId="0" borderId="14" xfId="0" applyFont="1" applyFill="1" applyBorder="1"/>
    <xf numFmtId="43" fontId="15" fillId="0" borderId="0" xfId="1" applyFont="1"/>
    <xf numFmtId="164" fontId="39" fillId="0" borderId="14" xfId="1" applyNumberFormat="1" applyFont="1" applyFill="1" applyBorder="1"/>
    <xf numFmtId="0" fontId="39" fillId="0" borderId="14" xfId="0" applyFont="1" applyFill="1" applyBorder="1"/>
    <xf numFmtId="164" fontId="17" fillId="0" borderId="0" xfId="1" applyNumberFormat="1" applyFont="1" applyFill="1"/>
    <xf numFmtId="0" fontId="39" fillId="0" borderId="0" xfId="0" applyFont="1" applyAlignment="1">
      <alignment horizontal="right"/>
    </xf>
    <xf numFmtId="0" fontId="15" fillId="0" borderId="1" xfId="0" applyFont="1" applyFill="1" applyBorder="1" applyAlignment="1">
      <alignment horizontal="left"/>
    </xf>
    <xf numFmtId="164" fontId="15" fillId="0" borderId="1" xfId="1" applyNumberFormat="1" applyFont="1" applyFill="1" applyBorder="1" applyAlignment="1">
      <alignment horizontal="right" vertical="center"/>
    </xf>
    <xf numFmtId="164" fontId="20" fillId="2" borderId="2" xfId="1" applyNumberFormat="1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/>
    </xf>
    <xf numFmtId="0" fontId="18" fillId="0" borderId="9" xfId="0" applyFont="1" applyFill="1" applyBorder="1" applyAlignment="1">
      <alignment horizontal="center" wrapText="1"/>
    </xf>
    <xf numFmtId="0" fontId="33" fillId="0" borderId="13" xfId="1" applyNumberFormat="1" applyFont="1" applyFill="1" applyBorder="1" applyAlignment="1">
      <alignment horizontal="left" vertical="center"/>
    </xf>
    <xf numFmtId="164" fontId="33" fillId="0" borderId="13" xfId="1" applyNumberFormat="1" applyFont="1" applyFill="1" applyBorder="1" applyAlignment="1">
      <alignment horizontal="center" vertical="center"/>
    </xf>
    <xf numFmtId="164" fontId="9" fillId="0" borderId="1" xfId="1" applyNumberFormat="1" applyFont="1" applyFill="1" applyBorder="1"/>
    <xf numFmtId="164" fontId="14" fillId="0" borderId="1" xfId="1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wrapText="1"/>
    </xf>
    <xf numFmtId="164" fontId="14" fillId="0" borderId="9" xfId="1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vertical="center"/>
    </xf>
    <xf numFmtId="164" fontId="15" fillId="0" borderId="3" xfId="1" applyNumberFormat="1" applyFont="1" applyFill="1" applyBorder="1" applyAlignment="1">
      <alignment horizontal="right" vertical="center"/>
    </xf>
    <xf numFmtId="0" fontId="39" fillId="0" borderId="14" xfId="0" applyFont="1" applyFill="1" applyBorder="1" applyAlignment="1">
      <alignment horizontal="center" wrapText="1"/>
    </xf>
    <xf numFmtId="164" fontId="15" fillId="0" borderId="26" xfId="1" applyNumberFormat="1" applyFont="1" applyFill="1" applyBorder="1" applyAlignment="1">
      <alignment horizontal="right" vertical="center"/>
    </xf>
    <xf numFmtId="14" fontId="15" fillId="0" borderId="1" xfId="1" applyNumberFormat="1" applyFont="1" applyFill="1" applyBorder="1"/>
    <xf numFmtId="14" fontId="18" fillId="0" borderId="1" xfId="0" applyNumberFormat="1" applyFont="1" applyFill="1" applyBorder="1"/>
    <xf numFmtId="165" fontId="18" fillId="0" borderId="1" xfId="1" applyNumberFormat="1" applyFont="1" applyFill="1" applyBorder="1" applyAlignment="1">
      <alignment wrapText="1"/>
    </xf>
    <xf numFmtId="43" fontId="18" fillId="0" borderId="1" xfId="1" applyFont="1" applyFill="1" applyBorder="1"/>
    <xf numFmtId="14" fontId="18" fillId="0" borderId="9" xfId="0" applyNumberFormat="1" applyFont="1" applyFill="1" applyBorder="1"/>
    <xf numFmtId="164" fontId="18" fillId="0" borderId="9" xfId="0" applyNumberFormat="1" applyFont="1" applyFill="1" applyBorder="1"/>
    <xf numFmtId="0" fontId="33" fillId="0" borderId="1" xfId="1" applyNumberFormat="1" applyFont="1" applyFill="1" applyBorder="1" applyAlignment="1">
      <alignment horizontal="left" vertical="center"/>
    </xf>
    <xf numFmtId="164" fontId="14" fillId="0" borderId="14" xfId="1" applyNumberFormat="1" applyFont="1" applyFill="1" applyBorder="1" applyAlignment="1">
      <alignment horizontal="right" vertical="center"/>
    </xf>
    <xf numFmtId="164" fontId="6" fillId="0" borderId="1" xfId="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164" fontId="33" fillId="2" borderId="1" xfId="1" applyNumberFormat="1" applyFont="1" applyFill="1" applyBorder="1" applyAlignment="1">
      <alignment horizontal="center" vertical="center"/>
    </xf>
    <xf numFmtId="164" fontId="33" fillId="2" borderId="9" xfId="1" applyNumberFormat="1" applyFont="1" applyFill="1" applyBorder="1" applyAlignment="1">
      <alignment horizontal="center" vertical="center"/>
    </xf>
    <xf numFmtId="0" fontId="33" fillId="0" borderId="9" xfId="1" applyNumberFormat="1" applyFont="1" applyFill="1" applyBorder="1" applyAlignment="1">
      <alignment horizontal="left" vertical="center"/>
    </xf>
    <xf numFmtId="164" fontId="6" fillId="0" borderId="9" xfId="1" applyNumberFormat="1" applyFont="1" applyFill="1" applyBorder="1" applyAlignment="1">
      <alignment horizontal="center" wrapText="1"/>
    </xf>
    <xf numFmtId="0" fontId="5" fillId="0" borderId="9" xfId="0" applyFont="1" applyFill="1" applyBorder="1" applyAlignment="1">
      <alignment horizontal="center" wrapText="1"/>
    </xf>
    <xf numFmtId="0" fontId="20" fillId="0" borderId="1" xfId="1" applyNumberFormat="1" applyFont="1" applyFill="1" applyBorder="1" applyAlignment="1">
      <alignment horizontal="left" vertical="center"/>
    </xf>
    <xf numFmtId="164" fontId="15" fillId="0" borderId="14" xfId="0" applyNumberFormat="1" applyFont="1" applyFill="1" applyBorder="1" applyAlignment="1">
      <alignment horizontal="center" wrapText="1"/>
    </xf>
    <xf numFmtId="164" fontId="18" fillId="0" borderId="14" xfId="0" applyNumberFormat="1" applyFont="1" applyFill="1" applyBorder="1" applyAlignment="1">
      <alignment horizontal="center" wrapText="1"/>
    </xf>
    <xf numFmtId="164" fontId="18" fillId="0" borderId="14" xfId="1" applyNumberFormat="1" applyFont="1" applyFill="1" applyBorder="1" applyAlignment="1">
      <alignment horizontal="center" wrapText="1"/>
    </xf>
    <xf numFmtId="164" fontId="18" fillId="0" borderId="1" xfId="1" applyNumberFormat="1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164" fontId="20" fillId="2" borderId="1" xfId="1" applyNumberFormat="1" applyFont="1" applyFill="1" applyBorder="1" applyAlignment="1">
      <alignment horizontal="center" vertical="center"/>
    </xf>
    <xf numFmtId="164" fontId="20" fillId="2" borderId="9" xfId="1" applyNumberFormat="1" applyFont="1" applyFill="1" applyBorder="1" applyAlignment="1">
      <alignment horizontal="center" vertical="center"/>
    </xf>
    <xf numFmtId="0" fontId="20" fillId="0" borderId="9" xfId="1" applyNumberFormat="1" applyFont="1" applyFill="1" applyBorder="1" applyAlignment="1">
      <alignment horizontal="left" vertical="center"/>
    </xf>
    <xf numFmtId="164" fontId="15" fillId="0" borderId="9" xfId="0" applyNumberFormat="1" applyFont="1" applyFill="1" applyBorder="1" applyAlignment="1">
      <alignment horizontal="center" wrapText="1"/>
    </xf>
    <xf numFmtId="164" fontId="18" fillId="0" borderId="9" xfId="0" applyNumberFormat="1" applyFont="1" applyFill="1" applyBorder="1" applyAlignment="1">
      <alignment horizontal="center" wrapText="1"/>
    </xf>
    <xf numFmtId="164" fontId="18" fillId="0" borderId="9" xfId="1" applyNumberFormat="1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43" fontId="18" fillId="0" borderId="9" xfId="1" applyFont="1" applyFill="1" applyBorder="1"/>
    <xf numFmtId="14" fontId="20" fillId="0" borderId="14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horizontal="right" vertical="center"/>
    </xf>
    <xf numFmtId="164" fontId="39" fillId="0" borderId="14" xfId="1" applyNumberFormat="1" applyFont="1" applyFill="1" applyBorder="1" applyAlignment="1">
      <alignment horizontal="center" vertical="center" wrapText="1"/>
    </xf>
    <xf numFmtId="164" fontId="39" fillId="0" borderId="1" xfId="1" applyNumberFormat="1" applyFont="1" applyFill="1" applyBorder="1"/>
    <xf numFmtId="14" fontId="20" fillId="0" borderId="9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horizontal="right" vertical="center"/>
    </xf>
    <xf numFmtId="0" fontId="15" fillId="0" borderId="14" xfId="0" applyFont="1" applyFill="1" applyBorder="1" applyAlignment="1">
      <alignment horizontal="left"/>
    </xf>
    <xf numFmtId="43" fontId="18" fillId="0" borderId="14" xfId="1" applyFont="1" applyFill="1" applyBorder="1"/>
    <xf numFmtId="164" fontId="18" fillId="0" borderId="1" xfId="1" applyNumberFormat="1" applyFont="1" applyFill="1" applyBorder="1" applyAlignment="1">
      <alignment horizontal="center"/>
    </xf>
    <xf numFmtId="164" fontId="18" fillId="0" borderId="9" xfId="1" applyNumberFormat="1" applyFont="1" applyFill="1" applyBorder="1" applyAlignment="1">
      <alignment horizontal="center"/>
    </xf>
    <xf numFmtId="164" fontId="18" fillId="13" borderId="14" xfId="1" applyNumberFormat="1" applyFont="1" applyFill="1" applyBorder="1"/>
    <xf numFmtId="43" fontId="18" fillId="13" borderId="14" xfId="1" applyFont="1" applyFill="1" applyBorder="1"/>
    <xf numFmtId="164" fontId="18" fillId="13" borderId="1" xfId="1" applyNumberFormat="1" applyFont="1" applyFill="1" applyBorder="1"/>
    <xf numFmtId="164" fontId="15" fillId="0" borderId="1" xfId="1" applyNumberFormat="1" applyFont="1" applyFill="1" applyBorder="1" applyAlignment="1"/>
    <xf numFmtId="14" fontId="15" fillId="0" borderId="1" xfId="1" applyNumberFormat="1" applyFont="1" applyFill="1" applyBorder="1" applyAlignment="1">
      <alignment horizontal="center" vertical="center"/>
    </xf>
    <xf numFmtId="0" fontId="15" fillId="0" borderId="1" xfId="0" applyFont="1" applyFill="1" applyBorder="1"/>
    <xf numFmtId="164" fontId="33" fillId="0" borderId="1" xfId="1" applyNumberFormat="1" applyFont="1" applyFill="1" applyBorder="1" applyAlignment="1">
      <alignment horizontal="center" vertical="center"/>
    </xf>
    <xf numFmtId="0" fontId="15" fillId="0" borderId="9" xfId="0" applyFont="1" applyFill="1" applyBorder="1"/>
    <xf numFmtId="164" fontId="15" fillId="3" borderId="9" xfId="1" applyNumberFormat="1" applyFont="1" applyFill="1" applyBorder="1" applyAlignment="1"/>
    <xf numFmtId="0" fontId="39" fillId="0" borderId="9" xfId="0" applyFont="1" applyFill="1" applyBorder="1"/>
    <xf numFmtId="164" fontId="18" fillId="0" borderId="9" xfId="1" applyNumberFormat="1" applyFont="1" applyBorder="1"/>
    <xf numFmtId="43" fontId="18" fillId="0" borderId="9" xfId="1" applyFont="1" applyBorder="1"/>
    <xf numFmtId="0" fontId="15" fillId="0" borderId="15" xfId="0" applyFont="1" applyFill="1" applyBorder="1" applyAlignment="1">
      <alignment horizontal="left"/>
    </xf>
    <xf numFmtId="164" fontId="15" fillId="0" borderId="19" xfId="1" applyNumberFormat="1" applyFont="1" applyFill="1" applyBorder="1"/>
    <xf numFmtId="164" fontId="15" fillId="0" borderId="15" xfId="1" applyNumberFormat="1" applyFont="1" applyFill="1" applyBorder="1" applyAlignment="1">
      <alignment horizontal="right" vertical="center"/>
    </xf>
    <xf numFmtId="164" fontId="15" fillId="0" borderId="19" xfId="1" applyNumberFormat="1" applyFont="1" applyFill="1" applyBorder="1" applyAlignment="1">
      <alignment horizontal="right" vertical="center"/>
    </xf>
    <xf numFmtId="0" fontId="39" fillId="0" borderId="15" xfId="0" applyFont="1" applyFill="1" applyBorder="1" applyAlignment="1">
      <alignment horizontal="center" wrapText="1"/>
    </xf>
    <xf numFmtId="0" fontId="18" fillId="0" borderId="15" xfId="0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164" fontId="20" fillId="8" borderId="18" xfId="1" applyNumberFormat="1" applyFont="1" applyFill="1" applyBorder="1" applyAlignment="1">
      <alignment horizontal="center" vertical="center"/>
    </xf>
    <xf numFmtId="164" fontId="20" fillId="8" borderId="1" xfId="1" applyNumberFormat="1" applyFont="1" applyFill="1" applyBorder="1" applyAlignment="1">
      <alignment horizontal="center" vertical="center"/>
    </xf>
    <xf numFmtId="0" fontId="33" fillId="0" borderId="31" xfId="1" applyNumberFormat="1" applyFont="1" applyFill="1" applyBorder="1" applyAlignment="1">
      <alignment horizontal="left" vertical="center"/>
    </xf>
    <xf numFmtId="164" fontId="33" fillId="0" borderId="31" xfId="1" applyNumberFormat="1" applyFont="1" applyFill="1" applyBorder="1" applyAlignment="1">
      <alignment horizontal="center" vertical="center"/>
    </xf>
    <xf numFmtId="164" fontId="9" fillId="0" borderId="9" xfId="1" applyNumberFormat="1" applyFont="1" applyFill="1" applyBorder="1"/>
    <xf numFmtId="164" fontId="33" fillId="8" borderId="1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horizontal="center" vertical="center"/>
    </xf>
    <xf numFmtId="0" fontId="18" fillId="0" borderId="1" xfId="1" applyNumberFormat="1" applyFont="1" applyFill="1" applyBorder="1" applyAlignment="1">
      <alignment horizontal="left" wrapText="1"/>
    </xf>
    <xf numFmtId="164" fontId="18" fillId="8" borderId="1" xfId="1" applyNumberFormat="1" applyFont="1" applyFill="1" applyBorder="1" applyAlignment="1">
      <alignment wrapText="1"/>
    </xf>
    <xf numFmtId="164" fontId="17" fillId="0" borderId="27" xfId="1" applyNumberFormat="1" applyFont="1" applyBorder="1" applyAlignment="1">
      <alignment horizontal="center" vertical="center" wrapText="1"/>
    </xf>
    <xf numFmtId="164" fontId="18" fillId="2" borderId="1" xfId="1" applyNumberFormat="1" applyFont="1" applyFill="1" applyBorder="1"/>
    <xf numFmtId="164" fontId="18" fillId="2" borderId="9" xfId="1" applyNumberFormat="1" applyFont="1" applyFill="1" applyBorder="1"/>
    <xf numFmtId="0" fontId="37" fillId="0" borderId="9" xfId="0" applyFont="1" applyFill="1" applyBorder="1" applyAlignment="1">
      <alignment horizontal="left"/>
    </xf>
    <xf numFmtId="164" fontId="37" fillId="0" borderId="9" xfId="1" applyNumberFormat="1" applyFont="1" applyFill="1" applyBorder="1"/>
    <xf numFmtId="164" fontId="32" fillId="0" borderId="9" xfId="1" applyNumberFormat="1" applyFont="1" applyFill="1" applyBorder="1"/>
    <xf numFmtId="164" fontId="36" fillId="2" borderId="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wrapText="1"/>
    </xf>
    <xf numFmtId="164" fontId="18" fillId="0" borderId="1" xfId="0" applyNumberFormat="1" applyFont="1" applyFill="1" applyBorder="1" applyAlignment="1">
      <alignment horizontal="center" wrapText="1"/>
    </xf>
    <xf numFmtId="14" fontId="20" fillId="0" borderId="1" xfId="1" applyNumberFormat="1" applyFont="1" applyFill="1" applyBorder="1" applyAlignment="1">
      <alignment horizontal="center" vertical="center"/>
    </xf>
    <xf numFmtId="164" fontId="39" fillId="0" borderId="1" xfId="1" applyNumberFormat="1" applyFont="1" applyFill="1" applyBorder="1" applyAlignment="1">
      <alignment horizontal="center" vertical="center" wrapText="1"/>
    </xf>
    <xf numFmtId="43" fontId="18" fillId="13" borderId="1" xfId="1" applyFont="1" applyFill="1" applyBorder="1"/>
    <xf numFmtId="0" fontId="15" fillId="0" borderId="0" xfId="0" applyFont="1" applyFill="1" applyBorder="1" applyAlignment="1">
      <alignment horizontal="center"/>
    </xf>
    <xf numFmtId="164" fontId="20" fillId="0" borderId="14" xfId="1" applyNumberFormat="1" applyFont="1" applyFill="1" applyBorder="1" applyAlignment="1">
      <alignment horizontal="center" vertical="center"/>
    </xf>
    <xf numFmtId="164" fontId="15" fillId="0" borderId="14" xfId="1" applyNumberFormat="1" applyFont="1" applyFill="1" applyBorder="1" applyAlignment="1"/>
    <xf numFmtId="164" fontId="20" fillId="2" borderId="27" xfId="1" applyNumberFormat="1" applyFont="1" applyFill="1" applyBorder="1" applyAlignment="1">
      <alignment horizontal="center" vertical="center"/>
    </xf>
    <xf numFmtId="14" fontId="15" fillId="0" borderId="10" xfId="1" applyNumberFormat="1" applyFont="1" applyFill="1" applyBorder="1" applyAlignment="1">
      <alignment horizontal="center" vertical="center"/>
    </xf>
    <xf numFmtId="0" fontId="15" fillId="0" borderId="10" xfId="0" applyFont="1" applyFill="1" applyBorder="1"/>
    <xf numFmtId="164" fontId="15" fillId="0" borderId="10" xfId="1" applyNumberFormat="1" applyFont="1" applyFill="1" applyBorder="1" applyAlignment="1"/>
    <xf numFmtId="0" fontId="33" fillId="0" borderId="24" xfId="1" applyNumberFormat="1" applyFont="1" applyFill="1" applyBorder="1" applyAlignment="1">
      <alignment horizontal="left" vertical="center"/>
    </xf>
    <xf numFmtId="164" fontId="33" fillId="0" borderId="24" xfId="1" applyNumberFormat="1" applyFont="1" applyFill="1" applyBorder="1" applyAlignment="1">
      <alignment horizontal="center" vertical="center"/>
    </xf>
    <xf numFmtId="164" fontId="9" fillId="0" borderId="14" xfId="1" applyNumberFormat="1" applyFont="1" applyFill="1" applyBorder="1"/>
    <xf numFmtId="43" fontId="18" fillId="7" borderId="0" xfId="1" applyFont="1" applyFill="1" applyAlignment="1">
      <alignment horizontal="right"/>
    </xf>
    <xf numFmtId="164" fontId="18" fillId="3" borderId="0" xfId="0" applyNumberFormat="1" applyFont="1" applyFill="1"/>
    <xf numFmtId="164" fontId="18" fillId="0" borderId="0" xfId="1" applyNumberFormat="1" applyFont="1" applyAlignment="1">
      <alignment horizontal="left"/>
    </xf>
    <xf numFmtId="164" fontId="15" fillId="0" borderId="22" xfId="1" applyNumberFormat="1" applyFont="1" applyFill="1" applyBorder="1" applyAlignment="1">
      <alignment horizontal="right" vertical="center"/>
    </xf>
    <xf numFmtId="43" fontId="18" fillId="0" borderId="0" xfId="1" applyFont="1" applyAlignment="1">
      <alignment horizontal="center"/>
    </xf>
    <xf numFmtId="164" fontId="18" fillId="5" borderId="0" xfId="1" applyNumberFormat="1" applyFont="1" applyFill="1"/>
    <xf numFmtId="43" fontId="18" fillId="3" borderId="0" xfId="1" applyFont="1" applyFill="1" applyAlignment="1">
      <alignment horizontal="right"/>
    </xf>
    <xf numFmtId="164" fontId="18" fillId="3" borderId="0" xfId="1" applyNumberFormat="1" applyFont="1" applyFill="1"/>
    <xf numFmtId="164" fontId="18" fillId="0" borderId="14" xfId="1" applyNumberFormat="1" applyFont="1" applyBorder="1"/>
    <xf numFmtId="0" fontId="18" fillId="0" borderId="14" xfId="0" applyFont="1" applyBorder="1"/>
    <xf numFmtId="14" fontId="18" fillId="0" borderId="14" xfId="0" applyNumberFormat="1" applyFont="1" applyBorder="1"/>
    <xf numFmtId="43" fontId="18" fillId="0" borderId="14" xfId="1" applyFont="1" applyBorder="1"/>
    <xf numFmtId="0" fontId="18" fillId="6" borderId="9" xfId="0" applyFont="1" applyFill="1" applyBorder="1"/>
    <xf numFmtId="43" fontId="18" fillId="6" borderId="33" xfId="1" applyFont="1" applyFill="1" applyBorder="1" applyAlignment="1">
      <alignment horizontal="center"/>
    </xf>
    <xf numFmtId="164" fontId="18" fillId="2" borderId="14" xfId="1" applyNumberFormat="1" applyFont="1" applyFill="1" applyBorder="1"/>
    <xf numFmtId="0" fontId="20" fillId="0" borderId="14" xfId="1" applyNumberFormat="1" applyFont="1" applyFill="1" applyBorder="1" applyAlignment="1">
      <alignment horizontal="left" vertical="center"/>
    </xf>
    <xf numFmtId="164" fontId="20" fillId="0" borderId="14" xfId="1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/>
    </xf>
    <xf numFmtId="164" fontId="18" fillId="0" borderId="0" xfId="1" applyNumberFormat="1" applyFont="1" applyFill="1" applyAlignment="1">
      <alignment horizontal="right"/>
    </xf>
    <xf numFmtId="164" fontId="15" fillId="0" borderId="0" xfId="1" applyNumberFormat="1" applyFont="1" applyFill="1" applyAlignment="1">
      <alignment horizontal="right"/>
    </xf>
    <xf numFmtId="164" fontId="39" fillId="0" borderId="0" xfId="1" applyNumberFormat="1" applyFont="1" applyFill="1" applyAlignment="1">
      <alignment horizontal="center"/>
    </xf>
    <xf numFmtId="164" fontId="15" fillId="3" borderId="1" xfId="1" applyNumberFormat="1" applyFont="1" applyFill="1" applyBorder="1" applyAlignment="1"/>
    <xf numFmtId="164" fontId="45" fillId="0" borderId="0" xfId="1" applyNumberFormat="1" applyFont="1" applyFill="1" applyBorder="1" applyAlignment="1">
      <alignment horizontal="center"/>
    </xf>
    <xf numFmtId="164" fontId="20" fillId="8" borderId="2" xfId="1" applyNumberFormat="1" applyFont="1" applyFill="1" applyBorder="1" applyAlignment="1">
      <alignment horizontal="center" vertical="center"/>
    </xf>
    <xf numFmtId="164" fontId="20" fillId="8" borderId="8" xfId="1" applyNumberFormat="1" applyFont="1" applyFill="1" applyBorder="1" applyAlignment="1">
      <alignment horizontal="center" vertical="center"/>
    </xf>
    <xf numFmtId="164" fontId="20" fillId="8" borderId="14" xfId="1" applyNumberFormat="1" applyFont="1" applyFill="1" applyBorder="1" applyAlignment="1">
      <alignment horizontal="center" vertical="center"/>
    </xf>
    <xf numFmtId="164" fontId="18" fillId="6" borderId="0" xfId="1" applyNumberFormat="1" applyFont="1" applyFill="1"/>
    <xf numFmtId="164" fontId="20" fillId="8" borderId="9" xfId="1" applyNumberFormat="1" applyFont="1" applyFill="1" applyBorder="1" applyAlignment="1">
      <alignment horizontal="center" vertical="center"/>
    </xf>
    <xf numFmtId="164" fontId="18" fillId="8" borderId="14" xfId="1" applyNumberFormat="1" applyFont="1" applyFill="1" applyBorder="1"/>
    <xf numFmtId="164" fontId="18" fillId="8" borderId="1" xfId="1" applyNumberFormat="1" applyFont="1" applyFill="1" applyBorder="1"/>
    <xf numFmtId="164" fontId="18" fillId="8" borderId="9" xfId="1" applyNumberFormat="1" applyFont="1" applyFill="1" applyBorder="1"/>
    <xf numFmtId="164" fontId="18" fillId="0" borderId="0" xfId="1" applyNumberFormat="1" applyFont="1" applyFill="1" applyAlignment="1">
      <alignment horizontal="left"/>
    </xf>
    <xf numFmtId="0" fontId="16" fillId="2" borderId="23" xfId="0" applyFont="1" applyFill="1" applyBorder="1" applyAlignment="1">
      <alignment horizontal="right"/>
    </xf>
    <xf numFmtId="164" fontId="20" fillId="0" borderId="34" xfId="1" applyNumberFormat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164" fontId="15" fillId="0" borderId="35" xfId="1" applyNumberFormat="1" applyFont="1" applyFill="1" applyBorder="1"/>
    <xf numFmtId="164" fontId="15" fillId="0" borderId="35" xfId="1" applyNumberFormat="1" applyFont="1" applyFill="1" applyBorder="1" applyAlignment="1">
      <alignment horizontal="right" vertical="center"/>
    </xf>
    <xf numFmtId="0" fontId="33" fillId="0" borderId="36" xfId="1" applyNumberFormat="1" applyFont="1" applyFill="1" applyBorder="1" applyAlignment="1">
      <alignment horizontal="left" vertical="center"/>
    </xf>
    <xf numFmtId="164" fontId="33" fillId="0" borderId="36" xfId="1" applyNumberFormat="1" applyFont="1" applyFill="1" applyBorder="1" applyAlignment="1">
      <alignment horizontal="center" vertical="center"/>
    </xf>
    <xf numFmtId="164" fontId="9" fillId="0" borderId="35" xfId="1" applyNumberFormat="1" applyFont="1" applyFill="1" applyBorder="1"/>
    <xf numFmtId="164" fontId="14" fillId="0" borderId="35" xfId="1" applyNumberFormat="1" applyFont="1" applyFill="1" applyBorder="1" applyAlignment="1">
      <alignment horizontal="right" vertical="center"/>
    </xf>
    <xf numFmtId="164" fontId="18" fillId="0" borderId="35" xfId="1" applyNumberFormat="1" applyFont="1" applyBorder="1"/>
    <xf numFmtId="0" fontId="18" fillId="0" borderId="35" xfId="0" applyFont="1" applyBorder="1"/>
    <xf numFmtId="43" fontId="18" fillId="0" borderId="35" xfId="1" applyFont="1" applyBorder="1"/>
    <xf numFmtId="164" fontId="20" fillId="0" borderId="35" xfId="1" applyNumberFormat="1" applyFont="1" applyFill="1" applyBorder="1" applyAlignment="1">
      <alignment horizontal="center" vertical="center"/>
    </xf>
    <xf numFmtId="14" fontId="15" fillId="0" borderId="35" xfId="1" applyNumberFormat="1" applyFont="1" applyFill="1" applyBorder="1" applyAlignment="1">
      <alignment horizontal="center" vertical="center"/>
    </xf>
    <xf numFmtId="0" fontId="15" fillId="0" borderId="35" xfId="0" applyFont="1" applyFill="1" applyBorder="1"/>
    <xf numFmtId="164" fontId="15" fillId="0" borderId="35" xfId="1" applyNumberFormat="1" applyFont="1" applyFill="1" applyBorder="1" applyAlignment="1"/>
    <xf numFmtId="14" fontId="20" fillId="0" borderId="35" xfId="1" applyNumberFormat="1" applyFont="1" applyFill="1" applyBorder="1" applyAlignment="1">
      <alignment horizontal="center" vertical="center"/>
    </xf>
    <xf numFmtId="0" fontId="20" fillId="0" borderId="35" xfId="1" applyNumberFormat="1" applyFont="1" applyFill="1" applyBorder="1" applyAlignment="1">
      <alignment horizontal="left" vertical="center"/>
    </xf>
    <xf numFmtId="164" fontId="20" fillId="0" borderId="35" xfId="1" applyNumberFormat="1" applyFont="1" applyFill="1" applyBorder="1" applyAlignment="1">
      <alignment horizontal="right" vertical="center"/>
    </xf>
    <xf numFmtId="164" fontId="18" fillId="0" borderId="10" xfId="1" applyNumberFormat="1" applyFont="1" applyFill="1" applyBorder="1"/>
    <xf numFmtId="0" fontId="18" fillId="0" borderId="10" xfId="0" applyFont="1" applyFill="1" applyBorder="1"/>
    <xf numFmtId="164" fontId="18" fillId="0" borderId="10" xfId="0" applyNumberFormat="1" applyFont="1" applyFill="1" applyBorder="1"/>
    <xf numFmtId="164" fontId="15" fillId="0" borderId="37" xfId="1" applyNumberFormat="1" applyFont="1" applyFill="1" applyBorder="1" applyAlignment="1">
      <alignment horizontal="right" vertical="center"/>
    </xf>
    <xf numFmtId="43" fontId="15" fillId="0" borderId="14" xfId="1" applyFont="1" applyFill="1" applyBorder="1" applyAlignment="1"/>
    <xf numFmtId="43" fontId="15" fillId="0" borderId="35" xfId="1" applyFont="1" applyFill="1" applyBorder="1" applyAlignment="1"/>
    <xf numFmtId="43" fontId="15" fillId="3" borderId="9" xfId="1" applyFont="1" applyFill="1" applyBorder="1" applyAlignment="1"/>
    <xf numFmtId="43" fontId="15" fillId="3" borderId="14" xfId="1" applyFont="1" applyFill="1" applyBorder="1" applyAlignment="1"/>
    <xf numFmtId="164" fontId="20" fillId="2" borderId="35" xfId="1" applyNumberFormat="1" applyFont="1" applyFill="1" applyBorder="1" applyAlignment="1">
      <alignment horizontal="center" vertical="center"/>
    </xf>
    <xf numFmtId="0" fontId="39" fillId="0" borderId="9" xfId="0" applyFont="1" applyBorder="1"/>
    <xf numFmtId="164" fontId="18" fillId="4" borderId="9" xfId="1" applyNumberFormat="1" applyFont="1" applyFill="1" applyBorder="1"/>
    <xf numFmtId="164" fontId="18" fillId="4" borderId="14" xfId="1" applyNumberFormat="1" applyFont="1" applyFill="1" applyBorder="1"/>
    <xf numFmtId="164" fontId="15" fillId="4" borderId="9" xfId="1" applyNumberFormat="1" applyFont="1" applyFill="1" applyBorder="1" applyAlignment="1">
      <alignment horizontal="right" vertical="center"/>
    </xf>
    <xf numFmtId="164" fontId="15" fillId="4" borderId="14" xfId="1" applyNumberFormat="1" applyFont="1" applyFill="1" applyBorder="1" applyAlignment="1">
      <alignment horizontal="right" vertical="center"/>
    </xf>
    <xf numFmtId="164" fontId="20" fillId="2" borderId="14" xfId="1" applyNumberFormat="1" applyFont="1" applyFill="1" applyBorder="1" applyAlignment="1">
      <alignment horizontal="center" vertical="center"/>
    </xf>
    <xf numFmtId="14" fontId="18" fillId="3" borderId="0" xfId="1" applyNumberFormat="1" applyFont="1" applyFill="1" applyAlignment="1">
      <alignment horizontal="right"/>
    </xf>
    <xf numFmtId="14" fontId="18" fillId="7" borderId="0" xfId="1" applyNumberFormat="1" applyFont="1" applyFill="1" applyAlignment="1">
      <alignment horizontal="right"/>
    </xf>
    <xf numFmtId="164" fontId="15" fillId="0" borderId="0" xfId="1" applyNumberFormat="1" applyFont="1" applyFill="1"/>
    <xf numFmtId="164" fontId="33" fillId="2" borderId="38" xfId="1" applyNumberFormat="1" applyFont="1" applyFill="1" applyBorder="1" applyAlignment="1">
      <alignment horizontal="center" vertical="center"/>
    </xf>
    <xf numFmtId="164" fontId="33" fillId="2" borderId="3" xfId="1" applyNumberFormat="1" applyFont="1" applyFill="1" applyBorder="1" applyAlignment="1">
      <alignment horizontal="center" vertical="center"/>
    </xf>
    <xf numFmtId="164" fontId="33" fillId="2" borderId="39" xfId="1" applyNumberFormat="1" applyFont="1" applyFill="1" applyBorder="1" applyAlignment="1">
      <alignment horizontal="center" vertical="center"/>
    </xf>
    <xf numFmtId="164" fontId="33" fillId="8" borderId="40" xfId="1" applyNumberFormat="1" applyFont="1" applyFill="1" applyBorder="1" applyAlignment="1">
      <alignment horizontal="center" vertical="center"/>
    </xf>
    <xf numFmtId="164" fontId="33" fillId="8" borderId="38" xfId="1" applyNumberFormat="1" applyFont="1" applyFill="1" applyBorder="1" applyAlignment="1">
      <alignment horizontal="center" vertical="center"/>
    </xf>
    <xf numFmtId="164" fontId="33" fillId="8" borderId="39" xfId="1" applyNumberFormat="1" applyFont="1" applyFill="1" applyBorder="1" applyAlignment="1">
      <alignment horizontal="center" vertical="center"/>
    </xf>
    <xf numFmtId="164" fontId="33" fillId="0" borderId="41" xfId="1" applyNumberFormat="1" applyFont="1" applyFill="1" applyBorder="1" applyAlignment="1">
      <alignment horizontal="center" vertical="center"/>
    </xf>
    <xf numFmtId="164" fontId="33" fillId="2" borderId="40" xfId="1" applyNumberFormat="1" applyFont="1" applyFill="1" applyBorder="1" applyAlignment="1">
      <alignment horizontal="center" vertical="center"/>
    </xf>
    <xf numFmtId="14" fontId="33" fillId="0" borderId="6" xfId="1" applyNumberFormat="1" applyFont="1" applyFill="1" applyBorder="1" applyAlignment="1">
      <alignment horizontal="center" vertical="center"/>
    </xf>
    <xf numFmtId="14" fontId="33" fillId="0" borderId="1" xfId="1" applyNumberFormat="1" applyFont="1" applyFill="1" applyBorder="1" applyAlignment="1">
      <alignment horizontal="center" vertical="center"/>
    </xf>
    <xf numFmtId="14" fontId="33" fillId="0" borderId="9" xfId="1" applyNumberFormat="1" applyFont="1" applyFill="1" applyBorder="1" applyAlignment="1">
      <alignment horizontal="center" vertical="center"/>
    </xf>
    <xf numFmtId="14" fontId="33" fillId="0" borderId="14" xfId="1" applyNumberFormat="1" applyFont="1" applyFill="1" applyBorder="1" applyAlignment="1">
      <alignment horizontal="center" vertical="center"/>
    </xf>
    <xf numFmtId="14" fontId="33" fillId="0" borderId="35" xfId="1" applyNumberFormat="1" applyFont="1" applyFill="1" applyBorder="1" applyAlignment="1">
      <alignment horizontal="center" vertical="center"/>
    </xf>
    <xf numFmtId="0" fontId="18" fillId="0" borderId="14" xfId="0" applyFont="1" applyBorder="1" applyAlignment="1">
      <alignment horizontal="center"/>
    </xf>
    <xf numFmtId="164" fontId="23" fillId="0" borderId="16" xfId="1" applyNumberFormat="1" applyFont="1" applyBorder="1" applyAlignment="1">
      <alignment horizontal="center" vertical="center" wrapText="1"/>
    </xf>
    <xf numFmtId="164" fontId="23" fillId="0" borderId="17" xfId="1" applyNumberFormat="1" applyFont="1" applyBorder="1" applyAlignment="1">
      <alignment horizontal="center" vertical="center" wrapText="1"/>
    </xf>
    <xf numFmtId="164" fontId="20" fillId="2" borderId="38" xfId="1" applyNumberFormat="1" applyFont="1" applyFill="1" applyBorder="1" applyAlignment="1">
      <alignment horizontal="center" vertical="center"/>
    </xf>
    <xf numFmtId="164" fontId="20" fillId="2" borderId="42" xfId="1" applyNumberFormat="1" applyFont="1" applyFill="1" applyBorder="1" applyAlignment="1">
      <alignment horizontal="center" vertical="center"/>
    </xf>
    <xf numFmtId="164" fontId="20" fillId="2" borderId="3" xfId="1" applyNumberFormat="1" applyFont="1" applyFill="1" applyBorder="1" applyAlignment="1">
      <alignment horizontal="center" vertical="center"/>
    </xf>
    <xf numFmtId="164" fontId="20" fillId="2" borderId="26" xfId="1" applyNumberFormat="1" applyFont="1" applyFill="1" applyBorder="1" applyAlignment="1">
      <alignment horizontal="center" vertical="center"/>
    </xf>
    <xf numFmtId="164" fontId="20" fillId="8" borderId="40" xfId="1" applyNumberFormat="1" applyFont="1" applyFill="1" applyBorder="1" applyAlignment="1">
      <alignment horizontal="center" vertical="center"/>
    </xf>
    <xf numFmtId="164" fontId="20" fillId="8" borderId="38" xfId="1" applyNumberFormat="1" applyFont="1" applyFill="1" applyBorder="1" applyAlignment="1">
      <alignment horizontal="center" vertical="center"/>
    </xf>
    <xf numFmtId="164" fontId="20" fillId="8" borderId="39" xfId="1" applyNumberFormat="1" applyFont="1" applyFill="1" applyBorder="1" applyAlignment="1">
      <alignment horizontal="center" vertical="center"/>
    </xf>
    <xf numFmtId="164" fontId="20" fillId="0" borderId="41" xfId="1" applyNumberFormat="1" applyFont="1" applyFill="1" applyBorder="1" applyAlignment="1">
      <alignment horizontal="center" vertical="center"/>
    </xf>
    <xf numFmtId="164" fontId="20" fillId="2" borderId="40" xfId="1" applyNumberFormat="1" applyFont="1" applyFill="1" applyBorder="1" applyAlignment="1">
      <alignment horizontal="center" vertical="center"/>
    </xf>
    <xf numFmtId="164" fontId="20" fillId="2" borderId="39" xfId="1" applyNumberFormat="1" applyFont="1" applyFill="1" applyBorder="1" applyAlignment="1">
      <alignment horizontal="center" vertical="center"/>
    </xf>
    <xf numFmtId="14" fontId="20" fillId="0" borderId="6" xfId="1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43" fontId="18" fillId="0" borderId="0" xfId="1" applyFont="1" applyFill="1" applyAlignment="1">
      <alignment horizontal="left"/>
    </xf>
    <xf numFmtId="14" fontId="18" fillId="0" borderId="0" xfId="1" applyNumberFormat="1" applyFont="1" applyFill="1" applyAlignment="1">
      <alignment horizontal="left"/>
    </xf>
    <xf numFmtId="164" fontId="17" fillId="0" borderId="16" xfId="1" applyNumberFormat="1" applyFont="1" applyBorder="1" applyAlignment="1">
      <alignment horizontal="center" vertical="center" wrapText="1"/>
    </xf>
    <xf numFmtId="164" fontId="17" fillId="0" borderId="17" xfId="1" applyNumberFormat="1" applyFont="1" applyBorder="1" applyAlignment="1">
      <alignment horizontal="center" vertical="center" wrapText="1"/>
    </xf>
    <xf numFmtId="164" fontId="15" fillId="2" borderId="38" xfId="1" applyNumberFormat="1" applyFont="1" applyFill="1" applyBorder="1" applyAlignment="1">
      <alignment horizontal="center" vertical="center"/>
    </xf>
    <xf numFmtId="164" fontId="15" fillId="2" borderId="3" xfId="1" applyNumberFormat="1" applyFont="1" applyFill="1" applyBorder="1" applyAlignment="1">
      <alignment horizontal="center" vertical="center"/>
    </xf>
    <xf numFmtId="14" fontId="15" fillId="0" borderId="6" xfId="1" applyNumberFormat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wrapText="1"/>
    </xf>
    <xf numFmtId="0" fontId="39" fillId="2" borderId="0" xfId="0" applyFont="1" applyFill="1"/>
    <xf numFmtId="164" fontId="15" fillId="0" borderId="9" xfId="1" applyNumberFormat="1" applyFont="1" applyFill="1" applyBorder="1" applyAlignment="1"/>
    <xf numFmtId="43" fontId="15" fillId="0" borderId="9" xfId="1" applyFont="1" applyFill="1" applyBorder="1" applyAlignment="1"/>
    <xf numFmtId="0" fontId="39" fillId="0" borderId="14" xfId="0" applyFont="1" applyBorder="1"/>
    <xf numFmtId="0" fontId="39" fillId="0" borderId="14" xfId="0" applyFont="1" applyBorder="1" applyAlignment="1">
      <alignment horizontal="center"/>
    </xf>
    <xf numFmtId="43" fontId="15" fillId="3" borderId="1" xfId="1" applyFont="1" applyFill="1" applyBorder="1" applyAlignment="1"/>
    <xf numFmtId="43" fontId="15" fillId="0" borderId="1" xfId="1" applyFont="1" applyFill="1" applyBorder="1" applyAlignment="1"/>
    <xf numFmtId="0" fontId="18" fillId="0" borderId="35" xfId="0" applyFont="1" applyFill="1" applyBorder="1"/>
    <xf numFmtId="0" fontId="44" fillId="0" borderId="0" xfId="0" applyFont="1"/>
    <xf numFmtId="0" fontId="18" fillId="6" borderId="0" xfId="0" applyFont="1" applyFill="1"/>
    <xf numFmtId="0" fontId="18" fillId="6" borderId="0" xfId="0" applyFont="1" applyFill="1" applyAlignment="1">
      <alignment horizontal="right"/>
    </xf>
    <xf numFmtId="0" fontId="15" fillId="5" borderId="9" xfId="0" applyFont="1" applyFill="1" applyBorder="1"/>
    <xf numFmtId="0" fontId="18" fillId="5" borderId="0" xfId="0" applyFont="1" applyFill="1"/>
    <xf numFmtId="164" fontId="15" fillId="5" borderId="9" xfId="1" applyNumberFormat="1" applyFont="1" applyFill="1" applyBorder="1" applyAlignment="1"/>
    <xf numFmtId="43" fontId="15" fillId="5" borderId="9" xfId="1" applyFont="1" applyFill="1" applyBorder="1" applyAlignment="1"/>
    <xf numFmtId="164" fontId="15" fillId="5" borderId="9" xfId="1" applyNumberFormat="1" applyFont="1" applyFill="1" applyBorder="1" applyAlignment="1">
      <alignment horizontal="right" vertical="center"/>
    </xf>
    <xf numFmtId="164" fontId="15" fillId="5" borderId="9" xfId="1" applyNumberFormat="1" applyFont="1" applyFill="1" applyBorder="1"/>
    <xf numFmtId="0" fontId="39" fillId="5" borderId="1" xfId="0" applyFont="1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 wrapText="1"/>
    </xf>
    <xf numFmtId="0" fontId="33" fillId="5" borderId="31" xfId="1" applyNumberFormat="1" applyFont="1" applyFill="1" applyBorder="1" applyAlignment="1">
      <alignment horizontal="left" vertical="center"/>
    </xf>
    <xf numFmtId="164" fontId="33" fillId="5" borderId="31" xfId="1" applyNumberFormat="1" applyFont="1" applyFill="1" applyBorder="1" applyAlignment="1">
      <alignment horizontal="center" vertical="center"/>
    </xf>
    <xf numFmtId="164" fontId="9" fillId="5" borderId="9" xfId="1" applyNumberFormat="1" applyFont="1" applyFill="1" applyBorder="1"/>
    <xf numFmtId="164" fontId="14" fillId="5" borderId="9" xfId="1" applyNumberFormat="1" applyFont="1" applyFill="1" applyBorder="1" applyAlignment="1">
      <alignment horizontal="right" vertical="center"/>
    </xf>
    <xf numFmtId="0" fontId="39" fillId="5" borderId="9" xfId="0" applyFont="1" applyFill="1" applyBorder="1" applyAlignment="1">
      <alignment horizontal="center" wrapText="1"/>
    </xf>
    <xf numFmtId="0" fontId="9" fillId="5" borderId="9" xfId="0" applyFont="1" applyFill="1" applyBorder="1" applyAlignment="1">
      <alignment horizontal="center" wrapText="1"/>
    </xf>
    <xf numFmtId="0" fontId="15" fillId="5" borderId="9" xfId="0" applyFont="1" applyFill="1" applyBorder="1" applyAlignment="1">
      <alignment horizontal="left"/>
    </xf>
    <xf numFmtId="0" fontId="18" fillId="5" borderId="1" xfId="0" applyFont="1" applyFill="1" applyBorder="1" applyAlignment="1">
      <alignment horizontal="center" wrapText="1"/>
    </xf>
    <xf numFmtId="0" fontId="39" fillId="0" borderId="9" xfId="0" applyFont="1" applyFill="1" applyBorder="1" applyAlignment="1">
      <alignment horizontal="center" wrapText="1"/>
    </xf>
    <xf numFmtId="0" fontId="18" fillId="0" borderId="30" xfId="0" applyFont="1" applyFill="1" applyBorder="1"/>
    <xf numFmtId="164" fontId="20" fillId="5" borderId="9" xfId="1" applyNumberFormat="1" applyFont="1" applyFill="1" applyBorder="1" applyAlignment="1">
      <alignment horizontal="center" vertical="center"/>
    </xf>
    <xf numFmtId="164" fontId="18" fillId="5" borderId="9" xfId="1" applyNumberFormat="1" applyFont="1" applyFill="1" applyBorder="1"/>
    <xf numFmtId="164" fontId="15" fillId="5" borderId="26" xfId="1" applyNumberFormat="1" applyFont="1" applyFill="1" applyBorder="1" applyAlignment="1">
      <alignment horizontal="right" vertical="center"/>
    </xf>
    <xf numFmtId="0" fontId="18" fillId="5" borderId="14" xfId="0" applyFont="1" applyFill="1" applyBorder="1"/>
    <xf numFmtId="164" fontId="18" fillId="5" borderId="14" xfId="0" applyNumberFormat="1" applyFont="1" applyFill="1" applyBorder="1"/>
    <xf numFmtId="0" fontId="18" fillId="5" borderId="1" xfId="0" applyFont="1" applyFill="1" applyBorder="1"/>
    <xf numFmtId="0" fontId="18" fillId="5" borderId="9" xfId="0" applyFont="1" applyFill="1" applyBorder="1"/>
    <xf numFmtId="164" fontId="18" fillId="5" borderId="9" xfId="0" applyNumberFormat="1" applyFont="1" applyFill="1" applyBorder="1"/>
    <xf numFmtId="164" fontId="18" fillId="5" borderId="1" xfId="1" applyNumberFormat="1" applyFont="1" applyFill="1" applyBorder="1"/>
    <xf numFmtId="0" fontId="20" fillId="5" borderId="9" xfId="1" applyNumberFormat="1" applyFont="1" applyFill="1" applyBorder="1" applyAlignment="1">
      <alignment horizontal="left" vertical="center"/>
    </xf>
    <xf numFmtId="164" fontId="20" fillId="5" borderId="9" xfId="1" applyNumberFormat="1" applyFont="1" applyFill="1" applyBorder="1" applyAlignment="1">
      <alignment horizontal="right" vertical="center"/>
    </xf>
    <xf numFmtId="164" fontId="39" fillId="5" borderId="9" xfId="1" applyNumberFormat="1" applyFont="1" applyFill="1" applyBorder="1" applyAlignment="1">
      <alignment horizontal="center" vertical="center" wrapText="1"/>
    </xf>
    <xf numFmtId="164" fontId="39" fillId="5" borderId="9" xfId="1" applyNumberFormat="1" applyFont="1" applyFill="1" applyBorder="1"/>
    <xf numFmtId="164" fontId="15" fillId="3" borderId="14" xfId="1" applyNumberFormat="1" applyFont="1" applyFill="1" applyBorder="1" applyAlignment="1"/>
    <xf numFmtId="164" fontId="39" fillId="0" borderId="0" xfId="1" applyNumberFormat="1" applyFont="1" applyAlignment="1">
      <alignment horizontal="right"/>
    </xf>
    <xf numFmtId="14" fontId="15" fillId="2" borderId="14" xfId="1" applyNumberFormat="1" applyFont="1" applyFill="1" applyBorder="1" applyAlignment="1">
      <alignment horizontal="center" vertical="center"/>
    </xf>
    <xf numFmtId="14" fontId="15" fillId="2" borderId="9" xfId="1" applyNumberFormat="1" applyFont="1" applyFill="1" applyBorder="1" applyAlignment="1">
      <alignment horizontal="center" vertical="center"/>
    </xf>
    <xf numFmtId="164" fontId="16" fillId="0" borderId="14" xfId="1" applyNumberFormat="1" applyFont="1" applyFill="1" applyBorder="1" applyAlignment="1"/>
    <xf numFmtId="0" fontId="39" fillId="7" borderId="0" xfId="0" applyFont="1" applyFill="1" applyAlignment="1">
      <alignment horizontal="left"/>
    </xf>
    <xf numFmtId="0" fontId="18" fillId="4" borderId="14" xfId="0" applyFont="1" applyFill="1" applyBorder="1"/>
    <xf numFmtId="164" fontId="18" fillId="5" borderId="14" xfId="1" applyNumberFormat="1" applyFont="1" applyFill="1" applyBorder="1"/>
    <xf numFmtId="164" fontId="15" fillId="5" borderId="14" xfId="1" applyNumberFormat="1" applyFont="1" applyFill="1" applyBorder="1" applyAlignment="1">
      <alignment horizontal="right" vertical="center"/>
    </xf>
    <xf numFmtId="43" fontId="18" fillId="5" borderId="9" xfId="1" applyFont="1" applyFill="1" applyBorder="1"/>
    <xf numFmtId="0" fontId="31" fillId="0" borderId="0" xfId="0" applyFont="1" applyFill="1" applyAlignment="1">
      <alignment horizontal="left"/>
    </xf>
    <xf numFmtId="164" fontId="16" fillId="0" borderId="0" xfId="1" applyNumberFormat="1" applyFont="1" applyFill="1" applyAlignment="1">
      <alignment horizontal="center"/>
    </xf>
    <xf numFmtId="43" fontId="16" fillId="2" borderId="0" xfId="1" applyFont="1" applyFill="1" applyAlignment="1"/>
    <xf numFmtId="43" fontId="16" fillId="6" borderId="0" xfId="1" applyFont="1" applyFill="1" applyAlignment="1"/>
    <xf numFmtId="43" fontId="16" fillId="12" borderId="0" xfId="1" applyFont="1" applyFill="1" applyAlignment="1"/>
    <xf numFmtId="164" fontId="16" fillId="6" borderId="0" xfId="1" applyNumberFormat="1" applyFont="1" applyFill="1" applyAlignment="1">
      <alignment horizontal="left"/>
    </xf>
    <xf numFmtId="164" fontId="16" fillId="0" borderId="0" xfId="1" applyNumberFormat="1" applyFont="1" applyFill="1" applyAlignment="1">
      <alignment horizontal="left"/>
    </xf>
    <xf numFmtId="164" fontId="17" fillId="2" borderId="0" xfId="1" applyNumberFormat="1" applyFont="1" applyFill="1" applyAlignment="1"/>
    <xf numFmtId="164" fontId="17" fillId="0" borderId="0" xfId="1" applyNumberFormat="1" applyFont="1" applyFill="1" applyAlignment="1"/>
    <xf numFmtId="164" fontId="16" fillId="5" borderId="0" xfId="1" applyNumberFormat="1" applyFont="1" applyFill="1" applyAlignment="1"/>
    <xf numFmtId="164" fontId="16" fillId="0" borderId="0" xfId="1" applyNumberFormat="1" applyFont="1" applyFill="1" applyAlignment="1"/>
    <xf numFmtId="164" fontId="15" fillId="0" borderId="1" xfId="1" applyNumberFormat="1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wrapText="1"/>
    </xf>
    <xf numFmtId="0" fontId="15" fillId="0" borderId="14" xfId="0" applyFont="1" applyFill="1" applyBorder="1" applyAlignment="1">
      <alignment horizontal="center" wrapText="1"/>
    </xf>
    <xf numFmtId="164" fontId="15" fillId="0" borderId="14" xfId="1" applyNumberFormat="1" applyFont="1" applyFill="1" applyBorder="1" applyAlignment="1">
      <alignment horizontal="center" wrapText="1"/>
    </xf>
    <xf numFmtId="0" fontId="15" fillId="13" borderId="14" xfId="0" applyFont="1" applyFill="1" applyBorder="1" applyAlignment="1">
      <alignment horizontal="center" wrapText="1"/>
    </xf>
    <xf numFmtId="0" fontId="15" fillId="13" borderId="1" xfId="0" applyFont="1" applyFill="1" applyBorder="1" applyAlignment="1">
      <alignment horizontal="center" wrapText="1"/>
    </xf>
    <xf numFmtId="43" fontId="39" fillId="13" borderId="0" xfId="1" applyFont="1" applyFill="1" applyAlignment="1"/>
    <xf numFmtId="164" fontId="15" fillId="0" borderId="9" xfId="1" applyNumberFormat="1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15" fillId="13" borderId="9" xfId="0" applyFont="1" applyFill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5" fillId="13" borderId="10" xfId="0" applyFont="1" applyFill="1" applyBorder="1" applyAlignment="1">
      <alignment horizontal="center" wrapText="1"/>
    </xf>
    <xf numFmtId="164" fontId="15" fillId="0" borderId="10" xfId="1" applyNumberFormat="1" applyFont="1" applyFill="1" applyBorder="1" applyAlignment="1">
      <alignment horizontal="center" wrapText="1"/>
    </xf>
    <xf numFmtId="164" fontId="15" fillId="0" borderId="10" xfId="1" applyNumberFormat="1" applyFont="1" applyFill="1" applyBorder="1" applyAlignment="1">
      <alignment horizontal="right" vertical="center"/>
    </xf>
    <xf numFmtId="164" fontId="15" fillId="5" borderId="9" xfId="1" applyNumberFormat="1" applyFont="1" applyFill="1" applyBorder="1" applyAlignment="1">
      <alignment horizontal="center" wrapText="1"/>
    </xf>
    <xf numFmtId="0" fontId="15" fillId="5" borderId="9" xfId="0" applyFont="1" applyFill="1" applyBorder="1" applyAlignment="1">
      <alignment horizontal="center" wrapText="1"/>
    </xf>
    <xf numFmtId="164" fontId="16" fillId="13" borderId="14" xfId="1" applyNumberFormat="1" applyFont="1" applyFill="1" applyBorder="1" applyAlignment="1"/>
    <xf numFmtId="164" fontId="39" fillId="5" borderId="9" xfId="1" applyNumberFormat="1" applyFont="1" applyFill="1" applyBorder="1" applyAlignment="1">
      <alignment horizontal="center" wrapText="1"/>
    </xf>
    <xf numFmtId="0" fontId="18" fillId="5" borderId="9" xfId="0" applyFont="1" applyFill="1" applyBorder="1" applyAlignment="1">
      <alignment horizontal="center" wrapText="1"/>
    </xf>
    <xf numFmtId="164" fontId="31" fillId="6" borderId="0" xfId="1" applyNumberFormat="1" applyFont="1" applyFill="1" applyAlignment="1"/>
    <xf numFmtId="14" fontId="18" fillId="0" borderId="14" xfId="1" applyNumberFormat="1" applyFont="1" applyFill="1" applyBorder="1" applyAlignment="1">
      <alignment wrapText="1"/>
    </xf>
    <xf numFmtId="164" fontId="18" fillId="2" borderId="9" xfId="1" applyNumberFormat="1" applyFont="1" applyFill="1" applyBorder="1" applyAlignment="1">
      <alignment wrapText="1"/>
    </xf>
    <xf numFmtId="14" fontId="18" fillId="0" borderId="9" xfId="1" applyNumberFormat="1" applyFont="1" applyFill="1" applyBorder="1" applyAlignment="1">
      <alignment wrapText="1"/>
    </xf>
    <xf numFmtId="0" fontId="18" fillId="0" borderId="9" xfId="1" applyNumberFormat="1" applyFont="1" applyFill="1" applyBorder="1" applyAlignment="1">
      <alignment horizontal="left" wrapText="1"/>
    </xf>
    <xf numFmtId="164" fontId="18" fillId="2" borderId="14" xfId="1" applyNumberFormat="1" applyFont="1" applyFill="1" applyBorder="1" applyAlignment="1">
      <alignment wrapText="1"/>
    </xf>
    <xf numFmtId="164" fontId="18" fillId="0" borderId="35" xfId="1" applyNumberFormat="1" applyFont="1" applyFill="1" applyBorder="1" applyAlignment="1">
      <alignment wrapText="1"/>
    </xf>
    <xf numFmtId="14" fontId="18" fillId="0" borderId="35" xfId="1" applyNumberFormat="1" applyFont="1" applyFill="1" applyBorder="1" applyAlignment="1">
      <alignment wrapText="1"/>
    </xf>
    <xf numFmtId="0" fontId="18" fillId="0" borderId="35" xfId="1" applyNumberFormat="1" applyFont="1" applyFill="1" applyBorder="1" applyAlignment="1">
      <alignment horizontal="left" wrapText="1"/>
    </xf>
    <xf numFmtId="164" fontId="18" fillId="8" borderId="14" xfId="1" applyNumberFormat="1" applyFont="1" applyFill="1" applyBorder="1" applyAlignment="1">
      <alignment wrapText="1"/>
    </xf>
    <xf numFmtId="164" fontId="18" fillId="8" borderId="9" xfId="1" applyNumberFormat="1" applyFont="1" applyFill="1" applyBorder="1" applyAlignment="1">
      <alignment wrapText="1"/>
    </xf>
    <xf numFmtId="0" fontId="18" fillId="5" borderId="9" xfId="1" applyNumberFormat="1" applyFont="1" applyFill="1" applyBorder="1" applyAlignment="1">
      <alignment horizontal="left" wrapText="1"/>
    </xf>
    <xf numFmtId="164" fontId="17" fillId="0" borderId="24" xfId="1" applyNumberFormat="1" applyFont="1" applyFill="1" applyBorder="1" applyAlignment="1">
      <alignment horizontal="right"/>
    </xf>
    <xf numFmtId="43" fontId="17" fillId="0" borderId="24" xfId="1" applyFont="1" applyFill="1" applyBorder="1" applyAlignment="1">
      <alignment horizontal="right"/>
    </xf>
    <xf numFmtId="43" fontId="15" fillId="5" borderId="9" xfId="1" applyFont="1" applyFill="1" applyBorder="1"/>
    <xf numFmtId="43" fontId="39" fillId="5" borderId="9" xfId="1" applyFont="1" applyFill="1" applyBorder="1"/>
    <xf numFmtId="14" fontId="15" fillId="0" borderId="9" xfId="1" applyNumberFormat="1" applyFont="1" applyFill="1" applyBorder="1"/>
    <xf numFmtId="14" fontId="15" fillId="0" borderId="14" xfId="1" applyNumberFormat="1" applyFont="1" applyFill="1" applyBorder="1"/>
    <xf numFmtId="164" fontId="18" fillId="8" borderId="10" xfId="1" applyNumberFormat="1" applyFont="1" applyFill="1" applyBorder="1" applyAlignment="1">
      <alignment wrapText="1"/>
    </xf>
    <xf numFmtId="14" fontId="18" fillId="0" borderId="10" xfId="1" applyNumberFormat="1" applyFont="1" applyFill="1" applyBorder="1" applyAlignment="1">
      <alignment wrapText="1"/>
    </xf>
    <xf numFmtId="0" fontId="18" fillId="0" borderId="10" xfId="1" applyNumberFormat="1" applyFont="1" applyFill="1" applyBorder="1" applyAlignment="1">
      <alignment horizontal="left" wrapText="1"/>
    </xf>
    <xf numFmtId="164" fontId="15" fillId="0" borderId="10" xfId="1" applyNumberFormat="1" applyFont="1" applyFill="1" applyBorder="1"/>
    <xf numFmtId="165" fontId="39" fillId="0" borderId="1" xfId="1" applyNumberFormat="1" applyFont="1" applyFill="1" applyBorder="1" applyAlignment="1">
      <alignment horizontal="center" wrapText="1"/>
    </xf>
    <xf numFmtId="165" fontId="39" fillId="0" borderId="14" xfId="1" applyNumberFormat="1" applyFont="1" applyFill="1" applyBorder="1" applyAlignment="1">
      <alignment horizontal="center" wrapText="1"/>
    </xf>
    <xf numFmtId="43" fontId="39" fillId="0" borderId="9" xfId="1" applyFont="1" applyFill="1" applyBorder="1"/>
    <xf numFmtId="43" fontId="15" fillId="0" borderId="9" xfId="1" applyFont="1" applyFill="1" applyBorder="1"/>
    <xf numFmtId="165" fontId="39" fillId="0" borderId="9" xfId="1" applyNumberFormat="1" applyFont="1" applyFill="1" applyBorder="1" applyAlignment="1">
      <alignment horizontal="center" wrapText="1"/>
    </xf>
    <xf numFmtId="43" fontId="46" fillId="0" borderId="0" xfId="1" applyFont="1" applyFill="1"/>
    <xf numFmtId="43" fontId="30" fillId="0" borderId="0" xfId="1" applyFont="1"/>
    <xf numFmtId="43" fontId="21" fillId="0" borderId="0" xfId="1" applyFont="1"/>
    <xf numFmtId="43" fontId="39" fillId="0" borderId="35" xfId="1" applyFont="1" applyFill="1" applyBorder="1"/>
    <xf numFmtId="43" fontId="15" fillId="0" borderId="35" xfId="1" applyFont="1" applyFill="1" applyBorder="1"/>
    <xf numFmtId="0" fontId="39" fillId="0" borderId="35" xfId="0" applyFont="1" applyFill="1" applyBorder="1" applyAlignment="1">
      <alignment horizontal="center" wrapText="1"/>
    </xf>
    <xf numFmtId="165" fontId="39" fillId="0" borderId="35" xfId="1" applyNumberFormat="1" applyFont="1" applyFill="1" applyBorder="1" applyAlignment="1">
      <alignment horizontal="center" wrapText="1"/>
    </xf>
    <xf numFmtId="43" fontId="17" fillId="0" borderId="24" xfId="1" applyFont="1" applyFill="1" applyBorder="1" applyAlignment="1">
      <alignment horizontal="center" wrapText="1"/>
    </xf>
    <xf numFmtId="164" fontId="36" fillId="8" borderId="18" xfId="1" applyNumberFormat="1" applyFont="1" applyFill="1" applyBorder="1" applyAlignment="1">
      <alignment horizontal="center" vertical="center"/>
    </xf>
    <xf numFmtId="0" fontId="37" fillId="0" borderId="14" xfId="0" applyFont="1" applyFill="1" applyBorder="1" applyAlignment="1">
      <alignment horizontal="left"/>
    </xf>
    <xf numFmtId="164" fontId="36" fillId="8" borderId="8" xfId="1" applyNumberFormat="1" applyFont="1" applyFill="1" applyBorder="1" applyAlignment="1">
      <alignment horizontal="center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0" borderId="34" xfId="1" applyNumberFormat="1" applyFont="1" applyFill="1" applyBorder="1" applyAlignment="1">
      <alignment horizontal="center" vertical="center"/>
    </xf>
    <xf numFmtId="0" fontId="37" fillId="0" borderId="35" xfId="0" applyFont="1" applyFill="1" applyBorder="1" applyAlignment="1">
      <alignment horizontal="left"/>
    </xf>
    <xf numFmtId="164" fontId="37" fillId="0" borderId="35" xfId="1" applyNumberFormat="1" applyFont="1" applyFill="1" applyBorder="1"/>
    <xf numFmtId="0" fontId="37" fillId="5" borderId="1" xfId="0" applyFont="1" applyFill="1" applyBorder="1" applyAlignment="1">
      <alignment horizontal="left"/>
    </xf>
    <xf numFmtId="0" fontId="37" fillId="5" borderId="9" xfId="0" applyFont="1" applyFill="1" applyBorder="1" applyAlignment="1">
      <alignment horizontal="left"/>
    </xf>
    <xf numFmtId="164" fontId="32" fillId="5" borderId="1" xfId="1" applyNumberFormat="1" applyFont="1" applyFill="1" applyBorder="1"/>
    <xf numFmtId="164" fontId="37" fillId="5" borderId="1" xfId="1" applyNumberFormat="1" applyFont="1" applyFill="1" applyBorder="1" applyAlignment="1">
      <alignment horizontal="center" vertical="center"/>
    </xf>
    <xf numFmtId="164" fontId="32" fillId="5" borderId="14" xfId="1" applyNumberFormat="1" applyFont="1" applyFill="1" applyBorder="1"/>
    <xf numFmtId="0" fontId="39" fillId="5" borderId="1" xfId="0" applyFont="1" applyFill="1" applyBorder="1"/>
    <xf numFmtId="164" fontId="32" fillId="4" borderId="1" xfId="1" applyNumberFormat="1" applyFont="1" applyFill="1" applyBorder="1"/>
    <xf numFmtId="164" fontId="37" fillId="4" borderId="1" xfId="1" applyNumberFormat="1" applyFont="1" applyFill="1" applyBorder="1" applyAlignment="1">
      <alignment horizontal="center" vertical="center"/>
    </xf>
    <xf numFmtId="164" fontId="32" fillId="4" borderId="9" xfId="1" applyNumberFormat="1" applyFont="1" applyFill="1" applyBorder="1"/>
    <xf numFmtId="164" fontId="37" fillId="4" borderId="9" xfId="1" applyNumberFormat="1" applyFont="1" applyFill="1" applyBorder="1" applyAlignment="1">
      <alignment horizontal="center" vertical="center"/>
    </xf>
    <xf numFmtId="164" fontId="32" fillId="5" borderId="9" xfId="1" applyNumberFormat="1" applyFont="1" applyFill="1" applyBorder="1"/>
    <xf numFmtId="164" fontId="37" fillId="5" borderId="9" xfId="1" applyNumberFormat="1" applyFont="1" applyFill="1" applyBorder="1" applyAlignment="1">
      <alignment horizontal="center" vertical="center"/>
    </xf>
    <xf numFmtId="0" fontId="39" fillId="5" borderId="9" xfId="0" applyFont="1" applyFill="1" applyBorder="1"/>
    <xf numFmtId="164" fontId="33" fillId="8" borderId="14" xfId="1" applyNumberFormat="1" applyFont="1" applyFill="1" applyBorder="1" applyAlignment="1">
      <alignment horizontal="center" vertical="center"/>
    </xf>
    <xf numFmtId="0" fontId="33" fillId="0" borderId="14" xfId="1" applyNumberFormat="1" applyFont="1" applyFill="1" applyBorder="1" applyAlignment="1">
      <alignment horizontal="left" vertical="center"/>
    </xf>
    <xf numFmtId="164" fontId="6" fillId="0" borderId="14" xfId="1" applyNumberFormat="1" applyFont="1" applyFill="1" applyBorder="1" applyAlignment="1">
      <alignment horizontal="center" wrapText="1"/>
    </xf>
    <xf numFmtId="0" fontId="5" fillId="0" borderId="14" xfId="0" applyFont="1" applyFill="1" applyBorder="1" applyAlignment="1">
      <alignment horizontal="center" wrapText="1"/>
    </xf>
    <xf numFmtId="164" fontId="33" fillId="8" borderId="9" xfId="1" applyNumberFormat="1" applyFont="1" applyFill="1" applyBorder="1" applyAlignment="1">
      <alignment horizontal="center" vertical="center"/>
    </xf>
    <xf numFmtId="164" fontId="33" fillId="2" borderId="14" xfId="1" applyNumberFormat="1" applyFont="1" applyFill="1" applyBorder="1" applyAlignment="1">
      <alignment horizontal="center" vertical="center"/>
    </xf>
    <xf numFmtId="164" fontId="33" fillId="0" borderId="35" xfId="1" applyNumberFormat="1" applyFont="1" applyFill="1" applyBorder="1" applyAlignment="1">
      <alignment horizontal="center" vertical="center"/>
    </xf>
    <xf numFmtId="0" fontId="33" fillId="0" borderId="35" xfId="1" applyNumberFormat="1" applyFont="1" applyFill="1" applyBorder="1" applyAlignment="1">
      <alignment horizontal="left" vertical="center"/>
    </xf>
    <xf numFmtId="0" fontId="9" fillId="0" borderId="35" xfId="0" applyFont="1" applyFill="1" applyBorder="1" applyAlignment="1">
      <alignment horizontal="center" wrapText="1"/>
    </xf>
    <xf numFmtId="164" fontId="6" fillId="0" borderId="35" xfId="1" applyNumberFormat="1" applyFont="1" applyFill="1" applyBorder="1" applyAlignment="1">
      <alignment horizontal="center" wrapText="1"/>
    </xf>
    <xf numFmtId="0" fontId="5" fillId="0" borderId="35" xfId="0" applyFont="1" applyFill="1" applyBorder="1" applyAlignment="1">
      <alignment horizontal="center" wrapText="1"/>
    </xf>
    <xf numFmtId="164" fontId="39" fillId="0" borderId="10" xfId="1" applyNumberFormat="1" applyFont="1" applyFill="1" applyBorder="1"/>
    <xf numFmtId="0" fontId="39" fillId="0" borderId="10" xfId="0" applyFont="1" applyFill="1" applyBorder="1"/>
    <xf numFmtId="43" fontId="18" fillId="0" borderId="0" xfId="1" applyFont="1" applyFill="1" applyAlignment="1">
      <alignment horizontal="right"/>
    </xf>
    <xf numFmtId="14" fontId="18" fillId="0" borderId="0" xfId="1" applyNumberFormat="1" applyFont="1" applyFill="1" applyAlignment="1">
      <alignment horizontal="right"/>
    </xf>
    <xf numFmtId="164" fontId="15" fillId="0" borderId="35" xfId="0" applyNumberFormat="1" applyFont="1" applyFill="1" applyBorder="1" applyAlignment="1">
      <alignment horizontal="center" wrapText="1"/>
    </xf>
    <xf numFmtId="164" fontId="18" fillId="0" borderId="35" xfId="0" applyNumberFormat="1" applyFont="1" applyFill="1" applyBorder="1" applyAlignment="1">
      <alignment horizontal="center" wrapText="1"/>
    </xf>
    <xf numFmtId="164" fontId="18" fillId="0" borderId="35" xfId="1" applyNumberFormat="1" applyFont="1" applyFill="1" applyBorder="1" applyAlignment="1">
      <alignment horizontal="center" wrapText="1"/>
    </xf>
    <xf numFmtId="164" fontId="18" fillId="13" borderId="1" xfId="1" applyNumberFormat="1" applyFont="1" applyFill="1" applyBorder="1" applyAlignment="1">
      <alignment horizontal="center" wrapText="1"/>
    </xf>
    <xf numFmtId="43" fontId="17" fillId="13" borderId="9" xfId="1" applyFont="1" applyFill="1" applyBorder="1" applyAlignment="1">
      <alignment vertical="center" wrapText="1"/>
    </xf>
    <xf numFmtId="164" fontId="16" fillId="9" borderId="14" xfId="1" applyNumberFormat="1" applyFont="1" applyFill="1" applyBorder="1" applyAlignment="1"/>
    <xf numFmtId="164" fontId="18" fillId="13" borderId="9" xfId="1" applyNumberFormat="1" applyFont="1" applyFill="1" applyBorder="1" applyAlignment="1">
      <alignment horizontal="center" wrapText="1"/>
    </xf>
    <xf numFmtId="164" fontId="18" fillId="13" borderId="14" xfId="1" applyNumberFormat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wrapText="1"/>
    </xf>
    <xf numFmtId="164" fontId="18" fillId="0" borderId="10" xfId="1" applyNumberFormat="1" applyFont="1" applyFill="1" applyBorder="1" applyAlignment="1">
      <alignment horizontal="center" wrapText="1"/>
    </xf>
    <xf numFmtId="164" fontId="18" fillId="0" borderId="10" xfId="0" applyNumberFormat="1" applyFont="1" applyFill="1" applyBorder="1" applyAlignment="1">
      <alignment horizontal="center" wrapText="1"/>
    </xf>
    <xf numFmtId="164" fontId="18" fillId="13" borderId="10" xfId="1" applyNumberFormat="1" applyFont="1" applyFill="1" applyBorder="1" applyAlignment="1">
      <alignment horizontal="center" wrapText="1"/>
    </xf>
    <xf numFmtId="0" fontId="18" fillId="0" borderId="10" xfId="0" applyFont="1" applyFill="1" applyBorder="1" applyAlignment="1">
      <alignment horizontal="center" wrapText="1"/>
    </xf>
    <xf numFmtId="43" fontId="18" fillId="0" borderId="10" xfId="1" applyFont="1" applyFill="1" applyBorder="1"/>
    <xf numFmtId="164" fontId="15" fillId="5" borderId="1" xfId="1" applyNumberFormat="1" applyFont="1" applyFill="1" applyBorder="1" applyAlignment="1">
      <alignment horizontal="right" vertical="center"/>
    </xf>
    <xf numFmtId="164" fontId="39" fillId="0" borderId="9" xfId="1" applyNumberFormat="1" applyFont="1" applyFill="1" applyBorder="1" applyAlignment="1">
      <alignment horizontal="center" vertical="center" wrapText="1"/>
    </xf>
    <xf numFmtId="164" fontId="39" fillId="0" borderId="10" xfId="1" applyNumberFormat="1" applyFont="1" applyFill="1" applyBorder="1" applyAlignment="1">
      <alignment horizontal="center" vertical="center" wrapText="1"/>
    </xf>
    <xf numFmtId="43" fontId="18" fillId="0" borderId="35" xfId="1" applyFont="1" applyFill="1" applyBorder="1"/>
    <xf numFmtId="164" fontId="18" fillId="13" borderId="9" xfId="1" applyNumberFormat="1" applyFont="1" applyFill="1" applyBorder="1"/>
    <xf numFmtId="164" fontId="18" fillId="13" borderId="35" xfId="1" applyNumberFormat="1" applyFont="1" applyFill="1" applyBorder="1"/>
    <xf numFmtId="43" fontId="18" fillId="5" borderId="1" xfId="1" applyFont="1" applyFill="1" applyBorder="1"/>
    <xf numFmtId="43" fontId="18" fillId="5" borderId="14" xfId="1" applyFont="1" applyFill="1" applyBorder="1"/>
    <xf numFmtId="14" fontId="18" fillId="0" borderId="14" xfId="0" applyNumberFormat="1" applyFont="1" applyFill="1" applyBorder="1"/>
    <xf numFmtId="164" fontId="18" fillId="0" borderId="14" xfId="1" applyNumberFormat="1" applyFont="1" applyFill="1" applyBorder="1" applyAlignment="1">
      <alignment horizontal="center"/>
    </xf>
    <xf numFmtId="164" fontId="47" fillId="5" borderId="14" xfId="1" applyNumberFormat="1" applyFont="1" applyFill="1" applyBorder="1"/>
    <xf numFmtId="43" fontId="47" fillId="5" borderId="14" xfId="1" applyFont="1" applyFill="1" applyBorder="1"/>
    <xf numFmtId="14" fontId="18" fillId="0" borderId="10" xfId="0" applyNumberFormat="1" applyFont="1" applyFill="1" applyBorder="1"/>
    <xf numFmtId="164" fontId="18" fillId="0" borderId="10" xfId="1" applyNumberFormat="1" applyFont="1" applyFill="1" applyBorder="1" applyAlignment="1">
      <alignment horizontal="center"/>
    </xf>
    <xf numFmtId="43" fontId="27" fillId="5" borderId="10" xfId="1" applyFont="1" applyFill="1" applyBorder="1" applyAlignment="1">
      <alignment horizontal="center" vertical="center" wrapText="1"/>
    </xf>
    <xf numFmtId="164" fontId="30" fillId="5" borderId="10" xfId="1" applyNumberFormat="1" applyFont="1" applyFill="1" applyBorder="1" applyAlignment="1">
      <alignment horizontal="center" vertical="center" wrapText="1"/>
    </xf>
    <xf numFmtId="14" fontId="47" fillId="0" borderId="9" xfId="0" applyNumberFormat="1" applyFont="1" applyFill="1" applyBorder="1"/>
    <xf numFmtId="164" fontId="47" fillId="0" borderId="9" xfId="1" applyNumberFormat="1" applyFont="1" applyFill="1" applyBorder="1" applyAlignment="1">
      <alignment horizontal="center"/>
    </xf>
    <xf numFmtId="164" fontId="17" fillId="0" borderId="15" xfId="1" applyNumberFormat="1" applyFont="1" applyBorder="1" applyAlignment="1">
      <alignment horizontal="center" vertical="center" wrapText="1"/>
    </xf>
    <xf numFmtId="43" fontId="39" fillId="7" borderId="0" xfId="1" applyFont="1" applyFill="1" applyAlignment="1">
      <alignment horizontal="center"/>
    </xf>
    <xf numFmtId="0" fontId="16" fillId="2" borderId="3" xfId="0" applyFont="1" applyFill="1" applyBorder="1" applyAlignment="1">
      <alignment horizontal="right"/>
    </xf>
    <xf numFmtId="0" fontId="16" fillId="2" borderId="12" xfId="0" applyFont="1" applyFill="1" applyBorder="1" applyAlignment="1">
      <alignment horizontal="right"/>
    </xf>
    <xf numFmtId="0" fontId="16" fillId="2" borderId="23" xfId="0" applyFont="1" applyFill="1" applyBorder="1" applyAlignment="1">
      <alignment horizontal="right"/>
    </xf>
    <xf numFmtId="164" fontId="17" fillId="0" borderId="5" xfId="1" applyNumberFormat="1" applyFont="1" applyBorder="1" applyAlignment="1">
      <alignment horizontal="center" vertical="center" wrapText="1"/>
    </xf>
    <xf numFmtId="164" fontId="17" fillId="0" borderId="8" xfId="1" applyNumberFormat="1" applyFont="1" applyBorder="1" applyAlignment="1">
      <alignment horizontal="center" vertical="center" wrapText="1"/>
    </xf>
    <xf numFmtId="14" fontId="17" fillId="0" borderId="6" xfId="1" applyNumberFormat="1" applyFont="1" applyBorder="1" applyAlignment="1">
      <alignment horizontal="center" vertical="center" wrapText="1"/>
    </xf>
    <xf numFmtId="14" fontId="17" fillId="0" borderId="9" xfId="1" applyNumberFormat="1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43" fontId="17" fillId="0" borderId="4" xfId="1" applyFont="1" applyFill="1" applyBorder="1" applyAlignment="1">
      <alignment horizontal="center" vertical="center" wrapText="1"/>
    </xf>
    <xf numFmtId="43" fontId="17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wrapText="1"/>
    </xf>
    <xf numFmtId="0" fontId="18" fillId="6" borderId="28" xfId="0" applyFont="1" applyFill="1" applyBorder="1" applyAlignment="1">
      <alignment horizontal="center" wrapText="1"/>
    </xf>
    <xf numFmtId="0" fontId="18" fillId="6" borderId="29" xfId="0" applyFont="1" applyFill="1" applyBorder="1" applyAlignment="1">
      <alignment horizontal="center" wrapText="1"/>
    </xf>
    <xf numFmtId="43" fontId="17" fillId="7" borderId="3" xfId="1" applyFont="1" applyFill="1" applyBorder="1" applyAlignment="1">
      <alignment horizontal="center" vertical="center" wrapText="1"/>
    </xf>
    <xf numFmtId="43" fontId="17" fillId="7" borderId="12" xfId="1" applyFont="1" applyFill="1" applyBorder="1" applyAlignment="1">
      <alignment horizontal="center" vertical="center" wrapText="1"/>
    </xf>
    <xf numFmtId="43" fontId="17" fillId="0" borderId="19" xfId="1" applyFont="1" applyFill="1" applyBorder="1" applyAlignment="1">
      <alignment horizontal="center" vertical="center" wrapText="1"/>
    </xf>
    <xf numFmtId="0" fontId="18" fillId="6" borderId="26" xfId="0" applyFont="1" applyFill="1" applyBorder="1" applyAlignment="1">
      <alignment horizontal="center"/>
    </xf>
    <xf numFmtId="0" fontId="18" fillId="6" borderId="33" xfId="0" applyFont="1" applyFill="1" applyBorder="1" applyAlignment="1">
      <alignment horizontal="center"/>
    </xf>
    <xf numFmtId="0" fontId="18" fillId="6" borderId="31" xfId="0" applyFont="1" applyFill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164" fontId="18" fillId="0" borderId="22" xfId="1" applyNumberFormat="1" applyFont="1" applyBorder="1" applyAlignment="1">
      <alignment horizontal="right"/>
    </xf>
    <xf numFmtId="164" fontId="18" fillId="0" borderId="23" xfId="1" applyNumberFormat="1" applyFont="1" applyBorder="1" applyAlignment="1">
      <alignment horizontal="right"/>
    </xf>
    <xf numFmtId="164" fontId="18" fillId="0" borderId="24" xfId="1" applyNumberFormat="1" applyFont="1" applyBorder="1" applyAlignment="1">
      <alignment horizontal="right"/>
    </xf>
    <xf numFmtId="0" fontId="18" fillId="2" borderId="26" xfId="0" applyFont="1" applyFill="1" applyBorder="1" applyAlignment="1">
      <alignment horizontal="center"/>
    </xf>
    <xf numFmtId="0" fontId="18" fillId="2" borderId="33" xfId="0" applyFont="1" applyFill="1" applyBorder="1" applyAlignment="1">
      <alignment horizontal="center"/>
    </xf>
    <xf numFmtId="0" fontId="23" fillId="7" borderId="25" xfId="0" applyFont="1" applyFill="1" applyBorder="1" applyAlignment="1">
      <alignment horizontal="center" wrapText="1"/>
    </xf>
    <xf numFmtId="0" fontId="23" fillId="7" borderId="28" xfId="0" applyFont="1" applyFill="1" applyBorder="1" applyAlignment="1">
      <alignment horizontal="center" wrapText="1"/>
    </xf>
    <xf numFmtId="0" fontId="23" fillId="7" borderId="29" xfId="0" applyFont="1" applyFill="1" applyBorder="1" applyAlignment="1">
      <alignment horizontal="center" wrapText="1"/>
    </xf>
    <xf numFmtId="0" fontId="23" fillId="7" borderId="21" xfId="0" applyFont="1" applyFill="1" applyBorder="1" applyAlignment="1">
      <alignment horizontal="center" wrapText="1"/>
    </xf>
    <xf numFmtId="0" fontId="23" fillId="7" borderId="30" xfId="0" applyFont="1" applyFill="1" applyBorder="1" applyAlignment="1">
      <alignment horizontal="center" wrapText="1"/>
    </xf>
    <xf numFmtId="0" fontId="23" fillId="7" borderId="17" xfId="0" applyFont="1" applyFill="1" applyBorder="1" applyAlignment="1">
      <alignment horizontal="center" wrapText="1"/>
    </xf>
    <xf numFmtId="0" fontId="25" fillId="7" borderId="12" xfId="0" applyFont="1" applyFill="1" applyBorder="1" applyAlignment="1">
      <alignment horizontal="center" vertical="center" wrapText="1"/>
    </xf>
    <xf numFmtId="0" fontId="25" fillId="7" borderId="13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164" fontId="23" fillId="0" borderId="5" xfId="1" applyNumberFormat="1" applyFont="1" applyBorder="1" applyAlignment="1">
      <alignment horizontal="center" vertical="center" wrapText="1"/>
    </xf>
    <xf numFmtId="164" fontId="23" fillId="0" borderId="8" xfId="1" applyNumberFormat="1" applyFont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43" fontId="23" fillId="0" borderId="4" xfId="1" applyFont="1" applyFill="1" applyBorder="1" applyAlignment="1">
      <alignment horizontal="center" vertical="center" wrapText="1"/>
    </xf>
    <xf numFmtId="43" fontId="23" fillId="0" borderId="10" xfId="1" applyFont="1" applyFill="1" applyBorder="1" applyAlignment="1">
      <alignment horizontal="center" vertical="center" wrapText="1"/>
    </xf>
    <xf numFmtId="0" fontId="23" fillId="6" borderId="25" xfId="0" applyFont="1" applyFill="1" applyBorder="1" applyAlignment="1">
      <alignment horizontal="center" wrapText="1"/>
    </xf>
    <xf numFmtId="0" fontId="23" fillId="6" borderId="28" xfId="0" applyFont="1" applyFill="1" applyBorder="1" applyAlignment="1">
      <alignment horizontal="center" wrapText="1"/>
    </xf>
    <xf numFmtId="0" fontId="23" fillId="6" borderId="29" xfId="0" applyFont="1" applyFill="1" applyBorder="1" applyAlignment="1">
      <alignment horizontal="center" wrapText="1"/>
    </xf>
    <xf numFmtId="0" fontId="23" fillId="6" borderId="21" xfId="0" applyFont="1" applyFill="1" applyBorder="1" applyAlignment="1">
      <alignment horizontal="center" wrapText="1"/>
    </xf>
    <xf numFmtId="0" fontId="23" fillId="6" borderId="30" xfId="0" applyFont="1" applyFill="1" applyBorder="1" applyAlignment="1">
      <alignment horizontal="center" wrapText="1"/>
    </xf>
    <xf numFmtId="0" fontId="23" fillId="6" borderId="17" xfId="0" applyFont="1" applyFill="1" applyBorder="1" applyAlignment="1">
      <alignment horizontal="center" wrapText="1"/>
    </xf>
    <xf numFmtId="0" fontId="25" fillId="2" borderId="3" xfId="0" applyFont="1" applyFill="1" applyBorder="1" applyAlignment="1">
      <alignment horizontal="right"/>
    </xf>
    <xf numFmtId="0" fontId="25" fillId="2" borderId="12" xfId="0" applyFont="1" applyFill="1" applyBorder="1" applyAlignment="1">
      <alignment horizontal="right"/>
    </xf>
    <xf numFmtId="0" fontId="25" fillId="2" borderId="13" xfId="0" applyFont="1" applyFill="1" applyBorder="1" applyAlignment="1">
      <alignment horizontal="right"/>
    </xf>
    <xf numFmtId="0" fontId="17" fillId="0" borderId="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164" fontId="23" fillId="2" borderId="3" xfId="1" applyNumberFormat="1" applyFont="1" applyFill="1" applyBorder="1" applyAlignment="1">
      <alignment horizontal="center" vertical="center" wrapText="1"/>
    </xf>
    <xf numFmtId="164" fontId="23" fillId="2" borderId="13" xfId="1" applyNumberFormat="1" applyFont="1" applyFill="1" applyBorder="1" applyAlignment="1">
      <alignment horizontal="center" vertical="center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0" fontId="23" fillId="0" borderId="19" xfId="0" applyNumberFormat="1" applyFont="1" applyBorder="1" applyAlignment="1">
      <alignment horizontal="center" vertical="center" wrapText="1"/>
    </xf>
    <xf numFmtId="0" fontId="23" fillId="0" borderId="10" xfId="0" applyNumberFormat="1" applyFont="1" applyBorder="1" applyAlignment="1">
      <alignment horizontal="center" vertical="center" wrapText="1"/>
    </xf>
    <xf numFmtId="164" fontId="23" fillId="0" borderId="19" xfId="1" applyNumberFormat="1" applyFont="1" applyBorder="1" applyAlignment="1">
      <alignment horizontal="center" vertical="center" wrapText="1"/>
    </xf>
    <xf numFmtId="164" fontId="23" fillId="0" borderId="10" xfId="1" applyNumberFormat="1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7" borderId="25" xfId="0" applyFont="1" applyFill="1" applyBorder="1" applyAlignment="1">
      <alignment horizontal="center" wrapText="1"/>
    </xf>
    <xf numFmtId="0" fontId="17" fillId="7" borderId="28" xfId="0" applyFont="1" applyFill="1" applyBorder="1" applyAlignment="1">
      <alignment horizontal="center" wrapText="1"/>
    </xf>
    <xf numFmtId="0" fontId="17" fillId="7" borderId="29" xfId="0" applyFont="1" applyFill="1" applyBorder="1" applyAlignment="1">
      <alignment horizontal="center" wrapText="1"/>
    </xf>
    <xf numFmtId="0" fontId="17" fillId="7" borderId="21" xfId="0" applyFont="1" applyFill="1" applyBorder="1" applyAlignment="1">
      <alignment horizontal="center" wrapText="1"/>
    </xf>
    <xf numFmtId="0" fontId="17" fillId="7" borderId="30" xfId="0" applyFont="1" applyFill="1" applyBorder="1" applyAlignment="1">
      <alignment horizontal="center" wrapText="1"/>
    </xf>
    <xf numFmtId="0" fontId="17" fillId="7" borderId="17" xfId="0" applyFont="1" applyFill="1" applyBorder="1" applyAlignment="1">
      <alignment horizont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7" fillId="7" borderId="13" xfId="0" applyFont="1" applyFill="1" applyBorder="1" applyAlignment="1">
      <alignment horizontal="center" vertical="center" wrapText="1"/>
    </xf>
    <xf numFmtId="43" fontId="18" fillId="2" borderId="22" xfId="1" applyFont="1" applyFill="1" applyBorder="1" applyAlignment="1">
      <alignment horizontal="center" vertical="center" wrapText="1"/>
    </xf>
    <xf numFmtId="43" fontId="18" fillId="2" borderId="23" xfId="1" applyFont="1" applyFill="1" applyBorder="1" applyAlignment="1">
      <alignment horizontal="center" vertical="center" wrapText="1"/>
    </xf>
    <xf numFmtId="43" fontId="18" fillId="2" borderId="24" xfId="1" applyFont="1" applyFill="1" applyBorder="1" applyAlignment="1">
      <alignment horizontal="center" vertical="center" wrapText="1"/>
    </xf>
    <xf numFmtId="164" fontId="17" fillId="7" borderId="22" xfId="1" applyNumberFormat="1" applyFont="1" applyFill="1" applyBorder="1" applyAlignment="1">
      <alignment horizontal="center" vertical="center" wrapText="1"/>
    </xf>
    <xf numFmtId="164" fontId="17" fillId="7" borderId="24" xfId="1" applyNumberFormat="1" applyFont="1" applyFill="1" applyBorder="1" applyAlignment="1">
      <alignment horizontal="center" vertical="center" wrapText="1"/>
    </xf>
    <xf numFmtId="164" fontId="17" fillId="6" borderId="22" xfId="1" applyNumberFormat="1" applyFont="1" applyFill="1" applyBorder="1" applyAlignment="1">
      <alignment horizontal="center" vertical="center" wrapText="1"/>
    </xf>
    <xf numFmtId="164" fontId="17" fillId="6" borderId="24" xfId="1" applyNumberFormat="1" applyFont="1" applyFill="1" applyBorder="1" applyAlignment="1">
      <alignment horizontal="center" vertical="center" wrapText="1"/>
    </xf>
    <xf numFmtId="164" fontId="17" fillId="4" borderId="19" xfId="1" applyNumberFormat="1" applyFont="1" applyFill="1" applyBorder="1" applyAlignment="1">
      <alignment horizontal="center" vertical="center" wrapText="1"/>
    </xf>
    <xf numFmtId="164" fontId="17" fillId="4" borderId="10" xfId="1" applyNumberFormat="1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wrapText="1"/>
    </xf>
    <xf numFmtId="164" fontId="23" fillId="7" borderId="3" xfId="1" applyNumberFormat="1" applyFont="1" applyFill="1" applyBorder="1" applyAlignment="1">
      <alignment horizontal="center"/>
    </xf>
    <xf numFmtId="164" fontId="23" fillId="7" borderId="12" xfId="1" applyNumberFormat="1" applyFont="1" applyFill="1" applyBorder="1" applyAlignment="1">
      <alignment horizontal="center"/>
    </xf>
    <xf numFmtId="164" fontId="23" fillId="7" borderId="13" xfId="1" applyNumberFormat="1" applyFont="1" applyFill="1" applyBorder="1" applyAlignment="1">
      <alignment horizontal="center"/>
    </xf>
    <xf numFmtId="164" fontId="23" fillId="2" borderId="1" xfId="1" applyNumberFormat="1" applyFont="1" applyFill="1" applyBorder="1" applyAlignment="1">
      <alignment horizontal="center"/>
    </xf>
    <xf numFmtId="43" fontId="26" fillId="7" borderId="3" xfId="1" applyFont="1" applyFill="1" applyBorder="1" applyAlignment="1">
      <alignment horizontal="center"/>
    </xf>
    <xf numFmtId="43" fontId="26" fillId="7" borderId="12" xfId="1" applyFont="1" applyFill="1" applyBorder="1" applyAlignment="1">
      <alignment horizontal="center"/>
    </xf>
    <xf numFmtId="43" fontId="26" fillId="7" borderId="13" xfId="1" applyFont="1" applyFill="1" applyBorder="1" applyAlignment="1">
      <alignment horizontal="center"/>
    </xf>
    <xf numFmtId="43" fontId="17" fillId="7" borderId="26" xfId="1" applyFont="1" applyFill="1" applyBorder="1" applyAlignment="1">
      <alignment horizontal="center" vertical="center" wrapText="1"/>
    </xf>
    <xf numFmtId="43" fontId="17" fillId="7" borderId="31" xfId="1" applyFont="1" applyFill="1" applyBorder="1" applyAlignment="1">
      <alignment horizontal="center" vertical="center" wrapText="1"/>
    </xf>
    <xf numFmtId="43" fontId="17" fillId="2" borderId="22" xfId="1" applyFont="1" applyFill="1" applyBorder="1" applyAlignment="1">
      <alignment horizontal="right"/>
    </xf>
    <xf numFmtId="43" fontId="17" fillId="2" borderId="23" xfId="1" applyFont="1" applyFill="1" applyBorder="1" applyAlignment="1">
      <alignment horizontal="right"/>
    </xf>
    <xf numFmtId="43" fontId="17" fillId="2" borderId="24" xfId="1" applyFont="1" applyFill="1" applyBorder="1" applyAlignment="1">
      <alignment horizontal="right"/>
    </xf>
    <xf numFmtId="164" fontId="23" fillId="6" borderId="1" xfId="1" applyNumberFormat="1" applyFont="1" applyFill="1" applyBorder="1" applyAlignment="1">
      <alignment horizontal="center"/>
    </xf>
    <xf numFmtId="164" fontId="23" fillId="2" borderId="3" xfId="1" applyNumberFormat="1" applyFont="1" applyFill="1" applyBorder="1" applyAlignment="1">
      <alignment horizontal="center"/>
    </xf>
    <xf numFmtId="164" fontId="23" fillId="2" borderId="12" xfId="1" applyNumberFormat="1" applyFont="1" applyFill="1" applyBorder="1" applyAlignment="1">
      <alignment horizontal="center"/>
    </xf>
    <xf numFmtId="43" fontId="17" fillId="6" borderId="26" xfId="1" applyFont="1" applyFill="1" applyBorder="1" applyAlignment="1">
      <alignment horizontal="center" vertical="center" wrapText="1"/>
    </xf>
    <xf numFmtId="43" fontId="17" fillId="6" borderId="31" xfId="1" applyFont="1" applyFill="1" applyBorder="1" applyAlignment="1">
      <alignment horizontal="center" vertical="center" wrapText="1"/>
    </xf>
    <xf numFmtId="43" fontId="17" fillId="0" borderId="26" xfId="1" applyFont="1" applyFill="1" applyBorder="1" applyAlignment="1">
      <alignment horizontal="center" vertical="center" wrapText="1"/>
    </xf>
    <xf numFmtId="43" fontId="17" fillId="0" borderId="33" xfId="1" applyFont="1" applyFill="1" applyBorder="1" applyAlignment="1">
      <alignment horizontal="center" vertical="center" wrapText="1"/>
    </xf>
    <xf numFmtId="164" fontId="17" fillId="6" borderId="19" xfId="1" applyNumberFormat="1" applyFont="1" applyFill="1" applyBorder="1" applyAlignment="1">
      <alignment horizontal="center" vertical="center" wrapText="1"/>
    </xf>
    <xf numFmtId="164" fontId="17" fillId="6" borderId="10" xfId="1" applyNumberFormat="1" applyFont="1" applyFill="1" applyBorder="1" applyAlignment="1">
      <alignment horizontal="center" vertical="center" wrapText="1"/>
    </xf>
    <xf numFmtId="164" fontId="17" fillId="6" borderId="1" xfId="1" applyNumberFormat="1" applyFont="1" applyFill="1" applyBorder="1" applyAlignment="1">
      <alignment horizontal="center"/>
    </xf>
    <xf numFmtId="43" fontId="17" fillId="7" borderId="25" xfId="1" applyFont="1" applyFill="1" applyBorder="1" applyAlignment="1">
      <alignment horizontal="center" vertical="center" wrapText="1"/>
    </xf>
    <xf numFmtId="43" fontId="17" fillId="7" borderId="28" xfId="1" applyFont="1" applyFill="1" applyBorder="1" applyAlignment="1">
      <alignment horizontal="center" vertical="center" wrapText="1"/>
    </xf>
    <xf numFmtId="43" fontId="17" fillId="7" borderId="21" xfId="1" applyFont="1" applyFill="1" applyBorder="1" applyAlignment="1">
      <alignment horizontal="center" vertical="center" wrapText="1"/>
    </xf>
    <xf numFmtId="43" fontId="17" fillId="7" borderId="30" xfId="1" applyFont="1" applyFill="1" applyBorder="1" applyAlignment="1">
      <alignment horizontal="center" vertical="center" wrapText="1"/>
    </xf>
    <xf numFmtId="164" fontId="17" fillId="7" borderId="3" xfId="1" applyNumberFormat="1" applyFont="1" applyFill="1" applyBorder="1" applyAlignment="1">
      <alignment horizontal="center"/>
    </xf>
    <xf numFmtId="164" fontId="17" fillId="7" borderId="12" xfId="1" applyNumberFormat="1" applyFont="1" applyFill="1" applyBorder="1" applyAlignment="1">
      <alignment horizontal="center"/>
    </xf>
    <xf numFmtId="164" fontId="17" fillId="7" borderId="13" xfId="1" applyNumberFormat="1" applyFont="1" applyFill="1" applyBorder="1" applyAlignment="1">
      <alignment horizontal="center"/>
    </xf>
    <xf numFmtId="164" fontId="17" fillId="2" borderId="3" xfId="1" applyNumberFormat="1" applyFont="1" applyFill="1" applyBorder="1" applyAlignment="1">
      <alignment horizontal="center"/>
    </xf>
    <xf numFmtId="164" fontId="17" fillId="2" borderId="12" xfId="1" applyNumberFormat="1" applyFont="1" applyFill="1" applyBorder="1" applyAlignment="1">
      <alignment horizontal="center"/>
    </xf>
    <xf numFmtId="43" fontId="17" fillId="2" borderId="26" xfId="1" applyFont="1" applyFill="1" applyBorder="1" applyAlignment="1">
      <alignment horizontal="center" vertical="center" wrapText="1"/>
    </xf>
    <xf numFmtId="43" fontId="17" fillId="2" borderId="33" xfId="1" applyFont="1" applyFill="1" applyBorder="1" applyAlignment="1">
      <alignment horizontal="center" vertical="center" wrapText="1"/>
    </xf>
    <xf numFmtId="43" fontId="17" fillId="2" borderId="31" xfId="1" applyFont="1" applyFill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right"/>
    </xf>
    <xf numFmtId="164" fontId="18" fillId="0" borderId="12" xfId="0" applyNumberFormat="1" applyFont="1" applyBorder="1" applyAlignment="1">
      <alignment horizontal="right"/>
    </xf>
    <xf numFmtId="164" fontId="18" fillId="0" borderId="13" xfId="0" applyNumberFormat="1" applyFont="1" applyBorder="1" applyAlignment="1">
      <alignment horizontal="right"/>
    </xf>
    <xf numFmtId="0" fontId="24" fillId="0" borderId="3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34" fillId="2" borderId="15" xfId="0" applyFont="1" applyFill="1" applyBorder="1" applyAlignment="1">
      <alignment horizontal="center"/>
    </xf>
    <xf numFmtId="0" fontId="34" fillId="2" borderId="10" xfId="0" applyFont="1" applyFill="1" applyBorder="1" applyAlignment="1">
      <alignment horizontal="center"/>
    </xf>
    <xf numFmtId="0" fontId="41" fillId="8" borderId="15" xfId="0" applyFont="1" applyFill="1" applyBorder="1" applyAlignment="1">
      <alignment horizontal="center"/>
    </xf>
    <xf numFmtId="0" fontId="41" fillId="8" borderId="10" xfId="0" applyFont="1" applyFill="1" applyBorder="1" applyAlignment="1">
      <alignment horizontal="center"/>
    </xf>
    <xf numFmtId="0" fontId="42" fillId="0" borderId="15" xfId="0" applyFont="1" applyBorder="1" applyAlignment="1">
      <alignment horizontal="center"/>
    </xf>
    <xf numFmtId="0" fontId="42" fillId="0" borderId="10" xfId="0" applyFont="1" applyBorder="1" applyAlignment="1">
      <alignment horizontal="center"/>
    </xf>
    <xf numFmtId="0" fontId="25" fillId="5" borderId="15" xfId="0" applyFont="1" applyFill="1" applyBorder="1" applyAlignment="1">
      <alignment horizontal="center" wrapText="1"/>
    </xf>
    <xf numFmtId="0" fontId="25" fillId="5" borderId="10" xfId="0" applyFont="1" applyFill="1" applyBorder="1" applyAlignment="1">
      <alignment horizontal="center" wrapText="1"/>
    </xf>
    <xf numFmtId="0" fontId="23" fillId="0" borderId="20" xfId="0" applyFont="1" applyBorder="1" applyAlignment="1">
      <alignment horizontal="center" wrapText="1"/>
    </xf>
    <xf numFmtId="0" fontId="23" fillId="0" borderId="0" xfId="0" applyFont="1" applyBorder="1" applyAlignment="1">
      <alignment horizontal="center" wrapText="1"/>
    </xf>
    <xf numFmtId="0" fontId="23" fillId="0" borderId="32" xfId="0" applyFont="1" applyBorder="1" applyAlignment="1">
      <alignment horizontal="center" wrapText="1"/>
    </xf>
    <xf numFmtId="0" fontId="23" fillId="0" borderId="21" xfId="0" applyFont="1" applyBorder="1" applyAlignment="1">
      <alignment horizontal="center" wrapText="1"/>
    </xf>
    <xf numFmtId="0" fontId="23" fillId="0" borderId="30" xfId="0" applyFont="1" applyBorder="1" applyAlignment="1">
      <alignment horizontal="center" wrapText="1"/>
    </xf>
    <xf numFmtId="0" fontId="23" fillId="0" borderId="17" xfId="0" applyFont="1" applyBorder="1" applyAlignment="1">
      <alignment horizontal="center" wrapText="1"/>
    </xf>
    <xf numFmtId="0" fontId="18" fillId="0" borderId="3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7" fillId="0" borderId="3" xfId="0" applyFont="1" applyBorder="1" applyAlignment="1">
      <alignment horizontal="right"/>
    </xf>
    <xf numFmtId="0" fontId="17" fillId="0" borderId="12" xfId="0" applyFont="1" applyBorder="1" applyAlignment="1">
      <alignment horizontal="right"/>
    </xf>
    <xf numFmtId="0" fontId="17" fillId="0" borderId="13" xfId="0" applyFont="1" applyBorder="1" applyAlignment="1">
      <alignment horizontal="right"/>
    </xf>
    <xf numFmtId="43" fontId="23" fillId="2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164" fontId="23" fillId="0" borderId="15" xfId="1" applyNumberFormat="1" applyFont="1" applyBorder="1" applyAlignment="1">
      <alignment horizontal="center"/>
    </xf>
    <xf numFmtId="164" fontId="23" fillId="0" borderId="10" xfId="1" applyNumberFormat="1" applyFont="1" applyBorder="1" applyAlignment="1">
      <alignment horizontal="center"/>
    </xf>
    <xf numFmtId="0" fontId="23" fillId="0" borderId="15" xfId="0" applyFont="1" applyFill="1" applyBorder="1" applyAlignment="1">
      <alignment horizontal="center"/>
    </xf>
    <xf numFmtId="0" fontId="23" fillId="0" borderId="10" xfId="0" applyFont="1" applyFill="1" applyBorder="1" applyAlignment="1">
      <alignment horizontal="center"/>
    </xf>
    <xf numFmtId="43" fontId="23" fillId="6" borderId="3" xfId="1" applyFont="1" applyFill="1" applyBorder="1" applyAlignment="1">
      <alignment horizontal="center" vertical="center" wrapText="1"/>
    </xf>
    <xf numFmtId="43" fontId="23" fillId="6" borderId="12" xfId="1" applyFont="1" applyFill="1" applyBorder="1" applyAlignment="1">
      <alignment horizontal="center" vertical="center" wrapText="1"/>
    </xf>
    <xf numFmtId="43" fontId="23" fillId="7" borderId="3" xfId="1" applyFont="1" applyFill="1" applyBorder="1" applyAlignment="1">
      <alignment horizontal="center" vertical="center" wrapText="1"/>
    </xf>
    <xf numFmtId="43" fontId="23" fillId="7" borderId="12" xfId="1" applyFont="1" applyFill="1" applyBorder="1" applyAlignment="1">
      <alignment horizontal="center" vertical="center" wrapText="1"/>
    </xf>
    <xf numFmtId="0" fontId="23" fillId="7" borderId="20" xfId="0" applyFont="1" applyFill="1" applyBorder="1" applyAlignment="1">
      <alignment horizontal="center" wrapText="1"/>
    </xf>
    <xf numFmtId="0" fontId="23" fillId="7" borderId="0" xfId="0" applyFont="1" applyFill="1" applyBorder="1" applyAlignment="1">
      <alignment horizontal="center" wrapText="1"/>
    </xf>
    <xf numFmtId="0" fontId="23" fillId="7" borderId="32" xfId="0" applyFont="1" applyFill="1" applyBorder="1" applyAlignment="1">
      <alignment horizontal="center" wrapText="1"/>
    </xf>
    <xf numFmtId="43" fontId="17" fillId="4" borderId="15" xfId="1" applyFont="1" applyFill="1" applyBorder="1" applyAlignment="1">
      <alignment horizontal="center" wrapText="1"/>
    </xf>
    <xf numFmtId="43" fontId="17" fillId="4" borderId="10" xfId="1" applyFont="1" applyFill="1" applyBorder="1" applyAlignment="1">
      <alignment horizontal="center" wrapText="1"/>
    </xf>
    <xf numFmtId="43" fontId="27" fillId="7" borderId="7" xfId="1" applyFont="1" applyFill="1" applyBorder="1" applyAlignment="1">
      <alignment horizontal="center" vertical="center" wrapText="1"/>
    </xf>
    <xf numFmtId="43" fontId="27" fillId="7" borderId="11" xfId="1" applyFont="1" applyFill="1" applyBorder="1" applyAlignment="1">
      <alignment horizontal="center" vertical="center" wrapText="1"/>
    </xf>
    <xf numFmtId="43" fontId="26" fillId="2" borderId="22" xfId="1" applyFont="1" applyFill="1" applyBorder="1" applyAlignment="1">
      <alignment horizontal="center" vertical="center" wrapText="1"/>
    </xf>
    <xf numFmtId="43" fontId="26" fillId="2" borderId="23" xfId="1" applyFont="1" applyFill="1" applyBorder="1" applyAlignment="1">
      <alignment horizontal="center" vertical="center" wrapText="1"/>
    </xf>
    <xf numFmtId="0" fontId="23" fillId="0" borderId="6" xfId="0" applyNumberFormat="1" applyFont="1" applyFill="1" applyBorder="1" applyAlignment="1">
      <alignment horizontal="center" vertical="center" wrapText="1"/>
    </xf>
    <xf numFmtId="0" fontId="23" fillId="0" borderId="9" xfId="0" applyNumberFormat="1" applyFont="1" applyFill="1" applyBorder="1" applyAlignment="1">
      <alignment horizontal="center" vertical="center" wrapText="1"/>
    </xf>
    <xf numFmtId="43" fontId="23" fillId="6" borderId="1" xfId="1" applyFont="1" applyFill="1" applyBorder="1" applyAlignment="1">
      <alignment horizontal="center" vertical="center" wrapText="1"/>
    </xf>
    <xf numFmtId="43" fontId="23" fillId="7" borderId="25" xfId="1" applyFont="1" applyFill="1" applyBorder="1" applyAlignment="1">
      <alignment horizontal="center" vertical="center" wrapText="1"/>
    </xf>
    <xf numFmtId="43" fontId="23" fillId="7" borderId="28" xfId="1" applyFont="1" applyFill="1" applyBorder="1" applyAlignment="1">
      <alignment horizontal="center" vertical="center" wrapText="1"/>
    </xf>
    <xf numFmtId="43" fontId="23" fillId="7" borderId="29" xfId="1" applyFont="1" applyFill="1" applyBorder="1" applyAlignment="1">
      <alignment horizontal="center" vertical="center" wrapText="1"/>
    </xf>
    <xf numFmtId="43" fontId="17" fillId="5" borderId="1" xfId="1" applyFont="1" applyFill="1" applyBorder="1" applyAlignment="1">
      <alignment horizontal="center" vertical="center" wrapText="1"/>
    </xf>
    <xf numFmtId="164" fontId="16" fillId="2" borderId="22" xfId="1" applyNumberFormat="1" applyFont="1" applyFill="1" applyBorder="1" applyAlignment="1">
      <alignment horizontal="right"/>
    </xf>
    <xf numFmtId="164" fontId="16" fillId="2" borderId="23" xfId="1" applyNumberFormat="1" applyFont="1" applyFill="1" applyBorder="1" applyAlignment="1">
      <alignment horizontal="right"/>
    </xf>
    <xf numFmtId="43" fontId="17" fillId="7" borderId="1" xfId="1" applyFont="1" applyFill="1" applyBorder="1" applyAlignment="1">
      <alignment horizontal="center" vertical="center" wrapText="1"/>
    </xf>
    <xf numFmtId="43" fontId="17" fillId="2" borderId="1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vertical="center"/>
    </xf>
    <xf numFmtId="43" fontId="17" fillId="7" borderId="12" xfId="1" applyFont="1" applyFill="1" applyBorder="1" applyAlignment="1">
      <alignment horizontal="center" vertical="center"/>
    </xf>
    <xf numFmtId="43" fontId="17" fillId="7" borderId="13" xfId="1" applyFont="1" applyFill="1" applyBorder="1" applyAlignment="1">
      <alignment horizontal="center" vertical="center"/>
    </xf>
    <xf numFmtId="43" fontId="17" fillId="2" borderId="3" xfId="1" applyFont="1" applyFill="1" applyBorder="1" applyAlignment="1">
      <alignment horizontal="center" vertical="center"/>
    </xf>
    <xf numFmtId="43" fontId="17" fillId="2" borderId="12" xfId="1" applyFont="1" applyFill="1" applyBorder="1" applyAlignment="1">
      <alignment horizontal="center" vertical="center"/>
    </xf>
    <xf numFmtId="43" fontId="17" fillId="2" borderId="13" xfId="1" applyFont="1" applyFill="1" applyBorder="1" applyAlignment="1">
      <alignment horizontal="center" vertical="center"/>
    </xf>
    <xf numFmtId="43" fontId="17" fillId="7" borderId="1" xfId="1" applyFont="1" applyFill="1" applyBorder="1" applyAlignment="1">
      <alignment horizontal="center" vertical="center"/>
    </xf>
    <xf numFmtId="0" fontId="17" fillId="0" borderId="6" xfId="0" applyNumberFormat="1" applyFont="1" applyFill="1" applyBorder="1" applyAlignment="1">
      <alignment horizontal="center" vertical="center" wrapText="1"/>
    </xf>
    <xf numFmtId="0" fontId="17" fillId="0" borderId="9" xfId="0" applyNumberFormat="1" applyFont="1" applyFill="1" applyBorder="1" applyAlignment="1">
      <alignment horizontal="center" vertical="center" wrapText="1"/>
    </xf>
    <xf numFmtId="43" fontId="17" fillId="6" borderId="1" xfId="1" applyFont="1" applyFill="1" applyBorder="1" applyAlignment="1">
      <alignment horizontal="center" vertical="center" wrapText="1"/>
    </xf>
    <xf numFmtId="43" fontId="17" fillId="6" borderId="3" xfId="1" applyFont="1" applyFill="1" applyBorder="1" applyAlignment="1">
      <alignment horizontal="center" vertical="center" wrapText="1"/>
    </xf>
    <xf numFmtId="43" fontId="17" fillId="6" borderId="13" xfId="1" applyFont="1" applyFill="1" applyBorder="1" applyAlignment="1">
      <alignment horizontal="center" vertical="center" wrapText="1"/>
    </xf>
    <xf numFmtId="43" fontId="17" fillId="6" borderId="3" xfId="1" applyFont="1" applyFill="1" applyBorder="1" applyAlignment="1">
      <alignment horizontal="center" vertical="center"/>
    </xf>
    <xf numFmtId="43" fontId="17" fillId="6" borderId="12" xfId="1" applyFont="1" applyFill="1" applyBorder="1" applyAlignment="1">
      <alignment horizontal="center" vertical="center"/>
    </xf>
    <xf numFmtId="43" fontId="17" fillId="6" borderId="13" xfId="1" applyFont="1" applyFill="1" applyBorder="1" applyAlignment="1">
      <alignment horizontal="center" vertical="center"/>
    </xf>
    <xf numFmtId="164" fontId="17" fillId="0" borderId="4" xfId="1" applyNumberFormat="1" applyFont="1" applyBorder="1" applyAlignment="1">
      <alignment horizontal="center" vertical="center" wrapText="1"/>
    </xf>
    <xf numFmtId="164" fontId="17" fillId="0" borderId="10" xfId="1" applyNumberFormat="1" applyFont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center" wrapText="1"/>
    </xf>
    <xf numFmtId="43" fontId="16" fillId="7" borderId="13" xfId="1" applyFont="1" applyFill="1" applyBorder="1" applyAlignment="1">
      <alignment horizontal="center" wrapText="1"/>
    </xf>
    <xf numFmtId="43" fontId="16" fillId="6" borderId="3" xfId="1" applyFont="1" applyFill="1" applyBorder="1" applyAlignment="1">
      <alignment horizontal="center" wrapText="1"/>
    </xf>
    <xf numFmtId="43" fontId="16" fillId="6" borderId="13" xfId="1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right"/>
    </xf>
    <xf numFmtId="164" fontId="17" fillId="0" borderId="15" xfId="1" applyNumberFormat="1" applyFont="1" applyBorder="1" applyAlignment="1">
      <alignment horizontal="center" vertical="center" wrapText="1"/>
    </xf>
    <xf numFmtId="14" fontId="18" fillId="0" borderId="15" xfId="1" applyNumberFormat="1" applyFont="1" applyBorder="1" applyAlignment="1">
      <alignment horizontal="center" vertical="center" wrapText="1"/>
    </xf>
    <xf numFmtId="14" fontId="18" fillId="0" borderId="10" xfId="1" applyNumberFormat="1" applyFont="1" applyBorder="1" applyAlignment="1">
      <alignment horizontal="center" vertical="center" wrapText="1"/>
    </xf>
    <xf numFmtId="0" fontId="17" fillId="0" borderId="15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164" fontId="17" fillId="2" borderId="1" xfId="1" applyNumberFormat="1" applyFont="1" applyFill="1" applyBorder="1" applyAlignment="1">
      <alignment horizontal="center" vertical="center" wrapText="1"/>
    </xf>
    <xf numFmtId="164" fontId="17" fillId="0" borderId="26" xfId="1" applyNumberFormat="1" applyFont="1" applyFill="1" applyBorder="1" applyAlignment="1">
      <alignment horizontal="center" vertical="center" wrapText="1"/>
    </xf>
    <xf numFmtId="164" fontId="17" fillId="0" borderId="31" xfId="1" applyNumberFormat="1" applyFont="1" applyFill="1" applyBorder="1" applyAlignment="1">
      <alignment horizontal="center" vertical="center" wrapText="1"/>
    </xf>
    <xf numFmtId="43" fontId="17" fillId="2" borderId="15" xfId="1" applyFont="1" applyFill="1" applyBorder="1" applyAlignment="1">
      <alignment horizontal="center" vertical="center" wrapText="1"/>
    </xf>
    <xf numFmtId="43" fontId="17" fillId="2" borderId="10" xfId="1" applyFont="1" applyFill="1" applyBorder="1" applyAlignment="1">
      <alignment horizontal="center" vertical="center" wrapText="1"/>
    </xf>
    <xf numFmtId="43" fontId="17" fillId="7" borderId="13" xfId="1" applyFont="1" applyFill="1" applyBorder="1" applyAlignment="1">
      <alignment horizontal="center" vertical="center" wrapText="1"/>
    </xf>
    <xf numFmtId="0" fontId="24" fillId="7" borderId="0" xfId="0" applyFont="1" applyFill="1" applyBorder="1" applyAlignment="1">
      <alignment horizontal="left" wrapText="1"/>
    </xf>
    <xf numFmtId="0" fontId="23" fillId="0" borderId="0" xfId="0" applyFont="1" applyAlignment="1">
      <alignment horizontal="left"/>
    </xf>
    <xf numFmtId="0" fontId="25" fillId="0" borderId="0" xfId="0" applyFont="1" applyFill="1" applyBorder="1" applyAlignment="1">
      <alignment horizontal="left" wrapText="1"/>
    </xf>
    <xf numFmtId="0" fontId="28" fillId="0" borderId="23" xfId="0" applyFont="1" applyBorder="1" applyAlignment="1">
      <alignment horizontal="center"/>
    </xf>
    <xf numFmtId="0" fontId="23" fillId="0" borderId="26" xfId="0" applyFont="1" applyFill="1" applyBorder="1" applyAlignment="1">
      <alignment horizontal="center" wrapText="1"/>
    </xf>
    <xf numFmtId="0" fontId="23" fillId="0" borderId="33" xfId="0" applyFont="1" applyFill="1" applyBorder="1" applyAlignment="1">
      <alignment horizontal="center" wrapText="1"/>
    </xf>
    <xf numFmtId="0" fontId="23" fillId="0" borderId="31" xfId="0" applyFont="1" applyFill="1" applyBorder="1" applyAlignment="1">
      <alignment horizontal="center" wrapText="1"/>
    </xf>
    <xf numFmtId="0" fontId="23" fillId="6" borderId="26" xfId="0" applyFont="1" applyFill="1" applyBorder="1" applyAlignment="1">
      <alignment horizontal="center" wrapText="1"/>
    </xf>
    <xf numFmtId="0" fontId="23" fillId="6" borderId="33" xfId="0" applyFont="1" applyFill="1" applyBorder="1" applyAlignment="1">
      <alignment horizontal="center" wrapText="1"/>
    </xf>
    <xf numFmtId="0" fontId="23" fillId="6" borderId="31" xfId="0" applyFont="1" applyFill="1" applyBorder="1" applyAlignment="1">
      <alignment horizontal="center" wrapText="1"/>
    </xf>
    <xf numFmtId="0" fontId="23" fillId="2" borderId="26" xfId="0" applyFont="1" applyFill="1" applyBorder="1" applyAlignment="1">
      <alignment horizontal="center" wrapText="1"/>
    </xf>
    <xf numFmtId="0" fontId="23" fillId="2" borderId="33" xfId="0" applyFont="1" applyFill="1" applyBorder="1" applyAlignment="1">
      <alignment horizontal="center" wrapText="1"/>
    </xf>
    <xf numFmtId="0" fontId="23" fillId="2" borderId="31" xfId="0" applyFont="1" applyFill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17" fillId="0" borderId="9" xfId="0" applyFont="1" applyBorder="1" applyAlignment="1">
      <alignment horizontal="center" wrapText="1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14" fontId="23" fillId="2" borderId="1" xfId="0" applyNumberFormat="1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 wrapText="1"/>
    </xf>
    <xf numFmtId="43" fontId="23" fillId="7" borderId="3" xfId="1" applyFont="1" applyFill="1" applyBorder="1" applyAlignment="1">
      <alignment horizontal="center" wrapText="1"/>
    </xf>
    <xf numFmtId="43" fontId="23" fillId="7" borderId="12" xfId="1" applyFont="1" applyFill="1" applyBorder="1" applyAlignment="1">
      <alignment horizontal="center" wrapText="1"/>
    </xf>
    <xf numFmtId="43" fontId="23" fillId="7" borderId="13" xfId="1" applyFont="1" applyFill="1" applyBorder="1" applyAlignment="1">
      <alignment horizontal="center" wrapText="1"/>
    </xf>
    <xf numFmtId="0" fontId="31" fillId="7" borderId="0" xfId="0" applyFont="1" applyFill="1" applyAlignment="1">
      <alignment horizontal="center" wrapText="1"/>
    </xf>
    <xf numFmtId="164" fontId="23" fillId="7" borderId="3" xfId="1" applyNumberFormat="1" applyFont="1" applyFill="1" applyBorder="1" applyAlignment="1">
      <alignment horizontal="center" wrapText="1"/>
    </xf>
    <xf numFmtId="164" fontId="23" fillId="7" borderId="12" xfId="1" applyNumberFormat="1" applyFont="1" applyFill="1" applyBorder="1" applyAlignment="1">
      <alignment horizontal="center" wrapText="1"/>
    </xf>
    <xf numFmtId="164" fontId="23" fillId="7" borderId="13" xfId="1" applyNumberFormat="1" applyFont="1" applyFill="1" applyBorder="1" applyAlignment="1">
      <alignment horizontal="center" wrapText="1"/>
    </xf>
    <xf numFmtId="43" fontId="23" fillId="6" borderId="3" xfId="1" applyFont="1" applyFill="1" applyBorder="1" applyAlignment="1">
      <alignment horizontal="center" wrapText="1"/>
    </xf>
    <xf numFmtId="43" fontId="23" fillId="6" borderId="12" xfId="1" applyFont="1" applyFill="1" applyBorder="1" applyAlignment="1">
      <alignment horizontal="center" wrapText="1"/>
    </xf>
    <xf numFmtId="43" fontId="23" fillId="6" borderId="13" xfId="1" applyFont="1" applyFill="1" applyBorder="1" applyAlignment="1">
      <alignment horizontal="center" wrapText="1"/>
    </xf>
    <xf numFmtId="43" fontId="23" fillId="2" borderId="3" xfId="1" applyFont="1" applyFill="1" applyBorder="1" applyAlignment="1">
      <alignment horizontal="center" wrapText="1"/>
    </xf>
    <xf numFmtId="43" fontId="23" fillId="2" borderId="12" xfId="1" applyFont="1" applyFill="1" applyBorder="1" applyAlignment="1">
      <alignment horizontal="center" wrapText="1"/>
    </xf>
    <xf numFmtId="43" fontId="23" fillId="2" borderId="13" xfId="1" applyFont="1" applyFill="1" applyBorder="1" applyAlignment="1">
      <alignment horizontal="center" wrapText="1"/>
    </xf>
    <xf numFmtId="164" fontId="17" fillId="4" borderId="3" xfId="1" applyNumberFormat="1" applyFont="1" applyFill="1" applyBorder="1" applyAlignment="1">
      <alignment horizontal="center" vertical="center" wrapText="1"/>
    </xf>
    <xf numFmtId="164" fontId="17" fillId="4" borderId="12" xfId="1" applyNumberFormat="1" applyFont="1" applyFill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right"/>
    </xf>
    <xf numFmtId="0" fontId="17" fillId="2" borderId="23" xfId="0" applyFont="1" applyFill="1" applyBorder="1" applyAlignment="1">
      <alignment horizontal="right"/>
    </xf>
    <xf numFmtId="0" fontId="17" fillId="2" borderId="24" xfId="0" applyFont="1" applyFill="1" applyBorder="1" applyAlignment="1">
      <alignment horizontal="right"/>
    </xf>
    <xf numFmtId="0" fontId="23" fillId="3" borderId="15" xfId="0" applyFont="1" applyFill="1" applyBorder="1" applyAlignment="1">
      <alignment horizontal="center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164" fontId="23" fillId="0" borderId="1" xfId="1" applyNumberFormat="1" applyFont="1" applyBorder="1" applyAlignment="1">
      <alignment horizontal="center" vertical="center" wrapText="1"/>
    </xf>
    <xf numFmtId="164" fontId="23" fillId="0" borderId="9" xfId="1" applyNumberFormat="1" applyFont="1" applyBorder="1" applyAlignment="1">
      <alignment horizontal="center" vertical="center" wrapText="1"/>
    </xf>
    <xf numFmtId="14" fontId="17" fillId="0" borderId="1" xfId="1" applyNumberFormat="1" applyFont="1" applyBorder="1" applyAlignment="1">
      <alignment horizontal="center" vertical="center" wrapText="1"/>
    </xf>
    <xf numFmtId="164" fontId="23" fillId="7" borderId="15" xfId="1" applyNumberFormat="1" applyFont="1" applyFill="1" applyBorder="1" applyAlignment="1">
      <alignment horizontal="center" vertical="center" wrapText="1"/>
    </xf>
    <xf numFmtId="164" fontId="23" fillId="7" borderId="10" xfId="1" applyNumberFormat="1" applyFont="1" applyFill="1" applyBorder="1" applyAlignment="1">
      <alignment horizontal="center" vertical="center" wrapText="1"/>
    </xf>
    <xf numFmtId="0" fontId="24" fillId="7" borderId="0" xfId="0" applyFont="1" applyFill="1" applyAlignment="1">
      <alignment horizontal="left"/>
    </xf>
    <xf numFmtId="0" fontId="17" fillId="7" borderId="2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0" fontId="17" fillId="7" borderId="32" xfId="0" applyFont="1" applyFill="1" applyBorder="1" applyAlignment="1">
      <alignment horizontal="center"/>
    </xf>
    <xf numFmtId="43" fontId="23" fillId="2" borderId="3" xfId="1" applyFont="1" applyFill="1" applyBorder="1" applyAlignment="1">
      <alignment horizontal="center" vertical="center" wrapText="1"/>
    </xf>
    <xf numFmtId="43" fontId="23" fillId="2" borderId="13" xfId="1" applyFont="1" applyFill="1" applyBorder="1" applyAlignment="1">
      <alignment horizontal="center" vertical="center" wrapText="1"/>
    </xf>
    <xf numFmtId="164" fontId="22" fillId="2" borderId="19" xfId="1" applyNumberFormat="1" applyFont="1" applyFill="1" applyBorder="1" applyAlignment="1">
      <alignment horizontal="center" textRotation="30" wrapText="1"/>
    </xf>
    <xf numFmtId="164" fontId="22" fillId="2" borderId="10" xfId="1" applyNumberFormat="1" applyFont="1" applyFill="1" applyBorder="1" applyAlignment="1">
      <alignment horizontal="center" textRotation="30" wrapText="1"/>
    </xf>
    <xf numFmtId="43" fontId="27" fillId="10" borderId="3" xfId="1" applyFont="1" applyFill="1" applyBorder="1" applyAlignment="1">
      <alignment horizontal="center" vertical="center" wrapText="1"/>
    </xf>
    <xf numFmtId="43" fontId="27" fillId="10" borderId="12" xfId="1" applyFont="1" applyFill="1" applyBorder="1" applyAlignment="1">
      <alignment horizontal="center" vertical="center" wrapText="1"/>
    </xf>
    <xf numFmtId="43" fontId="23" fillId="4" borderId="3" xfId="1" applyFont="1" applyFill="1" applyBorder="1" applyAlignment="1">
      <alignment horizontal="center" vertical="center" wrapText="1"/>
    </xf>
    <xf numFmtId="43" fontId="23" fillId="4" borderId="12" xfId="1" applyFont="1" applyFill="1" applyBorder="1" applyAlignment="1">
      <alignment horizontal="center" vertical="center" wrapText="1"/>
    </xf>
    <xf numFmtId="43" fontId="23" fillId="4" borderId="13" xfId="1" applyFont="1" applyFill="1" applyBorder="1" applyAlignment="1">
      <alignment horizontal="center" vertical="center" wrapText="1"/>
    </xf>
    <xf numFmtId="43" fontId="23" fillId="6" borderId="13" xfId="1" applyFont="1" applyFill="1" applyBorder="1" applyAlignment="1">
      <alignment horizontal="center" vertical="center" wrapText="1"/>
    </xf>
    <xf numFmtId="14" fontId="26" fillId="6" borderId="20" xfId="0" applyNumberFormat="1" applyFont="1" applyFill="1" applyBorder="1" applyAlignment="1">
      <alignment horizontal="center" textRotation="57" wrapText="1"/>
    </xf>
    <xf numFmtId="14" fontId="26" fillId="6" borderId="21" xfId="0" applyNumberFormat="1" applyFont="1" applyFill="1" applyBorder="1" applyAlignment="1">
      <alignment horizontal="center" textRotation="57" wrapText="1"/>
    </xf>
    <xf numFmtId="14" fontId="26" fillId="7" borderId="19" xfId="0" applyNumberFormat="1" applyFont="1" applyFill="1" applyBorder="1" applyAlignment="1">
      <alignment horizontal="center" textRotation="57" wrapText="1"/>
    </xf>
    <xf numFmtId="14" fontId="26" fillId="7" borderId="10" xfId="0" applyNumberFormat="1" applyFont="1" applyFill="1" applyBorder="1" applyAlignment="1">
      <alignment horizontal="center" textRotation="57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2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5" borderId="12" xfId="1" applyFont="1" applyFill="1" applyBorder="1" applyAlignment="1">
      <alignment horizontal="center" vertical="center" wrapText="1"/>
    </xf>
    <xf numFmtId="43" fontId="27" fillId="5" borderId="13" xfId="1" applyFont="1" applyFill="1" applyBorder="1" applyAlignment="1">
      <alignment horizontal="center" vertical="center" wrapText="1"/>
    </xf>
    <xf numFmtId="164" fontId="17" fillId="0" borderId="15" xfId="1" applyNumberFormat="1" applyFont="1" applyFill="1" applyBorder="1" applyAlignment="1">
      <alignment horizontal="center"/>
    </xf>
    <xf numFmtId="164" fontId="17" fillId="7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34"/>
  <sheetViews>
    <sheetView tabSelected="1"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10.85546875" style="7" bestFit="1" customWidth="1"/>
    <col min="2" max="2" width="8.7109375" style="130" bestFit="1" customWidth="1"/>
    <col min="3" max="3" width="60.140625" style="3" customWidth="1"/>
    <col min="4" max="4" width="12.28515625" style="2" customWidth="1"/>
    <col min="5" max="5" width="11.140625" style="2" bestFit="1" customWidth="1"/>
    <col min="6" max="6" width="11.7109375" style="2" customWidth="1"/>
    <col min="7" max="7" width="9.85546875" style="2" customWidth="1"/>
    <col min="8" max="8" width="8.28515625" style="2" bestFit="1" customWidth="1"/>
    <col min="9" max="9" width="8.42578125" style="2" bestFit="1" customWidth="1"/>
    <col min="10" max="10" width="9.140625" style="2" bestFit="1" customWidth="1"/>
    <col min="11" max="11" width="10.28515625" style="2" bestFit="1" customWidth="1"/>
    <col min="12" max="12" width="11.42578125" style="2" customWidth="1"/>
    <col min="13" max="13" width="11.28515625" style="2" customWidth="1"/>
    <col min="14" max="14" width="12.28515625" style="2" bestFit="1" customWidth="1"/>
    <col min="15" max="15" width="11.140625" style="2" bestFit="1" customWidth="1"/>
    <col min="16" max="16" width="11.42578125" style="2" customWidth="1"/>
    <col min="17" max="17" width="9.140625" style="7" customWidth="1"/>
    <col min="18" max="18" width="6.28515625" style="3" customWidth="1"/>
    <col min="19" max="19" width="5.7109375" style="3" customWidth="1"/>
    <col min="20" max="20" width="13" style="3" customWidth="1"/>
    <col min="21" max="21" width="8.85546875" style="3" customWidth="1"/>
    <col min="22" max="22" width="5.42578125" style="3" customWidth="1"/>
    <col min="23" max="23" width="5.140625" style="3" customWidth="1"/>
    <col min="24" max="24" width="3.5703125" style="3" customWidth="1"/>
    <col min="25" max="25" width="4.42578125" style="3" customWidth="1"/>
    <col min="26" max="26" width="20.85546875" style="3" customWidth="1"/>
    <col min="27" max="27" width="10.5703125" style="3" customWidth="1"/>
    <col min="28" max="28" width="8.140625" style="3" customWidth="1"/>
    <col min="29" max="236" width="9.140625" style="3"/>
    <col min="237" max="237" width="9" style="3" bestFit="1" customWidth="1"/>
    <col min="238" max="238" width="9.85546875" style="3" bestFit="1" customWidth="1"/>
    <col min="239" max="239" width="9.140625" style="3" bestFit="1" customWidth="1"/>
    <col min="240" max="240" width="16" style="3" bestFit="1" customWidth="1"/>
    <col min="241" max="241" width="9" style="3" bestFit="1" customWidth="1"/>
    <col min="242" max="242" width="7.85546875" style="3" bestFit="1" customWidth="1"/>
    <col min="243" max="243" width="11.7109375" style="3" bestFit="1" customWidth="1"/>
    <col min="244" max="244" width="14.28515625" style="3" customWidth="1"/>
    <col min="245" max="245" width="11.7109375" style="3" bestFit="1" customWidth="1"/>
    <col min="246" max="246" width="14.140625" style="3" bestFit="1" customWidth="1"/>
    <col min="247" max="247" width="16.7109375" style="3" customWidth="1"/>
    <col min="248" max="248" width="16.5703125" style="3" customWidth="1"/>
    <col min="249" max="250" width="7.85546875" style="3" bestFit="1" customWidth="1"/>
    <col min="251" max="251" width="8" style="3" bestFit="1" customWidth="1"/>
    <col min="252" max="253" width="7.85546875" style="3" bestFit="1" customWidth="1"/>
    <col min="254" max="254" width="9.7109375" style="3" customWidth="1"/>
    <col min="255" max="255" width="12.85546875" style="3" customWidth="1"/>
    <col min="256" max="492" width="9.140625" style="3"/>
    <col min="493" max="493" width="9" style="3" bestFit="1" customWidth="1"/>
    <col min="494" max="494" width="9.85546875" style="3" bestFit="1" customWidth="1"/>
    <col min="495" max="495" width="9.140625" style="3" bestFit="1" customWidth="1"/>
    <col min="496" max="496" width="16" style="3" bestFit="1" customWidth="1"/>
    <col min="497" max="497" width="9" style="3" bestFit="1" customWidth="1"/>
    <col min="498" max="498" width="7.85546875" style="3" bestFit="1" customWidth="1"/>
    <col min="499" max="499" width="11.7109375" style="3" bestFit="1" customWidth="1"/>
    <col min="500" max="500" width="14.28515625" style="3" customWidth="1"/>
    <col min="501" max="501" width="11.7109375" style="3" bestFit="1" customWidth="1"/>
    <col min="502" max="502" width="14.140625" style="3" bestFit="1" customWidth="1"/>
    <col min="503" max="503" width="16.7109375" style="3" customWidth="1"/>
    <col min="504" max="504" width="16.5703125" style="3" customWidth="1"/>
    <col min="505" max="506" width="7.85546875" style="3" bestFit="1" customWidth="1"/>
    <col min="507" max="507" width="8" style="3" bestFit="1" customWidth="1"/>
    <col min="508" max="509" width="7.85546875" style="3" bestFit="1" customWidth="1"/>
    <col min="510" max="510" width="9.7109375" style="3" customWidth="1"/>
    <col min="511" max="511" width="12.85546875" style="3" customWidth="1"/>
    <col min="512" max="748" width="9.140625" style="3"/>
    <col min="749" max="749" width="9" style="3" bestFit="1" customWidth="1"/>
    <col min="750" max="750" width="9.85546875" style="3" bestFit="1" customWidth="1"/>
    <col min="751" max="751" width="9.140625" style="3" bestFit="1" customWidth="1"/>
    <col min="752" max="752" width="16" style="3" bestFit="1" customWidth="1"/>
    <col min="753" max="753" width="9" style="3" bestFit="1" customWidth="1"/>
    <col min="754" max="754" width="7.85546875" style="3" bestFit="1" customWidth="1"/>
    <col min="755" max="755" width="11.7109375" style="3" bestFit="1" customWidth="1"/>
    <col min="756" max="756" width="14.28515625" style="3" customWidth="1"/>
    <col min="757" max="757" width="11.7109375" style="3" bestFit="1" customWidth="1"/>
    <col min="758" max="758" width="14.140625" style="3" bestFit="1" customWidth="1"/>
    <col min="759" max="759" width="16.7109375" style="3" customWidth="1"/>
    <col min="760" max="760" width="16.5703125" style="3" customWidth="1"/>
    <col min="761" max="762" width="7.85546875" style="3" bestFit="1" customWidth="1"/>
    <col min="763" max="763" width="8" style="3" bestFit="1" customWidth="1"/>
    <col min="764" max="765" width="7.85546875" style="3" bestFit="1" customWidth="1"/>
    <col min="766" max="766" width="9.7109375" style="3" customWidth="1"/>
    <col min="767" max="767" width="12.85546875" style="3" customWidth="1"/>
    <col min="768" max="1004" width="9.140625" style="3"/>
    <col min="1005" max="1005" width="9" style="3" bestFit="1" customWidth="1"/>
    <col min="1006" max="1006" width="9.85546875" style="3" bestFit="1" customWidth="1"/>
    <col min="1007" max="1007" width="9.140625" style="3" bestFit="1" customWidth="1"/>
    <col min="1008" max="1008" width="16" style="3" bestFit="1" customWidth="1"/>
    <col min="1009" max="1009" width="9" style="3" bestFit="1" customWidth="1"/>
    <col min="1010" max="1010" width="7.85546875" style="3" bestFit="1" customWidth="1"/>
    <col min="1011" max="1011" width="11.7109375" style="3" bestFit="1" customWidth="1"/>
    <col min="1012" max="1012" width="14.28515625" style="3" customWidth="1"/>
    <col min="1013" max="1013" width="11.7109375" style="3" bestFit="1" customWidth="1"/>
    <col min="1014" max="1014" width="14.140625" style="3" bestFit="1" customWidth="1"/>
    <col min="1015" max="1015" width="16.7109375" style="3" customWidth="1"/>
    <col min="1016" max="1016" width="16.5703125" style="3" customWidth="1"/>
    <col min="1017" max="1018" width="7.85546875" style="3" bestFit="1" customWidth="1"/>
    <col min="1019" max="1019" width="8" style="3" bestFit="1" customWidth="1"/>
    <col min="1020" max="1021" width="7.85546875" style="3" bestFit="1" customWidth="1"/>
    <col min="1022" max="1022" width="9.7109375" style="3" customWidth="1"/>
    <col min="1023" max="1023" width="12.85546875" style="3" customWidth="1"/>
    <col min="1024" max="1260" width="9.140625" style="3"/>
    <col min="1261" max="1261" width="9" style="3" bestFit="1" customWidth="1"/>
    <col min="1262" max="1262" width="9.85546875" style="3" bestFit="1" customWidth="1"/>
    <col min="1263" max="1263" width="9.140625" style="3" bestFit="1" customWidth="1"/>
    <col min="1264" max="1264" width="16" style="3" bestFit="1" customWidth="1"/>
    <col min="1265" max="1265" width="9" style="3" bestFit="1" customWidth="1"/>
    <col min="1266" max="1266" width="7.85546875" style="3" bestFit="1" customWidth="1"/>
    <col min="1267" max="1267" width="11.7109375" style="3" bestFit="1" customWidth="1"/>
    <col min="1268" max="1268" width="14.28515625" style="3" customWidth="1"/>
    <col min="1269" max="1269" width="11.7109375" style="3" bestFit="1" customWidth="1"/>
    <col min="1270" max="1270" width="14.140625" style="3" bestFit="1" customWidth="1"/>
    <col min="1271" max="1271" width="16.7109375" style="3" customWidth="1"/>
    <col min="1272" max="1272" width="16.5703125" style="3" customWidth="1"/>
    <col min="1273" max="1274" width="7.85546875" style="3" bestFit="1" customWidth="1"/>
    <col min="1275" max="1275" width="8" style="3" bestFit="1" customWidth="1"/>
    <col min="1276" max="1277" width="7.85546875" style="3" bestFit="1" customWidth="1"/>
    <col min="1278" max="1278" width="9.7109375" style="3" customWidth="1"/>
    <col min="1279" max="1279" width="12.85546875" style="3" customWidth="1"/>
    <col min="1280" max="1516" width="9.140625" style="3"/>
    <col min="1517" max="1517" width="9" style="3" bestFit="1" customWidth="1"/>
    <col min="1518" max="1518" width="9.85546875" style="3" bestFit="1" customWidth="1"/>
    <col min="1519" max="1519" width="9.140625" style="3" bestFit="1" customWidth="1"/>
    <col min="1520" max="1520" width="16" style="3" bestFit="1" customWidth="1"/>
    <col min="1521" max="1521" width="9" style="3" bestFit="1" customWidth="1"/>
    <col min="1522" max="1522" width="7.85546875" style="3" bestFit="1" customWidth="1"/>
    <col min="1523" max="1523" width="11.7109375" style="3" bestFit="1" customWidth="1"/>
    <col min="1524" max="1524" width="14.28515625" style="3" customWidth="1"/>
    <col min="1525" max="1525" width="11.7109375" style="3" bestFit="1" customWidth="1"/>
    <col min="1526" max="1526" width="14.140625" style="3" bestFit="1" customWidth="1"/>
    <col min="1527" max="1527" width="16.7109375" style="3" customWidth="1"/>
    <col min="1528" max="1528" width="16.5703125" style="3" customWidth="1"/>
    <col min="1529" max="1530" width="7.85546875" style="3" bestFit="1" customWidth="1"/>
    <col min="1531" max="1531" width="8" style="3" bestFit="1" customWidth="1"/>
    <col min="1532" max="1533" width="7.85546875" style="3" bestFit="1" customWidth="1"/>
    <col min="1534" max="1534" width="9.7109375" style="3" customWidth="1"/>
    <col min="1535" max="1535" width="12.85546875" style="3" customWidth="1"/>
    <col min="1536" max="1772" width="9.140625" style="3"/>
    <col min="1773" max="1773" width="9" style="3" bestFit="1" customWidth="1"/>
    <col min="1774" max="1774" width="9.85546875" style="3" bestFit="1" customWidth="1"/>
    <col min="1775" max="1775" width="9.140625" style="3" bestFit="1" customWidth="1"/>
    <col min="1776" max="1776" width="16" style="3" bestFit="1" customWidth="1"/>
    <col min="1777" max="1777" width="9" style="3" bestFit="1" customWidth="1"/>
    <col min="1778" max="1778" width="7.85546875" style="3" bestFit="1" customWidth="1"/>
    <col min="1779" max="1779" width="11.7109375" style="3" bestFit="1" customWidth="1"/>
    <col min="1780" max="1780" width="14.28515625" style="3" customWidth="1"/>
    <col min="1781" max="1781" width="11.7109375" style="3" bestFit="1" customWidth="1"/>
    <col min="1782" max="1782" width="14.140625" style="3" bestFit="1" customWidth="1"/>
    <col min="1783" max="1783" width="16.7109375" style="3" customWidth="1"/>
    <col min="1784" max="1784" width="16.5703125" style="3" customWidth="1"/>
    <col min="1785" max="1786" width="7.85546875" style="3" bestFit="1" customWidth="1"/>
    <col min="1787" max="1787" width="8" style="3" bestFit="1" customWidth="1"/>
    <col min="1788" max="1789" width="7.85546875" style="3" bestFit="1" customWidth="1"/>
    <col min="1790" max="1790" width="9.7109375" style="3" customWidth="1"/>
    <col min="1791" max="1791" width="12.85546875" style="3" customWidth="1"/>
    <col min="1792" max="2028" width="9.140625" style="3"/>
    <col min="2029" max="2029" width="9" style="3" bestFit="1" customWidth="1"/>
    <col min="2030" max="2030" width="9.85546875" style="3" bestFit="1" customWidth="1"/>
    <col min="2031" max="2031" width="9.140625" style="3" bestFit="1" customWidth="1"/>
    <col min="2032" max="2032" width="16" style="3" bestFit="1" customWidth="1"/>
    <col min="2033" max="2033" width="9" style="3" bestFit="1" customWidth="1"/>
    <col min="2034" max="2034" width="7.85546875" style="3" bestFit="1" customWidth="1"/>
    <col min="2035" max="2035" width="11.7109375" style="3" bestFit="1" customWidth="1"/>
    <col min="2036" max="2036" width="14.28515625" style="3" customWidth="1"/>
    <col min="2037" max="2037" width="11.7109375" style="3" bestFit="1" customWidth="1"/>
    <col min="2038" max="2038" width="14.140625" style="3" bestFit="1" customWidth="1"/>
    <col min="2039" max="2039" width="16.7109375" style="3" customWidth="1"/>
    <col min="2040" max="2040" width="16.5703125" style="3" customWidth="1"/>
    <col min="2041" max="2042" width="7.85546875" style="3" bestFit="1" customWidth="1"/>
    <col min="2043" max="2043" width="8" style="3" bestFit="1" customWidth="1"/>
    <col min="2044" max="2045" width="7.85546875" style="3" bestFit="1" customWidth="1"/>
    <col min="2046" max="2046" width="9.7109375" style="3" customWidth="1"/>
    <col min="2047" max="2047" width="12.85546875" style="3" customWidth="1"/>
    <col min="2048" max="2284" width="9.140625" style="3"/>
    <col min="2285" max="2285" width="9" style="3" bestFit="1" customWidth="1"/>
    <col min="2286" max="2286" width="9.85546875" style="3" bestFit="1" customWidth="1"/>
    <col min="2287" max="2287" width="9.140625" style="3" bestFit="1" customWidth="1"/>
    <col min="2288" max="2288" width="16" style="3" bestFit="1" customWidth="1"/>
    <col min="2289" max="2289" width="9" style="3" bestFit="1" customWidth="1"/>
    <col min="2290" max="2290" width="7.85546875" style="3" bestFit="1" customWidth="1"/>
    <col min="2291" max="2291" width="11.7109375" style="3" bestFit="1" customWidth="1"/>
    <col min="2292" max="2292" width="14.28515625" style="3" customWidth="1"/>
    <col min="2293" max="2293" width="11.7109375" style="3" bestFit="1" customWidth="1"/>
    <col min="2294" max="2294" width="14.140625" style="3" bestFit="1" customWidth="1"/>
    <col min="2295" max="2295" width="16.7109375" style="3" customWidth="1"/>
    <col min="2296" max="2296" width="16.5703125" style="3" customWidth="1"/>
    <col min="2297" max="2298" width="7.85546875" style="3" bestFit="1" customWidth="1"/>
    <col min="2299" max="2299" width="8" style="3" bestFit="1" customWidth="1"/>
    <col min="2300" max="2301" width="7.85546875" style="3" bestFit="1" customWidth="1"/>
    <col min="2302" max="2302" width="9.7109375" style="3" customWidth="1"/>
    <col min="2303" max="2303" width="12.85546875" style="3" customWidth="1"/>
    <col min="2304" max="2540" width="9.140625" style="3"/>
    <col min="2541" max="2541" width="9" style="3" bestFit="1" customWidth="1"/>
    <col min="2542" max="2542" width="9.85546875" style="3" bestFit="1" customWidth="1"/>
    <col min="2543" max="2543" width="9.140625" style="3" bestFit="1" customWidth="1"/>
    <col min="2544" max="2544" width="16" style="3" bestFit="1" customWidth="1"/>
    <col min="2545" max="2545" width="9" style="3" bestFit="1" customWidth="1"/>
    <col min="2546" max="2546" width="7.85546875" style="3" bestFit="1" customWidth="1"/>
    <col min="2547" max="2547" width="11.7109375" style="3" bestFit="1" customWidth="1"/>
    <col min="2548" max="2548" width="14.28515625" style="3" customWidth="1"/>
    <col min="2549" max="2549" width="11.7109375" style="3" bestFit="1" customWidth="1"/>
    <col min="2550" max="2550" width="14.140625" style="3" bestFit="1" customWidth="1"/>
    <col min="2551" max="2551" width="16.7109375" style="3" customWidth="1"/>
    <col min="2552" max="2552" width="16.5703125" style="3" customWidth="1"/>
    <col min="2553" max="2554" width="7.85546875" style="3" bestFit="1" customWidth="1"/>
    <col min="2555" max="2555" width="8" style="3" bestFit="1" customWidth="1"/>
    <col min="2556" max="2557" width="7.85546875" style="3" bestFit="1" customWidth="1"/>
    <col min="2558" max="2558" width="9.7109375" style="3" customWidth="1"/>
    <col min="2559" max="2559" width="12.85546875" style="3" customWidth="1"/>
    <col min="2560" max="2796" width="9.140625" style="3"/>
    <col min="2797" max="2797" width="9" style="3" bestFit="1" customWidth="1"/>
    <col min="2798" max="2798" width="9.85546875" style="3" bestFit="1" customWidth="1"/>
    <col min="2799" max="2799" width="9.140625" style="3" bestFit="1" customWidth="1"/>
    <col min="2800" max="2800" width="16" style="3" bestFit="1" customWidth="1"/>
    <col min="2801" max="2801" width="9" style="3" bestFit="1" customWidth="1"/>
    <col min="2802" max="2802" width="7.85546875" style="3" bestFit="1" customWidth="1"/>
    <col min="2803" max="2803" width="11.7109375" style="3" bestFit="1" customWidth="1"/>
    <col min="2804" max="2804" width="14.28515625" style="3" customWidth="1"/>
    <col min="2805" max="2805" width="11.7109375" style="3" bestFit="1" customWidth="1"/>
    <col min="2806" max="2806" width="14.140625" style="3" bestFit="1" customWidth="1"/>
    <col min="2807" max="2807" width="16.7109375" style="3" customWidth="1"/>
    <col min="2808" max="2808" width="16.5703125" style="3" customWidth="1"/>
    <col min="2809" max="2810" width="7.85546875" style="3" bestFit="1" customWidth="1"/>
    <col min="2811" max="2811" width="8" style="3" bestFit="1" customWidth="1"/>
    <col min="2812" max="2813" width="7.85546875" style="3" bestFit="1" customWidth="1"/>
    <col min="2814" max="2814" width="9.7109375" style="3" customWidth="1"/>
    <col min="2815" max="2815" width="12.85546875" style="3" customWidth="1"/>
    <col min="2816" max="3052" width="9.140625" style="3"/>
    <col min="3053" max="3053" width="9" style="3" bestFit="1" customWidth="1"/>
    <col min="3054" max="3054" width="9.85546875" style="3" bestFit="1" customWidth="1"/>
    <col min="3055" max="3055" width="9.140625" style="3" bestFit="1" customWidth="1"/>
    <col min="3056" max="3056" width="16" style="3" bestFit="1" customWidth="1"/>
    <col min="3057" max="3057" width="9" style="3" bestFit="1" customWidth="1"/>
    <col min="3058" max="3058" width="7.85546875" style="3" bestFit="1" customWidth="1"/>
    <col min="3059" max="3059" width="11.7109375" style="3" bestFit="1" customWidth="1"/>
    <col min="3060" max="3060" width="14.28515625" style="3" customWidth="1"/>
    <col min="3061" max="3061" width="11.7109375" style="3" bestFit="1" customWidth="1"/>
    <col min="3062" max="3062" width="14.140625" style="3" bestFit="1" customWidth="1"/>
    <col min="3063" max="3063" width="16.7109375" style="3" customWidth="1"/>
    <col min="3064" max="3064" width="16.5703125" style="3" customWidth="1"/>
    <col min="3065" max="3066" width="7.85546875" style="3" bestFit="1" customWidth="1"/>
    <col min="3067" max="3067" width="8" style="3" bestFit="1" customWidth="1"/>
    <col min="3068" max="3069" width="7.85546875" style="3" bestFit="1" customWidth="1"/>
    <col min="3070" max="3070" width="9.7109375" style="3" customWidth="1"/>
    <col min="3071" max="3071" width="12.85546875" style="3" customWidth="1"/>
    <col min="3072" max="3308" width="9.140625" style="3"/>
    <col min="3309" max="3309" width="9" style="3" bestFit="1" customWidth="1"/>
    <col min="3310" max="3310" width="9.85546875" style="3" bestFit="1" customWidth="1"/>
    <col min="3311" max="3311" width="9.140625" style="3" bestFit="1" customWidth="1"/>
    <col min="3312" max="3312" width="16" style="3" bestFit="1" customWidth="1"/>
    <col min="3313" max="3313" width="9" style="3" bestFit="1" customWidth="1"/>
    <col min="3314" max="3314" width="7.85546875" style="3" bestFit="1" customWidth="1"/>
    <col min="3315" max="3315" width="11.7109375" style="3" bestFit="1" customWidth="1"/>
    <col min="3316" max="3316" width="14.28515625" style="3" customWidth="1"/>
    <col min="3317" max="3317" width="11.7109375" style="3" bestFit="1" customWidth="1"/>
    <col min="3318" max="3318" width="14.140625" style="3" bestFit="1" customWidth="1"/>
    <col min="3319" max="3319" width="16.7109375" style="3" customWidth="1"/>
    <col min="3320" max="3320" width="16.5703125" style="3" customWidth="1"/>
    <col min="3321" max="3322" width="7.85546875" style="3" bestFit="1" customWidth="1"/>
    <col min="3323" max="3323" width="8" style="3" bestFit="1" customWidth="1"/>
    <col min="3324" max="3325" width="7.85546875" style="3" bestFit="1" customWidth="1"/>
    <col min="3326" max="3326" width="9.7109375" style="3" customWidth="1"/>
    <col min="3327" max="3327" width="12.85546875" style="3" customWidth="1"/>
    <col min="3328" max="3564" width="9.140625" style="3"/>
    <col min="3565" max="3565" width="9" style="3" bestFit="1" customWidth="1"/>
    <col min="3566" max="3566" width="9.85546875" style="3" bestFit="1" customWidth="1"/>
    <col min="3567" max="3567" width="9.140625" style="3" bestFit="1" customWidth="1"/>
    <col min="3568" max="3568" width="16" style="3" bestFit="1" customWidth="1"/>
    <col min="3569" max="3569" width="9" style="3" bestFit="1" customWidth="1"/>
    <col min="3570" max="3570" width="7.85546875" style="3" bestFit="1" customWidth="1"/>
    <col min="3571" max="3571" width="11.7109375" style="3" bestFit="1" customWidth="1"/>
    <col min="3572" max="3572" width="14.28515625" style="3" customWidth="1"/>
    <col min="3573" max="3573" width="11.7109375" style="3" bestFit="1" customWidth="1"/>
    <col min="3574" max="3574" width="14.140625" style="3" bestFit="1" customWidth="1"/>
    <col min="3575" max="3575" width="16.7109375" style="3" customWidth="1"/>
    <col min="3576" max="3576" width="16.5703125" style="3" customWidth="1"/>
    <col min="3577" max="3578" width="7.85546875" style="3" bestFit="1" customWidth="1"/>
    <col min="3579" max="3579" width="8" style="3" bestFit="1" customWidth="1"/>
    <col min="3580" max="3581" width="7.85546875" style="3" bestFit="1" customWidth="1"/>
    <col min="3582" max="3582" width="9.7109375" style="3" customWidth="1"/>
    <col min="3583" max="3583" width="12.85546875" style="3" customWidth="1"/>
    <col min="3584" max="3820" width="9.140625" style="3"/>
    <col min="3821" max="3821" width="9" style="3" bestFit="1" customWidth="1"/>
    <col min="3822" max="3822" width="9.85546875" style="3" bestFit="1" customWidth="1"/>
    <col min="3823" max="3823" width="9.140625" style="3" bestFit="1" customWidth="1"/>
    <col min="3824" max="3824" width="16" style="3" bestFit="1" customWidth="1"/>
    <col min="3825" max="3825" width="9" style="3" bestFit="1" customWidth="1"/>
    <col min="3826" max="3826" width="7.85546875" style="3" bestFit="1" customWidth="1"/>
    <col min="3827" max="3827" width="11.7109375" style="3" bestFit="1" customWidth="1"/>
    <col min="3828" max="3828" width="14.28515625" style="3" customWidth="1"/>
    <col min="3829" max="3829" width="11.7109375" style="3" bestFit="1" customWidth="1"/>
    <col min="3830" max="3830" width="14.140625" style="3" bestFit="1" customWidth="1"/>
    <col min="3831" max="3831" width="16.7109375" style="3" customWidth="1"/>
    <col min="3832" max="3832" width="16.5703125" style="3" customWidth="1"/>
    <col min="3833" max="3834" width="7.85546875" style="3" bestFit="1" customWidth="1"/>
    <col min="3835" max="3835" width="8" style="3" bestFit="1" customWidth="1"/>
    <col min="3836" max="3837" width="7.85546875" style="3" bestFit="1" customWidth="1"/>
    <col min="3838" max="3838" width="9.7109375" style="3" customWidth="1"/>
    <col min="3839" max="3839" width="12.85546875" style="3" customWidth="1"/>
    <col min="3840" max="4076" width="9.140625" style="3"/>
    <col min="4077" max="4077" width="9" style="3" bestFit="1" customWidth="1"/>
    <col min="4078" max="4078" width="9.85546875" style="3" bestFit="1" customWidth="1"/>
    <col min="4079" max="4079" width="9.140625" style="3" bestFit="1" customWidth="1"/>
    <col min="4080" max="4080" width="16" style="3" bestFit="1" customWidth="1"/>
    <col min="4081" max="4081" width="9" style="3" bestFit="1" customWidth="1"/>
    <col min="4082" max="4082" width="7.85546875" style="3" bestFit="1" customWidth="1"/>
    <col min="4083" max="4083" width="11.7109375" style="3" bestFit="1" customWidth="1"/>
    <col min="4084" max="4084" width="14.28515625" style="3" customWidth="1"/>
    <col min="4085" max="4085" width="11.7109375" style="3" bestFit="1" customWidth="1"/>
    <col min="4086" max="4086" width="14.140625" style="3" bestFit="1" customWidth="1"/>
    <col min="4087" max="4087" width="16.7109375" style="3" customWidth="1"/>
    <col min="4088" max="4088" width="16.5703125" style="3" customWidth="1"/>
    <col min="4089" max="4090" width="7.85546875" style="3" bestFit="1" customWidth="1"/>
    <col min="4091" max="4091" width="8" style="3" bestFit="1" customWidth="1"/>
    <col min="4092" max="4093" width="7.85546875" style="3" bestFit="1" customWidth="1"/>
    <col min="4094" max="4094" width="9.7109375" style="3" customWidth="1"/>
    <col min="4095" max="4095" width="12.85546875" style="3" customWidth="1"/>
    <col min="4096" max="4332" width="9.140625" style="3"/>
    <col min="4333" max="4333" width="9" style="3" bestFit="1" customWidth="1"/>
    <col min="4334" max="4334" width="9.85546875" style="3" bestFit="1" customWidth="1"/>
    <col min="4335" max="4335" width="9.140625" style="3" bestFit="1" customWidth="1"/>
    <col min="4336" max="4336" width="16" style="3" bestFit="1" customWidth="1"/>
    <col min="4337" max="4337" width="9" style="3" bestFit="1" customWidth="1"/>
    <col min="4338" max="4338" width="7.85546875" style="3" bestFit="1" customWidth="1"/>
    <col min="4339" max="4339" width="11.7109375" style="3" bestFit="1" customWidth="1"/>
    <col min="4340" max="4340" width="14.28515625" style="3" customWidth="1"/>
    <col min="4341" max="4341" width="11.7109375" style="3" bestFit="1" customWidth="1"/>
    <col min="4342" max="4342" width="14.140625" style="3" bestFit="1" customWidth="1"/>
    <col min="4343" max="4343" width="16.7109375" style="3" customWidth="1"/>
    <col min="4344" max="4344" width="16.5703125" style="3" customWidth="1"/>
    <col min="4345" max="4346" width="7.85546875" style="3" bestFit="1" customWidth="1"/>
    <col min="4347" max="4347" width="8" style="3" bestFit="1" customWidth="1"/>
    <col min="4348" max="4349" width="7.85546875" style="3" bestFit="1" customWidth="1"/>
    <col min="4350" max="4350" width="9.7109375" style="3" customWidth="1"/>
    <col min="4351" max="4351" width="12.85546875" style="3" customWidth="1"/>
    <col min="4352" max="4588" width="9.140625" style="3"/>
    <col min="4589" max="4589" width="9" style="3" bestFit="1" customWidth="1"/>
    <col min="4590" max="4590" width="9.85546875" style="3" bestFit="1" customWidth="1"/>
    <col min="4591" max="4591" width="9.140625" style="3" bestFit="1" customWidth="1"/>
    <col min="4592" max="4592" width="16" style="3" bestFit="1" customWidth="1"/>
    <col min="4593" max="4593" width="9" style="3" bestFit="1" customWidth="1"/>
    <col min="4594" max="4594" width="7.85546875" style="3" bestFit="1" customWidth="1"/>
    <col min="4595" max="4595" width="11.7109375" style="3" bestFit="1" customWidth="1"/>
    <col min="4596" max="4596" width="14.28515625" style="3" customWidth="1"/>
    <col min="4597" max="4597" width="11.7109375" style="3" bestFit="1" customWidth="1"/>
    <col min="4598" max="4598" width="14.140625" style="3" bestFit="1" customWidth="1"/>
    <col min="4599" max="4599" width="16.7109375" style="3" customWidth="1"/>
    <col min="4600" max="4600" width="16.5703125" style="3" customWidth="1"/>
    <col min="4601" max="4602" width="7.85546875" style="3" bestFit="1" customWidth="1"/>
    <col min="4603" max="4603" width="8" style="3" bestFit="1" customWidth="1"/>
    <col min="4604" max="4605" width="7.85546875" style="3" bestFit="1" customWidth="1"/>
    <col min="4606" max="4606" width="9.7109375" style="3" customWidth="1"/>
    <col min="4607" max="4607" width="12.85546875" style="3" customWidth="1"/>
    <col min="4608" max="4844" width="9.140625" style="3"/>
    <col min="4845" max="4845" width="9" style="3" bestFit="1" customWidth="1"/>
    <col min="4846" max="4846" width="9.85546875" style="3" bestFit="1" customWidth="1"/>
    <col min="4847" max="4847" width="9.140625" style="3" bestFit="1" customWidth="1"/>
    <col min="4848" max="4848" width="16" style="3" bestFit="1" customWidth="1"/>
    <col min="4849" max="4849" width="9" style="3" bestFit="1" customWidth="1"/>
    <col min="4850" max="4850" width="7.85546875" style="3" bestFit="1" customWidth="1"/>
    <col min="4851" max="4851" width="11.7109375" style="3" bestFit="1" customWidth="1"/>
    <col min="4852" max="4852" width="14.28515625" style="3" customWidth="1"/>
    <col min="4853" max="4853" width="11.7109375" style="3" bestFit="1" customWidth="1"/>
    <col min="4854" max="4854" width="14.140625" style="3" bestFit="1" customWidth="1"/>
    <col min="4855" max="4855" width="16.7109375" style="3" customWidth="1"/>
    <col min="4856" max="4856" width="16.5703125" style="3" customWidth="1"/>
    <col min="4857" max="4858" width="7.85546875" style="3" bestFit="1" customWidth="1"/>
    <col min="4859" max="4859" width="8" style="3" bestFit="1" customWidth="1"/>
    <col min="4860" max="4861" width="7.85546875" style="3" bestFit="1" customWidth="1"/>
    <col min="4862" max="4862" width="9.7109375" style="3" customWidth="1"/>
    <col min="4863" max="4863" width="12.85546875" style="3" customWidth="1"/>
    <col min="4864" max="5100" width="9.140625" style="3"/>
    <col min="5101" max="5101" width="9" style="3" bestFit="1" customWidth="1"/>
    <col min="5102" max="5102" width="9.85546875" style="3" bestFit="1" customWidth="1"/>
    <col min="5103" max="5103" width="9.140625" style="3" bestFit="1" customWidth="1"/>
    <col min="5104" max="5104" width="16" style="3" bestFit="1" customWidth="1"/>
    <col min="5105" max="5105" width="9" style="3" bestFit="1" customWidth="1"/>
    <col min="5106" max="5106" width="7.85546875" style="3" bestFit="1" customWidth="1"/>
    <col min="5107" max="5107" width="11.7109375" style="3" bestFit="1" customWidth="1"/>
    <col min="5108" max="5108" width="14.28515625" style="3" customWidth="1"/>
    <col min="5109" max="5109" width="11.7109375" style="3" bestFit="1" customWidth="1"/>
    <col min="5110" max="5110" width="14.140625" style="3" bestFit="1" customWidth="1"/>
    <col min="5111" max="5111" width="16.7109375" style="3" customWidth="1"/>
    <col min="5112" max="5112" width="16.5703125" style="3" customWidth="1"/>
    <col min="5113" max="5114" width="7.85546875" style="3" bestFit="1" customWidth="1"/>
    <col min="5115" max="5115" width="8" style="3" bestFit="1" customWidth="1"/>
    <col min="5116" max="5117" width="7.85546875" style="3" bestFit="1" customWidth="1"/>
    <col min="5118" max="5118" width="9.7109375" style="3" customWidth="1"/>
    <col min="5119" max="5119" width="12.85546875" style="3" customWidth="1"/>
    <col min="5120" max="5356" width="9.140625" style="3"/>
    <col min="5357" max="5357" width="9" style="3" bestFit="1" customWidth="1"/>
    <col min="5358" max="5358" width="9.85546875" style="3" bestFit="1" customWidth="1"/>
    <col min="5359" max="5359" width="9.140625" style="3" bestFit="1" customWidth="1"/>
    <col min="5360" max="5360" width="16" style="3" bestFit="1" customWidth="1"/>
    <col min="5361" max="5361" width="9" style="3" bestFit="1" customWidth="1"/>
    <col min="5362" max="5362" width="7.85546875" style="3" bestFit="1" customWidth="1"/>
    <col min="5363" max="5363" width="11.7109375" style="3" bestFit="1" customWidth="1"/>
    <col min="5364" max="5364" width="14.28515625" style="3" customWidth="1"/>
    <col min="5365" max="5365" width="11.7109375" style="3" bestFit="1" customWidth="1"/>
    <col min="5366" max="5366" width="14.140625" style="3" bestFit="1" customWidth="1"/>
    <col min="5367" max="5367" width="16.7109375" style="3" customWidth="1"/>
    <col min="5368" max="5368" width="16.5703125" style="3" customWidth="1"/>
    <col min="5369" max="5370" width="7.85546875" style="3" bestFit="1" customWidth="1"/>
    <col min="5371" max="5371" width="8" style="3" bestFit="1" customWidth="1"/>
    <col min="5372" max="5373" width="7.85546875" style="3" bestFit="1" customWidth="1"/>
    <col min="5374" max="5374" width="9.7109375" style="3" customWidth="1"/>
    <col min="5375" max="5375" width="12.85546875" style="3" customWidth="1"/>
    <col min="5376" max="5612" width="9.140625" style="3"/>
    <col min="5613" max="5613" width="9" style="3" bestFit="1" customWidth="1"/>
    <col min="5614" max="5614" width="9.85546875" style="3" bestFit="1" customWidth="1"/>
    <col min="5615" max="5615" width="9.140625" style="3" bestFit="1" customWidth="1"/>
    <col min="5616" max="5616" width="16" style="3" bestFit="1" customWidth="1"/>
    <col min="5617" max="5617" width="9" style="3" bestFit="1" customWidth="1"/>
    <col min="5618" max="5618" width="7.85546875" style="3" bestFit="1" customWidth="1"/>
    <col min="5619" max="5619" width="11.7109375" style="3" bestFit="1" customWidth="1"/>
    <col min="5620" max="5620" width="14.28515625" style="3" customWidth="1"/>
    <col min="5621" max="5621" width="11.7109375" style="3" bestFit="1" customWidth="1"/>
    <col min="5622" max="5622" width="14.140625" style="3" bestFit="1" customWidth="1"/>
    <col min="5623" max="5623" width="16.7109375" style="3" customWidth="1"/>
    <col min="5624" max="5624" width="16.5703125" style="3" customWidth="1"/>
    <col min="5625" max="5626" width="7.85546875" style="3" bestFit="1" customWidth="1"/>
    <col min="5627" max="5627" width="8" style="3" bestFit="1" customWidth="1"/>
    <col min="5628" max="5629" width="7.85546875" style="3" bestFit="1" customWidth="1"/>
    <col min="5630" max="5630" width="9.7109375" style="3" customWidth="1"/>
    <col min="5631" max="5631" width="12.85546875" style="3" customWidth="1"/>
    <col min="5632" max="5868" width="9.140625" style="3"/>
    <col min="5869" max="5869" width="9" style="3" bestFit="1" customWidth="1"/>
    <col min="5870" max="5870" width="9.85546875" style="3" bestFit="1" customWidth="1"/>
    <col min="5871" max="5871" width="9.140625" style="3" bestFit="1" customWidth="1"/>
    <col min="5872" max="5872" width="16" style="3" bestFit="1" customWidth="1"/>
    <col min="5873" max="5873" width="9" style="3" bestFit="1" customWidth="1"/>
    <col min="5874" max="5874" width="7.85546875" style="3" bestFit="1" customWidth="1"/>
    <col min="5875" max="5875" width="11.7109375" style="3" bestFit="1" customWidth="1"/>
    <col min="5876" max="5876" width="14.28515625" style="3" customWidth="1"/>
    <col min="5877" max="5877" width="11.7109375" style="3" bestFit="1" customWidth="1"/>
    <col min="5878" max="5878" width="14.140625" style="3" bestFit="1" customWidth="1"/>
    <col min="5879" max="5879" width="16.7109375" style="3" customWidth="1"/>
    <col min="5880" max="5880" width="16.5703125" style="3" customWidth="1"/>
    <col min="5881" max="5882" width="7.85546875" style="3" bestFit="1" customWidth="1"/>
    <col min="5883" max="5883" width="8" style="3" bestFit="1" customWidth="1"/>
    <col min="5884" max="5885" width="7.85546875" style="3" bestFit="1" customWidth="1"/>
    <col min="5886" max="5886" width="9.7109375" style="3" customWidth="1"/>
    <col min="5887" max="5887" width="12.85546875" style="3" customWidth="1"/>
    <col min="5888" max="6124" width="9.140625" style="3"/>
    <col min="6125" max="6125" width="9" style="3" bestFit="1" customWidth="1"/>
    <col min="6126" max="6126" width="9.85546875" style="3" bestFit="1" customWidth="1"/>
    <col min="6127" max="6127" width="9.140625" style="3" bestFit="1" customWidth="1"/>
    <col min="6128" max="6128" width="16" style="3" bestFit="1" customWidth="1"/>
    <col min="6129" max="6129" width="9" style="3" bestFit="1" customWidth="1"/>
    <col min="6130" max="6130" width="7.85546875" style="3" bestFit="1" customWidth="1"/>
    <col min="6131" max="6131" width="11.7109375" style="3" bestFit="1" customWidth="1"/>
    <col min="6132" max="6132" width="14.28515625" style="3" customWidth="1"/>
    <col min="6133" max="6133" width="11.7109375" style="3" bestFit="1" customWidth="1"/>
    <col min="6134" max="6134" width="14.140625" style="3" bestFit="1" customWidth="1"/>
    <col min="6135" max="6135" width="16.7109375" style="3" customWidth="1"/>
    <col min="6136" max="6136" width="16.5703125" style="3" customWidth="1"/>
    <col min="6137" max="6138" width="7.85546875" style="3" bestFit="1" customWidth="1"/>
    <col min="6139" max="6139" width="8" style="3" bestFit="1" customWidth="1"/>
    <col min="6140" max="6141" width="7.85546875" style="3" bestFit="1" customWidth="1"/>
    <col min="6142" max="6142" width="9.7109375" style="3" customWidth="1"/>
    <col min="6143" max="6143" width="12.85546875" style="3" customWidth="1"/>
    <col min="6144" max="6380" width="9.140625" style="3"/>
    <col min="6381" max="6381" width="9" style="3" bestFit="1" customWidth="1"/>
    <col min="6382" max="6382" width="9.85546875" style="3" bestFit="1" customWidth="1"/>
    <col min="6383" max="6383" width="9.140625" style="3" bestFit="1" customWidth="1"/>
    <col min="6384" max="6384" width="16" style="3" bestFit="1" customWidth="1"/>
    <col min="6385" max="6385" width="9" style="3" bestFit="1" customWidth="1"/>
    <col min="6386" max="6386" width="7.85546875" style="3" bestFit="1" customWidth="1"/>
    <col min="6387" max="6387" width="11.7109375" style="3" bestFit="1" customWidth="1"/>
    <col min="6388" max="6388" width="14.28515625" style="3" customWidth="1"/>
    <col min="6389" max="6389" width="11.7109375" style="3" bestFit="1" customWidth="1"/>
    <col min="6390" max="6390" width="14.140625" style="3" bestFit="1" customWidth="1"/>
    <col min="6391" max="6391" width="16.7109375" style="3" customWidth="1"/>
    <col min="6392" max="6392" width="16.5703125" style="3" customWidth="1"/>
    <col min="6393" max="6394" width="7.85546875" style="3" bestFit="1" customWidth="1"/>
    <col min="6395" max="6395" width="8" style="3" bestFit="1" customWidth="1"/>
    <col min="6396" max="6397" width="7.85546875" style="3" bestFit="1" customWidth="1"/>
    <col min="6398" max="6398" width="9.7109375" style="3" customWidth="1"/>
    <col min="6399" max="6399" width="12.85546875" style="3" customWidth="1"/>
    <col min="6400" max="6636" width="9.140625" style="3"/>
    <col min="6637" max="6637" width="9" style="3" bestFit="1" customWidth="1"/>
    <col min="6638" max="6638" width="9.85546875" style="3" bestFit="1" customWidth="1"/>
    <col min="6639" max="6639" width="9.140625" style="3" bestFit="1" customWidth="1"/>
    <col min="6640" max="6640" width="16" style="3" bestFit="1" customWidth="1"/>
    <col min="6641" max="6641" width="9" style="3" bestFit="1" customWidth="1"/>
    <col min="6642" max="6642" width="7.85546875" style="3" bestFit="1" customWidth="1"/>
    <col min="6643" max="6643" width="11.7109375" style="3" bestFit="1" customWidth="1"/>
    <col min="6644" max="6644" width="14.28515625" style="3" customWidth="1"/>
    <col min="6645" max="6645" width="11.7109375" style="3" bestFit="1" customWidth="1"/>
    <col min="6646" max="6646" width="14.140625" style="3" bestFit="1" customWidth="1"/>
    <col min="6647" max="6647" width="16.7109375" style="3" customWidth="1"/>
    <col min="6648" max="6648" width="16.5703125" style="3" customWidth="1"/>
    <col min="6649" max="6650" width="7.85546875" style="3" bestFit="1" customWidth="1"/>
    <col min="6651" max="6651" width="8" style="3" bestFit="1" customWidth="1"/>
    <col min="6652" max="6653" width="7.85546875" style="3" bestFit="1" customWidth="1"/>
    <col min="6654" max="6654" width="9.7109375" style="3" customWidth="1"/>
    <col min="6655" max="6655" width="12.85546875" style="3" customWidth="1"/>
    <col min="6656" max="6892" width="9.140625" style="3"/>
    <col min="6893" max="6893" width="9" style="3" bestFit="1" customWidth="1"/>
    <col min="6894" max="6894" width="9.85546875" style="3" bestFit="1" customWidth="1"/>
    <col min="6895" max="6895" width="9.140625" style="3" bestFit="1" customWidth="1"/>
    <col min="6896" max="6896" width="16" style="3" bestFit="1" customWidth="1"/>
    <col min="6897" max="6897" width="9" style="3" bestFit="1" customWidth="1"/>
    <col min="6898" max="6898" width="7.85546875" style="3" bestFit="1" customWidth="1"/>
    <col min="6899" max="6899" width="11.7109375" style="3" bestFit="1" customWidth="1"/>
    <col min="6900" max="6900" width="14.28515625" style="3" customWidth="1"/>
    <col min="6901" max="6901" width="11.7109375" style="3" bestFit="1" customWidth="1"/>
    <col min="6902" max="6902" width="14.140625" style="3" bestFit="1" customWidth="1"/>
    <col min="6903" max="6903" width="16.7109375" style="3" customWidth="1"/>
    <col min="6904" max="6904" width="16.5703125" style="3" customWidth="1"/>
    <col min="6905" max="6906" width="7.85546875" style="3" bestFit="1" customWidth="1"/>
    <col min="6907" max="6907" width="8" style="3" bestFit="1" customWidth="1"/>
    <col min="6908" max="6909" width="7.85546875" style="3" bestFit="1" customWidth="1"/>
    <col min="6910" max="6910" width="9.7109375" style="3" customWidth="1"/>
    <col min="6911" max="6911" width="12.85546875" style="3" customWidth="1"/>
    <col min="6912" max="7148" width="9.140625" style="3"/>
    <col min="7149" max="7149" width="9" style="3" bestFit="1" customWidth="1"/>
    <col min="7150" max="7150" width="9.85546875" style="3" bestFit="1" customWidth="1"/>
    <col min="7151" max="7151" width="9.140625" style="3" bestFit="1" customWidth="1"/>
    <col min="7152" max="7152" width="16" style="3" bestFit="1" customWidth="1"/>
    <col min="7153" max="7153" width="9" style="3" bestFit="1" customWidth="1"/>
    <col min="7154" max="7154" width="7.85546875" style="3" bestFit="1" customWidth="1"/>
    <col min="7155" max="7155" width="11.7109375" style="3" bestFit="1" customWidth="1"/>
    <col min="7156" max="7156" width="14.28515625" style="3" customWidth="1"/>
    <col min="7157" max="7157" width="11.7109375" style="3" bestFit="1" customWidth="1"/>
    <col min="7158" max="7158" width="14.140625" style="3" bestFit="1" customWidth="1"/>
    <col min="7159" max="7159" width="16.7109375" style="3" customWidth="1"/>
    <col min="7160" max="7160" width="16.5703125" style="3" customWidth="1"/>
    <col min="7161" max="7162" width="7.85546875" style="3" bestFit="1" customWidth="1"/>
    <col min="7163" max="7163" width="8" style="3" bestFit="1" customWidth="1"/>
    <col min="7164" max="7165" width="7.85546875" style="3" bestFit="1" customWidth="1"/>
    <col min="7166" max="7166" width="9.7109375" style="3" customWidth="1"/>
    <col min="7167" max="7167" width="12.85546875" style="3" customWidth="1"/>
    <col min="7168" max="7404" width="9.140625" style="3"/>
    <col min="7405" max="7405" width="9" style="3" bestFit="1" customWidth="1"/>
    <col min="7406" max="7406" width="9.85546875" style="3" bestFit="1" customWidth="1"/>
    <col min="7407" max="7407" width="9.140625" style="3" bestFit="1" customWidth="1"/>
    <col min="7408" max="7408" width="16" style="3" bestFit="1" customWidth="1"/>
    <col min="7409" max="7409" width="9" style="3" bestFit="1" customWidth="1"/>
    <col min="7410" max="7410" width="7.85546875" style="3" bestFit="1" customWidth="1"/>
    <col min="7411" max="7411" width="11.7109375" style="3" bestFit="1" customWidth="1"/>
    <col min="7412" max="7412" width="14.28515625" style="3" customWidth="1"/>
    <col min="7413" max="7413" width="11.7109375" style="3" bestFit="1" customWidth="1"/>
    <col min="7414" max="7414" width="14.140625" style="3" bestFit="1" customWidth="1"/>
    <col min="7415" max="7415" width="16.7109375" style="3" customWidth="1"/>
    <col min="7416" max="7416" width="16.5703125" style="3" customWidth="1"/>
    <col min="7417" max="7418" width="7.85546875" style="3" bestFit="1" customWidth="1"/>
    <col min="7419" max="7419" width="8" style="3" bestFit="1" customWidth="1"/>
    <col min="7420" max="7421" width="7.85546875" style="3" bestFit="1" customWidth="1"/>
    <col min="7422" max="7422" width="9.7109375" style="3" customWidth="1"/>
    <col min="7423" max="7423" width="12.85546875" style="3" customWidth="1"/>
    <col min="7424" max="7660" width="9.140625" style="3"/>
    <col min="7661" max="7661" width="9" style="3" bestFit="1" customWidth="1"/>
    <col min="7662" max="7662" width="9.85546875" style="3" bestFit="1" customWidth="1"/>
    <col min="7663" max="7663" width="9.140625" style="3" bestFit="1" customWidth="1"/>
    <col min="7664" max="7664" width="16" style="3" bestFit="1" customWidth="1"/>
    <col min="7665" max="7665" width="9" style="3" bestFit="1" customWidth="1"/>
    <col min="7666" max="7666" width="7.85546875" style="3" bestFit="1" customWidth="1"/>
    <col min="7667" max="7667" width="11.7109375" style="3" bestFit="1" customWidth="1"/>
    <col min="7668" max="7668" width="14.28515625" style="3" customWidth="1"/>
    <col min="7669" max="7669" width="11.7109375" style="3" bestFit="1" customWidth="1"/>
    <col min="7670" max="7670" width="14.140625" style="3" bestFit="1" customWidth="1"/>
    <col min="7671" max="7671" width="16.7109375" style="3" customWidth="1"/>
    <col min="7672" max="7672" width="16.5703125" style="3" customWidth="1"/>
    <col min="7673" max="7674" width="7.85546875" style="3" bestFit="1" customWidth="1"/>
    <col min="7675" max="7675" width="8" style="3" bestFit="1" customWidth="1"/>
    <col min="7676" max="7677" width="7.85546875" style="3" bestFit="1" customWidth="1"/>
    <col min="7678" max="7678" width="9.7109375" style="3" customWidth="1"/>
    <col min="7679" max="7679" width="12.85546875" style="3" customWidth="1"/>
    <col min="7680" max="7916" width="9.140625" style="3"/>
    <col min="7917" max="7917" width="9" style="3" bestFit="1" customWidth="1"/>
    <col min="7918" max="7918" width="9.85546875" style="3" bestFit="1" customWidth="1"/>
    <col min="7919" max="7919" width="9.140625" style="3" bestFit="1" customWidth="1"/>
    <col min="7920" max="7920" width="16" style="3" bestFit="1" customWidth="1"/>
    <col min="7921" max="7921" width="9" style="3" bestFit="1" customWidth="1"/>
    <col min="7922" max="7922" width="7.85546875" style="3" bestFit="1" customWidth="1"/>
    <col min="7923" max="7923" width="11.7109375" style="3" bestFit="1" customWidth="1"/>
    <col min="7924" max="7924" width="14.28515625" style="3" customWidth="1"/>
    <col min="7925" max="7925" width="11.7109375" style="3" bestFit="1" customWidth="1"/>
    <col min="7926" max="7926" width="14.140625" style="3" bestFit="1" customWidth="1"/>
    <col min="7927" max="7927" width="16.7109375" style="3" customWidth="1"/>
    <col min="7928" max="7928" width="16.5703125" style="3" customWidth="1"/>
    <col min="7929" max="7930" width="7.85546875" style="3" bestFit="1" customWidth="1"/>
    <col min="7931" max="7931" width="8" style="3" bestFit="1" customWidth="1"/>
    <col min="7932" max="7933" width="7.85546875" style="3" bestFit="1" customWidth="1"/>
    <col min="7934" max="7934" width="9.7109375" style="3" customWidth="1"/>
    <col min="7935" max="7935" width="12.85546875" style="3" customWidth="1"/>
    <col min="7936" max="8172" width="9.140625" style="3"/>
    <col min="8173" max="8173" width="9" style="3" bestFit="1" customWidth="1"/>
    <col min="8174" max="8174" width="9.85546875" style="3" bestFit="1" customWidth="1"/>
    <col min="8175" max="8175" width="9.140625" style="3" bestFit="1" customWidth="1"/>
    <col min="8176" max="8176" width="16" style="3" bestFit="1" customWidth="1"/>
    <col min="8177" max="8177" width="9" style="3" bestFit="1" customWidth="1"/>
    <col min="8178" max="8178" width="7.85546875" style="3" bestFit="1" customWidth="1"/>
    <col min="8179" max="8179" width="11.7109375" style="3" bestFit="1" customWidth="1"/>
    <col min="8180" max="8180" width="14.28515625" style="3" customWidth="1"/>
    <col min="8181" max="8181" width="11.7109375" style="3" bestFit="1" customWidth="1"/>
    <col min="8182" max="8182" width="14.140625" style="3" bestFit="1" customWidth="1"/>
    <col min="8183" max="8183" width="16.7109375" style="3" customWidth="1"/>
    <col min="8184" max="8184" width="16.5703125" style="3" customWidth="1"/>
    <col min="8185" max="8186" width="7.85546875" style="3" bestFit="1" customWidth="1"/>
    <col min="8187" max="8187" width="8" style="3" bestFit="1" customWidth="1"/>
    <col min="8188" max="8189" width="7.85546875" style="3" bestFit="1" customWidth="1"/>
    <col min="8190" max="8190" width="9.7109375" style="3" customWidth="1"/>
    <col min="8191" max="8191" width="12.85546875" style="3" customWidth="1"/>
    <col min="8192" max="8428" width="9.140625" style="3"/>
    <col min="8429" max="8429" width="9" style="3" bestFit="1" customWidth="1"/>
    <col min="8430" max="8430" width="9.85546875" style="3" bestFit="1" customWidth="1"/>
    <col min="8431" max="8431" width="9.140625" style="3" bestFit="1" customWidth="1"/>
    <col min="8432" max="8432" width="16" style="3" bestFit="1" customWidth="1"/>
    <col min="8433" max="8433" width="9" style="3" bestFit="1" customWidth="1"/>
    <col min="8434" max="8434" width="7.85546875" style="3" bestFit="1" customWidth="1"/>
    <col min="8435" max="8435" width="11.7109375" style="3" bestFit="1" customWidth="1"/>
    <col min="8436" max="8436" width="14.28515625" style="3" customWidth="1"/>
    <col min="8437" max="8437" width="11.7109375" style="3" bestFit="1" customWidth="1"/>
    <col min="8438" max="8438" width="14.140625" style="3" bestFit="1" customWidth="1"/>
    <col min="8439" max="8439" width="16.7109375" style="3" customWidth="1"/>
    <col min="8440" max="8440" width="16.5703125" style="3" customWidth="1"/>
    <col min="8441" max="8442" width="7.85546875" style="3" bestFit="1" customWidth="1"/>
    <col min="8443" max="8443" width="8" style="3" bestFit="1" customWidth="1"/>
    <col min="8444" max="8445" width="7.85546875" style="3" bestFit="1" customWidth="1"/>
    <col min="8446" max="8446" width="9.7109375" style="3" customWidth="1"/>
    <col min="8447" max="8447" width="12.85546875" style="3" customWidth="1"/>
    <col min="8448" max="8684" width="9.140625" style="3"/>
    <col min="8685" max="8685" width="9" style="3" bestFit="1" customWidth="1"/>
    <col min="8686" max="8686" width="9.85546875" style="3" bestFit="1" customWidth="1"/>
    <col min="8687" max="8687" width="9.140625" style="3" bestFit="1" customWidth="1"/>
    <col min="8688" max="8688" width="16" style="3" bestFit="1" customWidth="1"/>
    <col min="8689" max="8689" width="9" style="3" bestFit="1" customWidth="1"/>
    <col min="8690" max="8690" width="7.85546875" style="3" bestFit="1" customWidth="1"/>
    <col min="8691" max="8691" width="11.7109375" style="3" bestFit="1" customWidth="1"/>
    <col min="8692" max="8692" width="14.28515625" style="3" customWidth="1"/>
    <col min="8693" max="8693" width="11.7109375" style="3" bestFit="1" customWidth="1"/>
    <col min="8694" max="8694" width="14.140625" style="3" bestFit="1" customWidth="1"/>
    <col min="8695" max="8695" width="16.7109375" style="3" customWidth="1"/>
    <col min="8696" max="8696" width="16.5703125" style="3" customWidth="1"/>
    <col min="8697" max="8698" width="7.85546875" style="3" bestFit="1" customWidth="1"/>
    <col min="8699" max="8699" width="8" style="3" bestFit="1" customWidth="1"/>
    <col min="8700" max="8701" width="7.85546875" style="3" bestFit="1" customWidth="1"/>
    <col min="8702" max="8702" width="9.7109375" style="3" customWidth="1"/>
    <col min="8703" max="8703" width="12.85546875" style="3" customWidth="1"/>
    <col min="8704" max="8940" width="9.140625" style="3"/>
    <col min="8941" max="8941" width="9" style="3" bestFit="1" customWidth="1"/>
    <col min="8942" max="8942" width="9.85546875" style="3" bestFit="1" customWidth="1"/>
    <col min="8943" max="8943" width="9.140625" style="3" bestFit="1" customWidth="1"/>
    <col min="8944" max="8944" width="16" style="3" bestFit="1" customWidth="1"/>
    <col min="8945" max="8945" width="9" style="3" bestFit="1" customWidth="1"/>
    <col min="8946" max="8946" width="7.85546875" style="3" bestFit="1" customWidth="1"/>
    <col min="8947" max="8947" width="11.7109375" style="3" bestFit="1" customWidth="1"/>
    <col min="8948" max="8948" width="14.28515625" style="3" customWidth="1"/>
    <col min="8949" max="8949" width="11.7109375" style="3" bestFit="1" customWidth="1"/>
    <col min="8950" max="8950" width="14.140625" style="3" bestFit="1" customWidth="1"/>
    <col min="8951" max="8951" width="16.7109375" style="3" customWidth="1"/>
    <col min="8952" max="8952" width="16.5703125" style="3" customWidth="1"/>
    <col min="8953" max="8954" width="7.85546875" style="3" bestFit="1" customWidth="1"/>
    <col min="8955" max="8955" width="8" style="3" bestFit="1" customWidth="1"/>
    <col min="8956" max="8957" width="7.85546875" style="3" bestFit="1" customWidth="1"/>
    <col min="8958" max="8958" width="9.7109375" style="3" customWidth="1"/>
    <col min="8959" max="8959" width="12.85546875" style="3" customWidth="1"/>
    <col min="8960" max="9196" width="9.140625" style="3"/>
    <col min="9197" max="9197" width="9" style="3" bestFit="1" customWidth="1"/>
    <col min="9198" max="9198" width="9.85546875" style="3" bestFit="1" customWidth="1"/>
    <col min="9199" max="9199" width="9.140625" style="3" bestFit="1" customWidth="1"/>
    <col min="9200" max="9200" width="16" style="3" bestFit="1" customWidth="1"/>
    <col min="9201" max="9201" width="9" style="3" bestFit="1" customWidth="1"/>
    <col min="9202" max="9202" width="7.85546875" style="3" bestFit="1" customWidth="1"/>
    <col min="9203" max="9203" width="11.7109375" style="3" bestFit="1" customWidth="1"/>
    <col min="9204" max="9204" width="14.28515625" style="3" customWidth="1"/>
    <col min="9205" max="9205" width="11.7109375" style="3" bestFit="1" customWidth="1"/>
    <col min="9206" max="9206" width="14.140625" style="3" bestFit="1" customWidth="1"/>
    <col min="9207" max="9207" width="16.7109375" style="3" customWidth="1"/>
    <col min="9208" max="9208" width="16.5703125" style="3" customWidth="1"/>
    <col min="9209" max="9210" width="7.85546875" style="3" bestFit="1" customWidth="1"/>
    <col min="9211" max="9211" width="8" style="3" bestFit="1" customWidth="1"/>
    <col min="9212" max="9213" width="7.85546875" style="3" bestFit="1" customWidth="1"/>
    <col min="9214" max="9214" width="9.7109375" style="3" customWidth="1"/>
    <col min="9215" max="9215" width="12.85546875" style="3" customWidth="1"/>
    <col min="9216" max="9452" width="9.140625" style="3"/>
    <col min="9453" max="9453" width="9" style="3" bestFit="1" customWidth="1"/>
    <col min="9454" max="9454" width="9.85546875" style="3" bestFit="1" customWidth="1"/>
    <col min="9455" max="9455" width="9.140625" style="3" bestFit="1" customWidth="1"/>
    <col min="9456" max="9456" width="16" style="3" bestFit="1" customWidth="1"/>
    <col min="9457" max="9457" width="9" style="3" bestFit="1" customWidth="1"/>
    <col min="9458" max="9458" width="7.85546875" style="3" bestFit="1" customWidth="1"/>
    <col min="9459" max="9459" width="11.7109375" style="3" bestFit="1" customWidth="1"/>
    <col min="9460" max="9460" width="14.28515625" style="3" customWidth="1"/>
    <col min="9461" max="9461" width="11.7109375" style="3" bestFit="1" customWidth="1"/>
    <col min="9462" max="9462" width="14.140625" style="3" bestFit="1" customWidth="1"/>
    <col min="9463" max="9463" width="16.7109375" style="3" customWidth="1"/>
    <col min="9464" max="9464" width="16.5703125" style="3" customWidth="1"/>
    <col min="9465" max="9466" width="7.85546875" style="3" bestFit="1" customWidth="1"/>
    <col min="9467" max="9467" width="8" style="3" bestFit="1" customWidth="1"/>
    <col min="9468" max="9469" width="7.85546875" style="3" bestFit="1" customWidth="1"/>
    <col min="9470" max="9470" width="9.7109375" style="3" customWidth="1"/>
    <col min="9471" max="9471" width="12.85546875" style="3" customWidth="1"/>
    <col min="9472" max="9708" width="9.140625" style="3"/>
    <col min="9709" max="9709" width="9" style="3" bestFit="1" customWidth="1"/>
    <col min="9710" max="9710" width="9.85546875" style="3" bestFit="1" customWidth="1"/>
    <col min="9711" max="9711" width="9.140625" style="3" bestFit="1" customWidth="1"/>
    <col min="9712" max="9712" width="16" style="3" bestFit="1" customWidth="1"/>
    <col min="9713" max="9713" width="9" style="3" bestFit="1" customWidth="1"/>
    <col min="9714" max="9714" width="7.85546875" style="3" bestFit="1" customWidth="1"/>
    <col min="9715" max="9715" width="11.7109375" style="3" bestFit="1" customWidth="1"/>
    <col min="9716" max="9716" width="14.28515625" style="3" customWidth="1"/>
    <col min="9717" max="9717" width="11.7109375" style="3" bestFit="1" customWidth="1"/>
    <col min="9718" max="9718" width="14.140625" style="3" bestFit="1" customWidth="1"/>
    <col min="9719" max="9719" width="16.7109375" style="3" customWidth="1"/>
    <col min="9720" max="9720" width="16.5703125" style="3" customWidth="1"/>
    <col min="9721" max="9722" width="7.85546875" style="3" bestFit="1" customWidth="1"/>
    <col min="9723" max="9723" width="8" style="3" bestFit="1" customWidth="1"/>
    <col min="9724" max="9725" width="7.85546875" style="3" bestFit="1" customWidth="1"/>
    <col min="9726" max="9726" width="9.7109375" style="3" customWidth="1"/>
    <col min="9727" max="9727" width="12.85546875" style="3" customWidth="1"/>
    <col min="9728" max="9964" width="9.140625" style="3"/>
    <col min="9965" max="9965" width="9" style="3" bestFit="1" customWidth="1"/>
    <col min="9966" max="9966" width="9.85546875" style="3" bestFit="1" customWidth="1"/>
    <col min="9967" max="9967" width="9.140625" style="3" bestFit="1" customWidth="1"/>
    <col min="9968" max="9968" width="16" style="3" bestFit="1" customWidth="1"/>
    <col min="9969" max="9969" width="9" style="3" bestFit="1" customWidth="1"/>
    <col min="9970" max="9970" width="7.85546875" style="3" bestFit="1" customWidth="1"/>
    <col min="9971" max="9971" width="11.7109375" style="3" bestFit="1" customWidth="1"/>
    <col min="9972" max="9972" width="14.28515625" style="3" customWidth="1"/>
    <col min="9973" max="9973" width="11.7109375" style="3" bestFit="1" customWidth="1"/>
    <col min="9974" max="9974" width="14.140625" style="3" bestFit="1" customWidth="1"/>
    <col min="9975" max="9975" width="16.7109375" style="3" customWidth="1"/>
    <col min="9976" max="9976" width="16.5703125" style="3" customWidth="1"/>
    <col min="9977" max="9978" width="7.85546875" style="3" bestFit="1" customWidth="1"/>
    <col min="9979" max="9979" width="8" style="3" bestFit="1" customWidth="1"/>
    <col min="9980" max="9981" width="7.85546875" style="3" bestFit="1" customWidth="1"/>
    <col min="9982" max="9982" width="9.7109375" style="3" customWidth="1"/>
    <col min="9983" max="9983" width="12.85546875" style="3" customWidth="1"/>
    <col min="9984" max="10220" width="9.140625" style="3"/>
    <col min="10221" max="10221" width="9" style="3" bestFit="1" customWidth="1"/>
    <col min="10222" max="10222" width="9.85546875" style="3" bestFit="1" customWidth="1"/>
    <col min="10223" max="10223" width="9.140625" style="3" bestFit="1" customWidth="1"/>
    <col min="10224" max="10224" width="16" style="3" bestFit="1" customWidth="1"/>
    <col min="10225" max="10225" width="9" style="3" bestFit="1" customWidth="1"/>
    <col min="10226" max="10226" width="7.85546875" style="3" bestFit="1" customWidth="1"/>
    <col min="10227" max="10227" width="11.7109375" style="3" bestFit="1" customWidth="1"/>
    <col min="10228" max="10228" width="14.28515625" style="3" customWidth="1"/>
    <col min="10229" max="10229" width="11.7109375" style="3" bestFit="1" customWidth="1"/>
    <col min="10230" max="10230" width="14.140625" style="3" bestFit="1" customWidth="1"/>
    <col min="10231" max="10231" width="16.7109375" style="3" customWidth="1"/>
    <col min="10232" max="10232" width="16.5703125" style="3" customWidth="1"/>
    <col min="10233" max="10234" width="7.85546875" style="3" bestFit="1" customWidth="1"/>
    <col min="10235" max="10235" width="8" style="3" bestFit="1" customWidth="1"/>
    <col min="10236" max="10237" width="7.85546875" style="3" bestFit="1" customWidth="1"/>
    <col min="10238" max="10238" width="9.7109375" style="3" customWidth="1"/>
    <col min="10239" max="10239" width="12.85546875" style="3" customWidth="1"/>
    <col min="10240" max="10476" width="9.140625" style="3"/>
    <col min="10477" max="10477" width="9" style="3" bestFit="1" customWidth="1"/>
    <col min="10478" max="10478" width="9.85546875" style="3" bestFit="1" customWidth="1"/>
    <col min="10479" max="10479" width="9.140625" style="3" bestFit="1" customWidth="1"/>
    <col min="10480" max="10480" width="16" style="3" bestFit="1" customWidth="1"/>
    <col min="10481" max="10481" width="9" style="3" bestFit="1" customWidth="1"/>
    <col min="10482" max="10482" width="7.85546875" style="3" bestFit="1" customWidth="1"/>
    <col min="10483" max="10483" width="11.7109375" style="3" bestFit="1" customWidth="1"/>
    <col min="10484" max="10484" width="14.28515625" style="3" customWidth="1"/>
    <col min="10485" max="10485" width="11.7109375" style="3" bestFit="1" customWidth="1"/>
    <col min="10486" max="10486" width="14.140625" style="3" bestFit="1" customWidth="1"/>
    <col min="10487" max="10487" width="16.7109375" style="3" customWidth="1"/>
    <col min="10488" max="10488" width="16.5703125" style="3" customWidth="1"/>
    <col min="10489" max="10490" width="7.85546875" style="3" bestFit="1" customWidth="1"/>
    <col min="10491" max="10491" width="8" style="3" bestFit="1" customWidth="1"/>
    <col min="10492" max="10493" width="7.85546875" style="3" bestFit="1" customWidth="1"/>
    <col min="10494" max="10494" width="9.7109375" style="3" customWidth="1"/>
    <col min="10495" max="10495" width="12.85546875" style="3" customWidth="1"/>
    <col min="10496" max="10732" width="9.140625" style="3"/>
    <col min="10733" max="10733" width="9" style="3" bestFit="1" customWidth="1"/>
    <col min="10734" max="10734" width="9.85546875" style="3" bestFit="1" customWidth="1"/>
    <col min="10735" max="10735" width="9.140625" style="3" bestFit="1" customWidth="1"/>
    <col min="10736" max="10736" width="16" style="3" bestFit="1" customWidth="1"/>
    <col min="10737" max="10737" width="9" style="3" bestFit="1" customWidth="1"/>
    <col min="10738" max="10738" width="7.85546875" style="3" bestFit="1" customWidth="1"/>
    <col min="10739" max="10739" width="11.7109375" style="3" bestFit="1" customWidth="1"/>
    <col min="10740" max="10740" width="14.28515625" style="3" customWidth="1"/>
    <col min="10741" max="10741" width="11.7109375" style="3" bestFit="1" customWidth="1"/>
    <col min="10742" max="10742" width="14.140625" style="3" bestFit="1" customWidth="1"/>
    <col min="10743" max="10743" width="16.7109375" style="3" customWidth="1"/>
    <col min="10744" max="10744" width="16.5703125" style="3" customWidth="1"/>
    <col min="10745" max="10746" width="7.85546875" style="3" bestFit="1" customWidth="1"/>
    <col min="10747" max="10747" width="8" style="3" bestFit="1" customWidth="1"/>
    <col min="10748" max="10749" width="7.85546875" style="3" bestFit="1" customWidth="1"/>
    <col min="10750" max="10750" width="9.7109375" style="3" customWidth="1"/>
    <col min="10751" max="10751" width="12.85546875" style="3" customWidth="1"/>
    <col min="10752" max="10988" width="9.140625" style="3"/>
    <col min="10989" max="10989" width="9" style="3" bestFit="1" customWidth="1"/>
    <col min="10990" max="10990" width="9.85546875" style="3" bestFit="1" customWidth="1"/>
    <col min="10991" max="10991" width="9.140625" style="3" bestFit="1" customWidth="1"/>
    <col min="10992" max="10992" width="16" style="3" bestFit="1" customWidth="1"/>
    <col min="10993" max="10993" width="9" style="3" bestFit="1" customWidth="1"/>
    <col min="10994" max="10994" width="7.85546875" style="3" bestFit="1" customWidth="1"/>
    <col min="10995" max="10995" width="11.7109375" style="3" bestFit="1" customWidth="1"/>
    <col min="10996" max="10996" width="14.28515625" style="3" customWidth="1"/>
    <col min="10997" max="10997" width="11.7109375" style="3" bestFit="1" customWidth="1"/>
    <col min="10998" max="10998" width="14.140625" style="3" bestFit="1" customWidth="1"/>
    <col min="10999" max="10999" width="16.7109375" style="3" customWidth="1"/>
    <col min="11000" max="11000" width="16.5703125" style="3" customWidth="1"/>
    <col min="11001" max="11002" width="7.85546875" style="3" bestFit="1" customWidth="1"/>
    <col min="11003" max="11003" width="8" style="3" bestFit="1" customWidth="1"/>
    <col min="11004" max="11005" width="7.85546875" style="3" bestFit="1" customWidth="1"/>
    <col min="11006" max="11006" width="9.7109375" style="3" customWidth="1"/>
    <col min="11007" max="11007" width="12.85546875" style="3" customWidth="1"/>
    <col min="11008" max="11244" width="9.140625" style="3"/>
    <col min="11245" max="11245" width="9" style="3" bestFit="1" customWidth="1"/>
    <col min="11246" max="11246" width="9.85546875" style="3" bestFit="1" customWidth="1"/>
    <col min="11247" max="11247" width="9.140625" style="3" bestFit="1" customWidth="1"/>
    <col min="11248" max="11248" width="16" style="3" bestFit="1" customWidth="1"/>
    <col min="11249" max="11249" width="9" style="3" bestFit="1" customWidth="1"/>
    <col min="11250" max="11250" width="7.85546875" style="3" bestFit="1" customWidth="1"/>
    <col min="11251" max="11251" width="11.7109375" style="3" bestFit="1" customWidth="1"/>
    <col min="11252" max="11252" width="14.28515625" style="3" customWidth="1"/>
    <col min="11253" max="11253" width="11.7109375" style="3" bestFit="1" customWidth="1"/>
    <col min="11254" max="11254" width="14.140625" style="3" bestFit="1" customWidth="1"/>
    <col min="11255" max="11255" width="16.7109375" style="3" customWidth="1"/>
    <col min="11256" max="11256" width="16.5703125" style="3" customWidth="1"/>
    <col min="11257" max="11258" width="7.85546875" style="3" bestFit="1" customWidth="1"/>
    <col min="11259" max="11259" width="8" style="3" bestFit="1" customWidth="1"/>
    <col min="11260" max="11261" width="7.85546875" style="3" bestFit="1" customWidth="1"/>
    <col min="11262" max="11262" width="9.7109375" style="3" customWidth="1"/>
    <col min="11263" max="11263" width="12.85546875" style="3" customWidth="1"/>
    <col min="11264" max="11500" width="9.140625" style="3"/>
    <col min="11501" max="11501" width="9" style="3" bestFit="1" customWidth="1"/>
    <col min="11502" max="11502" width="9.85546875" style="3" bestFit="1" customWidth="1"/>
    <col min="11503" max="11503" width="9.140625" style="3" bestFit="1" customWidth="1"/>
    <col min="11504" max="11504" width="16" style="3" bestFit="1" customWidth="1"/>
    <col min="11505" max="11505" width="9" style="3" bestFit="1" customWidth="1"/>
    <col min="11506" max="11506" width="7.85546875" style="3" bestFit="1" customWidth="1"/>
    <col min="11507" max="11507" width="11.7109375" style="3" bestFit="1" customWidth="1"/>
    <col min="11508" max="11508" width="14.28515625" style="3" customWidth="1"/>
    <col min="11509" max="11509" width="11.7109375" style="3" bestFit="1" customWidth="1"/>
    <col min="11510" max="11510" width="14.140625" style="3" bestFit="1" customWidth="1"/>
    <col min="11511" max="11511" width="16.7109375" style="3" customWidth="1"/>
    <col min="11512" max="11512" width="16.5703125" style="3" customWidth="1"/>
    <col min="11513" max="11514" width="7.85546875" style="3" bestFit="1" customWidth="1"/>
    <col min="11515" max="11515" width="8" style="3" bestFit="1" customWidth="1"/>
    <col min="11516" max="11517" width="7.85546875" style="3" bestFit="1" customWidth="1"/>
    <col min="11518" max="11518" width="9.7109375" style="3" customWidth="1"/>
    <col min="11519" max="11519" width="12.85546875" style="3" customWidth="1"/>
    <col min="11520" max="11756" width="9.140625" style="3"/>
    <col min="11757" max="11757" width="9" style="3" bestFit="1" customWidth="1"/>
    <col min="11758" max="11758" width="9.85546875" style="3" bestFit="1" customWidth="1"/>
    <col min="11759" max="11759" width="9.140625" style="3" bestFit="1" customWidth="1"/>
    <col min="11760" max="11760" width="16" style="3" bestFit="1" customWidth="1"/>
    <col min="11761" max="11761" width="9" style="3" bestFit="1" customWidth="1"/>
    <col min="11762" max="11762" width="7.85546875" style="3" bestFit="1" customWidth="1"/>
    <col min="11763" max="11763" width="11.7109375" style="3" bestFit="1" customWidth="1"/>
    <col min="11764" max="11764" width="14.28515625" style="3" customWidth="1"/>
    <col min="11765" max="11765" width="11.7109375" style="3" bestFit="1" customWidth="1"/>
    <col min="11766" max="11766" width="14.140625" style="3" bestFit="1" customWidth="1"/>
    <col min="11767" max="11767" width="16.7109375" style="3" customWidth="1"/>
    <col min="11768" max="11768" width="16.5703125" style="3" customWidth="1"/>
    <col min="11769" max="11770" width="7.85546875" style="3" bestFit="1" customWidth="1"/>
    <col min="11771" max="11771" width="8" style="3" bestFit="1" customWidth="1"/>
    <col min="11772" max="11773" width="7.85546875" style="3" bestFit="1" customWidth="1"/>
    <col min="11774" max="11774" width="9.7109375" style="3" customWidth="1"/>
    <col min="11775" max="11775" width="12.85546875" style="3" customWidth="1"/>
    <col min="11776" max="12012" width="9.140625" style="3"/>
    <col min="12013" max="12013" width="9" style="3" bestFit="1" customWidth="1"/>
    <col min="12014" max="12014" width="9.85546875" style="3" bestFit="1" customWidth="1"/>
    <col min="12015" max="12015" width="9.140625" style="3" bestFit="1" customWidth="1"/>
    <col min="12016" max="12016" width="16" style="3" bestFit="1" customWidth="1"/>
    <col min="12017" max="12017" width="9" style="3" bestFit="1" customWidth="1"/>
    <col min="12018" max="12018" width="7.85546875" style="3" bestFit="1" customWidth="1"/>
    <col min="12019" max="12019" width="11.7109375" style="3" bestFit="1" customWidth="1"/>
    <col min="12020" max="12020" width="14.28515625" style="3" customWidth="1"/>
    <col min="12021" max="12021" width="11.7109375" style="3" bestFit="1" customWidth="1"/>
    <col min="12022" max="12022" width="14.140625" style="3" bestFit="1" customWidth="1"/>
    <col min="12023" max="12023" width="16.7109375" style="3" customWidth="1"/>
    <col min="12024" max="12024" width="16.5703125" style="3" customWidth="1"/>
    <col min="12025" max="12026" width="7.85546875" style="3" bestFit="1" customWidth="1"/>
    <col min="12027" max="12027" width="8" style="3" bestFit="1" customWidth="1"/>
    <col min="12028" max="12029" width="7.85546875" style="3" bestFit="1" customWidth="1"/>
    <col min="12030" max="12030" width="9.7109375" style="3" customWidth="1"/>
    <col min="12031" max="12031" width="12.85546875" style="3" customWidth="1"/>
    <col min="12032" max="12268" width="9.140625" style="3"/>
    <col min="12269" max="12269" width="9" style="3" bestFit="1" customWidth="1"/>
    <col min="12270" max="12270" width="9.85546875" style="3" bestFit="1" customWidth="1"/>
    <col min="12271" max="12271" width="9.140625" style="3" bestFit="1" customWidth="1"/>
    <col min="12272" max="12272" width="16" style="3" bestFit="1" customWidth="1"/>
    <col min="12273" max="12273" width="9" style="3" bestFit="1" customWidth="1"/>
    <col min="12274" max="12274" width="7.85546875" style="3" bestFit="1" customWidth="1"/>
    <col min="12275" max="12275" width="11.7109375" style="3" bestFit="1" customWidth="1"/>
    <col min="12276" max="12276" width="14.28515625" style="3" customWidth="1"/>
    <col min="12277" max="12277" width="11.7109375" style="3" bestFit="1" customWidth="1"/>
    <col min="12278" max="12278" width="14.140625" style="3" bestFit="1" customWidth="1"/>
    <col min="12279" max="12279" width="16.7109375" style="3" customWidth="1"/>
    <col min="12280" max="12280" width="16.5703125" style="3" customWidth="1"/>
    <col min="12281" max="12282" width="7.85546875" style="3" bestFit="1" customWidth="1"/>
    <col min="12283" max="12283" width="8" style="3" bestFit="1" customWidth="1"/>
    <col min="12284" max="12285" width="7.85546875" style="3" bestFit="1" customWidth="1"/>
    <col min="12286" max="12286" width="9.7109375" style="3" customWidth="1"/>
    <col min="12287" max="12287" width="12.85546875" style="3" customWidth="1"/>
    <col min="12288" max="12524" width="9.140625" style="3"/>
    <col min="12525" max="12525" width="9" style="3" bestFit="1" customWidth="1"/>
    <col min="12526" max="12526" width="9.85546875" style="3" bestFit="1" customWidth="1"/>
    <col min="12527" max="12527" width="9.140625" style="3" bestFit="1" customWidth="1"/>
    <col min="12528" max="12528" width="16" style="3" bestFit="1" customWidth="1"/>
    <col min="12529" max="12529" width="9" style="3" bestFit="1" customWidth="1"/>
    <col min="12530" max="12530" width="7.85546875" style="3" bestFit="1" customWidth="1"/>
    <col min="12531" max="12531" width="11.7109375" style="3" bestFit="1" customWidth="1"/>
    <col min="12532" max="12532" width="14.28515625" style="3" customWidth="1"/>
    <col min="12533" max="12533" width="11.7109375" style="3" bestFit="1" customWidth="1"/>
    <col min="12534" max="12534" width="14.140625" style="3" bestFit="1" customWidth="1"/>
    <col min="12535" max="12535" width="16.7109375" style="3" customWidth="1"/>
    <col min="12536" max="12536" width="16.5703125" style="3" customWidth="1"/>
    <col min="12537" max="12538" width="7.85546875" style="3" bestFit="1" customWidth="1"/>
    <col min="12539" max="12539" width="8" style="3" bestFit="1" customWidth="1"/>
    <col min="12540" max="12541" width="7.85546875" style="3" bestFit="1" customWidth="1"/>
    <col min="12542" max="12542" width="9.7109375" style="3" customWidth="1"/>
    <col min="12543" max="12543" width="12.85546875" style="3" customWidth="1"/>
    <col min="12544" max="12780" width="9.140625" style="3"/>
    <col min="12781" max="12781" width="9" style="3" bestFit="1" customWidth="1"/>
    <col min="12782" max="12782" width="9.85546875" style="3" bestFit="1" customWidth="1"/>
    <col min="12783" max="12783" width="9.140625" style="3" bestFit="1" customWidth="1"/>
    <col min="12784" max="12784" width="16" style="3" bestFit="1" customWidth="1"/>
    <col min="12785" max="12785" width="9" style="3" bestFit="1" customWidth="1"/>
    <col min="12786" max="12786" width="7.85546875" style="3" bestFit="1" customWidth="1"/>
    <col min="12787" max="12787" width="11.7109375" style="3" bestFit="1" customWidth="1"/>
    <col min="12788" max="12788" width="14.28515625" style="3" customWidth="1"/>
    <col min="12789" max="12789" width="11.7109375" style="3" bestFit="1" customWidth="1"/>
    <col min="12790" max="12790" width="14.140625" style="3" bestFit="1" customWidth="1"/>
    <col min="12791" max="12791" width="16.7109375" style="3" customWidth="1"/>
    <col min="12792" max="12792" width="16.5703125" style="3" customWidth="1"/>
    <col min="12793" max="12794" width="7.85546875" style="3" bestFit="1" customWidth="1"/>
    <col min="12795" max="12795" width="8" style="3" bestFit="1" customWidth="1"/>
    <col min="12796" max="12797" width="7.85546875" style="3" bestFit="1" customWidth="1"/>
    <col min="12798" max="12798" width="9.7109375" style="3" customWidth="1"/>
    <col min="12799" max="12799" width="12.85546875" style="3" customWidth="1"/>
    <col min="12800" max="13036" width="9.140625" style="3"/>
    <col min="13037" max="13037" width="9" style="3" bestFit="1" customWidth="1"/>
    <col min="13038" max="13038" width="9.85546875" style="3" bestFit="1" customWidth="1"/>
    <col min="13039" max="13039" width="9.140625" style="3" bestFit="1" customWidth="1"/>
    <col min="13040" max="13040" width="16" style="3" bestFit="1" customWidth="1"/>
    <col min="13041" max="13041" width="9" style="3" bestFit="1" customWidth="1"/>
    <col min="13042" max="13042" width="7.85546875" style="3" bestFit="1" customWidth="1"/>
    <col min="13043" max="13043" width="11.7109375" style="3" bestFit="1" customWidth="1"/>
    <col min="13044" max="13044" width="14.28515625" style="3" customWidth="1"/>
    <col min="13045" max="13045" width="11.7109375" style="3" bestFit="1" customWidth="1"/>
    <col min="13046" max="13046" width="14.140625" style="3" bestFit="1" customWidth="1"/>
    <col min="13047" max="13047" width="16.7109375" style="3" customWidth="1"/>
    <col min="13048" max="13048" width="16.5703125" style="3" customWidth="1"/>
    <col min="13049" max="13050" width="7.85546875" style="3" bestFit="1" customWidth="1"/>
    <col min="13051" max="13051" width="8" style="3" bestFit="1" customWidth="1"/>
    <col min="13052" max="13053" width="7.85546875" style="3" bestFit="1" customWidth="1"/>
    <col min="13054" max="13054" width="9.7109375" style="3" customWidth="1"/>
    <col min="13055" max="13055" width="12.85546875" style="3" customWidth="1"/>
    <col min="13056" max="13292" width="9.140625" style="3"/>
    <col min="13293" max="13293" width="9" style="3" bestFit="1" customWidth="1"/>
    <col min="13294" max="13294" width="9.85546875" style="3" bestFit="1" customWidth="1"/>
    <col min="13295" max="13295" width="9.140625" style="3" bestFit="1" customWidth="1"/>
    <col min="13296" max="13296" width="16" style="3" bestFit="1" customWidth="1"/>
    <col min="13297" max="13297" width="9" style="3" bestFit="1" customWidth="1"/>
    <col min="13298" max="13298" width="7.85546875" style="3" bestFit="1" customWidth="1"/>
    <col min="13299" max="13299" width="11.7109375" style="3" bestFit="1" customWidth="1"/>
    <col min="13300" max="13300" width="14.28515625" style="3" customWidth="1"/>
    <col min="13301" max="13301" width="11.7109375" style="3" bestFit="1" customWidth="1"/>
    <col min="13302" max="13302" width="14.140625" style="3" bestFit="1" customWidth="1"/>
    <col min="13303" max="13303" width="16.7109375" style="3" customWidth="1"/>
    <col min="13304" max="13304" width="16.5703125" style="3" customWidth="1"/>
    <col min="13305" max="13306" width="7.85546875" style="3" bestFit="1" customWidth="1"/>
    <col min="13307" max="13307" width="8" style="3" bestFit="1" customWidth="1"/>
    <col min="13308" max="13309" width="7.85546875" style="3" bestFit="1" customWidth="1"/>
    <col min="13310" max="13310" width="9.7109375" style="3" customWidth="1"/>
    <col min="13311" max="13311" width="12.85546875" style="3" customWidth="1"/>
    <col min="13312" max="13548" width="9.140625" style="3"/>
    <col min="13549" max="13549" width="9" style="3" bestFit="1" customWidth="1"/>
    <col min="13550" max="13550" width="9.85546875" style="3" bestFit="1" customWidth="1"/>
    <col min="13551" max="13551" width="9.140625" style="3" bestFit="1" customWidth="1"/>
    <col min="13552" max="13552" width="16" style="3" bestFit="1" customWidth="1"/>
    <col min="13553" max="13553" width="9" style="3" bestFit="1" customWidth="1"/>
    <col min="13554" max="13554" width="7.85546875" style="3" bestFit="1" customWidth="1"/>
    <col min="13555" max="13555" width="11.7109375" style="3" bestFit="1" customWidth="1"/>
    <col min="13556" max="13556" width="14.28515625" style="3" customWidth="1"/>
    <col min="13557" max="13557" width="11.7109375" style="3" bestFit="1" customWidth="1"/>
    <col min="13558" max="13558" width="14.140625" style="3" bestFit="1" customWidth="1"/>
    <col min="13559" max="13559" width="16.7109375" style="3" customWidth="1"/>
    <col min="13560" max="13560" width="16.5703125" style="3" customWidth="1"/>
    <col min="13561" max="13562" width="7.85546875" style="3" bestFit="1" customWidth="1"/>
    <col min="13563" max="13563" width="8" style="3" bestFit="1" customWidth="1"/>
    <col min="13564" max="13565" width="7.85546875" style="3" bestFit="1" customWidth="1"/>
    <col min="13566" max="13566" width="9.7109375" style="3" customWidth="1"/>
    <col min="13567" max="13567" width="12.85546875" style="3" customWidth="1"/>
    <col min="13568" max="13804" width="9.140625" style="3"/>
    <col min="13805" max="13805" width="9" style="3" bestFit="1" customWidth="1"/>
    <col min="13806" max="13806" width="9.85546875" style="3" bestFit="1" customWidth="1"/>
    <col min="13807" max="13807" width="9.140625" style="3" bestFit="1" customWidth="1"/>
    <col min="13808" max="13808" width="16" style="3" bestFit="1" customWidth="1"/>
    <col min="13809" max="13809" width="9" style="3" bestFit="1" customWidth="1"/>
    <col min="13810" max="13810" width="7.85546875" style="3" bestFit="1" customWidth="1"/>
    <col min="13811" max="13811" width="11.7109375" style="3" bestFit="1" customWidth="1"/>
    <col min="13812" max="13812" width="14.28515625" style="3" customWidth="1"/>
    <col min="13813" max="13813" width="11.7109375" style="3" bestFit="1" customWidth="1"/>
    <col min="13814" max="13814" width="14.140625" style="3" bestFit="1" customWidth="1"/>
    <col min="13815" max="13815" width="16.7109375" style="3" customWidth="1"/>
    <col min="13816" max="13816" width="16.5703125" style="3" customWidth="1"/>
    <col min="13817" max="13818" width="7.85546875" style="3" bestFit="1" customWidth="1"/>
    <col min="13819" max="13819" width="8" style="3" bestFit="1" customWidth="1"/>
    <col min="13820" max="13821" width="7.85546875" style="3" bestFit="1" customWidth="1"/>
    <col min="13822" max="13822" width="9.7109375" style="3" customWidth="1"/>
    <col min="13823" max="13823" width="12.85546875" style="3" customWidth="1"/>
    <col min="13824" max="14060" width="9.140625" style="3"/>
    <col min="14061" max="14061" width="9" style="3" bestFit="1" customWidth="1"/>
    <col min="14062" max="14062" width="9.85546875" style="3" bestFit="1" customWidth="1"/>
    <col min="14063" max="14063" width="9.140625" style="3" bestFit="1" customWidth="1"/>
    <col min="14064" max="14064" width="16" style="3" bestFit="1" customWidth="1"/>
    <col min="14065" max="14065" width="9" style="3" bestFit="1" customWidth="1"/>
    <col min="14066" max="14066" width="7.85546875" style="3" bestFit="1" customWidth="1"/>
    <col min="14067" max="14067" width="11.7109375" style="3" bestFit="1" customWidth="1"/>
    <col min="14068" max="14068" width="14.28515625" style="3" customWidth="1"/>
    <col min="14069" max="14069" width="11.7109375" style="3" bestFit="1" customWidth="1"/>
    <col min="14070" max="14070" width="14.140625" style="3" bestFit="1" customWidth="1"/>
    <col min="14071" max="14071" width="16.7109375" style="3" customWidth="1"/>
    <col min="14072" max="14072" width="16.5703125" style="3" customWidth="1"/>
    <col min="14073" max="14074" width="7.85546875" style="3" bestFit="1" customWidth="1"/>
    <col min="14075" max="14075" width="8" style="3" bestFit="1" customWidth="1"/>
    <col min="14076" max="14077" width="7.85546875" style="3" bestFit="1" customWidth="1"/>
    <col min="14078" max="14078" width="9.7109375" style="3" customWidth="1"/>
    <col min="14079" max="14079" width="12.85546875" style="3" customWidth="1"/>
    <col min="14080" max="14316" width="9.140625" style="3"/>
    <col min="14317" max="14317" width="9" style="3" bestFit="1" customWidth="1"/>
    <col min="14318" max="14318" width="9.85546875" style="3" bestFit="1" customWidth="1"/>
    <col min="14319" max="14319" width="9.140625" style="3" bestFit="1" customWidth="1"/>
    <col min="14320" max="14320" width="16" style="3" bestFit="1" customWidth="1"/>
    <col min="14321" max="14321" width="9" style="3" bestFit="1" customWidth="1"/>
    <col min="14322" max="14322" width="7.85546875" style="3" bestFit="1" customWidth="1"/>
    <col min="14323" max="14323" width="11.7109375" style="3" bestFit="1" customWidth="1"/>
    <col min="14324" max="14324" width="14.28515625" style="3" customWidth="1"/>
    <col min="14325" max="14325" width="11.7109375" style="3" bestFit="1" customWidth="1"/>
    <col min="14326" max="14326" width="14.140625" style="3" bestFit="1" customWidth="1"/>
    <col min="14327" max="14327" width="16.7109375" style="3" customWidth="1"/>
    <col min="14328" max="14328" width="16.5703125" style="3" customWidth="1"/>
    <col min="14329" max="14330" width="7.85546875" style="3" bestFit="1" customWidth="1"/>
    <col min="14331" max="14331" width="8" style="3" bestFit="1" customWidth="1"/>
    <col min="14332" max="14333" width="7.85546875" style="3" bestFit="1" customWidth="1"/>
    <col min="14334" max="14334" width="9.7109375" style="3" customWidth="1"/>
    <col min="14335" max="14335" width="12.85546875" style="3" customWidth="1"/>
    <col min="14336" max="14572" width="9.140625" style="3"/>
    <col min="14573" max="14573" width="9" style="3" bestFit="1" customWidth="1"/>
    <col min="14574" max="14574" width="9.85546875" style="3" bestFit="1" customWidth="1"/>
    <col min="14575" max="14575" width="9.140625" style="3" bestFit="1" customWidth="1"/>
    <col min="14576" max="14576" width="16" style="3" bestFit="1" customWidth="1"/>
    <col min="14577" max="14577" width="9" style="3" bestFit="1" customWidth="1"/>
    <col min="14578" max="14578" width="7.85546875" style="3" bestFit="1" customWidth="1"/>
    <col min="14579" max="14579" width="11.7109375" style="3" bestFit="1" customWidth="1"/>
    <col min="14580" max="14580" width="14.28515625" style="3" customWidth="1"/>
    <col min="14581" max="14581" width="11.7109375" style="3" bestFit="1" customWidth="1"/>
    <col min="14582" max="14582" width="14.140625" style="3" bestFit="1" customWidth="1"/>
    <col min="14583" max="14583" width="16.7109375" style="3" customWidth="1"/>
    <col min="14584" max="14584" width="16.5703125" style="3" customWidth="1"/>
    <col min="14585" max="14586" width="7.85546875" style="3" bestFit="1" customWidth="1"/>
    <col min="14587" max="14587" width="8" style="3" bestFit="1" customWidth="1"/>
    <col min="14588" max="14589" width="7.85546875" style="3" bestFit="1" customWidth="1"/>
    <col min="14590" max="14590" width="9.7109375" style="3" customWidth="1"/>
    <col min="14591" max="14591" width="12.85546875" style="3" customWidth="1"/>
    <col min="14592" max="14828" width="9.140625" style="3"/>
    <col min="14829" max="14829" width="9" style="3" bestFit="1" customWidth="1"/>
    <col min="14830" max="14830" width="9.85546875" style="3" bestFit="1" customWidth="1"/>
    <col min="14831" max="14831" width="9.140625" style="3" bestFit="1" customWidth="1"/>
    <col min="14832" max="14832" width="16" style="3" bestFit="1" customWidth="1"/>
    <col min="14833" max="14833" width="9" style="3" bestFit="1" customWidth="1"/>
    <col min="14834" max="14834" width="7.85546875" style="3" bestFit="1" customWidth="1"/>
    <col min="14835" max="14835" width="11.7109375" style="3" bestFit="1" customWidth="1"/>
    <col min="14836" max="14836" width="14.28515625" style="3" customWidth="1"/>
    <col min="14837" max="14837" width="11.7109375" style="3" bestFit="1" customWidth="1"/>
    <col min="14838" max="14838" width="14.140625" style="3" bestFit="1" customWidth="1"/>
    <col min="14839" max="14839" width="16.7109375" style="3" customWidth="1"/>
    <col min="14840" max="14840" width="16.5703125" style="3" customWidth="1"/>
    <col min="14841" max="14842" width="7.85546875" style="3" bestFit="1" customWidth="1"/>
    <col min="14843" max="14843" width="8" style="3" bestFit="1" customWidth="1"/>
    <col min="14844" max="14845" width="7.85546875" style="3" bestFit="1" customWidth="1"/>
    <col min="14846" max="14846" width="9.7109375" style="3" customWidth="1"/>
    <col min="14847" max="14847" width="12.85546875" style="3" customWidth="1"/>
    <col min="14848" max="15084" width="9.140625" style="3"/>
    <col min="15085" max="15085" width="9" style="3" bestFit="1" customWidth="1"/>
    <col min="15086" max="15086" width="9.85546875" style="3" bestFit="1" customWidth="1"/>
    <col min="15087" max="15087" width="9.140625" style="3" bestFit="1" customWidth="1"/>
    <col min="15088" max="15088" width="16" style="3" bestFit="1" customWidth="1"/>
    <col min="15089" max="15089" width="9" style="3" bestFit="1" customWidth="1"/>
    <col min="15090" max="15090" width="7.85546875" style="3" bestFit="1" customWidth="1"/>
    <col min="15091" max="15091" width="11.7109375" style="3" bestFit="1" customWidth="1"/>
    <col min="15092" max="15092" width="14.28515625" style="3" customWidth="1"/>
    <col min="15093" max="15093" width="11.7109375" style="3" bestFit="1" customWidth="1"/>
    <col min="15094" max="15094" width="14.140625" style="3" bestFit="1" customWidth="1"/>
    <col min="15095" max="15095" width="16.7109375" style="3" customWidth="1"/>
    <col min="15096" max="15096" width="16.5703125" style="3" customWidth="1"/>
    <col min="15097" max="15098" width="7.85546875" style="3" bestFit="1" customWidth="1"/>
    <col min="15099" max="15099" width="8" style="3" bestFit="1" customWidth="1"/>
    <col min="15100" max="15101" width="7.85546875" style="3" bestFit="1" customWidth="1"/>
    <col min="15102" max="15102" width="9.7109375" style="3" customWidth="1"/>
    <col min="15103" max="15103" width="12.85546875" style="3" customWidth="1"/>
    <col min="15104" max="15340" width="9.140625" style="3"/>
    <col min="15341" max="15341" width="9" style="3" bestFit="1" customWidth="1"/>
    <col min="15342" max="15342" width="9.85546875" style="3" bestFit="1" customWidth="1"/>
    <col min="15343" max="15343" width="9.140625" style="3" bestFit="1" customWidth="1"/>
    <col min="15344" max="15344" width="16" style="3" bestFit="1" customWidth="1"/>
    <col min="15345" max="15345" width="9" style="3" bestFit="1" customWidth="1"/>
    <col min="15346" max="15346" width="7.85546875" style="3" bestFit="1" customWidth="1"/>
    <col min="15347" max="15347" width="11.7109375" style="3" bestFit="1" customWidth="1"/>
    <col min="15348" max="15348" width="14.28515625" style="3" customWidth="1"/>
    <col min="15349" max="15349" width="11.7109375" style="3" bestFit="1" customWidth="1"/>
    <col min="15350" max="15350" width="14.140625" style="3" bestFit="1" customWidth="1"/>
    <col min="15351" max="15351" width="16.7109375" style="3" customWidth="1"/>
    <col min="15352" max="15352" width="16.5703125" style="3" customWidth="1"/>
    <col min="15353" max="15354" width="7.85546875" style="3" bestFit="1" customWidth="1"/>
    <col min="15355" max="15355" width="8" style="3" bestFit="1" customWidth="1"/>
    <col min="15356" max="15357" width="7.85546875" style="3" bestFit="1" customWidth="1"/>
    <col min="15358" max="15358" width="9.7109375" style="3" customWidth="1"/>
    <col min="15359" max="15359" width="12.85546875" style="3" customWidth="1"/>
    <col min="15360" max="15596" width="9.140625" style="3"/>
    <col min="15597" max="15597" width="9" style="3" bestFit="1" customWidth="1"/>
    <col min="15598" max="15598" width="9.85546875" style="3" bestFit="1" customWidth="1"/>
    <col min="15599" max="15599" width="9.140625" style="3" bestFit="1" customWidth="1"/>
    <col min="15600" max="15600" width="16" style="3" bestFit="1" customWidth="1"/>
    <col min="15601" max="15601" width="9" style="3" bestFit="1" customWidth="1"/>
    <col min="15602" max="15602" width="7.85546875" style="3" bestFit="1" customWidth="1"/>
    <col min="15603" max="15603" width="11.7109375" style="3" bestFit="1" customWidth="1"/>
    <col min="15604" max="15604" width="14.28515625" style="3" customWidth="1"/>
    <col min="15605" max="15605" width="11.7109375" style="3" bestFit="1" customWidth="1"/>
    <col min="15606" max="15606" width="14.140625" style="3" bestFit="1" customWidth="1"/>
    <col min="15607" max="15607" width="16.7109375" style="3" customWidth="1"/>
    <col min="15608" max="15608" width="16.5703125" style="3" customWidth="1"/>
    <col min="15609" max="15610" width="7.85546875" style="3" bestFit="1" customWidth="1"/>
    <col min="15611" max="15611" width="8" style="3" bestFit="1" customWidth="1"/>
    <col min="15612" max="15613" width="7.85546875" style="3" bestFit="1" customWidth="1"/>
    <col min="15614" max="15614" width="9.7109375" style="3" customWidth="1"/>
    <col min="15615" max="15615" width="12.85546875" style="3" customWidth="1"/>
    <col min="15616" max="15852" width="9.140625" style="3"/>
    <col min="15853" max="15853" width="9" style="3" bestFit="1" customWidth="1"/>
    <col min="15854" max="15854" width="9.85546875" style="3" bestFit="1" customWidth="1"/>
    <col min="15855" max="15855" width="9.140625" style="3" bestFit="1" customWidth="1"/>
    <col min="15856" max="15856" width="16" style="3" bestFit="1" customWidth="1"/>
    <col min="15857" max="15857" width="9" style="3" bestFit="1" customWidth="1"/>
    <col min="15858" max="15858" width="7.85546875" style="3" bestFit="1" customWidth="1"/>
    <col min="15859" max="15859" width="11.7109375" style="3" bestFit="1" customWidth="1"/>
    <col min="15860" max="15860" width="14.28515625" style="3" customWidth="1"/>
    <col min="15861" max="15861" width="11.7109375" style="3" bestFit="1" customWidth="1"/>
    <col min="15862" max="15862" width="14.140625" style="3" bestFit="1" customWidth="1"/>
    <col min="15863" max="15863" width="16.7109375" style="3" customWidth="1"/>
    <col min="15864" max="15864" width="16.5703125" style="3" customWidth="1"/>
    <col min="15865" max="15866" width="7.85546875" style="3" bestFit="1" customWidth="1"/>
    <col min="15867" max="15867" width="8" style="3" bestFit="1" customWidth="1"/>
    <col min="15868" max="15869" width="7.85546875" style="3" bestFit="1" customWidth="1"/>
    <col min="15870" max="15870" width="9.7109375" style="3" customWidth="1"/>
    <col min="15871" max="15871" width="12.85546875" style="3" customWidth="1"/>
    <col min="15872" max="16108" width="9.140625" style="3"/>
    <col min="16109" max="16109" width="9" style="3" bestFit="1" customWidth="1"/>
    <col min="16110" max="16110" width="9.85546875" style="3" bestFit="1" customWidth="1"/>
    <col min="16111" max="16111" width="9.140625" style="3" bestFit="1" customWidth="1"/>
    <col min="16112" max="16112" width="16" style="3" bestFit="1" customWidth="1"/>
    <col min="16113" max="16113" width="9" style="3" bestFit="1" customWidth="1"/>
    <col min="16114" max="16114" width="7.85546875" style="3" bestFit="1" customWidth="1"/>
    <col min="16115" max="16115" width="11.7109375" style="3" bestFit="1" customWidth="1"/>
    <col min="16116" max="16116" width="14.28515625" style="3" customWidth="1"/>
    <col min="16117" max="16117" width="11.7109375" style="3" bestFit="1" customWidth="1"/>
    <col min="16118" max="16118" width="14.140625" style="3" bestFit="1" customWidth="1"/>
    <col min="16119" max="16119" width="16.7109375" style="3" customWidth="1"/>
    <col min="16120" max="16120" width="16.5703125" style="3" customWidth="1"/>
    <col min="16121" max="16122" width="7.85546875" style="3" bestFit="1" customWidth="1"/>
    <col min="16123" max="16123" width="8" style="3" bestFit="1" customWidth="1"/>
    <col min="16124" max="16125" width="7.85546875" style="3" bestFit="1" customWidth="1"/>
    <col min="16126" max="16126" width="9.7109375" style="3" customWidth="1"/>
    <col min="16127" max="16127" width="12.85546875" style="3" customWidth="1"/>
    <col min="16128" max="16384" width="9.140625" style="3"/>
  </cols>
  <sheetData>
    <row r="1" spans="1:28" s="6" customFormat="1" ht="24.75" customHeight="1">
      <c r="A1" s="755" t="s">
        <v>1</v>
      </c>
      <c r="B1" s="757" t="s">
        <v>2</v>
      </c>
      <c r="C1" s="759" t="s">
        <v>0</v>
      </c>
      <c r="D1" s="761" t="s">
        <v>60</v>
      </c>
      <c r="E1" s="771" t="s">
        <v>539</v>
      </c>
      <c r="F1" s="769" t="s">
        <v>81</v>
      </c>
      <c r="G1" s="770"/>
      <c r="H1" s="770"/>
      <c r="I1" s="770"/>
      <c r="J1" s="770"/>
      <c r="K1" s="770"/>
      <c r="L1" s="770"/>
      <c r="M1" s="765" t="s">
        <v>351</v>
      </c>
      <c r="N1" s="765"/>
      <c r="O1" s="763" t="s">
        <v>61</v>
      </c>
      <c r="P1" s="764"/>
      <c r="Q1" s="766" t="s">
        <v>29</v>
      </c>
      <c r="R1" s="767"/>
      <c r="S1" s="767"/>
      <c r="T1" s="767"/>
      <c r="U1" s="767"/>
      <c r="V1" s="767"/>
      <c r="W1" s="767"/>
      <c r="X1" s="767"/>
      <c r="Y1" s="767"/>
      <c r="Z1" s="767"/>
      <c r="AA1" s="767"/>
      <c r="AB1" s="768"/>
    </row>
    <row r="2" spans="1:28" ht="15.75" customHeight="1" thickBot="1">
      <c r="A2" s="756"/>
      <c r="B2" s="758"/>
      <c r="C2" s="760"/>
      <c r="D2" s="762"/>
      <c r="E2" s="762"/>
      <c r="F2" s="80" t="s">
        <v>90</v>
      </c>
      <c r="G2" s="80" t="s">
        <v>3</v>
      </c>
      <c r="H2" s="80" t="s">
        <v>129</v>
      </c>
      <c r="I2" s="80" t="s">
        <v>91</v>
      </c>
      <c r="J2" s="80" t="s">
        <v>92</v>
      </c>
      <c r="K2" s="80" t="s">
        <v>93</v>
      </c>
      <c r="L2" s="90" t="s">
        <v>127</v>
      </c>
      <c r="M2" s="57" t="s">
        <v>23</v>
      </c>
      <c r="N2" s="148" t="s">
        <v>517</v>
      </c>
      <c r="O2" s="140" t="s">
        <v>23</v>
      </c>
      <c r="P2" s="89" t="s">
        <v>128</v>
      </c>
      <c r="Q2" s="305">
        <v>1</v>
      </c>
      <c r="R2" s="150" t="s">
        <v>209</v>
      </c>
      <c r="S2" s="150" t="s">
        <v>210</v>
      </c>
      <c r="T2" s="150" t="s">
        <v>211</v>
      </c>
      <c r="U2" s="150" t="s">
        <v>212</v>
      </c>
      <c r="V2" s="150" t="s">
        <v>361</v>
      </c>
      <c r="W2" s="150" t="s">
        <v>362</v>
      </c>
      <c r="X2" s="150" t="s">
        <v>363</v>
      </c>
      <c r="Y2" s="150" t="s">
        <v>364</v>
      </c>
      <c r="Z2" s="150"/>
      <c r="AA2" s="150"/>
      <c r="AB2" s="151"/>
    </row>
    <row r="3" spans="1:28" s="5" customFormat="1">
      <c r="A3" s="391" t="s">
        <v>710</v>
      </c>
      <c r="B3" s="413">
        <v>27790</v>
      </c>
      <c r="C3" s="414" t="s">
        <v>505</v>
      </c>
      <c r="D3" s="412">
        <v>24000000</v>
      </c>
      <c r="E3" s="516">
        <f>D3/340.75</f>
        <v>70432.868672046956</v>
      </c>
      <c r="F3" s="261">
        <f>'2-δικαιώμ'!N3</f>
        <v>204769</v>
      </c>
      <c r="G3" s="261">
        <f>'3-φύλλα2α'!G3</f>
        <v>600</v>
      </c>
      <c r="H3" s="261">
        <f>'4-πολλυπρ'!P3</f>
        <v>0</v>
      </c>
      <c r="I3" s="278">
        <f>'5-αντίγρ'!N3</f>
        <v>0</v>
      </c>
      <c r="J3" s="278">
        <f>'6-μεταγρ'!I3</f>
        <v>0</v>
      </c>
      <c r="K3" s="278">
        <f>'7-προςΔΟΥ'!F3</f>
        <v>0</v>
      </c>
      <c r="L3" s="278"/>
      <c r="M3" s="261">
        <f t="shared" ref="M3:M18" si="0">F3+G3+H3+I3+J3+K3+L3</f>
        <v>205369</v>
      </c>
      <c r="N3" s="261"/>
      <c r="O3" s="262">
        <f>N3-Q3-'14-βιβλΕσ'!M3-'8-κ-15-17'!AF3</f>
        <v>0</v>
      </c>
      <c r="P3" s="262">
        <f t="shared" ref="P3:P18" si="1">M3-O3</f>
        <v>205369</v>
      </c>
      <c r="Q3" s="349">
        <f>'1β-ΤΑΧΔΙΚκλπ'!J2</f>
        <v>0</v>
      </c>
      <c r="R3" s="350"/>
      <c r="S3" s="350"/>
      <c r="T3" s="350"/>
      <c r="U3" s="350"/>
      <c r="V3" s="350"/>
      <c r="W3" s="350"/>
      <c r="X3" s="350"/>
      <c r="Y3" s="350"/>
      <c r="Z3" s="350"/>
      <c r="AA3" s="288"/>
      <c r="AB3" s="288"/>
    </row>
    <row r="4" spans="1:28" s="5" customFormat="1">
      <c r="A4" s="391"/>
      <c r="B4" s="413"/>
      <c r="C4" s="414" t="s">
        <v>498</v>
      </c>
      <c r="D4" s="412">
        <v>26666666</v>
      </c>
      <c r="E4" s="516">
        <f t="shared" ref="E4:E22" si="2">D4/340.75</f>
        <v>78258.741012472485</v>
      </c>
      <c r="F4" s="261">
        <f>'2-δικαιώμ'!N4</f>
        <v>227435.66100000002</v>
      </c>
      <c r="G4" s="261">
        <f>'3-φύλλα2α'!G4</f>
        <v>600</v>
      </c>
      <c r="H4" s="261">
        <f>'4-πολλυπρ'!P4</f>
        <v>0</v>
      </c>
      <c r="I4" s="278">
        <f>'5-αντίγρ'!N4</f>
        <v>0</v>
      </c>
      <c r="J4" s="278">
        <f>'6-μεταγρ'!I4</f>
        <v>1200</v>
      </c>
      <c r="K4" s="278">
        <f>'7-προςΔΟΥ'!F4</f>
        <v>0</v>
      </c>
      <c r="L4" s="278"/>
      <c r="M4" s="261">
        <f t="shared" si="0"/>
        <v>229235.66100000002</v>
      </c>
      <c r="N4" s="261"/>
      <c r="O4" s="262">
        <f>N4-Q4-'14-βιβλΕσ'!M4-'8-κ-15-17'!AF4</f>
        <v>0</v>
      </c>
      <c r="P4" s="262">
        <f t="shared" si="1"/>
        <v>229235.66100000002</v>
      </c>
      <c r="Q4" s="349">
        <f>'1β-ΤΑΧΔΙΚκλπ'!J3</f>
        <v>0</v>
      </c>
      <c r="R4" s="350"/>
      <c r="S4" s="350"/>
      <c r="T4" s="350"/>
      <c r="U4" s="350"/>
      <c r="V4" s="350"/>
      <c r="W4" s="350"/>
      <c r="X4" s="350"/>
      <c r="Y4" s="350"/>
      <c r="Z4" s="350"/>
      <c r="AA4" s="288"/>
      <c r="AB4" s="288"/>
    </row>
    <row r="5" spans="1:28" s="5" customFormat="1" ht="12" thickBot="1">
      <c r="A5" s="340"/>
      <c r="B5" s="341"/>
      <c r="C5" s="416" t="s">
        <v>508</v>
      </c>
      <c r="D5" s="417">
        <v>51111111</v>
      </c>
      <c r="E5" s="518">
        <f t="shared" si="2"/>
        <v>149995.92369772561</v>
      </c>
      <c r="F5" s="354">
        <f>'2-δικαιώμ'!N5</f>
        <v>435213.44349999999</v>
      </c>
      <c r="G5" s="354">
        <f>'3-φύλλα2α'!G5</f>
        <v>600</v>
      </c>
      <c r="H5" s="354">
        <f>'4-πολλυπρ'!P5</f>
        <v>0</v>
      </c>
      <c r="I5" s="260">
        <f>'5-αντίγρ'!N5</f>
        <v>0</v>
      </c>
      <c r="J5" s="260">
        <f>'6-μεταγρ'!I5</f>
        <v>0</v>
      </c>
      <c r="K5" s="260">
        <f>'7-προςΔΟΥ'!F5</f>
        <v>0</v>
      </c>
      <c r="L5" s="260"/>
      <c r="M5" s="354">
        <f t="shared" si="0"/>
        <v>435813.44349999999</v>
      </c>
      <c r="N5" s="354"/>
      <c r="O5" s="264">
        <f>N5-Q5-'14-βιβλΕσ'!M5-'8-κ-15-17'!AF5</f>
        <v>0</v>
      </c>
      <c r="P5" s="264">
        <f t="shared" si="1"/>
        <v>435813.44349999999</v>
      </c>
      <c r="Q5" s="349">
        <f>'1β-ΤΑΧΔΙΚκλπ'!J4</f>
        <v>0</v>
      </c>
      <c r="R5" s="277"/>
      <c r="S5" s="277"/>
      <c r="T5" s="277"/>
      <c r="U5" s="277"/>
      <c r="V5" s="350"/>
      <c r="W5" s="277"/>
      <c r="X5" s="277"/>
      <c r="Y5" s="277"/>
      <c r="Z5" s="277"/>
      <c r="AA5" s="67"/>
      <c r="AB5" s="67"/>
    </row>
    <row r="6" spans="1:28" s="5" customFormat="1">
      <c r="A6" s="339" t="s">
        <v>709</v>
      </c>
      <c r="B6" s="304">
        <v>30161</v>
      </c>
      <c r="C6" s="347" t="s">
        <v>505</v>
      </c>
      <c r="D6" s="452">
        <v>5000000</v>
      </c>
      <c r="E6" s="516">
        <f t="shared" si="2"/>
        <v>14673.514306676449</v>
      </c>
      <c r="F6" s="354">
        <f>'2-δικαιώμ'!N6</f>
        <v>43269</v>
      </c>
      <c r="G6" s="354">
        <f>'3-φύλλα2α'!G6</f>
        <v>600</v>
      </c>
      <c r="H6" s="354">
        <f>'4-πολλυπρ'!P6</f>
        <v>0</v>
      </c>
      <c r="I6" s="260">
        <f>'5-αντίγρ'!N6</f>
        <v>0</v>
      </c>
      <c r="J6" s="260">
        <f>'6-μεταγρ'!I6</f>
        <v>0</v>
      </c>
      <c r="K6" s="260">
        <f>'7-προςΔΟΥ'!F6</f>
        <v>0</v>
      </c>
      <c r="L6" s="260"/>
      <c r="M6" s="354">
        <f t="shared" si="0"/>
        <v>43869</v>
      </c>
      <c r="N6" s="354"/>
      <c r="O6" s="264">
        <f>N6-Q6-'14-βιβλΕσ'!M6-'8-κ-15-17'!AF6</f>
        <v>0</v>
      </c>
      <c r="P6" s="264">
        <f t="shared" si="1"/>
        <v>43869</v>
      </c>
      <c r="Q6" s="349">
        <f>'1β-ΤΑΧΔΙΚκλπ'!J5</f>
        <v>0</v>
      </c>
      <c r="R6" s="277"/>
      <c r="S6" s="277"/>
      <c r="T6" s="277"/>
      <c r="U6" s="277"/>
      <c r="V6" s="350"/>
      <c r="W6" s="277"/>
      <c r="X6" s="277"/>
      <c r="Y6" s="277"/>
      <c r="Z6" s="277"/>
      <c r="AA6" s="67"/>
      <c r="AB6" s="67"/>
    </row>
    <row r="7" spans="1:28" s="5" customFormat="1">
      <c r="A7" s="391"/>
      <c r="B7" s="413"/>
      <c r="C7" s="414" t="s">
        <v>498</v>
      </c>
      <c r="D7" s="412">
        <v>6666666</v>
      </c>
      <c r="E7" s="516">
        <f t="shared" si="2"/>
        <v>19564.683785766691</v>
      </c>
      <c r="F7" s="354">
        <f>'2-δικαιώμ'!N7</f>
        <v>57435.661000000007</v>
      </c>
      <c r="G7" s="354">
        <f>'3-φύλλα2α'!G7</f>
        <v>600</v>
      </c>
      <c r="H7" s="354">
        <f>'4-πολλυπρ'!P7</f>
        <v>0</v>
      </c>
      <c r="I7" s="260">
        <f>'5-αντίγρ'!N7</f>
        <v>0</v>
      </c>
      <c r="J7" s="260">
        <f>'6-μεταγρ'!I7</f>
        <v>1200</v>
      </c>
      <c r="K7" s="260">
        <f>'7-προςΔΟΥ'!F7</f>
        <v>0</v>
      </c>
      <c r="L7" s="260"/>
      <c r="M7" s="354">
        <f t="shared" si="0"/>
        <v>59235.661000000007</v>
      </c>
      <c r="N7" s="354"/>
      <c r="O7" s="264">
        <f>N7-Q7-'14-βιβλΕσ'!M7-'8-κ-15-17'!AF7</f>
        <v>0</v>
      </c>
      <c r="P7" s="264">
        <f t="shared" si="1"/>
        <v>59235.661000000007</v>
      </c>
      <c r="Q7" s="349">
        <f>'1β-ΤΑΧΔΙΚκλπ'!J6</f>
        <v>0</v>
      </c>
      <c r="R7" s="277"/>
      <c r="S7" s="277"/>
      <c r="T7" s="277"/>
      <c r="U7" s="277"/>
      <c r="V7" s="350"/>
      <c r="W7" s="277"/>
      <c r="X7" s="277"/>
      <c r="Y7" s="277"/>
      <c r="Z7" s="277"/>
      <c r="AA7" s="67"/>
      <c r="AB7" s="67"/>
    </row>
    <row r="8" spans="1:28" s="5" customFormat="1" ht="12" thickBot="1">
      <c r="A8" s="340"/>
      <c r="B8" s="341"/>
      <c r="C8" s="416" t="s">
        <v>506</v>
      </c>
      <c r="D8" s="417">
        <v>11111111</v>
      </c>
      <c r="E8" s="518">
        <f t="shared" si="2"/>
        <v>32607.809244314012</v>
      </c>
      <c r="F8" s="354">
        <f>'2-δικαιώμ'!N8</f>
        <v>95213.443499999994</v>
      </c>
      <c r="G8" s="354">
        <f>'3-φύλλα2α'!G8</f>
        <v>600</v>
      </c>
      <c r="H8" s="354">
        <f>'4-πολλυπρ'!P8</f>
        <v>0</v>
      </c>
      <c r="I8" s="260">
        <f>'5-αντίγρ'!N8</f>
        <v>0</v>
      </c>
      <c r="J8" s="260">
        <f>'6-μεταγρ'!I8</f>
        <v>0</v>
      </c>
      <c r="K8" s="260">
        <f>'7-προςΔΟΥ'!F8</f>
        <v>0</v>
      </c>
      <c r="L8" s="260"/>
      <c r="M8" s="354">
        <f t="shared" si="0"/>
        <v>95813.443499999994</v>
      </c>
      <c r="N8" s="354"/>
      <c r="O8" s="264">
        <f>N8-Q8-'14-βιβλΕσ'!M8-'8-κ-15-17'!AF8</f>
        <v>0</v>
      </c>
      <c r="P8" s="264">
        <f t="shared" si="1"/>
        <v>95813.443499999994</v>
      </c>
      <c r="Q8" s="349">
        <f>'1β-ΤΑΧΔΙΚκλπ'!J7</f>
        <v>0</v>
      </c>
      <c r="R8" s="277"/>
      <c r="S8" s="277"/>
      <c r="T8" s="277"/>
      <c r="U8" s="277"/>
      <c r="V8" s="350"/>
      <c r="W8" s="277"/>
      <c r="X8" s="277"/>
      <c r="Y8" s="277"/>
      <c r="Z8" s="277"/>
      <c r="AA8" s="67"/>
      <c r="AB8" s="67"/>
    </row>
    <row r="9" spans="1:28" s="5" customFormat="1" ht="12" thickBot="1">
      <c r="A9" s="453" t="s">
        <v>683</v>
      </c>
      <c r="B9" s="454">
        <v>30265</v>
      </c>
      <c r="C9" s="455" t="s">
        <v>504</v>
      </c>
      <c r="D9" s="456">
        <v>20000</v>
      </c>
      <c r="E9" s="517">
        <f t="shared" si="2"/>
        <v>58.694057226705795</v>
      </c>
      <c r="F9" s="343">
        <f>'2-δικαιώμ'!N9</f>
        <v>1109</v>
      </c>
      <c r="G9" s="343">
        <f>'3-φύλλα2α'!G9</f>
        <v>600</v>
      </c>
      <c r="H9" s="343">
        <f>'4-πολλυπρ'!P9</f>
        <v>0</v>
      </c>
      <c r="I9" s="342">
        <f>'5-αντίγρ'!N9</f>
        <v>1246</v>
      </c>
      <c r="J9" s="342">
        <f>'6-μεταγρ'!I9</f>
        <v>600</v>
      </c>
      <c r="K9" s="342">
        <f>'7-προςΔΟΥ'!F9</f>
        <v>0</v>
      </c>
      <c r="L9" s="342"/>
      <c r="M9" s="343">
        <f t="shared" si="0"/>
        <v>3555</v>
      </c>
      <c r="N9" s="343">
        <v>1016</v>
      </c>
      <c r="O9" s="344"/>
      <c r="P9" s="344">
        <f t="shared" si="1"/>
        <v>3555</v>
      </c>
      <c r="Q9" s="345">
        <f>'1β-ΤΑΧΔΙΚκλπ'!J8</f>
        <v>260</v>
      </c>
      <c r="R9" s="418"/>
      <c r="S9" s="418"/>
      <c r="T9" s="418"/>
      <c r="U9" s="418"/>
      <c r="V9" s="350"/>
      <c r="W9" s="277"/>
      <c r="X9" s="277"/>
      <c r="Y9" s="277"/>
      <c r="Z9" s="277"/>
      <c r="AA9" s="67"/>
      <c r="AB9" s="67"/>
    </row>
    <row r="10" spans="1:28" s="5" customFormat="1">
      <c r="A10" s="485" t="s">
        <v>684</v>
      </c>
      <c r="B10" s="304">
        <v>30160</v>
      </c>
      <c r="C10" s="347" t="s">
        <v>681</v>
      </c>
      <c r="D10" s="452">
        <v>1000000</v>
      </c>
      <c r="E10" s="516">
        <f t="shared" si="2"/>
        <v>2934.70286133529</v>
      </c>
      <c r="F10" s="261">
        <f>'2-δικαιώμ'!N10</f>
        <v>9269</v>
      </c>
      <c r="G10" s="261">
        <f>'3-φύλλα2α'!G10</f>
        <v>300</v>
      </c>
      <c r="H10" s="261">
        <f>'4-πολλυπρ'!P10</f>
        <v>0</v>
      </c>
      <c r="I10" s="278">
        <f>'5-αντίγρ'!N10</f>
        <v>712</v>
      </c>
      <c r="J10" s="278">
        <f>'6-μεταγρ'!I10</f>
        <v>900</v>
      </c>
      <c r="K10" s="278">
        <f>'7-προςΔΟΥ'!F10</f>
        <v>600</v>
      </c>
      <c r="L10" s="278"/>
      <c r="M10" s="261">
        <f t="shared" si="0"/>
        <v>11781</v>
      </c>
      <c r="N10" s="261">
        <v>11168</v>
      </c>
      <c r="O10" s="262">
        <f>N10-Q10-'14-βιβλΕσ'!M10-'8-κ-15-17'!AF10-200</f>
        <v>9786</v>
      </c>
      <c r="P10" s="262">
        <f t="shared" si="1"/>
        <v>1995</v>
      </c>
      <c r="Q10" s="349">
        <f>'1β-ΤΑΧΔΙΚκλπ'!J9</f>
        <v>310</v>
      </c>
      <c r="R10" s="350"/>
      <c r="S10" s="350"/>
      <c r="T10" s="350"/>
      <c r="U10" s="350"/>
      <c r="V10" s="350" t="s">
        <v>520</v>
      </c>
      <c r="W10" s="350"/>
      <c r="X10" s="350"/>
      <c r="Y10" s="350"/>
      <c r="Z10" s="350"/>
      <c r="AA10" s="288"/>
      <c r="AB10" s="288"/>
    </row>
    <row r="11" spans="1:28" s="5" customFormat="1">
      <c r="A11" s="428"/>
      <c r="B11" s="304"/>
      <c r="C11" s="347" t="s">
        <v>526</v>
      </c>
      <c r="D11" s="481">
        <v>11111111</v>
      </c>
      <c r="E11" s="519">
        <f t="shared" si="2"/>
        <v>32607.809244314012</v>
      </c>
      <c r="F11" s="261">
        <f>'2-δικαιώμ'!N11</f>
        <v>95213.443499999994</v>
      </c>
      <c r="G11" s="261">
        <f>'3-φύλλα2α'!G11</f>
        <v>300</v>
      </c>
      <c r="H11" s="261">
        <f>'4-πολλυπρ'!P11</f>
        <v>0</v>
      </c>
      <c r="I11" s="278">
        <f>'5-αντίγρ'!N11</f>
        <v>0</v>
      </c>
      <c r="J11" s="278">
        <f>'6-μεταγρ'!I11</f>
        <v>0</v>
      </c>
      <c r="K11" s="278">
        <f>'7-προςΔΟΥ'!F11</f>
        <v>600</v>
      </c>
      <c r="L11" s="278"/>
      <c r="M11" s="261">
        <f t="shared" si="0"/>
        <v>96113.443499999994</v>
      </c>
      <c r="N11" s="261"/>
      <c r="O11" s="262">
        <f>N11-Q11-'14-βιβλΕσ'!M11-'8-κ-15-17'!AF11</f>
        <v>0</v>
      </c>
      <c r="P11" s="262">
        <f t="shared" si="1"/>
        <v>96113.443499999994</v>
      </c>
      <c r="Q11" s="349">
        <f>'1β-ΤΑΧΔΙΚκλπ'!J10</f>
        <v>0</v>
      </c>
      <c r="R11" s="350"/>
      <c r="S11" s="350"/>
      <c r="T11" s="350"/>
      <c r="U11" s="350"/>
      <c r="V11" s="350"/>
      <c r="W11" s="350"/>
      <c r="X11" s="350"/>
      <c r="Y11" s="350"/>
      <c r="Z11" s="350"/>
      <c r="AA11" s="288"/>
      <c r="AB11" s="288"/>
    </row>
    <row r="12" spans="1:28" s="5" customFormat="1" ht="12" thickBot="1">
      <c r="A12" s="484"/>
      <c r="B12" s="341"/>
      <c r="C12" s="416" t="s">
        <v>527</v>
      </c>
      <c r="D12" s="417">
        <v>6666666</v>
      </c>
      <c r="E12" s="518">
        <f t="shared" si="2"/>
        <v>19564.683785766691</v>
      </c>
      <c r="F12" s="343">
        <f>'2-δικαιώμ'!N12</f>
        <v>57435.661000000007</v>
      </c>
      <c r="G12" s="343">
        <f>'3-φύλλα2α'!G12</f>
        <v>300</v>
      </c>
      <c r="H12" s="343">
        <f>'4-πολλυπρ'!P12</f>
        <v>0</v>
      </c>
      <c r="I12" s="342">
        <f>'5-αντίγρ'!N12</f>
        <v>0</v>
      </c>
      <c r="J12" s="342">
        <f>'6-μεταγρ'!I12</f>
        <v>0</v>
      </c>
      <c r="K12" s="342">
        <f>'7-προςΔΟΥ'!F12</f>
        <v>600</v>
      </c>
      <c r="L12" s="342"/>
      <c r="M12" s="343">
        <f t="shared" si="0"/>
        <v>58335.661000000007</v>
      </c>
      <c r="N12" s="343"/>
      <c r="O12" s="344">
        <f>N12-Q12-'14-βιβλΕσ'!M12-'8-κ-15-17'!AF12</f>
        <v>0</v>
      </c>
      <c r="P12" s="344">
        <f t="shared" si="1"/>
        <v>58335.661000000007</v>
      </c>
      <c r="Q12" s="345">
        <f>'1β-ΤΑΧΔΙΚκλπ'!J11</f>
        <v>0</v>
      </c>
      <c r="R12" s="418"/>
      <c r="S12" s="418"/>
      <c r="T12" s="418"/>
      <c r="U12" s="418"/>
      <c r="V12" s="350"/>
      <c r="W12" s="350"/>
      <c r="X12" s="350"/>
      <c r="Y12" s="350"/>
      <c r="Z12" s="350"/>
      <c r="AA12" s="288"/>
      <c r="AB12" s="288"/>
    </row>
    <row r="13" spans="1:28" s="5" customFormat="1" ht="12" thickBot="1">
      <c r="A13" s="505" t="s">
        <v>685</v>
      </c>
      <c r="B13" s="506">
        <v>30149</v>
      </c>
      <c r="C13" s="507" t="s">
        <v>534</v>
      </c>
      <c r="D13" s="508"/>
      <c r="E13" s="517">
        <f t="shared" si="2"/>
        <v>0</v>
      </c>
      <c r="F13" s="497">
        <f>'2-δικαιώμ'!N13</f>
        <v>222.5</v>
      </c>
      <c r="G13" s="497">
        <f>'3-φύλλα2α'!G13</f>
        <v>200</v>
      </c>
      <c r="H13" s="497">
        <f>'4-πολλυπρ'!P13</f>
        <v>0</v>
      </c>
      <c r="I13" s="496">
        <f>'5-αντίγρ'!N13</f>
        <v>267</v>
      </c>
      <c r="J13" s="496">
        <f>'6-μεταγρ'!I13</f>
        <v>0</v>
      </c>
      <c r="K13" s="496">
        <f>'7-προςΔΟΥ'!F13</f>
        <v>0</v>
      </c>
      <c r="L13" s="496"/>
      <c r="M13" s="497">
        <f t="shared" si="0"/>
        <v>689.5</v>
      </c>
      <c r="N13" s="497">
        <v>846</v>
      </c>
      <c r="O13" s="495">
        <f>N13-Q13-'14-βιβλΕσ'!M13-'8-κ-15-17'!AF13-20</f>
        <v>675</v>
      </c>
      <c r="P13" s="495">
        <f t="shared" si="1"/>
        <v>14.5</v>
      </c>
      <c r="Q13" s="714">
        <f>'1β-ΤΑΧΔΙΚκλπ'!J12</f>
        <v>90</v>
      </c>
      <c r="R13" s="715"/>
      <c r="S13" s="715"/>
      <c r="T13" s="715"/>
      <c r="U13" s="715"/>
      <c r="V13" s="418"/>
      <c r="W13" s="350"/>
      <c r="X13" s="350"/>
      <c r="Y13" s="350"/>
      <c r="Z13" s="350"/>
      <c r="AA13" s="288"/>
      <c r="AB13" s="288"/>
    </row>
    <row r="14" spans="1:28" s="5" customFormat="1" ht="12" thickBot="1">
      <c r="A14" s="520" t="s">
        <v>686</v>
      </c>
      <c r="B14" s="506">
        <v>30412</v>
      </c>
      <c r="C14" s="507" t="s">
        <v>711</v>
      </c>
      <c r="D14" s="508">
        <v>100000</v>
      </c>
      <c r="E14" s="517">
        <f t="shared" si="2"/>
        <v>293.47028613352899</v>
      </c>
      <c r="F14" s="261">
        <f>'2-δικαιώμ'!N14</f>
        <v>1500</v>
      </c>
      <c r="G14" s="261">
        <f>'3-φύλλα2α'!G14</f>
        <v>700</v>
      </c>
      <c r="H14" s="261">
        <f>'4-πολλυπρ'!P14</f>
        <v>0</v>
      </c>
      <c r="I14" s="278">
        <f>'5-αντίγρ'!N14</f>
        <v>1424</v>
      </c>
      <c r="J14" s="278">
        <f>'6-μεταγρ'!I14</f>
        <v>900</v>
      </c>
      <c r="K14" s="278">
        <f>'7-προςΔΟΥ'!F14</f>
        <v>0</v>
      </c>
      <c r="L14" s="278"/>
      <c r="M14" s="261">
        <f t="shared" si="0"/>
        <v>4524</v>
      </c>
      <c r="N14" s="261">
        <v>3196</v>
      </c>
      <c r="O14" s="262">
        <f>N14-Q14-'14-βιβλΕσ'!M14-'8-κ-15-17'!AF14-296</f>
        <v>1336</v>
      </c>
      <c r="P14" s="262">
        <f t="shared" si="1"/>
        <v>3188</v>
      </c>
      <c r="Q14" s="349">
        <f>'1β-ΤΑΧΔΙΚκλπ'!J13</f>
        <v>284</v>
      </c>
      <c r="R14" s="350"/>
      <c r="S14" s="350"/>
      <c r="T14" s="350"/>
      <c r="U14" s="350"/>
      <c r="V14" s="350"/>
      <c r="W14" s="350"/>
      <c r="X14" s="350"/>
      <c r="Y14" s="350"/>
      <c r="Z14" s="350"/>
      <c r="AA14" s="288"/>
      <c r="AB14" s="288"/>
    </row>
    <row r="15" spans="1:28" s="5" customFormat="1">
      <c r="A15" s="339" t="s">
        <v>708</v>
      </c>
      <c r="B15" s="304">
        <v>30228</v>
      </c>
      <c r="C15" s="347" t="s">
        <v>505</v>
      </c>
      <c r="D15" s="452">
        <v>10000000</v>
      </c>
      <c r="E15" s="516">
        <f t="shared" si="2"/>
        <v>29347.028613352897</v>
      </c>
      <c r="F15" s="261">
        <f>'2-δικαιώμ'!N15</f>
        <v>98272.5</v>
      </c>
      <c r="G15" s="261">
        <f>'3-φύλλα2α'!G15</f>
        <v>700</v>
      </c>
      <c r="H15" s="261">
        <f>'4-πολλυπρ'!P15</f>
        <v>0</v>
      </c>
      <c r="I15" s="278">
        <f>'5-αντίγρ'!N15</f>
        <v>0</v>
      </c>
      <c r="J15" s="278">
        <f>'6-μεταγρ'!I15</f>
        <v>0</v>
      </c>
      <c r="K15" s="278">
        <f>'7-προςΔΟΥ'!F15</f>
        <v>0</v>
      </c>
      <c r="L15" s="278"/>
      <c r="M15" s="261">
        <f t="shared" si="0"/>
        <v>98972.5</v>
      </c>
      <c r="N15" s="261"/>
      <c r="O15" s="262">
        <f>N15-Q15-'14-βιβλΕσ'!M15-'8-κ-15-17'!AF15</f>
        <v>0</v>
      </c>
      <c r="P15" s="262">
        <f t="shared" si="1"/>
        <v>98972.5</v>
      </c>
      <c r="Q15" s="349">
        <f>'1β-ΤΑΧΔΙΚκλπ'!J14</f>
        <v>0</v>
      </c>
      <c r="R15" s="350"/>
      <c r="S15" s="350"/>
      <c r="T15" s="350"/>
      <c r="U15" s="350"/>
      <c r="V15" s="350"/>
      <c r="W15" s="350"/>
      <c r="X15" s="350"/>
      <c r="Y15" s="350"/>
      <c r="Z15" s="350"/>
      <c r="AA15" s="288"/>
      <c r="AB15" s="288"/>
    </row>
    <row r="16" spans="1:28" s="5" customFormat="1">
      <c r="A16" s="339"/>
      <c r="B16" s="304"/>
      <c r="C16" s="414" t="s">
        <v>498</v>
      </c>
      <c r="D16" s="481">
        <v>12222222</v>
      </c>
      <c r="E16" s="519">
        <f t="shared" si="2"/>
        <v>35868.589875275131</v>
      </c>
      <c r="F16" s="261">
        <f>'2-δικαιώμ'!N16</f>
        <v>119994.72004999999</v>
      </c>
      <c r="G16" s="261">
        <f>'3-φύλλα2α'!G16</f>
        <v>700</v>
      </c>
      <c r="H16" s="261">
        <f>'4-πολλυπρ'!P16</f>
        <v>0</v>
      </c>
      <c r="I16" s="278">
        <f>'5-αντίγρ'!N16</f>
        <v>0</v>
      </c>
      <c r="J16" s="278">
        <f>'6-μεταγρ'!I16</f>
        <v>900</v>
      </c>
      <c r="K16" s="278">
        <f>'7-προςΔΟΥ'!F16</f>
        <v>0</v>
      </c>
      <c r="L16" s="278"/>
      <c r="M16" s="261">
        <f t="shared" si="0"/>
        <v>121594.72004999999</v>
      </c>
      <c r="N16" s="261"/>
      <c r="O16" s="262">
        <f>N16-Q16-'14-βιβλΕσ'!M16-'8-κ-15-17'!AF16</f>
        <v>0</v>
      </c>
      <c r="P16" s="262">
        <f t="shared" si="1"/>
        <v>121594.72004999999</v>
      </c>
      <c r="Q16" s="349">
        <f>'1β-ΤΑΧΔΙΚκλπ'!J15</f>
        <v>0</v>
      </c>
      <c r="R16" s="350"/>
      <c r="S16" s="350"/>
      <c r="T16" s="350"/>
      <c r="U16" s="350"/>
      <c r="V16" s="350"/>
      <c r="W16" s="350"/>
      <c r="X16" s="350"/>
      <c r="Y16" s="350"/>
      <c r="Z16" s="350"/>
      <c r="AA16" s="288"/>
      <c r="AB16" s="288"/>
    </row>
    <row r="17" spans="1:28" s="5" customFormat="1" ht="12" thickBot="1">
      <c r="A17" s="392"/>
      <c r="B17" s="341"/>
      <c r="C17" s="416" t="s">
        <v>506</v>
      </c>
      <c r="D17" s="417">
        <v>22222222</v>
      </c>
      <c r="E17" s="518">
        <f t="shared" si="2"/>
        <v>65215.618488628024</v>
      </c>
      <c r="F17" s="343">
        <f>'2-δικαιώμ'!N17</f>
        <v>217744.72005</v>
      </c>
      <c r="G17" s="343">
        <f>'3-φύλλα2α'!G17</f>
        <v>700</v>
      </c>
      <c r="H17" s="343">
        <f>'4-πολλυπρ'!P17</f>
        <v>0</v>
      </c>
      <c r="I17" s="342">
        <f>'5-αντίγρ'!N17</f>
        <v>0</v>
      </c>
      <c r="J17" s="342">
        <f>'6-μεταγρ'!I17</f>
        <v>0</v>
      </c>
      <c r="K17" s="342">
        <f>'7-προςΔΟΥ'!F17</f>
        <v>0</v>
      </c>
      <c r="L17" s="342"/>
      <c r="M17" s="343">
        <f t="shared" si="0"/>
        <v>218444.72005</v>
      </c>
      <c r="N17" s="343"/>
      <c r="O17" s="344">
        <f>N17-Q17-'14-βιβλΕσ'!M17-'8-κ-15-17'!AF17</f>
        <v>0</v>
      </c>
      <c r="P17" s="344">
        <f t="shared" si="1"/>
        <v>218444.72005</v>
      </c>
      <c r="Q17" s="345">
        <f>'1β-ΤΑΧΔΙΚκλπ'!J16</f>
        <v>0</v>
      </c>
      <c r="R17" s="418"/>
      <c r="S17" s="418"/>
      <c r="T17" s="418"/>
      <c r="U17" s="418"/>
      <c r="V17" s="418"/>
      <c r="W17" s="350"/>
      <c r="X17" s="350"/>
      <c r="Y17" s="350"/>
      <c r="Z17" s="350"/>
      <c r="AA17" s="288"/>
      <c r="AB17" s="288"/>
    </row>
    <row r="18" spans="1:28" s="5" customFormat="1">
      <c r="A18" s="428" t="s">
        <v>687</v>
      </c>
      <c r="B18" s="304">
        <v>32394</v>
      </c>
      <c r="C18" s="347" t="s">
        <v>712</v>
      </c>
      <c r="D18" s="608">
        <v>696000</v>
      </c>
      <c r="E18" s="519">
        <f t="shared" si="2"/>
        <v>2042.5531914893618</v>
      </c>
      <c r="F18" s="261">
        <f>'2-δικαιώμ'!N18</f>
        <v>8102.9</v>
      </c>
      <c r="G18" s="261">
        <f>'3-φύλλα2α'!G18</f>
        <v>3750</v>
      </c>
      <c r="H18" s="261">
        <f>'4-πολλυπρ'!P18</f>
        <v>4150</v>
      </c>
      <c r="I18" s="278">
        <f>'5-αντίγρ'!N18</f>
        <v>6942</v>
      </c>
      <c r="J18" s="278">
        <f>'6-μεταγρ'!I18</f>
        <v>0</v>
      </c>
      <c r="K18" s="278">
        <f>'7-προςΔΟΥ'!F18</f>
        <v>0</v>
      </c>
      <c r="L18" s="278"/>
      <c r="M18" s="261">
        <f t="shared" si="0"/>
        <v>22944.9</v>
      </c>
      <c r="N18" s="261">
        <v>7900</v>
      </c>
      <c r="O18" s="262">
        <f>N18-Q18-'14-βιβλΕσ'!M18-500</f>
        <v>5763</v>
      </c>
      <c r="P18" s="262">
        <f t="shared" si="1"/>
        <v>17181.900000000001</v>
      </c>
      <c r="Q18" s="349">
        <f>'1β-ΤΑΧΔΙΚκλπ'!J17</f>
        <v>824</v>
      </c>
      <c r="R18" s="350"/>
      <c r="S18" s="350"/>
      <c r="T18" s="350"/>
      <c r="U18" s="350"/>
      <c r="V18" s="350" t="s">
        <v>697</v>
      </c>
      <c r="W18" s="350"/>
      <c r="X18" s="350"/>
      <c r="Y18" s="350"/>
      <c r="Z18" s="350"/>
      <c r="AA18" s="288"/>
      <c r="AB18" s="288"/>
    </row>
    <row r="19" spans="1:28" s="5" customFormat="1">
      <c r="A19" s="428"/>
      <c r="B19" s="304"/>
      <c r="C19" s="414" t="s">
        <v>551</v>
      </c>
      <c r="D19" s="412">
        <v>10000000</v>
      </c>
      <c r="E19" s="516">
        <f t="shared" si="2"/>
        <v>29347.028613352897</v>
      </c>
      <c r="F19" s="261">
        <f>'2-δικαιώμ'!N19</f>
        <v>99049.5</v>
      </c>
      <c r="G19" s="261">
        <f>'3-φύλλα2α'!G19</f>
        <v>3750</v>
      </c>
      <c r="H19" s="261">
        <f>'4-πολλυπρ'!P19</f>
        <v>4150</v>
      </c>
      <c r="I19" s="278">
        <f>'5-αντίγρ'!N19</f>
        <v>0</v>
      </c>
      <c r="J19" s="278">
        <f>'6-μεταγρ'!I19</f>
        <v>0</v>
      </c>
      <c r="K19" s="278">
        <f>'7-προςΔΟΥ'!F19</f>
        <v>0</v>
      </c>
      <c r="L19" s="278"/>
      <c r="M19" s="261">
        <f t="shared" ref="M19:M37" si="3">F19+G19+H19+I19+J19+K19+L19</f>
        <v>106949.5</v>
      </c>
      <c r="N19" s="261"/>
      <c r="O19" s="262">
        <f>N19-Q19-'14-βιβλΕσ'!M19-'8-κ-15-17'!AF19</f>
        <v>0</v>
      </c>
      <c r="P19" s="262">
        <f t="shared" ref="P19:P22" si="4">M19-O19</f>
        <v>106949.5</v>
      </c>
      <c r="Q19" s="349">
        <f>'1β-ΤΑΧΔΙΚκλπ'!J18</f>
        <v>0</v>
      </c>
      <c r="R19" s="350"/>
      <c r="S19" s="350"/>
      <c r="T19" s="350"/>
      <c r="U19" s="350"/>
      <c r="V19" s="350"/>
      <c r="W19" s="350"/>
      <c r="X19" s="350"/>
      <c r="Y19" s="350"/>
      <c r="Z19" s="350"/>
      <c r="AA19" s="288"/>
      <c r="AB19" s="288"/>
    </row>
    <row r="20" spans="1:28" s="5" customFormat="1">
      <c r="A20" s="429"/>
      <c r="B20" s="413"/>
      <c r="C20" s="414" t="s">
        <v>552</v>
      </c>
      <c r="D20" s="481">
        <v>3333333</v>
      </c>
      <c r="E20" s="519">
        <f t="shared" si="2"/>
        <v>9782.3418928833453</v>
      </c>
      <c r="F20" s="261">
        <f>'2-δικαιώμ'!N20</f>
        <v>33882.830074999998</v>
      </c>
      <c r="G20" s="261">
        <f>'3-φύλλα2α'!G20</f>
        <v>3750</v>
      </c>
      <c r="H20" s="261">
        <f>'4-πολλυπρ'!P20</f>
        <v>0</v>
      </c>
      <c r="I20" s="278">
        <f>'5-αντίγρ'!N20</f>
        <v>0</v>
      </c>
      <c r="J20" s="278">
        <f>'6-μεταγρ'!I20</f>
        <v>0</v>
      </c>
      <c r="K20" s="278">
        <f>'7-προςΔΟΥ'!F20</f>
        <v>0</v>
      </c>
      <c r="L20" s="260"/>
      <c r="M20" s="261">
        <f t="shared" si="3"/>
        <v>37632.830074999998</v>
      </c>
      <c r="N20" s="354"/>
      <c r="O20" s="262"/>
      <c r="P20" s="262">
        <f t="shared" si="4"/>
        <v>37632.830074999998</v>
      </c>
      <c r="Q20" s="349">
        <f>'1β-ΤΑΧΔΙΚκλπ'!J19</f>
        <v>0</v>
      </c>
      <c r="R20" s="277"/>
      <c r="S20" s="277"/>
      <c r="T20" s="277"/>
      <c r="U20" s="277"/>
      <c r="V20" s="350"/>
      <c r="W20" s="277"/>
      <c r="X20" s="277"/>
      <c r="Y20" s="277"/>
      <c r="Z20" s="277"/>
      <c r="AA20" s="67"/>
      <c r="AB20" s="67"/>
    </row>
    <row r="21" spans="1:28" s="5" customFormat="1" ht="12" thickBot="1">
      <c r="A21" s="484"/>
      <c r="B21" s="341"/>
      <c r="C21" s="416" t="s">
        <v>553</v>
      </c>
      <c r="D21" s="417">
        <v>6000000</v>
      </c>
      <c r="E21" s="518">
        <f t="shared" si="2"/>
        <v>17608.217168011739</v>
      </c>
      <c r="F21" s="343">
        <f>'2-δικαιώμ'!N21</f>
        <v>59949.5</v>
      </c>
      <c r="G21" s="343">
        <f>'3-φύλλα2α'!G21</f>
        <v>3750</v>
      </c>
      <c r="H21" s="343">
        <f>'4-πολλυπρ'!P21</f>
        <v>0</v>
      </c>
      <c r="I21" s="342">
        <f>'5-αντίγρ'!N21</f>
        <v>0</v>
      </c>
      <c r="J21" s="342">
        <f>'6-μεταγρ'!I21</f>
        <v>0</v>
      </c>
      <c r="K21" s="342">
        <f>'7-προςΔΟΥ'!F21</f>
        <v>0</v>
      </c>
      <c r="L21" s="342"/>
      <c r="M21" s="343">
        <f t="shared" si="3"/>
        <v>63699.5</v>
      </c>
      <c r="N21" s="343"/>
      <c r="O21" s="344"/>
      <c r="P21" s="344">
        <f t="shared" si="4"/>
        <v>63699.5</v>
      </c>
      <c r="Q21" s="345">
        <f>'1β-ΤΑΧΔΙΚκλπ'!J20</f>
        <v>0</v>
      </c>
      <c r="R21" s="418"/>
      <c r="S21" s="418"/>
      <c r="T21" s="418"/>
      <c r="U21" s="418"/>
      <c r="V21" s="350"/>
      <c r="W21" s="277"/>
      <c r="X21" s="277"/>
      <c r="Y21" s="277"/>
      <c r="Z21" s="277"/>
      <c r="AA21" s="67"/>
      <c r="AB21" s="67"/>
    </row>
    <row r="22" spans="1:28" s="5" customFormat="1">
      <c r="A22" s="339" t="s">
        <v>688</v>
      </c>
      <c r="B22" s="304">
        <v>33008</v>
      </c>
      <c r="C22" s="347" t="s">
        <v>713</v>
      </c>
      <c r="D22" s="452"/>
      <c r="E22" s="516">
        <f t="shared" si="2"/>
        <v>0</v>
      </c>
      <c r="F22" s="261">
        <f>'2-δικαιώμ'!N22</f>
        <v>19889</v>
      </c>
      <c r="G22" s="261">
        <f>'3-φύλλα2α'!G22</f>
        <v>8250</v>
      </c>
      <c r="H22" s="261">
        <f>'4-πολλυπρ'!P22</f>
        <v>16700</v>
      </c>
      <c r="I22" s="278">
        <f>'5-αντίγρ'!N22</f>
        <v>7565</v>
      </c>
      <c r="J22" s="278">
        <f>'6-μεταγρ'!I22</f>
        <v>1800</v>
      </c>
      <c r="K22" s="278">
        <f>'7-προςΔΟΥ'!F22</f>
        <v>2200</v>
      </c>
      <c r="L22" s="278"/>
      <c r="M22" s="261">
        <f t="shared" si="3"/>
        <v>56404</v>
      </c>
      <c r="N22" s="261">
        <v>45500</v>
      </c>
      <c r="O22" s="262">
        <f>N22-Q22-'14-βιβλΕσ'!M22-'8-κ-15-17'!AF22-500</f>
        <v>20044</v>
      </c>
      <c r="P22" s="262">
        <f t="shared" si="4"/>
        <v>36360</v>
      </c>
      <c r="Q22" s="349">
        <f>'1β-ΤΑΧΔΙΚκλπ'!J21</f>
        <v>2456</v>
      </c>
      <c r="R22" s="350"/>
      <c r="S22" s="350"/>
      <c r="T22" s="350"/>
      <c r="U22" s="350"/>
      <c r="V22" s="350" t="s">
        <v>697</v>
      </c>
      <c r="W22" s="277"/>
      <c r="X22" s="277"/>
      <c r="Y22" s="277"/>
      <c r="Z22" s="277"/>
      <c r="AA22" s="67"/>
      <c r="AB22" s="67"/>
    </row>
    <row r="23" spans="1:28" s="5" customFormat="1" ht="12" thickBot="1">
      <c r="A23" s="340"/>
      <c r="B23" s="341"/>
      <c r="C23" s="416" t="s">
        <v>580</v>
      </c>
      <c r="D23" s="567"/>
      <c r="E23" s="568">
        <f t="shared" ref="E23:E37" si="5">D23/340.75</f>
        <v>0</v>
      </c>
      <c r="F23" s="343">
        <f>'2-δικαιώμ'!N23</f>
        <v>890</v>
      </c>
      <c r="G23" s="343">
        <f>'3-φύλλα2α'!G23</f>
        <v>8250</v>
      </c>
      <c r="H23" s="343">
        <f>'4-πολλυπρ'!P23</f>
        <v>0</v>
      </c>
      <c r="I23" s="342">
        <f>'5-αντίγρ'!N23</f>
        <v>7565</v>
      </c>
      <c r="J23" s="342">
        <f>'6-μεταγρ'!I23</f>
        <v>0</v>
      </c>
      <c r="K23" s="342">
        <f>'7-προςΔΟΥ'!F23</f>
        <v>0</v>
      </c>
      <c r="L23" s="342"/>
      <c r="M23" s="343">
        <f t="shared" si="3"/>
        <v>16705</v>
      </c>
      <c r="N23" s="343"/>
      <c r="O23" s="344"/>
      <c r="P23" s="344">
        <f t="shared" ref="P23:P37" si="6">M23-O23</f>
        <v>16705</v>
      </c>
      <c r="Q23" s="345">
        <f>'1β-ΤΑΧΔΙΚκλπ'!J22</f>
        <v>0</v>
      </c>
      <c r="R23" s="418"/>
      <c r="S23" s="418"/>
      <c r="T23" s="418"/>
      <c r="U23" s="418"/>
      <c r="V23" s="418"/>
      <c r="W23" s="277"/>
      <c r="X23" s="277"/>
      <c r="Y23" s="277"/>
      <c r="Z23" s="277"/>
      <c r="AA23" s="67"/>
      <c r="AB23" s="67"/>
    </row>
    <row r="24" spans="1:28" s="5" customFormat="1">
      <c r="A24" s="428" t="s">
        <v>689</v>
      </c>
      <c r="B24" s="304">
        <v>33401</v>
      </c>
      <c r="C24" s="347" t="s">
        <v>714</v>
      </c>
      <c r="D24" s="452"/>
      <c r="E24" s="516">
        <f t="shared" si="5"/>
        <v>0</v>
      </c>
      <c r="F24" s="261">
        <f>'2-δικαιώμ'!N24</f>
        <v>890</v>
      </c>
      <c r="G24" s="261">
        <f>'3-φύλλα2α'!G24</f>
        <v>300</v>
      </c>
      <c r="H24" s="261">
        <f>'4-πολλυπρ'!P24</f>
        <v>0</v>
      </c>
      <c r="I24" s="278">
        <f>'5-αντίγρ'!N24</f>
        <v>534</v>
      </c>
      <c r="J24" s="278">
        <f>'6-μεταγρ'!I24</f>
        <v>900</v>
      </c>
      <c r="K24" s="278">
        <f>'7-προςΔΟΥ'!F24</f>
        <v>0</v>
      </c>
      <c r="L24" s="278"/>
      <c r="M24" s="261">
        <f t="shared" si="3"/>
        <v>2624</v>
      </c>
      <c r="N24" s="261">
        <v>1530</v>
      </c>
      <c r="O24" s="262">
        <f>N24-Q24-'14-βιβλΕσ'!M24-'8-κ-15-17'!AF24-50</f>
        <v>1050</v>
      </c>
      <c r="P24" s="262">
        <f t="shared" si="6"/>
        <v>1574</v>
      </c>
      <c r="Q24" s="349">
        <f>'1β-ΤΑΧΔΙΚκλπ'!J23</f>
        <v>320</v>
      </c>
      <c r="R24" s="350"/>
      <c r="S24" s="350"/>
      <c r="T24" s="350"/>
      <c r="U24" s="350"/>
      <c r="V24" s="350"/>
      <c r="W24" s="277"/>
      <c r="X24" s="277"/>
      <c r="Y24" s="277"/>
      <c r="Z24" s="277"/>
      <c r="AA24" s="67"/>
      <c r="AB24" s="67"/>
    </row>
    <row r="25" spans="1:28" s="5" customFormat="1">
      <c r="A25" s="428"/>
      <c r="B25" s="304"/>
      <c r="C25" s="347" t="s">
        <v>715</v>
      </c>
      <c r="D25" s="452"/>
      <c r="E25" s="516">
        <f t="shared" si="5"/>
        <v>0</v>
      </c>
      <c r="F25" s="261">
        <f>'2-δικαιώμ'!N25</f>
        <v>890</v>
      </c>
      <c r="G25" s="261">
        <f>'3-φύλλα2α'!G25</f>
        <v>300</v>
      </c>
      <c r="H25" s="261">
        <f>'4-πολλυπρ'!P25</f>
        <v>0</v>
      </c>
      <c r="I25" s="278">
        <f>'5-αντίγρ'!N25</f>
        <v>0</v>
      </c>
      <c r="J25" s="278">
        <f>'6-μεταγρ'!I25</f>
        <v>900</v>
      </c>
      <c r="K25" s="278">
        <f>'7-προςΔΟΥ'!F25</f>
        <v>0</v>
      </c>
      <c r="L25" s="278"/>
      <c r="M25" s="261">
        <f t="shared" si="3"/>
        <v>2090</v>
      </c>
      <c r="N25" s="354"/>
      <c r="O25" s="262"/>
      <c r="P25" s="262">
        <f t="shared" si="6"/>
        <v>2090</v>
      </c>
      <c r="Q25" s="349">
        <f>'1β-ΤΑΧΔΙΚκλπ'!J24</f>
        <v>0</v>
      </c>
      <c r="R25" s="277"/>
      <c r="S25" s="277"/>
      <c r="T25" s="277"/>
      <c r="U25" s="277"/>
      <c r="V25" s="350"/>
      <c r="W25" s="277"/>
      <c r="X25" s="277"/>
      <c r="Y25" s="277"/>
      <c r="Z25" s="277"/>
      <c r="AA25" s="67"/>
      <c r="AB25" s="67"/>
    </row>
    <row r="26" spans="1:28" s="5" customFormat="1">
      <c r="A26" s="428"/>
      <c r="B26" s="304"/>
      <c r="C26" s="347" t="s">
        <v>716</v>
      </c>
      <c r="D26" s="452"/>
      <c r="E26" s="516">
        <f t="shared" si="5"/>
        <v>0</v>
      </c>
      <c r="F26" s="261">
        <f>'2-δικαιώμ'!N26</f>
        <v>890</v>
      </c>
      <c r="G26" s="261">
        <f>'3-φύλλα2α'!G26</f>
        <v>300</v>
      </c>
      <c r="H26" s="261">
        <f>'4-πολλυπρ'!P26</f>
        <v>0</v>
      </c>
      <c r="I26" s="278">
        <f>'5-αντίγρ'!N26</f>
        <v>0</v>
      </c>
      <c r="J26" s="278">
        <f>'6-μεταγρ'!I26</f>
        <v>0</v>
      </c>
      <c r="K26" s="278">
        <f>'7-προςΔΟΥ'!F26</f>
        <v>0</v>
      </c>
      <c r="L26" s="278"/>
      <c r="M26" s="261">
        <f t="shared" si="3"/>
        <v>1190</v>
      </c>
      <c r="N26" s="354"/>
      <c r="O26" s="262"/>
      <c r="P26" s="262">
        <f t="shared" si="6"/>
        <v>1190</v>
      </c>
      <c r="Q26" s="349">
        <f>'1β-ΤΑΧΔΙΚκλπ'!J25</f>
        <v>0</v>
      </c>
      <c r="R26" s="277"/>
      <c r="S26" s="277"/>
      <c r="T26" s="277"/>
      <c r="U26" s="277"/>
      <c r="V26" s="350"/>
      <c r="W26" s="277"/>
      <c r="X26" s="277"/>
      <c r="Y26" s="277"/>
      <c r="Z26" s="277"/>
      <c r="AA26" s="67"/>
      <c r="AB26" s="67"/>
    </row>
    <row r="27" spans="1:28" s="5" customFormat="1">
      <c r="A27" s="429"/>
      <c r="B27" s="413"/>
      <c r="C27" s="414" t="s">
        <v>717</v>
      </c>
      <c r="D27" s="481">
        <v>1111111</v>
      </c>
      <c r="E27" s="571">
        <f t="shared" si="5"/>
        <v>3260.7806309611151</v>
      </c>
      <c r="F27" s="354">
        <f>'2-δικαιώμ'!N27</f>
        <v>12160.610025</v>
      </c>
      <c r="G27" s="354">
        <f>'3-φύλλα2α'!G27</f>
        <v>300</v>
      </c>
      <c r="H27" s="354">
        <f>'4-πολλυπρ'!P27</f>
        <v>0</v>
      </c>
      <c r="I27" s="260">
        <f>'5-αντίγρ'!N27</f>
        <v>0</v>
      </c>
      <c r="J27" s="260">
        <f>'6-μεταγρ'!I27</f>
        <v>0</v>
      </c>
      <c r="K27" s="260">
        <f>'7-προςΔΟΥ'!F27</f>
        <v>0</v>
      </c>
      <c r="L27" s="260"/>
      <c r="M27" s="354">
        <f t="shared" si="3"/>
        <v>12460.610025</v>
      </c>
      <c r="N27" s="354"/>
      <c r="O27" s="262"/>
      <c r="P27" s="262">
        <f t="shared" si="6"/>
        <v>12460.610025</v>
      </c>
      <c r="Q27" s="349">
        <f>'1β-ΤΑΧΔΙΚκλπ'!J26</f>
        <v>0</v>
      </c>
      <c r="R27" s="277"/>
      <c r="S27" s="277"/>
      <c r="T27" s="277"/>
      <c r="U27" s="277"/>
      <c r="V27" s="350"/>
      <c r="W27" s="277"/>
      <c r="X27" s="277"/>
      <c r="Y27" s="277"/>
      <c r="Z27" s="277"/>
      <c r="AA27" s="67"/>
      <c r="AB27" s="67"/>
    </row>
    <row r="28" spans="1:28" s="5" customFormat="1">
      <c r="A28" s="429"/>
      <c r="B28" s="413"/>
      <c r="C28" s="347" t="s">
        <v>718</v>
      </c>
      <c r="D28" s="412"/>
      <c r="E28" s="572">
        <f t="shared" si="5"/>
        <v>0</v>
      </c>
      <c r="F28" s="354">
        <f>'2-δικαιώμ'!N28</f>
        <v>890</v>
      </c>
      <c r="G28" s="354">
        <f>'3-φύλλα2α'!G28</f>
        <v>300</v>
      </c>
      <c r="H28" s="354">
        <f>'4-πολλυπρ'!P28</f>
        <v>0</v>
      </c>
      <c r="I28" s="260">
        <f>'5-αντίγρ'!N28</f>
        <v>0</v>
      </c>
      <c r="J28" s="260">
        <f>'6-μεταγρ'!I28</f>
        <v>900</v>
      </c>
      <c r="K28" s="260">
        <f>'7-προςΔΟΥ'!F28</f>
        <v>0</v>
      </c>
      <c r="L28" s="260"/>
      <c r="M28" s="354">
        <f t="shared" si="3"/>
        <v>2090</v>
      </c>
      <c r="N28" s="354"/>
      <c r="O28" s="262"/>
      <c r="P28" s="262">
        <f t="shared" si="6"/>
        <v>2090</v>
      </c>
      <c r="Q28" s="349">
        <f>'1β-ΤΑΧΔΙΚκλπ'!J27</f>
        <v>0</v>
      </c>
      <c r="R28" s="277"/>
      <c r="S28" s="277"/>
      <c r="T28" s="277"/>
      <c r="U28" s="277"/>
      <c r="V28" s="350"/>
      <c r="W28" s="277"/>
      <c r="X28" s="277"/>
      <c r="Y28" s="277"/>
      <c r="Z28" s="277"/>
      <c r="AA28" s="67"/>
      <c r="AB28" s="67"/>
    </row>
    <row r="29" spans="1:28" s="5" customFormat="1">
      <c r="A29" s="429"/>
      <c r="B29" s="413"/>
      <c r="C29" s="347" t="s">
        <v>719</v>
      </c>
      <c r="D29" s="412"/>
      <c r="E29" s="572">
        <f t="shared" si="5"/>
        <v>0</v>
      </c>
      <c r="F29" s="354">
        <f>'2-δικαιώμ'!N29</f>
        <v>890</v>
      </c>
      <c r="G29" s="354">
        <f>'3-φύλλα2α'!G29</f>
        <v>300</v>
      </c>
      <c r="H29" s="354">
        <f>'4-πολλυπρ'!P29</f>
        <v>0</v>
      </c>
      <c r="I29" s="260">
        <f>'5-αντίγρ'!N29</f>
        <v>0</v>
      </c>
      <c r="J29" s="260">
        <f>'6-μεταγρ'!I29</f>
        <v>0</v>
      </c>
      <c r="K29" s="260">
        <f>'7-προςΔΟΥ'!F29</f>
        <v>0</v>
      </c>
      <c r="L29" s="260"/>
      <c r="M29" s="354">
        <f t="shared" si="3"/>
        <v>1190</v>
      </c>
      <c r="N29" s="354"/>
      <c r="O29" s="262"/>
      <c r="P29" s="262">
        <f t="shared" si="6"/>
        <v>1190</v>
      </c>
      <c r="Q29" s="349">
        <f>'1β-ΤΑΧΔΙΚκλπ'!J28</f>
        <v>0</v>
      </c>
      <c r="R29" s="277"/>
      <c r="S29" s="277"/>
      <c r="T29" s="277"/>
      <c r="U29" s="277"/>
      <c r="V29" s="350"/>
      <c r="W29" s="277"/>
      <c r="X29" s="277"/>
      <c r="Y29" s="277"/>
      <c r="Z29" s="277"/>
      <c r="AA29" s="67"/>
      <c r="AB29" s="67"/>
    </row>
    <row r="30" spans="1:28" s="5" customFormat="1" ht="12" thickBot="1">
      <c r="A30" s="484"/>
      <c r="B30" s="341"/>
      <c r="C30" s="416" t="s">
        <v>720</v>
      </c>
      <c r="D30" s="417">
        <v>2222222</v>
      </c>
      <c r="E30" s="518">
        <f t="shared" si="5"/>
        <v>6521.5612619222302</v>
      </c>
      <c r="F30" s="343">
        <f>'2-δικαιώμ'!N30</f>
        <v>23021.72005</v>
      </c>
      <c r="G30" s="343">
        <f>'3-φύλλα2α'!G30</f>
        <v>300</v>
      </c>
      <c r="H30" s="343">
        <f>'4-πολλυπρ'!P30</f>
        <v>0</v>
      </c>
      <c r="I30" s="342">
        <f>'5-αντίγρ'!N30</f>
        <v>0</v>
      </c>
      <c r="J30" s="342">
        <f>'6-μεταγρ'!I30</f>
        <v>0</v>
      </c>
      <c r="K30" s="342">
        <f>'7-προςΔΟΥ'!F30</f>
        <v>0</v>
      </c>
      <c r="L30" s="342"/>
      <c r="M30" s="343">
        <f t="shared" si="3"/>
        <v>23321.72005</v>
      </c>
      <c r="N30" s="343"/>
      <c r="O30" s="344"/>
      <c r="P30" s="344">
        <f t="shared" si="6"/>
        <v>23321.72005</v>
      </c>
      <c r="Q30" s="345">
        <f>'1β-ΤΑΧΔΙΚκλπ'!J29</f>
        <v>0</v>
      </c>
      <c r="R30" s="418"/>
      <c r="S30" s="418"/>
      <c r="T30" s="418"/>
      <c r="U30" s="418"/>
      <c r="V30" s="350"/>
      <c r="W30" s="277"/>
      <c r="X30" s="277"/>
      <c r="Y30" s="277"/>
      <c r="Z30" s="277"/>
      <c r="AA30" s="67"/>
      <c r="AB30" s="67"/>
    </row>
    <row r="31" spans="1:28" s="5" customFormat="1">
      <c r="A31" s="339" t="s">
        <v>690</v>
      </c>
      <c r="B31" s="304">
        <v>33515</v>
      </c>
      <c r="C31" s="347" t="s">
        <v>721</v>
      </c>
      <c r="D31" s="452">
        <v>966657</v>
      </c>
      <c r="E31" s="516">
        <f t="shared" si="5"/>
        <v>2836.8510638297871</v>
      </c>
      <c r="F31" s="261">
        <f>'2-δικαιώμ'!N31</f>
        <v>10748.572175000001</v>
      </c>
      <c r="G31" s="261">
        <f>'3-φύλλα2α'!G31</f>
        <v>300</v>
      </c>
      <c r="H31" s="261">
        <f>'4-πολλυπρ'!P31</f>
        <v>0</v>
      </c>
      <c r="I31" s="278">
        <f>'5-αντίγρ'!N31</f>
        <v>1068</v>
      </c>
      <c r="J31" s="278">
        <f>'6-μεταγρ'!I31</f>
        <v>0</v>
      </c>
      <c r="K31" s="278">
        <f>'7-προςΔΟΥ'!F31</f>
        <v>0</v>
      </c>
      <c r="L31" s="278"/>
      <c r="M31" s="261">
        <f t="shared" si="3"/>
        <v>12116.572175000001</v>
      </c>
      <c r="N31" s="261">
        <v>2080</v>
      </c>
      <c r="O31" s="262">
        <f>N31-Q31-'14-βιβλΕσ'!M31-'8-κ-15-17'!AF31-280</f>
        <v>1800</v>
      </c>
      <c r="P31" s="262">
        <f t="shared" si="6"/>
        <v>10316.572175000001</v>
      </c>
      <c r="Q31" s="349">
        <f>'1β-ΤΑΧΔΙΚκλπ'!J30</f>
        <v>0</v>
      </c>
      <c r="R31" s="350"/>
      <c r="S31" s="350"/>
      <c r="T31" s="350"/>
      <c r="U31" s="350"/>
      <c r="V31" s="350"/>
      <c r="W31" s="277"/>
      <c r="X31" s="277"/>
      <c r="Y31" s="277"/>
      <c r="Z31" s="277"/>
      <c r="AA31" s="67"/>
      <c r="AB31" s="67"/>
    </row>
    <row r="32" spans="1:28" s="5" customFormat="1" ht="12" thickBot="1">
      <c r="A32" s="340"/>
      <c r="B32" s="341"/>
      <c r="C32" s="577" t="s">
        <v>639</v>
      </c>
      <c r="D32" s="579"/>
      <c r="E32" s="580"/>
      <c r="F32" s="581"/>
      <c r="G32" s="581"/>
      <c r="H32" s="581"/>
      <c r="I32" s="582"/>
      <c r="J32" s="582"/>
      <c r="K32" s="582"/>
      <c r="L32" s="582"/>
      <c r="M32" s="581"/>
      <c r="N32" s="581"/>
      <c r="O32" s="596"/>
      <c r="P32" s="596"/>
      <c r="Q32" s="345">
        <f>'1β-ΤΑΧΔΙΚκλπ'!J31</f>
        <v>0</v>
      </c>
      <c r="R32" s="418"/>
      <c r="S32" s="418"/>
      <c r="T32" s="418"/>
      <c r="U32" s="418"/>
      <c r="V32" s="418"/>
      <c r="W32" s="277"/>
      <c r="X32" s="277"/>
      <c r="Y32" s="277"/>
      <c r="Z32" s="277"/>
      <c r="AA32" s="67"/>
      <c r="AB32" s="67"/>
    </row>
    <row r="33" spans="1:28" s="5" customFormat="1">
      <c r="A33" s="428" t="s">
        <v>691</v>
      </c>
      <c r="B33" s="304">
        <v>33675</v>
      </c>
      <c r="C33" s="347" t="s">
        <v>642</v>
      </c>
      <c r="D33" s="452">
        <v>100000</v>
      </c>
      <c r="E33" s="516">
        <f t="shared" si="5"/>
        <v>293.47028613352899</v>
      </c>
      <c r="F33" s="261">
        <f>'2-δικαιώμ'!N33</f>
        <v>2277</v>
      </c>
      <c r="G33" s="261">
        <f>'3-φύλλα2α'!G33</f>
        <v>2400</v>
      </c>
      <c r="H33" s="261">
        <f>'4-πολλυπρ'!P33</f>
        <v>0</v>
      </c>
      <c r="I33" s="278">
        <f>'5-αντίγρ'!N33</f>
        <v>4806</v>
      </c>
      <c r="J33" s="278">
        <f>'6-μεταγρ'!I33</f>
        <v>600</v>
      </c>
      <c r="K33" s="278">
        <f>'7-προςΔΟΥ'!F33</f>
        <v>0</v>
      </c>
      <c r="L33" s="278"/>
      <c r="M33" s="261">
        <f t="shared" si="3"/>
        <v>10083</v>
      </c>
      <c r="N33" s="261">
        <v>5500</v>
      </c>
      <c r="O33" s="262">
        <f>N33-Q33-'14-βιβλΕσ'!M33-'8-κ-15-17'!AF33-1000</f>
        <v>2076</v>
      </c>
      <c r="P33" s="262">
        <f t="shared" si="6"/>
        <v>8007</v>
      </c>
      <c r="Q33" s="349">
        <f>'1β-ΤΑΧΔΙΚκλπ'!J32</f>
        <v>680</v>
      </c>
      <c r="R33" s="350"/>
      <c r="S33" s="350"/>
      <c r="T33" s="350"/>
      <c r="U33" s="350"/>
      <c r="V33" s="350"/>
      <c r="W33" s="277"/>
      <c r="X33" s="277"/>
      <c r="Y33" s="277"/>
      <c r="Z33" s="277"/>
      <c r="AA33" s="67"/>
      <c r="AB33" s="67"/>
    </row>
    <row r="34" spans="1:28" s="5" customFormat="1">
      <c r="A34" s="428" t="s">
        <v>707</v>
      </c>
      <c r="B34" s="304">
        <v>32727</v>
      </c>
      <c r="C34" s="414" t="s">
        <v>646</v>
      </c>
      <c r="D34" s="608">
        <v>73333333</v>
      </c>
      <c r="E34" s="519">
        <f t="shared" si="5"/>
        <v>215211.54218635362</v>
      </c>
      <c r="F34" s="261">
        <f>'2-δικαιώμ'!N34</f>
        <v>718132.83007499995</v>
      </c>
      <c r="G34" s="261">
        <f>'3-φύλλα2α'!G34</f>
        <v>2400</v>
      </c>
      <c r="H34" s="261">
        <f>'4-πολλυπρ'!P34</f>
        <v>0</v>
      </c>
      <c r="I34" s="278">
        <f>'5-αντίγρ'!N34</f>
        <v>0</v>
      </c>
      <c r="J34" s="278">
        <f>'6-μεταγρ'!I34</f>
        <v>1200</v>
      </c>
      <c r="K34" s="278">
        <f>'7-προςΔΟΥ'!F34</f>
        <v>0</v>
      </c>
      <c r="L34" s="278"/>
      <c r="M34" s="261">
        <f t="shared" si="3"/>
        <v>721732.83007499995</v>
      </c>
      <c r="N34" s="354"/>
      <c r="O34" s="262"/>
      <c r="P34" s="262">
        <f t="shared" si="6"/>
        <v>721732.83007499995</v>
      </c>
      <c r="Q34" s="349">
        <f>'1β-ΤΑΧΔΙΚκλπ'!J33</f>
        <v>0</v>
      </c>
      <c r="R34" s="277"/>
      <c r="S34" s="277"/>
      <c r="T34" s="277"/>
      <c r="U34" s="277"/>
      <c r="V34" s="350"/>
      <c r="W34" s="277"/>
      <c r="X34" s="277"/>
      <c r="Y34" s="277"/>
      <c r="Z34" s="277"/>
      <c r="AA34" s="67"/>
      <c r="AB34" s="67"/>
    </row>
    <row r="35" spans="1:28" s="5" customFormat="1">
      <c r="A35" s="428"/>
      <c r="B35" s="304"/>
      <c r="C35" s="414" t="s">
        <v>645</v>
      </c>
      <c r="D35" s="452">
        <v>61000000</v>
      </c>
      <c r="E35" s="516">
        <f t="shared" si="5"/>
        <v>179016.87454145268</v>
      </c>
      <c r="F35" s="261">
        <f>'2-δικαιώμ'!N35</f>
        <v>597574.5</v>
      </c>
      <c r="G35" s="261">
        <f>'3-φύλλα2α'!G35</f>
        <v>2400</v>
      </c>
      <c r="H35" s="261">
        <f>'4-πολλυπρ'!P35</f>
        <v>0</v>
      </c>
      <c r="I35" s="278">
        <f>'5-αντίγρ'!N35</f>
        <v>0</v>
      </c>
      <c r="J35" s="278">
        <f>'6-μεταγρ'!I35</f>
        <v>0</v>
      </c>
      <c r="K35" s="278">
        <f>'7-προςΔΟΥ'!F35</f>
        <v>0</v>
      </c>
      <c r="L35" s="278"/>
      <c r="M35" s="261">
        <f t="shared" si="3"/>
        <v>599974.5</v>
      </c>
      <c r="N35" s="354"/>
      <c r="O35" s="262"/>
      <c r="P35" s="262">
        <f t="shared" si="6"/>
        <v>599974.5</v>
      </c>
      <c r="Q35" s="349">
        <f>'1β-ΤΑΧΔΙΚκλπ'!J34</f>
        <v>0</v>
      </c>
      <c r="R35" s="277"/>
      <c r="S35" s="277"/>
      <c r="T35" s="277"/>
      <c r="U35" s="277"/>
      <c r="V35" s="350"/>
      <c r="W35" s="277"/>
      <c r="X35" s="277"/>
      <c r="Y35" s="277"/>
      <c r="Z35" s="277"/>
      <c r="AA35" s="67"/>
      <c r="AB35" s="67"/>
    </row>
    <row r="36" spans="1:28" s="5" customFormat="1" ht="12" thickBot="1">
      <c r="A36" s="484"/>
      <c r="B36" s="341"/>
      <c r="C36" s="455" t="s">
        <v>647</v>
      </c>
      <c r="D36" s="417">
        <v>133333333</v>
      </c>
      <c r="E36" s="518">
        <f t="shared" si="5"/>
        <v>391293.71386647102</v>
      </c>
      <c r="F36" s="343">
        <f>'2-δικαιώμ'!N36</f>
        <v>1304632.8300749999</v>
      </c>
      <c r="G36" s="343">
        <f>'3-φύλλα2α'!G36</f>
        <v>2400</v>
      </c>
      <c r="H36" s="343">
        <f>'4-πολλυπρ'!P36</f>
        <v>0</v>
      </c>
      <c r="I36" s="342">
        <f>'5-αντίγρ'!N36</f>
        <v>0</v>
      </c>
      <c r="J36" s="342">
        <f>'6-μεταγρ'!I36</f>
        <v>0</v>
      </c>
      <c r="K36" s="342">
        <f>'7-προςΔΟΥ'!F36</f>
        <v>0</v>
      </c>
      <c r="L36" s="342"/>
      <c r="M36" s="343">
        <f t="shared" si="3"/>
        <v>1307032.8300749999</v>
      </c>
      <c r="N36" s="343"/>
      <c r="O36" s="344"/>
      <c r="P36" s="344">
        <f t="shared" si="6"/>
        <v>1307032.8300749999</v>
      </c>
      <c r="Q36" s="345">
        <f>'1β-ΤΑΧΔΙΚκλπ'!J35</f>
        <v>0</v>
      </c>
      <c r="R36" s="418"/>
      <c r="S36" s="418"/>
      <c r="T36" s="418"/>
      <c r="U36" s="418"/>
      <c r="V36" s="350"/>
      <c r="W36" s="277"/>
      <c r="X36" s="277"/>
      <c r="Y36" s="277"/>
      <c r="Z36" s="277"/>
      <c r="AA36" s="67"/>
      <c r="AB36" s="67"/>
    </row>
    <row r="37" spans="1:28" s="5" customFormat="1">
      <c r="A37" s="339" t="s">
        <v>692</v>
      </c>
      <c r="B37" s="610">
        <v>34890</v>
      </c>
      <c r="C37" s="347" t="s">
        <v>651</v>
      </c>
      <c r="D37" s="452">
        <v>100000</v>
      </c>
      <c r="E37" s="516">
        <f t="shared" si="5"/>
        <v>293.47028613352899</v>
      </c>
      <c r="F37" s="261">
        <f>'2-δικαιώμ'!N37</f>
        <v>4180</v>
      </c>
      <c r="G37" s="261">
        <f>'3-φύλλα2α'!G37</f>
        <v>4200</v>
      </c>
      <c r="H37" s="261">
        <f>'4-πολλυπρ'!P37</f>
        <v>0</v>
      </c>
      <c r="I37" s="278">
        <f>'5-αντίγρ'!N37</f>
        <v>8544</v>
      </c>
      <c r="J37" s="278">
        <f>'6-μεταγρ'!I37</f>
        <v>600</v>
      </c>
      <c r="K37" s="278">
        <f>'7-προςΔΟΥ'!F37</f>
        <v>0</v>
      </c>
      <c r="L37" s="278"/>
      <c r="M37" s="261">
        <f t="shared" si="3"/>
        <v>17524</v>
      </c>
      <c r="N37" s="261">
        <v>19540</v>
      </c>
      <c r="O37" s="262">
        <f>N37-Q37-'14-βιβλΕσ'!M37-'8-κ-15-17'!AF37-1000</f>
        <v>15180</v>
      </c>
      <c r="P37" s="262">
        <f t="shared" si="6"/>
        <v>2344</v>
      </c>
      <c r="Q37" s="349">
        <f>'1β-ΤΑΧΔΙΚκλπ'!J36</f>
        <v>1580</v>
      </c>
      <c r="R37" s="350"/>
      <c r="S37" s="350"/>
      <c r="T37" s="350"/>
      <c r="U37" s="350"/>
      <c r="V37" s="350"/>
      <c r="W37" s="277"/>
      <c r="X37" s="277"/>
      <c r="Y37" s="277"/>
      <c r="Z37" s="277"/>
      <c r="AA37" s="67"/>
      <c r="AB37" s="67"/>
    </row>
    <row r="38" spans="1:28" s="5" customFormat="1">
      <c r="A38" s="339" t="s">
        <v>706</v>
      </c>
      <c r="B38" s="610">
        <v>33843</v>
      </c>
      <c r="C38" s="414" t="s">
        <v>650</v>
      </c>
      <c r="D38" s="608">
        <v>32555555</v>
      </c>
      <c r="E38" s="519">
        <f t="shared" ref="E38:E45" si="7">D38/340.75</f>
        <v>95540.880410858401</v>
      </c>
      <c r="F38" s="261">
        <f>'2-δικαιώμ'!N38</f>
        <v>335226.66100000002</v>
      </c>
      <c r="G38" s="261">
        <f>'3-φύλλα2α'!G38</f>
        <v>4200</v>
      </c>
      <c r="H38" s="261">
        <f>'4-πολλυπρ'!P38</f>
        <v>0</v>
      </c>
      <c r="I38" s="278">
        <f>'5-αντίγρ'!N38</f>
        <v>0</v>
      </c>
      <c r="J38" s="278">
        <f>'6-μεταγρ'!I38</f>
        <v>900</v>
      </c>
      <c r="K38" s="278">
        <f>'7-προςΔΟΥ'!F38</f>
        <v>0</v>
      </c>
      <c r="L38" s="278"/>
      <c r="M38" s="261">
        <f t="shared" ref="M38:M45" si="8">F38+G38+H38+I38+J38+K38+L38</f>
        <v>340326.66100000002</v>
      </c>
      <c r="N38" s="354"/>
      <c r="O38" s="262"/>
      <c r="P38" s="262">
        <f t="shared" ref="P38:P45" si="9">M38-O38</f>
        <v>340326.66100000002</v>
      </c>
      <c r="Q38" s="349">
        <f>'1β-ΤΑΧΔΙΚκλπ'!J37</f>
        <v>0</v>
      </c>
      <c r="R38" s="277"/>
      <c r="S38" s="277"/>
      <c r="T38" s="277"/>
      <c r="U38" s="277"/>
      <c r="V38" s="350"/>
      <c r="W38" s="277"/>
      <c r="X38" s="277"/>
      <c r="Y38" s="277"/>
      <c r="Z38" s="277"/>
      <c r="AA38" s="67"/>
      <c r="AB38" s="67"/>
    </row>
    <row r="39" spans="1:28" s="5" customFormat="1">
      <c r="A39" s="339"/>
      <c r="B39" s="610"/>
      <c r="C39" s="414" t="s">
        <v>645</v>
      </c>
      <c r="D39" s="452">
        <v>27000000</v>
      </c>
      <c r="E39" s="516">
        <f t="shared" si="7"/>
        <v>79236.977256052822</v>
      </c>
      <c r="F39" s="261">
        <f>'2-δικαιώμ'!N39</f>
        <v>278560</v>
      </c>
      <c r="G39" s="261">
        <f>'3-φύλλα2α'!G39</f>
        <v>4200</v>
      </c>
      <c r="H39" s="261">
        <f>'4-πολλυπρ'!P39</f>
        <v>0</v>
      </c>
      <c r="I39" s="278">
        <f>'5-αντίγρ'!N39</f>
        <v>0</v>
      </c>
      <c r="J39" s="278">
        <f>'6-μεταγρ'!I39</f>
        <v>0</v>
      </c>
      <c r="K39" s="278">
        <f>'7-προςΔΟΥ'!F39</f>
        <v>0</v>
      </c>
      <c r="L39" s="278"/>
      <c r="M39" s="261">
        <f t="shared" si="8"/>
        <v>282760</v>
      </c>
      <c r="N39" s="354"/>
      <c r="O39" s="262"/>
      <c r="P39" s="262">
        <f t="shared" si="9"/>
        <v>282760</v>
      </c>
      <c r="Q39" s="349">
        <f>'1β-ΤΑΧΔΙΚκλπ'!J38</f>
        <v>0</v>
      </c>
      <c r="R39" s="277"/>
      <c r="S39" s="277"/>
      <c r="T39" s="277"/>
      <c r="U39" s="277"/>
      <c r="V39" s="350"/>
      <c r="W39" s="277"/>
      <c r="X39" s="277"/>
      <c r="Y39" s="277"/>
      <c r="Z39" s="277"/>
      <c r="AA39" s="67"/>
      <c r="AB39" s="67"/>
    </row>
    <row r="40" spans="1:28" s="5" customFormat="1" ht="12" thickBot="1">
      <c r="A40" s="340"/>
      <c r="B40" s="611"/>
      <c r="C40" s="455" t="s">
        <v>647</v>
      </c>
      <c r="D40" s="417">
        <v>55555555</v>
      </c>
      <c r="E40" s="518">
        <f t="shared" si="7"/>
        <v>163039.04622157005</v>
      </c>
      <c r="F40" s="343">
        <f>'2-δικαιώμ'!N40</f>
        <v>569826.66100000008</v>
      </c>
      <c r="G40" s="343">
        <f>'3-φύλλα2α'!G40</f>
        <v>4200</v>
      </c>
      <c r="H40" s="343">
        <f>'4-πολλυπρ'!P40</f>
        <v>0</v>
      </c>
      <c r="I40" s="342">
        <f>'5-αντίγρ'!N40</f>
        <v>0</v>
      </c>
      <c r="J40" s="342">
        <f>'6-μεταγρ'!I40</f>
        <v>0</v>
      </c>
      <c r="K40" s="342">
        <f>'7-προςΔΟΥ'!F40</f>
        <v>0</v>
      </c>
      <c r="L40" s="342"/>
      <c r="M40" s="343">
        <f t="shared" si="8"/>
        <v>574026.66100000008</v>
      </c>
      <c r="N40" s="343"/>
      <c r="O40" s="344"/>
      <c r="P40" s="344">
        <f t="shared" si="9"/>
        <v>574026.66100000008</v>
      </c>
      <c r="Q40" s="345">
        <f>'1β-ΤΑΧΔΙΚκλπ'!J39</f>
        <v>0</v>
      </c>
      <c r="R40" s="418"/>
      <c r="S40" s="418"/>
      <c r="T40" s="418"/>
      <c r="U40" s="418"/>
      <c r="V40" s="350"/>
      <c r="W40" s="277"/>
      <c r="X40" s="277"/>
      <c r="Y40" s="277"/>
      <c r="Z40" s="277"/>
      <c r="AA40" s="67"/>
      <c r="AB40" s="67"/>
    </row>
    <row r="41" spans="1:28" s="5" customFormat="1">
      <c r="A41" s="428" t="s">
        <v>693</v>
      </c>
      <c r="B41" s="304">
        <v>34962</v>
      </c>
      <c r="C41" s="347" t="s">
        <v>722</v>
      </c>
      <c r="D41" s="608">
        <v>588624</v>
      </c>
      <c r="E41" s="519">
        <f t="shared" si="7"/>
        <v>1727.4365370506237</v>
      </c>
      <c r="F41" s="261">
        <f>'2-δικαιώμ'!N41</f>
        <v>9163.9648000000016</v>
      </c>
      <c r="G41" s="423">
        <f>'3-φύλλα2α'!G41</f>
        <v>7800</v>
      </c>
      <c r="H41" s="261">
        <f>'4-πολλυπρ'!P41</f>
        <v>8600</v>
      </c>
      <c r="I41" s="278">
        <f>'5-αντίγρ'!N41</f>
        <v>14952</v>
      </c>
      <c r="J41" s="278">
        <f>'6-μεταγρ'!I41</f>
        <v>0</v>
      </c>
      <c r="K41" s="278">
        <f>'7-προςΔΟΥ'!F41</f>
        <v>0</v>
      </c>
      <c r="L41" s="278"/>
      <c r="M41" s="261">
        <f t="shared" si="8"/>
        <v>40515.964800000002</v>
      </c>
      <c r="N41" s="261">
        <v>28900</v>
      </c>
      <c r="O41" s="262">
        <f>N41-Q41-'14-βιβλΕσ'!M41-'8-κ-15-17'!AF41-1000</f>
        <v>27345</v>
      </c>
      <c r="P41" s="262">
        <f t="shared" si="9"/>
        <v>13170.964800000002</v>
      </c>
      <c r="Q41" s="349">
        <f>'1β-ΤΑΧΔΙΚκλπ'!J40</f>
        <v>0</v>
      </c>
      <c r="R41" s="350"/>
      <c r="S41" s="350"/>
      <c r="T41" s="350"/>
      <c r="U41" s="350"/>
      <c r="V41" s="350" t="s">
        <v>697</v>
      </c>
      <c r="W41" s="277"/>
      <c r="X41" s="277"/>
      <c r="Y41" s="277"/>
      <c r="Z41" s="277"/>
      <c r="AA41" s="67"/>
      <c r="AB41" s="67"/>
    </row>
    <row r="42" spans="1:28" s="5" customFormat="1">
      <c r="A42" s="428"/>
      <c r="B42" s="304"/>
      <c r="C42" s="414" t="s">
        <v>551</v>
      </c>
      <c r="D42" s="452">
        <v>50000000</v>
      </c>
      <c r="E42" s="516">
        <f t="shared" si="7"/>
        <v>146735.14306676449</v>
      </c>
      <c r="F42" s="261">
        <f>'2-δικαιώμ'!N42</f>
        <v>513160</v>
      </c>
      <c r="G42" s="423">
        <f>'3-φύλλα2α'!G42</f>
        <v>7800</v>
      </c>
      <c r="H42" s="261">
        <f>'4-πολλυπρ'!P42</f>
        <v>8600</v>
      </c>
      <c r="I42" s="278">
        <f>'5-αντίγρ'!N42</f>
        <v>0</v>
      </c>
      <c r="J42" s="278">
        <f>'6-μεταγρ'!I42</f>
        <v>0</v>
      </c>
      <c r="K42" s="278">
        <f>'7-προςΔΟΥ'!F42</f>
        <v>0</v>
      </c>
      <c r="L42" s="278"/>
      <c r="M42" s="261">
        <f t="shared" si="8"/>
        <v>529560</v>
      </c>
      <c r="N42" s="354"/>
      <c r="O42" s="262"/>
      <c r="P42" s="262">
        <f t="shared" si="9"/>
        <v>529560</v>
      </c>
      <c r="Q42" s="349">
        <f>'1β-ΤΑΧΔΙΚκλπ'!J41</f>
        <v>0</v>
      </c>
      <c r="R42" s="277"/>
      <c r="S42" s="277"/>
      <c r="T42" s="277"/>
      <c r="U42" s="277"/>
      <c r="V42" s="350"/>
      <c r="W42" s="277"/>
      <c r="X42" s="277"/>
      <c r="Y42" s="277"/>
      <c r="Z42" s="277"/>
      <c r="AA42" s="67"/>
      <c r="AB42" s="67"/>
    </row>
    <row r="43" spans="1:28" s="5" customFormat="1">
      <c r="A43" s="428"/>
      <c r="B43" s="304"/>
      <c r="C43" s="414" t="s">
        <v>552</v>
      </c>
      <c r="D43" s="481">
        <v>3333333</v>
      </c>
      <c r="E43" s="519">
        <f t="shared" si="7"/>
        <v>9782.3418928833453</v>
      </c>
      <c r="F43" s="261">
        <f>'2-δικαιώμ'!N43</f>
        <v>37159.996599999999</v>
      </c>
      <c r="G43" s="423">
        <f>'3-φύλλα2α'!G43</f>
        <v>7800</v>
      </c>
      <c r="H43" s="261">
        <f>'4-πολλυπρ'!P43</f>
        <v>8600</v>
      </c>
      <c r="I43" s="278">
        <f>'5-αντίγρ'!N43</f>
        <v>0</v>
      </c>
      <c r="J43" s="278">
        <f>'6-μεταγρ'!I43</f>
        <v>0</v>
      </c>
      <c r="K43" s="278">
        <f>'7-προςΔΟΥ'!F43</f>
        <v>0</v>
      </c>
      <c r="L43" s="278"/>
      <c r="M43" s="261">
        <f t="shared" si="8"/>
        <v>53559.996599999999</v>
      </c>
      <c r="N43" s="354"/>
      <c r="O43" s="262"/>
      <c r="P43" s="262">
        <f t="shared" si="9"/>
        <v>53559.996599999999</v>
      </c>
      <c r="Q43" s="349">
        <f>'1β-ΤΑΧΔΙΚκλπ'!J42</f>
        <v>0</v>
      </c>
      <c r="R43" s="277"/>
      <c r="S43" s="277"/>
      <c r="T43" s="277"/>
      <c r="U43" s="277"/>
      <c r="V43" s="350"/>
      <c r="W43" s="277"/>
      <c r="X43" s="277"/>
      <c r="Y43" s="277"/>
      <c r="Z43" s="277"/>
      <c r="AA43" s="67"/>
      <c r="AB43" s="67"/>
    </row>
    <row r="44" spans="1:28" s="5" customFormat="1" ht="12" thickBot="1">
      <c r="A44" s="484"/>
      <c r="B44" s="341"/>
      <c r="C44" s="416" t="s">
        <v>553</v>
      </c>
      <c r="D44" s="567">
        <v>6000000</v>
      </c>
      <c r="E44" s="568">
        <f t="shared" si="7"/>
        <v>17608.217168011739</v>
      </c>
      <c r="F44" s="343">
        <f>'2-δικαιώμ'!N44</f>
        <v>64360</v>
      </c>
      <c r="G44" s="343">
        <f>'3-φύλλα2α'!G44</f>
        <v>7800</v>
      </c>
      <c r="H44" s="343">
        <f>'4-πολλυπρ'!P44</f>
        <v>8600</v>
      </c>
      <c r="I44" s="342">
        <f>'5-αντίγρ'!N44</f>
        <v>0</v>
      </c>
      <c r="J44" s="342">
        <f>'6-μεταγρ'!I44</f>
        <v>0</v>
      </c>
      <c r="K44" s="342">
        <f>'7-προςΔΟΥ'!F44</f>
        <v>0</v>
      </c>
      <c r="L44" s="342"/>
      <c r="M44" s="343">
        <f t="shared" si="8"/>
        <v>80760</v>
      </c>
      <c r="N44" s="343"/>
      <c r="O44" s="344"/>
      <c r="P44" s="344">
        <f t="shared" si="9"/>
        <v>80760</v>
      </c>
      <c r="Q44" s="345">
        <f>'1β-ΤΑΧΔΙΚκλπ'!J43</f>
        <v>0</v>
      </c>
      <c r="R44" s="418"/>
      <c r="S44" s="418"/>
      <c r="T44" s="418"/>
      <c r="U44" s="418"/>
      <c r="V44" s="418"/>
      <c r="W44" s="277"/>
      <c r="X44" s="277"/>
      <c r="Y44" s="277"/>
      <c r="Z44" s="277"/>
      <c r="AA44" s="67"/>
      <c r="AB44" s="67"/>
    </row>
    <row r="45" spans="1:28" s="5" customFormat="1">
      <c r="A45" s="339" t="s">
        <v>694</v>
      </c>
      <c r="B45" s="304">
        <v>35185</v>
      </c>
      <c r="C45" s="347" t="s">
        <v>723</v>
      </c>
      <c r="D45" s="608">
        <v>957000</v>
      </c>
      <c r="E45" s="519">
        <f t="shared" si="7"/>
        <v>2808.5106382978724</v>
      </c>
      <c r="F45" s="261">
        <f>'2-δικαιώμ'!N45</f>
        <v>12921.4</v>
      </c>
      <c r="G45" s="424">
        <f>'3-φύλλα2α'!G45</f>
        <v>600</v>
      </c>
      <c r="H45" s="261">
        <f>'4-πολλυπρ'!P45</f>
        <v>0</v>
      </c>
      <c r="I45" s="278">
        <f>'5-αντίγρ'!N45</f>
        <v>2136</v>
      </c>
      <c r="J45" s="278">
        <f>'6-μεταγρ'!I45</f>
        <v>0</v>
      </c>
      <c r="K45" s="278">
        <f>'7-προςΔΟΥ'!F45</f>
        <v>0</v>
      </c>
      <c r="L45" s="278"/>
      <c r="M45" s="261">
        <f t="shared" si="8"/>
        <v>15657.4</v>
      </c>
      <c r="N45" s="261">
        <v>4410</v>
      </c>
      <c r="O45" s="262">
        <f>N45-Q45-'14-βιβλΕσ'!M45-'8-κ-15-17'!AF45-100</f>
        <v>3800</v>
      </c>
      <c r="P45" s="262">
        <f t="shared" si="9"/>
        <v>11857.4</v>
      </c>
      <c r="Q45" s="349">
        <f>'1β-ΤΑΧΔΙΚκλπ'!J44</f>
        <v>400</v>
      </c>
      <c r="R45" s="350"/>
      <c r="S45" s="350"/>
      <c r="T45" s="350"/>
      <c r="U45" s="350"/>
      <c r="V45" s="350"/>
      <c r="W45" s="277"/>
      <c r="X45" s="277"/>
      <c r="Y45" s="277"/>
      <c r="Z45" s="277"/>
      <c r="AA45" s="67"/>
      <c r="AB45" s="67"/>
    </row>
    <row r="46" spans="1:28" s="5" customFormat="1" ht="12" thickBot="1">
      <c r="A46" s="340"/>
      <c r="B46" s="341"/>
      <c r="C46" s="577" t="s">
        <v>639</v>
      </c>
      <c r="D46" s="579"/>
      <c r="E46" s="580"/>
      <c r="F46" s="581"/>
      <c r="G46" s="581"/>
      <c r="H46" s="581"/>
      <c r="I46" s="582"/>
      <c r="J46" s="582"/>
      <c r="K46" s="582"/>
      <c r="L46" s="582"/>
      <c r="M46" s="581"/>
      <c r="N46" s="581"/>
      <c r="O46" s="596"/>
      <c r="P46" s="596"/>
      <c r="Q46" s="345">
        <f>'1β-ΤΑΧΔΙΚκλπ'!J45</f>
        <v>0</v>
      </c>
      <c r="R46" s="418"/>
      <c r="S46" s="277"/>
      <c r="T46" s="277"/>
      <c r="U46" s="277"/>
      <c r="V46" s="350"/>
      <c r="W46" s="277"/>
      <c r="X46" s="277"/>
      <c r="Y46" s="277"/>
      <c r="Z46" s="277"/>
      <c r="AA46" s="67"/>
      <c r="AB46" s="67"/>
    </row>
    <row r="47" spans="1:28">
      <c r="A47" s="752" t="s">
        <v>45</v>
      </c>
      <c r="B47" s="753"/>
      <c r="C47" s="753"/>
      <c r="D47" s="754"/>
      <c r="E47" s="492"/>
      <c r="F47" s="149">
        <f t="shared" ref="F47:P47" si="10">SUM(F3:F46)</f>
        <v>6383418.2294750009</v>
      </c>
      <c r="G47" s="612">
        <f t="shared" si="10"/>
        <v>100200</v>
      </c>
      <c r="H47" s="149">
        <f t="shared" si="10"/>
        <v>59400</v>
      </c>
      <c r="I47" s="612">
        <f t="shared" si="10"/>
        <v>57761</v>
      </c>
      <c r="J47" s="149">
        <f t="shared" si="10"/>
        <v>13500</v>
      </c>
      <c r="K47" s="149">
        <f t="shared" si="10"/>
        <v>4000</v>
      </c>
      <c r="L47" s="149">
        <f t="shared" si="10"/>
        <v>0</v>
      </c>
      <c r="M47" s="149">
        <f t="shared" si="10"/>
        <v>6618279.2294750009</v>
      </c>
      <c r="N47" s="149">
        <f t="shared" si="10"/>
        <v>131586</v>
      </c>
      <c r="O47" s="149">
        <f t="shared" si="10"/>
        <v>88855</v>
      </c>
      <c r="P47" s="149">
        <f t="shared" si="10"/>
        <v>6529424.2294750009</v>
      </c>
    </row>
    <row r="48" spans="1:28">
      <c r="K48" s="460" t="s">
        <v>502</v>
      </c>
      <c r="L48" s="2" t="s">
        <v>501</v>
      </c>
    </row>
    <row r="49" spans="3:28">
      <c r="K49" s="460" t="s">
        <v>605</v>
      </c>
      <c r="L49" s="2" t="s">
        <v>501</v>
      </c>
    </row>
    <row r="50" spans="3:28">
      <c r="D50" s="7"/>
      <c r="E50" s="7"/>
      <c r="K50" s="527" t="s">
        <v>606</v>
      </c>
      <c r="L50" s="2" t="s">
        <v>501</v>
      </c>
      <c r="Q50" s="193" t="s">
        <v>96</v>
      </c>
      <c r="R50" s="122"/>
      <c r="S50" s="122"/>
      <c r="T50" s="122"/>
      <c r="U50" s="132"/>
      <c r="V50" s="132"/>
      <c r="W50" s="132"/>
      <c r="X50" s="132"/>
      <c r="Y50" s="132"/>
      <c r="AA50" s="122"/>
      <c r="AB50" s="122"/>
    </row>
    <row r="51" spans="3:28">
      <c r="C51" s="352"/>
      <c r="D51" s="7"/>
      <c r="E51" s="7"/>
      <c r="K51" s="528" t="s">
        <v>558</v>
      </c>
      <c r="L51" s="529" t="s">
        <v>489</v>
      </c>
      <c r="M51" s="206" t="s">
        <v>213</v>
      </c>
      <c r="O51" s="7"/>
      <c r="R51" s="107" t="s">
        <v>356</v>
      </c>
      <c r="S51" s="107"/>
      <c r="T51" s="107"/>
      <c r="U51" s="124"/>
      <c r="V51" s="132"/>
      <c r="W51" s="132"/>
      <c r="X51" s="132"/>
      <c r="Y51" s="132"/>
      <c r="AA51" s="123"/>
      <c r="AB51" s="107"/>
    </row>
    <row r="52" spans="3:28">
      <c r="C52" s="85"/>
      <c r="D52" s="7"/>
      <c r="E52" s="7"/>
      <c r="K52" s="466" t="s">
        <v>559</v>
      </c>
      <c r="L52" s="529" t="s">
        <v>489</v>
      </c>
      <c r="M52" s="109"/>
      <c r="R52" s="107"/>
      <c r="S52" s="107" t="s">
        <v>124</v>
      </c>
      <c r="T52" s="107"/>
      <c r="U52" s="132"/>
      <c r="V52" s="132"/>
      <c r="W52" s="132"/>
      <c r="X52" s="132"/>
      <c r="Y52" s="132"/>
      <c r="AA52" s="107"/>
    </row>
    <row r="53" spans="3:28">
      <c r="C53" s="337"/>
      <c r="D53" s="7"/>
      <c r="E53" s="7"/>
      <c r="J53" s="128"/>
      <c r="K53" s="128" t="s">
        <v>582</v>
      </c>
      <c r="L53" s="2" t="s">
        <v>583</v>
      </c>
      <c r="T53" s="107" t="s">
        <v>355</v>
      </c>
      <c r="U53" s="84"/>
      <c r="V53" s="84"/>
      <c r="W53" s="84"/>
      <c r="X53" s="84"/>
      <c r="Y53" s="84"/>
    </row>
    <row r="54" spans="3:28">
      <c r="C54" s="450"/>
      <c r="D54" s="7"/>
      <c r="E54" s="7"/>
      <c r="F54" s="7"/>
      <c r="G54" s="7"/>
      <c r="H54" s="7"/>
      <c r="I54" s="7"/>
      <c r="J54" s="306"/>
      <c r="K54" s="306" t="s">
        <v>612</v>
      </c>
      <c r="L54" s="2" t="s">
        <v>581</v>
      </c>
      <c r="M54" s="7"/>
      <c r="N54" s="7"/>
      <c r="O54" s="7"/>
      <c r="P54" s="7"/>
      <c r="U54" s="107" t="s">
        <v>357</v>
      </c>
      <c r="V54" s="132"/>
      <c r="W54" s="132"/>
      <c r="X54" s="132"/>
      <c r="Y54" s="132"/>
    </row>
    <row r="55" spans="3:28">
      <c r="C55" s="84"/>
      <c r="D55" s="281"/>
      <c r="E55" s="281"/>
      <c r="F55" s="7"/>
      <c r="G55" s="7"/>
      <c r="H55" s="7"/>
      <c r="I55" s="7" t="s">
        <v>307</v>
      </c>
      <c r="J55" s="7" t="s">
        <v>308</v>
      </c>
      <c r="K55" s="7" t="s">
        <v>488</v>
      </c>
      <c r="M55" s="751" t="s">
        <v>477</v>
      </c>
      <c r="N55" s="751"/>
      <c r="O55" s="751"/>
      <c r="P55" s="751"/>
      <c r="Q55" s="751"/>
      <c r="R55" s="751"/>
      <c r="S55" s="751"/>
      <c r="T55" s="751"/>
      <c r="U55" s="84"/>
      <c r="V55" s="132" t="s">
        <v>358</v>
      </c>
      <c r="W55" s="132"/>
      <c r="X55" s="132"/>
      <c r="Y55" s="132"/>
    </row>
    <row r="56" spans="3:28">
      <c r="C56" s="450" t="s">
        <v>503</v>
      </c>
      <c r="D56" s="281"/>
      <c r="E56" s="281" t="s">
        <v>683</v>
      </c>
      <c r="F56" s="7">
        <v>1016</v>
      </c>
      <c r="G56" s="306" t="s">
        <v>303</v>
      </c>
      <c r="H56" s="52">
        <v>700</v>
      </c>
      <c r="I56" s="52"/>
      <c r="J56" s="52"/>
      <c r="K56" s="52">
        <v>200</v>
      </c>
      <c r="L56" s="7"/>
      <c r="M56" s="7">
        <v>200</v>
      </c>
      <c r="N56" s="7">
        <v>200</v>
      </c>
      <c r="O56" s="7">
        <v>200</v>
      </c>
      <c r="P56" s="7">
        <v>200</v>
      </c>
      <c r="Q56" s="7">
        <v>200</v>
      </c>
      <c r="R56" s="7">
        <v>200</v>
      </c>
      <c r="S56" s="7">
        <v>200</v>
      </c>
      <c r="U56" s="84"/>
      <c r="V56" s="84"/>
      <c r="W56" s="132" t="s">
        <v>359</v>
      </c>
      <c r="X56" s="84"/>
      <c r="Y56" s="84"/>
    </row>
    <row r="57" spans="3:28">
      <c r="C57" s="477" t="s">
        <v>518</v>
      </c>
      <c r="D57" s="281"/>
      <c r="E57" s="281"/>
      <c r="F57" s="7"/>
      <c r="G57" s="306" t="s">
        <v>57</v>
      </c>
      <c r="H57" s="52"/>
      <c r="I57" s="52"/>
      <c r="J57" s="52"/>
      <c r="K57" s="52"/>
      <c r="L57" s="7"/>
      <c r="M57" s="7"/>
      <c r="N57" s="7"/>
      <c r="O57" s="7"/>
      <c r="P57" s="7"/>
      <c r="R57" s="7"/>
      <c r="S57" s="7"/>
      <c r="U57" s="462">
        <v>700</v>
      </c>
      <c r="V57" s="84" t="s">
        <v>303</v>
      </c>
      <c r="W57" s="132"/>
      <c r="X57" s="84"/>
      <c r="Y57" s="84"/>
    </row>
    <row r="58" spans="3:28">
      <c r="C58" s="8" t="s">
        <v>519</v>
      </c>
      <c r="D58" s="320"/>
      <c r="E58" s="320"/>
      <c r="F58" s="7"/>
      <c r="G58" s="306" t="s">
        <v>474</v>
      </c>
      <c r="H58" s="52"/>
      <c r="I58" s="52"/>
      <c r="J58" s="52"/>
      <c r="K58" s="52"/>
      <c r="L58" s="7"/>
      <c r="M58" s="7"/>
      <c r="N58" s="7"/>
      <c r="O58" s="7"/>
      <c r="P58" s="7"/>
      <c r="R58" s="7"/>
      <c r="S58" s="7"/>
      <c r="U58" s="462"/>
      <c r="V58" s="84"/>
      <c r="W58" s="84"/>
      <c r="X58" s="207" t="s">
        <v>360</v>
      </c>
      <c r="Y58" s="84"/>
    </row>
    <row r="59" spans="3:28">
      <c r="C59" s="477"/>
      <c r="D59" s="332"/>
      <c r="E59" s="332"/>
      <c r="F59" s="7"/>
      <c r="G59" s="306" t="s">
        <v>475</v>
      </c>
      <c r="H59" s="335"/>
      <c r="I59" s="52"/>
      <c r="J59" s="52"/>
      <c r="K59" s="52">
        <v>100</v>
      </c>
      <c r="L59" s="7"/>
      <c r="M59" s="52">
        <v>100</v>
      </c>
      <c r="N59" s="52">
        <v>100</v>
      </c>
      <c r="O59" s="52">
        <v>100</v>
      </c>
      <c r="P59" s="52">
        <v>100</v>
      </c>
      <c r="Q59" s="52">
        <v>100</v>
      </c>
      <c r="R59" s="52">
        <v>100</v>
      </c>
      <c r="S59" s="52">
        <v>100</v>
      </c>
      <c r="T59" s="7"/>
      <c r="U59" s="7"/>
      <c r="V59" s="132"/>
      <c r="W59" s="132"/>
      <c r="X59" s="84"/>
      <c r="Y59" s="85" t="s">
        <v>490</v>
      </c>
      <c r="Z59" s="132"/>
    </row>
    <row r="60" spans="3:28">
      <c r="C60" s="477" t="s">
        <v>513</v>
      </c>
      <c r="D60" s="332"/>
      <c r="E60" s="332"/>
      <c r="F60" s="7"/>
      <c r="G60" s="306">
        <v>3600</v>
      </c>
      <c r="H60" s="335"/>
      <c r="I60" s="52"/>
      <c r="J60" s="52"/>
      <c r="K60" s="52">
        <v>1200</v>
      </c>
      <c r="L60" s="7"/>
      <c r="M60" s="52">
        <v>1200</v>
      </c>
      <c r="N60" s="52">
        <v>1200</v>
      </c>
      <c r="O60" s="52">
        <v>1200</v>
      </c>
      <c r="P60" s="52">
        <v>1200</v>
      </c>
      <c r="Q60" s="52">
        <v>1200</v>
      </c>
      <c r="R60" s="52">
        <v>1200</v>
      </c>
      <c r="S60" s="52">
        <v>1200</v>
      </c>
      <c r="T60" s="7"/>
      <c r="U60" s="7">
        <v>84</v>
      </c>
      <c r="V60" s="3" t="s">
        <v>509</v>
      </c>
    </row>
    <row r="61" spans="3:28">
      <c r="C61" s="320" t="s">
        <v>514</v>
      </c>
      <c r="D61" s="332"/>
      <c r="E61" s="332"/>
      <c r="F61" s="7"/>
      <c r="G61" s="306" t="s">
        <v>354</v>
      </c>
      <c r="H61" s="351">
        <v>84</v>
      </c>
      <c r="I61" s="52"/>
      <c r="J61" s="52"/>
      <c r="K61" s="52"/>
      <c r="L61" s="7"/>
      <c r="M61" s="7">
        <v>239600</v>
      </c>
      <c r="N61" s="7">
        <v>266267</v>
      </c>
      <c r="O61" s="7">
        <v>510711</v>
      </c>
      <c r="P61" s="7">
        <v>49600</v>
      </c>
      <c r="Q61" s="7">
        <v>66267</v>
      </c>
      <c r="R61" s="7">
        <v>110711</v>
      </c>
      <c r="S61" s="7"/>
      <c r="T61" s="7"/>
      <c r="U61" s="7"/>
      <c r="V61" s="7" t="s">
        <v>485</v>
      </c>
    </row>
    <row r="62" spans="3:28">
      <c r="C62" s="337" t="s">
        <v>515</v>
      </c>
      <c r="D62" s="332"/>
      <c r="E62" s="332"/>
      <c r="F62" s="7"/>
      <c r="G62" s="306" t="s">
        <v>476</v>
      </c>
      <c r="H62" s="335"/>
      <c r="I62" s="52"/>
      <c r="J62" s="52"/>
      <c r="K62" s="52">
        <v>600</v>
      </c>
      <c r="L62" s="7"/>
      <c r="M62" s="7">
        <v>600</v>
      </c>
      <c r="N62" s="7">
        <v>600</v>
      </c>
      <c r="O62" s="7">
        <v>600</v>
      </c>
      <c r="P62" s="7">
        <v>600</v>
      </c>
      <c r="Q62" s="7">
        <v>600</v>
      </c>
      <c r="R62" s="7">
        <v>600</v>
      </c>
      <c r="S62" s="7">
        <v>600</v>
      </c>
      <c r="T62" s="7"/>
      <c r="U62" s="7"/>
      <c r="V62" s="7" t="s">
        <v>484</v>
      </c>
    </row>
    <row r="63" spans="3:28">
      <c r="C63" s="337" t="s">
        <v>516</v>
      </c>
      <c r="D63" s="332"/>
      <c r="E63" s="332"/>
      <c r="F63" s="7"/>
      <c r="G63" s="128" t="s">
        <v>91</v>
      </c>
      <c r="H63" s="335"/>
      <c r="I63" s="52"/>
      <c r="J63" s="52"/>
      <c r="K63" s="52"/>
      <c r="L63" s="306" t="s">
        <v>500</v>
      </c>
      <c r="M63" s="7">
        <v>700</v>
      </c>
      <c r="N63" s="7"/>
      <c r="O63" s="7"/>
      <c r="P63" s="7"/>
      <c r="R63" s="7"/>
      <c r="S63" s="7"/>
      <c r="T63" s="7"/>
      <c r="U63" s="7"/>
      <c r="V63" s="2" t="s">
        <v>483</v>
      </c>
    </row>
    <row r="64" spans="3:28">
      <c r="C64" s="336"/>
      <c r="D64" s="332"/>
      <c r="E64" s="332"/>
      <c r="F64" s="7"/>
      <c r="G64" s="128" t="s">
        <v>350</v>
      </c>
      <c r="H64" s="465">
        <v>200</v>
      </c>
      <c r="I64" s="52"/>
      <c r="J64" s="52"/>
      <c r="K64" s="52">
        <v>260</v>
      </c>
      <c r="L64" s="7"/>
      <c r="M64" s="7">
        <v>312000</v>
      </c>
      <c r="N64" s="7">
        <v>346666</v>
      </c>
      <c r="O64" s="7">
        <v>664444</v>
      </c>
      <c r="P64" s="7">
        <v>65000</v>
      </c>
      <c r="Q64" s="7">
        <v>86666</v>
      </c>
      <c r="R64" s="7">
        <v>144444</v>
      </c>
      <c r="S64" s="7">
        <v>260</v>
      </c>
      <c r="T64" s="7"/>
      <c r="U64" s="7">
        <v>200</v>
      </c>
      <c r="V64" s="3" t="s">
        <v>307</v>
      </c>
    </row>
    <row r="65" spans="2:22">
      <c r="C65" s="336"/>
      <c r="D65" s="348"/>
      <c r="E65" s="348"/>
      <c r="F65" s="7"/>
      <c r="G65" s="128" t="s">
        <v>92</v>
      </c>
      <c r="H65" s="52"/>
      <c r="I65" s="7"/>
      <c r="J65" s="7"/>
      <c r="K65" s="7"/>
      <c r="L65" s="7"/>
      <c r="M65" s="7"/>
      <c r="N65" s="7"/>
      <c r="O65" s="7"/>
      <c r="P65" s="7"/>
      <c r="R65" s="7"/>
      <c r="S65" s="7"/>
      <c r="T65" s="7"/>
      <c r="U65" s="7"/>
    </row>
    <row r="66" spans="2:22">
      <c r="C66" s="336"/>
      <c r="D66" s="348"/>
      <c r="E66" s="348"/>
      <c r="F66" s="7"/>
      <c r="G66" s="466" t="s">
        <v>478</v>
      </c>
      <c r="H66" s="467">
        <v>32</v>
      </c>
      <c r="I66" s="7"/>
      <c r="J66" s="7"/>
      <c r="K66" s="7"/>
      <c r="L66" s="7"/>
      <c r="M66" s="7"/>
      <c r="N66" s="7"/>
      <c r="P66" s="7"/>
      <c r="R66" s="7"/>
      <c r="S66" s="7"/>
      <c r="U66" s="7"/>
    </row>
    <row r="67" spans="2:22">
      <c r="C67" s="336"/>
      <c r="D67" s="348"/>
      <c r="E67" s="348"/>
      <c r="G67" s="128"/>
      <c r="H67" s="216">
        <f>SUM(H56:H66)</f>
        <v>1016</v>
      </c>
      <c r="I67" s="216">
        <f t="shared" ref="I67:N67" si="11">SUM(I56:I66)</f>
        <v>0</v>
      </c>
      <c r="J67" s="216">
        <f t="shared" si="11"/>
        <v>0</v>
      </c>
      <c r="K67" s="216">
        <f t="shared" si="11"/>
        <v>2360</v>
      </c>
      <c r="L67" s="216"/>
      <c r="M67" s="326">
        <f t="shared" si="11"/>
        <v>554400</v>
      </c>
      <c r="N67" s="326">
        <f t="shared" si="11"/>
        <v>615033</v>
      </c>
      <c r="O67" s="326">
        <f t="shared" ref="O67:S67" si="12">SUM(O56:O66)</f>
        <v>1177255</v>
      </c>
      <c r="P67" s="326">
        <f t="shared" si="12"/>
        <v>116700</v>
      </c>
      <c r="Q67" s="326">
        <f t="shared" si="12"/>
        <v>155033</v>
      </c>
      <c r="R67" s="326">
        <f t="shared" si="12"/>
        <v>257255</v>
      </c>
      <c r="S67" s="326">
        <f t="shared" si="12"/>
        <v>2360</v>
      </c>
      <c r="T67" s="461">
        <f>SUM(M67:S67)</f>
        <v>2878036</v>
      </c>
    </row>
    <row r="68" spans="2:22">
      <c r="C68" s="336"/>
      <c r="D68" s="348"/>
      <c r="E68" s="348"/>
      <c r="H68" s="7">
        <f>F56-H67</f>
        <v>0</v>
      </c>
    </row>
    <row r="69" spans="2:22">
      <c r="C69" s="336"/>
      <c r="D69" s="348"/>
      <c r="E69" s="348"/>
    </row>
    <row r="70" spans="2:22">
      <c r="C70" s="336"/>
      <c r="D70" s="281"/>
      <c r="E70" s="281"/>
      <c r="F70" s="7"/>
      <c r="G70" s="7"/>
      <c r="H70" s="7"/>
      <c r="I70" s="7" t="s">
        <v>307</v>
      </c>
      <c r="J70" s="7" t="s">
        <v>308</v>
      </c>
      <c r="K70" s="7" t="s">
        <v>488</v>
      </c>
      <c r="M70" s="751" t="s">
        <v>477</v>
      </c>
      <c r="N70" s="751"/>
      <c r="O70" s="751"/>
      <c r="P70" s="751"/>
      <c r="Q70" s="751"/>
      <c r="R70" s="751"/>
      <c r="S70" s="751"/>
      <c r="T70" s="751"/>
    </row>
    <row r="71" spans="2:22">
      <c r="B71" s="2"/>
      <c r="C71" s="336" t="s">
        <v>521</v>
      </c>
      <c r="D71" s="281"/>
      <c r="E71" s="281" t="s">
        <v>684</v>
      </c>
      <c r="F71" s="7">
        <v>11168</v>
      </c>
      <c r="G71" s="306" t="s">
        <v>303</v>
      </c>
      <c r="H71" s="52">
        <v>200</v>
      </c>
      <c r="I71" s="52"/>
      <c r="J71" s="52"/>
      <c r="K71" s="52">
        <v>200</v>
      </c>
      <c r="L71" s="52"/>
      <c r="M71" s="52">
        <v>200</v>
      </c>
      <c r="N71" s="52">
        <v>200</v>
      </c>
      <c r="O71" s="52">
        <v>200</v>
      </c>
      <c r="P71" s="52"/>
      <c r="Q71" s="52"/>
      <c r="R71" s="52"/>
      <c r="S71" s="52"/>
      <c r="U71" s="462">
        <v>200</v>
      </c>
      <c r="V71" s="84" t="s">
        <v>303</v>
      </c>
    </row>
    <row r="72" spans="2:22">
      <c r="B72" s="2"/>
      <c r="C72" s="479" t="s">
        <v>695</v>
      </c>
      <c r="D72" s="281"/>
      <c r="E72" s="281"/>
      <c r="F72" s="7"/>
      <c r="G72" s="306" t="s">
        <v>57</v>
      </c>
      <c r="H72" s="52">
        <v>68</v>
      </c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462">
        <v>68</v>
      </c>
      <c r="V72" s="84" t="s">
        <v>530</v>
      </c>
    </row>
    <row r="73" spans="2:22">
      <c r="B73" s="2"/>
      <c r="C73" s="336"/>
      <c r="D73" s="320"/>
      <c r="E73" s="320"/>
      <c r="F73" s="7"/>
      <c r="G73" s="306" t="s">
        <v>474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U73" s="7"/>
      <c r="V73" s="132"/>
    </row>
    <row r="74" spans="2:22">
      <c r="B74" s="2"/>
      <c r="C74" s="480" t="s">
        <v>525</v>
      </c>
      <c r="D74" s="332"/>
      <c r="E74" s="332"/>
      <c r="F74" s="7"/>
      <c r="G74" s="306" t="s">
        <v>475</v>
      </c>
      <c r="H74" s="486"/>
      <c r="I74" s="52"/>
      <c r="J74" s="52"/>
      <c r="K74" s="52">
        <v>100</v>
      </c>
      <c r="L74" s="52"/>
      <c r="M74" s="52">
        <v>100</v>
      </c>
      <c r="N74" s="52">
        <v>100</v>
      </c>
      <c r="O74" s="52">
        <v>100</v>
      </c>
      <c r="P74" s="52"/>
      <c r="Q74" s="52"/>
      <c r="R74" s="52"/>
      <c r="S74" s="52"/>
      <c r="T74" s="7"/>
      <c r="U74" s="7">
        <v>10900</v>
      </c>
      <c r="V74" s="3" t="s">
        <v>509</v>
      </c>
    </row>
    <row r="75" spans="2:22">
      <c r="B75" s="2"/>
      <c r="C75" s="480" t="s">
        <v>523</v>
      </c>
      <c r="D75" s="332"/>
      <c r="E75" s="332"/>
      <c r="F75" s="7"/>
      <c r="G75" s="306">
        <v>3600</v>
      </c>
      <c r="H75" s="486"/>
      <c r="I75" s="52"/>
      <c r="J75" s="52"/>
      <c r="K75" s="52">
        <v>1200</v>
      </c>
      <c r="L75" s="52"/>
      <c r="M75" s="52">
        <v>1200</v>
      </c>
      <c r="N75" s="52">
        <v>1200</v>
      </c>
      <c r="O75" s="52">
        <v>1200</v>
      </c>
      <c r="P75" s="52"/>
      <c r="Q75" s="52"/>
      <c r="R75" s="52"/>
      <c r="S75" s="52"/>
      <c r="T75" s="7"/>
      <c r="U75" s="7"/>
      <c r="V75" s="7" t="s">
        <v>485</v>
      </c>
    </row>
    <row r="76" spans="2:22">
      <c r="B76" s="2"/>
      <c r="C76" s="480" t="s">
        <v>524</v>
      </c>
      <c r="D76" s="332"/>
      <c r="E76" s="332"/>
      <c r="F76" s="7"/>
      <c r="G76" s="306" t="s">
        <v>354</v>
      </c>
      <c r="H76" s="52">
        <v>10900</v>
      </c>
      <c r="I76" s="52">
        <v>872</v>
      </c>
      <c r="J76" s="52"/>
      <c r="K76" s="52">
        <v>9600</v>
      </c>
      <c r="L76" s="52"/>
      <c r="M76" s="52">
        <v>9600</v>
      </c>
      <c r="N76" s="52">
        <v>110711</v>
      </c>
      <c r="O76" s="52">
        <v>66267</v>
      </c>
      <c r="P76" s="52"/>
      <c r="Q76" s="52"/>
      <c r="R76" s="52"/>
      <c r="S76" s="52"/>
      <c r="T76" s="7"/>
      <c r="U76" s="7"/>
      <c r="V76" s="7" t="s">
        <v>484</v>
      </c>
    </row>
    <row r="77" spans="2:22">
      <c r="B77" s="2"/>
      <c r="C77" s="336"/>
      <c r="D77" s="332"/>
      <c r="E77" s="332"/>
      <c r="F77" s="7"/>
      <c r="G77" s="306" t="s">
        <v>476</v>
      </c>
      <c r="H77" s="335"/>
      <c r="I77" s="52"/>
      <c r="J77" s="52"/>
      <c r="K77" s="52">
        <v>300</v>
      </c>
      <c r="L77" s="52"/>
      <c r="M77" s="52">
        <v>300</v>
      </c>
      <c r="N77" s="52">
        <v>300</v>
      </c>
      <c r="O77" s="52">
        <v>300</v>
      </c>
      <c r="P77" s="52"/>
      <c r="Q77" s="52"/>
      <c r="R77" s="52"/>
      <c r="S77" s="52"/>
      <c r="T77" s="7"/>
      <c r="U77" s="7"/>
      <c r="V77" s="2" t="s">
        <v>483</v>
      </c>
    </row>
    <row r="78" spans="2:22" ht="13.5">
      <c r="B78" s="2"/>
      <c r="C78" s="482" t="s">
        <v>528</v>
      </c>
      <c r="D78" s="332"/>
      <c r="E78" s="332"/>
      <c r="F78" s="7"/>
      <c r="G78" s="128" t="s">
        <v>91</v>
      </c>
      <c r="H78" s="335"/>
      <c r="I78" s="52"/>
      <c r="J78" s="52"/>
      <c r="K78" s="52"/>
      <c r="L78" s="478" t="s">
        <v>529</v>
      </c>
      <c r="M78" s="52"/>
      <c r="N78" s="52"/>
      <c r="O78" s="52"/>
      <c r="P78" s="52"/>
      <c r="Q78" s="52"/>
      <c r="R78" s="52"/>
      <c r="S78" s="52"/>
      <c r="T78" s="7"/>
      <c r="U78" s="7">
        <v>872</v>
      </c>
      <c r="V78" s="3" t="s">
        <v>522</v>
      </c>
    </row>
    <row r="79" spans="2:22">
      <c r="B79" s="2"/>
      <c r="C79" s="336"/>
      <c r="D79" s="332"/>
      <c r="E79" s="332"/>
      <c r="F79" s="7"/>
      <c r="G79" s="128" t="s">
        <v>350</v>
      </c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7"/>
    </row>
    <row r="80" spans="2:22">
      <c r="B80" s="2"/>
      <c r="C80" s="336"/>
      <c r="D80" s="348"/>
      <c r="E80" s="348"/>
      <c r="F80" s="7"/>
      <c r="G80" s="128" t="s">
        <v>92</v>
      </c>
      <c r="H80" s="52"/>
      <c r="I80" s="7"/>
      <c r="J80" s="7"/>
      <c r="K80" s="7"/>
      <c r="L80" s="7"/>
      <c r="M80" s="7"/>
      <c r="N80" s="7"/>
      <c r="O80" s="7"/>
      <c r="P80" s="7"/>
      <c r="R80" s="7"/>
      <c r="S80" s="7"/>
      <c r="T80" s="7"/>
    </row>
    <row r="81" spans="2:22">
      <c r="B81" s="2"/>
      <c r="C81" s="336"/>
      <c r="D81" s="348"/>
      <c r="E81" s="348"/>
      <c r="F81" s="7"/>
      <c r="G81" s="466" t="s">
        <v>478</v>
      </c>
      <c r="H81" s="467"/>
      <c r="I81" s="7"/>
      <c r="J81" s="7"/>
      <c r="K81" s="7"/>
      <c r="L81" s="7"/>
      <c r="M81" s="7"/>
      <c r="N81" s="7"/>
      <c r="P81" s="7"/>
      <c r="R81" s="7"/>
      <c r="S81" s="7"/>
    </row>
    <row r="82" spans="2:22">
      <c r="B82" s="2"/>
      <c r="C82" s="336"/>
      <c r="D82" s="348"/>
      <c r="E82" s="348"/>
      <c r="G82" s="128"/>
      <c r="H82" s="216">
        <f>SUM(H71:H81)</f>
        <v>11168</v>
      </c>
      <c r="I82" s="216">
        <f t="shared" ref="I82:K82" si="13">SUM(I71:I81)</f>
        <v>872</v>
      </c>
      <c r="J82" s="216">
        <f t="shared" si="13"/>
        <v>0</v>
      </c>
      <c r="K82" s="216">
        <f t="shared" si="13"/>
        <v>11400</v>
      </c>
      <c r="L82" s="216"/>
      <c r="M82" s="326">
        <f t="shared" ref="M82:S82" si="14">SUM(M71:M81)</f>
        <v>11400</v>
      </c>
      <c r="N82" s="326">
        <f t="shared" si="14"/>
        <v>112511</v>
      </c>
      <c r="O82" s="326">
        <f t="shared" si="14"/>
        <v>68067</v>
      </c>
      <c r="P82" s="326">
        <f t="shared" si="14"/>
        <v>0</v>
      </c>
      <c r="Q82" s="326">
        <f t="shared" si="14"/>
        <v>0</v>
      </c>
      <c r="R82" s="326">
        <f t="shared" si="14"/>
        <v>0</v>
      </c>
      <c r="S82" s="326">
        <f t="shared" si="14"/>
        <v>0</v>
      </c>
      <c r="T82" s="461">
        <f>SUM(M82:S82)</f>
        <v>191978</v>
      </c>
    </row>
    <row r="83" spans="2:22">
      <c r="B83" s="2"/>
      <c r="D83" s="348"/>
      <c r="E83" s="348"/>
      <c r="H83" s="7">
        <f>F71-H82</f>
        <v>0</v>
      </c>
    </row>
    <row r="84" spans="2:22">
      <c r="B84" s="2"/>
    </row>
    <row r="85" spans="2:22">
      <c r="D85" s="281"/>
      <c r="E85" s="281"/>
      <c r="F85" s="7"/>
      <c r="G85" s="7"/>
      <c r="H85" s="216" t="s">
        <v>537</v>
      </c>
      <c r="I85" s="7" t="s">
        <v>307</v>
      </c>
      <c r="J85" s="7" t="s">
        <v>308</v>
      </c>
      <c r="K85" s="7" t="s">
        <v>488</v>
      </c>
      <c r="M85" s="751" t="s">
        <v>477</v>
      </c>
      <c r="N85" s="751"/>
      <c r="O85" s="751"/>
      <c r="P85" s="751"/>
      <c r="Q85" s="751"/>
      <c r="R85" s="751"/>
      <c r="S85" s="751"/>
      <c r="T85" s="751"/>
      <c r="U85" s="84"/>
    </row>
    <row r="86" spans="2:22">
      <c r="D86" s="281"/>
      <c r="E86" s="281" t="s">
        <v>685</v>
      </c>
      <c r="F86" s="7">
        <v>846</v>
      </c>
      <c r="G86" s="306" t="s">
        <v>303</v>
      </c>
      <c r="H86" s="52">
        <v>20</v>
      </c>
      <c r="I86" s="52"/>
      <c r="J86" s="52"/>
      <c r="K86" s="52">
        <v>20</v>
      </c>
      <c r="L86" s="52"/>
      <c r="M86" s="52"/>
      <c r="N86" s="52"/>
      <c r="O86" s="52"/>
      <c r="P86" s="52"/>
      <c r="Q86" s="52"/>
      <c r="R86" s="52"/>
      <c r="S86" s="52"/>
      <c r="T86" s="5"/>
      <c r="U86" s="85"/>
      <c r="V86" s="84" t="s">
        <v>303</v>
      </c>
    </row>
    <row r="87" spans="2:22">
      <c r="D87" s="281"/>
      <c r="E87" s="281"/>
      <c r="F87" s="7"/>
      <c r="G87" s="306" t="s">
        <v>57</v>
      </c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"/>
      <c r="U87" s="491"/>
      <c r="V87" s="84" t="s">
        <v>530</v>
      </c>
    </row>
    <row r="88" spans="2:22">
      <c r="D88" s="320"/>
      <c r="E88" s="320"/>
      <c r="F88" s="7"/>
      <c r="G88" s="306" t="s">
        <v>474</v>
      </c>
      <c r="H88" s="52">
        <v>250</v>
      </c>
      <c r="I88" s="52">
        <v>28</v>
      </c>
      <c r="J88" s="52"/>
      <c r="K88" s="52">
        <v>250</v>
      </c>
      <c r="L88" s="52"/>
      <c r="M88" s="52"/>
      <c r="N88" s="52"/>
      <c r="O88" s="52"/>
      <c r="P88" s="52"/>
      <c r="Q88" s="52"/>
      <c r="R88" s="52"/>
      <c r="S88" s="52"/>
      <c r="T88" s="5"/>
      <c r="U88" s="491"/>
      <c r="V88" s="132"/>
    </row>
    <row r="89" spans="2:22">
      <c r="D89" s="332"/>
      <c r="E89" s="332"/>
      <c r="F89" s="7"/>
      <c r="G89" s="306" t="s">
        <v>475</v>
      </c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3" t="s">
        <v>509</v>
      </c>
    </row>
    <row r="90" spans="2:22">
      <c r="C90" s="320"/>
      <c r="D90" s="332"/>
      <c r="E90" s="332"/>
      <c r="F90" s="7"/>
      <c r="G90" s="306">
        <v>3600</v>
      </c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7" t="s">
        <v>485</v>
      </c>
    </row>
    <row r="91" spans="2:22">
      <c r="D91" s="332"/>
      <c r="E91" s="332"/>
      <c r="F91" s="7"/>
      <c r="G91" s="306" t="s">
        <v>354</v>
      </c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7" t="s">
        <v>484</v>
      </c>
    </row>
    <row r="92" spans="2:22">
      <c r="D92" s="332"/>
      <c r="E92" s="332"/>
      <c r="F92" s="7"/>
      <c r="G92" s="306" t="s">
        <v>476</v>
      </c>
      <c r="H92" s="52">
        <v>200</v>
      </c>
      <c r="I92" s="52"/>
      <c r="J92" s="52"/>
      <c r="K92" s="52">
        <v>200</v>
      </c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2" t="s">
        <v>483</v>
      </c>
    </row>
    <row r="93" spans="2:22">
      <c r="D93" s="332"/>
      <c r="E93" s="332"/>
      <c r="F93" s="7"/>
      <c r="G93" s="128" t="s">
        <v>91</v>
      </c>
      <c r="H93" s="52">
        <v>300</v>
      </c>
      <c r="I93" s="52">
        <v>33</v>
      </c>
      <c r="J93" s="52"/>
      <c r="K93" s="52">
        <v>300</v>
      </c>
      <c r="L93" s="478"/>
      <c r="M93" s="52"/>
      <c r="N93" s="52"/>
      <c r="O93" s="52"/>
      <c r="P93" s="52"/>
      <c r="Q93" s="52"/>
      <c r="R93" s="52"/>
      <c r="S93" s="52"/>
      <c r="T93" s="52"/>
      <c r="U93" s="52"/>
    </row>
    <row r="94" spans="2:22">
      <c r="D94" s="332"/>
      <c r="E94" s="332"/>
      <c r="F94" s="7"/>
      <c r="G94" s="128" t="s">
        <v>350</v>
      </c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</row>
    <row r="95" spans="2:22">
      <c r="D95" s="348"/>
      <c r="E95" s="348"/>
      <c r="F95" s="7"/>
      <c r="G95" s="128" t="s">
        <v>92</v>
      </c>
      <c r="H95" s="52"/>
      <c r="I95" s="7"/>
      <c r="J95" s="7"/>
      <c r="K95" s="7"/>
      <c r="L95" s="7"/>
      <c r="M95" s="7"/>
      <c r="N95" s="7"/>
      <c r="O95" s="7"/>
      <c r="P95" s="7"/>
      <c r="R95" s="7"/>
      <c r="S95" s="7"/>
      <c r="T95" s="7"/>
      <c r="U95" s="7"/>
    </row>
    <row r="96" spans="2:22">
      <c r="D96" s="348"/>
      <c r="E96" s="348"/>
      <c r="F96" s="7"/>
      <c r="G96" s="466" t="s">
        <v>478</v>
      </c>
      <c r="H96" s="467">
        <v>76</v>
      </c>
      <c r="I96" s="7"/>
      <c r="J96" s="7"/>
      <c r="K96" s="7"/>
      <c r="L96" s="7"/>
      <c r="M96" s="7"/>
      <c r="N96" s="7"/>
      <c r="P96" s="7"/>
      <c r="R96" s="7"/>
      <c r="S96" s="7"/>
      <c r="U96" s="7"/>
    </row>
    <row r="97" spans="3:22">
      <c r="D97" s="348"/>
      <c r="E97" s="348"/>
      <c r="G97" s="128"/>
      <c r="H97" s="216">
        <f>SUM(H86:H96)</f>
        <v>846</v>
      </c>
      <c r="I97" s="216">
        <f t="shared" ref="I97:K97" si="15">SUM(I86:I96)</f>
        <v>61</v>
      </c>
      <c r="J97" s="216">
        <f t="shared" si="15"/>
        <v>0</v>
      </c>
      <c r="K97" s="216">
        <f t="shared" si="15"/>
        <v>770</v>
      </c>
      <c r="L97" s="216"/>
      <c r="M97" s="326">
        <f t="shared" ref="M97:S97" si="16">SUM(M86:M96)</f>
        <v>0</v>
      </c>
      <c r="N97" s="326">
        <f t="shared" si="16"/>
        <v>0</v>
      </c>
      <c r="O97" s="326">
        <f t="shared" si="16"/>
        <v>0</v>
      </c>
      <c r="P97" s="326">
        <f t="shared" si="16"/>
        <v>0</v>
      </c>
      <c r="Q97" s="326">
        <f t="shared" si="16"/>
        <v>0</v>
      </c>
      <c r="R97" s="326">
        <f t="shared" si="16"/>
        <v>0</v>
      </c>
      <c r="S97" s="326">
        <f t="shared" si="16"/>
        <v>0</v>
      </c>
      <c r="T97" s="461">
        <f>SUM(M97:S97)</f>
        <v>0</v>
      </c>
    </row>
    <row r="98" spans="3:22">
      <c r="D98" s="348"/>
      <c r="E98" s="348"/>
      <c r="H98" s="7">
        <f>F86-H97</f>
        <v>0</v>
      </c>
    </row>
    <row r="100" spans="3:22">
      <c r="D100" s="281"/>
      <c r="E100" s="281"/>
      <c r="F100" s="7"/>
      <c r="G100" s="7"/>
      <c r="H100" s="216" t="s">
        <v>537</v>
      </c>
      <c r="I100" s="7" t="s">
        <v>307</v>
      </c>
      <c r="J100" s="7" t="s">
        <v>308</v>
      </c>
      <c r="K100" s="7" t="s">
        <v>488</v>
      </c>
      <c r="M100" s="751" t="s">
        <v>477</v>
      </c>
      <c r="N100" s="751"/>
      <c r="O100" s="751"/>
      <c r="P100" s="751"/>
      <c r="Q100" s="751"/>
      <c r="R100" s="751"/>
      <c r="S100" s="751"/>
      <c r="T100" s="751"/>
      <c r="U100" s="84"/>
    </row>
    <row r="101" spans="3:22">
      <c r="C101" s="3" t="s">
        <v>533</v>
      </c>
      <c r="D101" s="281"/>
      <c r="E101" s="281" t="s">
        <v>686</v>
      </c>
      <c r="F101" s="7">
        <v>3196</v>
      </c>
      <c r="G101" s="306" t="s">
        <v>303</v>
      </c>
      <c r="H101" s="52">
        <v>200</v>
      </c>
      <c r="I101" s="52"/>
      <c r="J101" s="52"/>
      <c r="K101" s="52">
        <v>200</v>
      </c>
      <c r="L101" s="52"/>
      <c r="M101" s="52">
        <v>200</v>
      </c>
      <c r="N101" s="52">
        <v>200</v>
      </c>
      <c r="O101" s="52">
        <v>200</v>
      </c>
      <c r="P101" s="52">
        <v>200</v>
      </c>
      <c r="Q101" s="52"/>
      <c r="R101" s="52"/>
      <c r="S101" s="52"/>
      <c r="T101" s="5"/>
      <c r="U101" s="491">
        <v>200</v>
      </c>
      <c r="V101" s="84" t="s">
        <v>303</v>
      </c>
    </row>
    <row r="102" spans="3:22">
      <c r="C102" s="477" t="s">
        <v>538</v>
      </c>
      <c r="D102" s="281"/>
      <c r="E102" s="281"/>
      <c r="F102" s="7"/>
      <c r="G102" s="306" t="s">
        <v>57</v>
      </c>
      <c r="H102" s="52">
        <v>96</v>
      </c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"/>
      <c r="U102" s="491">
        <v>96</v>
      </c>
      <c r="V102" s="84" t="s">
        <v>530</v>
      </c>
    </row>
    <row r="103" spans="3:22">
      <c r="C103" s="320" t="s">
        <v>540</v>
      </c>
      <c r="D103" s="320"/>
      <c r="E103" s="320"/>
      <c r="F103" s="7"/>
      <c r="G103" s="306" t="s">
        <v>474</v>
      </c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"/>
      <c r="U103" s="491"/>
      <c r="V103" s="132"/>
    </row>
    <row r="104" spans="3:22">
      <c r="C104" s="320" t="s">
        <v>700</v>
      </c>
      <c r="D104" s="332"/>
      <c r="E104" s="332"/>
      <c r="F104" s="7"/>
      <c r="G104" s="306" t="s">
        <v>475</v>
      </c>
      <c r="H104" s="486"/>
      <c r="I104" s="52"/>
      <c r="J104" s="52"/>
      <c r="K104" s="52">
        <v>100</v>
      </c>
      <c r="L104" s="52"/>
      <c r="M104" s="52">
        <v>100</v>
      </c>
      <c r="N104" s="52">
        <v>100</v>
      </c>
      <c r="O104" s="52">
        <v>100</v>
      </c>
      <c r="P104" s="52">
        <v>100</v>
      </c>
      <c r="Q104" s="52"/>
      <c r="R104" s="52"/>
      <c r="S104" s="52"/>
      <c r="T104" s="52"/>
      <c r="U104" s="52">
        <v>1900</v>
      </c>
      <c r="V104" s="3" t="s">
        <v>509</v>
      </c>
    </row>
    <row r="105" spans="3:22">
      <c r="C105" s="3" t="s">
        <v>543</v>
      </c>
      <c r="D105" s="332"/>
      <c r="E105" s="332"/>
      <c r="F105" s="7"/>
      <c r="G105" s="306">
        <v>3600</v>
      </c>
      <c r="H105" s="486"/>
      <c r="I105" s="52"/>
      <c r="J105" s="52"/>
      <c r="K105" s="52">
        <v>1200</v>
      </c>
      <c r="L105" s="52"/>
      <c r="M105" s="52">
        <v>1200</v>
      </c>
      <c r="N105" s="52">
        <v>1200</v>
      </c>
      <c r="O105" s="52">
        <v>1200</v>
      </c>
      <c r="P105" s="52">
        <v>1200</v>
      </c>
      <c r="Q105" s="52"/>
      <c r="R105" s="52"/>
      <c r="S105" s="52"/>
      <c r="T105" s="52"/>
      <c r="U105" s="52"/>
      <c r="V105" s="7" t="s">
        <v>485</v>
      </c>
    </row>
    <row r="106" spans="3:22">
      <c r="D106" s="332"/>
      <c r="E106" s="332"/>
      <c r="F106" s="7"/>
      <c r="G106" s="306" t="s">
        <v>354</v>
      </c>
      <c r="H106" s="486">
        <v>1900</v>
      </c>
      <c r="I106" s="52"/>
      <c r="J106" s="52">
        <v>280</v>
      </c>
      <c r="K106" s="52">
        <v>460</v>
      </c>
      <c r="L106" s="52"/>
      <c r="M106" s="52">
        <v>460</v>
      </c>
      <c r="N106" s="52">
        <v>114310</v>
      </c>
      <c r="O106" s="52">
        <v>139866</v>
      </c>
      <c r="P106" s="52">
        <v>254866</v>
      </c>
      <c r="Q106" s="52"/>
      <c r="R106" s="52"/>
      <c r="S106" s="52"/>
      <c r="T106" s="52"/>
      <c r="U106" s="52"/>
      <c r="V106" s="7" t="s">
        <v>484</v>
      </c>
    </row>
    <row r="107" spans="3:22">
      <c r="C107" s="477" t="s">
        <v>544</v>
      </c>
      <c r="D107" s="332"/>
      <c r="E107" s="332"/>
      <c r="F107" s="7"/>
      <c r="G107" s="306" t="s">
        <v>476</v>
      </c>
      <c r="H107" s="335"/>
      <c r="I107" s="52"/>
      <c r="J107" s="52"/>
      <c r="K107" s="52">
        <v>700</v>
      </c>
      <c r="L107" s="52"/>
      <c r="M107" s="52">
        <v>700</v>
      </c>
      <c r="N107" s="52">
        <v>700</v>
      </c>
      <c r="O107" s="52">
        <v>700</v>
      </c>
      <c r="P107" s="52">
        <v>700</v>
      </c>
      <c r="Q107" s="52"/>
      <c r="R107" s="52"/>
      <c r="S107" s="52"/>
      <c r="T107" s="52"/>
      <c r="U107" s="52"/>
      <c r="V107" s="2" t="s">
        <v>483</v>
      </c>
    </row>
    <row r="108" spans="3:22">
      <c r="C108" s="8" t="s">
        <v>701</v>
      </c>
      <c r="D108" s="332"/>
      <c r="E108" s="332"/>
      <c r="F108" s="7"/>
      <c r="G108" s="128" t="s">
        <v>91</v>
      </c>
      <c r="H108" s="335"/>
      <c r="I108" s="52"/>
      <c r="J108" s="52"/>
      <c r="K108" s="335"/>
      <c r="L108" s="52" t="s">
        <v>548</v>
      </c>
      <c r="M108" s="52"/>
      <c r="N108" s="52"/>
      <c r="O108" s="52"/>
      <c r="P108" s="52"/>
      <c r="Q108" s="52"/>
      <c r="R108" s="52"/>
      <c r="S108" s="52"/>
      <c r="T108" s="52"/>
      <c r="U108" s="52"/>
    </row>
    <row r="109" spans="3:22">
      <c r="C109" s="8" t="s">
        <v>545</v>
      </c>
      <c r="D109" s="332"/>
      <c r="E109" s="332"/>
      <c r="F109" s="7"/>
      <c r="G109" s="128" t="s">
        <v>350</v>
      </c>
      <c r="H109" s="465">
        <v>1000</v>
      </c>
      <c r="I109" s="52"/>
      <c r="J109" s="52"/>
      <c r="K109" s="52">
        <v>1300</v>
      </c>
      <c r="L109" s="52"/>
      <c r="M109" s="52">
        <v>1300</v>
      </c>
      <c r="N109" s="52">
        <v>130000</v>
      </c>
      <c r="O109" s="52">
        <v>158889</v>
      </c>
      <c r="P109" s="52">
        <v>288889</v>
      </c>
      <c r="Q109" s="52"/>
      <c r="R109" s="52"/>
      <c r="S109" s="52"/>
      <c r="T109" s="52"/>
      <c r="U109" s="52">
        <v>1000</v>
      </c>
      <c r="V109" s="3" t="s">
        <v>307</v>
      </c>
    </row>
    <row r="110" spans="3:22">
      <c r="C110" s="8" t="s">
        <v>546</v>
      </c>
      <c r="D110" s="348"/>
      <c r="E110" s="348"/>
      <c r="F110" s="7"/>
      <c r="G110" s="128" t="s">
        <v>92</v>
      </c>
      <c r="H110" s="52"/>
      <c r="I110" s="7"/>
      <c r="J110" s="7"/>
      <c r="K110" s="7"/>
      <c r="L110" s="7"/>
      <c r="M110" s="7"/>
      <c r="N110" s="7"/>
      <c r="O110" s="7"/>
      <c r="P110" s="7"/>
      <c r="R110" s="7"/>
      <c r="S110" s="7"/>
      <c r="T110" s="7"/>
      <c r="U110" s="7"/>
    </row>
    <row r="111" spans="3:22">
      <c r="C111" s="113" t="s">
        <v>547</v>
      </c>
      <c r="D111" s="348"/>
      <c r="E111" s="348"/>
      <c r="F111" s="7"/>
      <c r="G111" s="466" t="s">
        <v>478</v>
      </c>
      <c r="H111" s="467"/>
      <c r="I111" s="7"/>
      <c r="J111" s="7"/>
      <c r="K111" s="7"/>
      <c r="L111" s="7"/>
      <c r="M111" s="7"/>
      <c r="N111" s="7"/>
      <c r="P111" s="7"/>
      <c r="R111" s="7"/>
      <c r="S111" s="7"/>
      <c r="U111" s="7"/>
    </row>
    <row r="112" spans="3:22">
      <c r="D112" s="348"/>
      <c r="E112" s="348"/>
      <c r="G112" s="128"/>
      <c r="H112" s="216">
        <f>SUM(H101:H111)</f>
        <v>3196</v>
      </c>
      <c r="I112" s="216">
        <f t="shared" ref="I112:K112" si="17">SUM(I101:I111)</f>
        <v>0</v>
      </c>
      <c r="J112" s="216">
        <f t="shared" si="17"/>
        <v>280</v>
      </c>
      <c r="K112" s="216">
        <f t="shared" si="17"/>
        <v>3960</v>
      </c>
      <c r="L112" s="216"/>
      <c r="M112" s="326">
        <f t="shared" ref="M112:S112" si="18">SUM(M101:M111)</f>
        <v>3960</v>
      </c>
      <c r="N112" s="326">
        <f t="shared" si="18"/>
        <v>246510</v>
      </c>
      <c r="O112" s="326">
        <f t="shared" si="18"/>
        <v>300955</v>
      </c>
      <c r="P112" s="326">
        <f t="shared" si="18"/>
        <v>545955</v>
      </c>
      <c r="Q112" s="326">
        <f t="shared" si="18"/>
        <v>0</v>
      </c>
      <c r="R112" s="326">
        <f t="shared" si="18"/>
        <v>0</v>
      </c>
      <c r="S112" s="326">
        <f t="shared" si="18"/>
        <v>0</v>
      </c>
      <c r="T112" s="461">
        <f>SUM(M112:S112)</f>
        <v>1097380</v>
      </c>
    </row>
    <row r="113" spans="3:22">
      <c r="D113" s="348"/>
      <c r="E113" s="348"/>
      <c r="H113" s="7">
        <f>F101-H112</f>
        <v>0</v>
      </c>
    </row>
    <row r="114" spans="3:22">
      <c r="N114" s="7"/>
    </row>
    <row r="115" spans="3:22">
      <c r="D115" s="281"/>
      <c r="E115" s="281"/>
      <c r="F115" s="7"/>
      <c r="G115" s="7"/>
      <c r="H115" s="216" t="s">
        <v>537</v>
      </c>
      <c r="I115" s="7" t="s">
        <v>307</v>
      </c>
      <c r="J115" s="7" t="s">
        <v>308</v>
      </c>
      <c r="K115" s="7" t="s">
        <v>488</v>
      </c>
      <c r="M115" s="751" t="s">
        <v>477</v>
      </c>
      <c r="N115" s="751"/>
      <c r="O115" s="751"/>
      <c r="P115" s="751"/>
      <c r="Q115" s="751"/>
      <c r="R115" s="751"/>
      <c r="S115" s="751"/>
      <c r="T115" s="751"/>
      <c r="U115" s="84"/>
    </row>
    <row r="116" spans="3:22">
      <c r="C116" s="3" t="s">
        <v>550</v>
      </c>
      <c r="D116" s="281"/>
      <c r="E116" s="281" t="s">
        <v>687</v>
      </c>
      <c r="F116" s="7">
        <v>7900</v>
      </c>
      <c r="G116" s="306" t="s">
        <v>303</v>
      </c>
      <c r="H116" s="52">
        <v>500</v>
      </c>
      <c r="I116" s="52"/>
      <c r="J116" s="52"/>
      <c r="K116" s="52">
        <v>500</v>
      </c>
      <c r="L116" s="52"/>
      <c r="M116" s="52">
        <v>500</v>
      </c>
      <c r="N116" s="52">
        <v>500</v>
      </c>
      <c r="O116" s="52">
        <v>500</v>
      </c>
      <c r="P116" s="52">
        <v>500</v>
      </c>
      <c r="Q116" s="52"/>
      <c r="R116" s="52"/>
      <c r="S116" s="52"/>
      <c r="T116" s="5"/>
      <c r="U116" s="491">
        <v>500</v>
      </c>
      <c r="V116" s="84" t="s">
        <v>303</v>
      </c>
    </row>
    <row r="117" spans="3:22">
      <c r="C117" s="3" t="s">
        <v>554</v>
      </c>
      <c r="D117" s="281"/>
      <c r="E117" s="281"/>
      <c r="F117" s="7"/>
      <c r="G117" s="306" t="s">
        <v>57</v>
      </c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"/>
      <c r="U117" s="491"/>
      <c r="V117" s="84" t="s">
        <v>530</v>
      </c>
    </row>
    <row r="118" spans="3:22">
      <c r="C118" s="320" t="s">
        <v>555</v>
      </c>
      <c r="D118" s="320"/>
      <c r="E118" s="320"/>
      <c r="F118" s="7"/>
      <c r="G118" s="306" t="s">
        <v>474</v>
      </c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"/>
      <c r="U118" s="491"/>
      <c r="V118" s="132"/>
    </row>
    <row r="119" spans="3:22">
      <c r="C119" s="3" t="s">
        <v>556</v>
      </c>
      <c r="D119" s="332"/>
      <c r="E119" s="332"/>
      <c r="F119" s="7"/>
      <c r="G119" s="306" t="s">
        <v>475</v>
      </c>
      <c r="H119" s="486"/>
      <c r="I119" s="52"/>
      <c r="J119" s="52"/>
      <c r="K119" s="52">
        <v>400</v>
      </c>
      <c r="L119" s="52"/>
      <c r="M119" s="52">
        <v>400</v>
      </c>
      <c r="N119" s="52">
        <v>400</v>
      </c>
      <c r="O119" s="52">
        <v>400</v>
      </c>
      <c r="P119" s="52">
        <v>400</v>
      </c>
      <c r="Q119" s="52"/>
      <c r="R119" s="52"/>
      <c r="S119" s="52"/>
      <c r="T119" s="52"/>
      <c r="U119" s="52">
        <v>7400</v>
      </c>
      <c r="V119" s="3" t="s">
        <v>509</v>
      </c>
    </row>
    <row r="120" spans="3:22">
      <c r="C120" s="320" t="s">
        <v>557</v>
      </c>
      <c r="D120" s="332"/>
      <c r="E120" s="332"/>
      <c r="F120" s="7"/>
      <c r="G120" s="306">
        <v>3600</v>
      </c>
      <c r="H120" s="486"/>
      <c r="I120" s="52"/>
      <c r="J120" s="52"/>
      <c r="K120" s="52">
        <v>1800</v>
      </c>
      <c r="L120" s="52"/>
      <c r="M120" s="52">
        <v>1800</v>
      </c>
      <c r="N120" s="52">
        <v>1800</v>
      </c>
      <c r="O120" s="52">
        <v>1800</v>
      </c>
      <c r="P120" s="52">
        <v>1800</v>
      </c>
      <c r="Q120" s="52"/>
      <c r="R120" s="52"/>
      <c r="S120" s="52"/>
      <c r="T120" s="52"/>
      <c r="U120" s="52"/>
      <c r="V120" s="7" t="s">
        <v>485</v>
      </c>
    </row>
    <row r="121" spans="3:22">
      <c r="D121" s="332"/>
      <c r="E121" s="332"/>
      <c r="F121" s="7"/>
      <c r="G121" s="306" t="s">
        <v>354</v>
      </c>
      <c r="H121" s="486">
        <v>7400</v>
      </c>
      <c r="I121" s="52">
        <v>667</v>
      </c>
      <c r="J121" s="52">
        <v>146</v>
      </c>
      <c r="K121" s="52">
        <v>319</v>
      </c>
      <c r="L121" s="52"/>
      <c r="M121" s="52">
        <v>319</v>
      </c>
      <c r="N121" s="52">
        <v>114310</v>
      </c>
      <c r="O121" s="52">
        <v>37643</v>
      </c>
      <c r="P121" s="52">
        <v>3143</v>
      </c>
      <c r="Q121" s="52"/>
      <c r="R121" s="52"/>
      <c r="S121" s="52"/>
      <c r="T121" s="52"/>
      <c r="U121" s="52"/>
      <c r="V121" s="7" t="s">
        <v>484</v>
      </c>
    </row>
    <row r="122" spans="3:22">
      <c r="C122" s="132" t="s">
        <v>570</v>
      </c>
      <c r="D122" s="332"/>
      <c r="E122" s="332"/>
      <c r="F122" s="7"/>
      <c r="G122" s="306" t="s">
        <v>476</v>
      </c>
      <c r="H122" s="486"/>
      <c r="I122" s="52"/>
      <c r="J122" s="52"/>
      <c r="K122" s="52">
        <v>3750</v>
      </c>
      <c r="L122" s="52"/>
      <c r="M122" s="52">
        <v>3750</v>
      </c>
      <c r="N122" s="52">
        <v>3750</v>
      </c>
      <c r="O122" s="52">
        <v>3750</v>
      </c>
      <c r="P122" s="52">
        <v>3750</v>
      </c>
      <c r="Q122" s="52"/>
      <c r="R122" s="52"/>
      <c r="S122" s="52"/>
      <c r="T122" s="52"/>
      <c r="U122" s="52"/>
      <c r="V122" s="2" t="s">
        <v>483</v>
      </c>
    </row>
    <row r="123" spans="3:22">
      <c r="C123" s="132" t="s">
        <v>571</v>
      </c>
      <c r="D123" s="332"/>
      <c r="E123" s="332"/>
      <c r="F123" s="7"/>
      <c r="G123" s="128" t="s">
        <v>91</v>
      </c>
      <c r="H123" s="335"/>
      <c r="I123" s="52"/>
      <c r="J123" s="52"/>
      <c r="K123" s="335"/>
      <c r="L123" s="52" t="s">
        <v>574</v>
      </c>
      <c r="M123" s="52">
        <v>7800</v>
      </c>
      <c r="N123" s="52"/>
      <c r="O123" s="52"/>
      <c r="P123" s="52"/>
      <c r="Q123" s="52"/>
      <c r="R123" s="52"/>
      <c r="S123" s="52"/>
      <c r="T123" s="52"/>
      <c r="U123" s="52"/>
    </row>
    <row r="124" spans="3:22">
      <c r="D124" s="332"/>
      <c r="E124" s="332"/>
      <c r="F124" s="7"/>
      <c r="G124" s="128" t="s">
        <v>350</v>
      </c>
      <c r="H124" s="486"/>
      <c r="I124" s="52"/>
      <c r="J124" s="52"/>
      <c r="K124" s="486">
        <v>1140</v>
      </c>
      <c r="L124" s="52"/>
      <c r="M124" s="52">
        <v>1140</v>
      </c>
      <c r="N124" s="52">
        <v>130000</v>
      </c>
      <c r="O124" s="52">
        <v>43333</v>
      </c>
      <c r="P124" s="52">
        <v>4333</v>
      </c>
      <c r="Q124" s="52"/>
      <c r="R124" s="52"/>
      <c r="S124" s="52"/>
      <c r="T124" s="52"/>
      <c r="U124" s="486">
        <v>9620</v>
      </c>
      <c r="V124" s="3" t="s">
        <v>347</v>
      </c>
    </row>
    <row r="125" spans="3:22">
      <c r="C125" s="566" t="s">
        <v>625</v>
      </c>
      <c r="D125" s="348"/>
      <c r="E125" s="348"/>
      <c r="F125" s="7"/>
      <c r="G125" s="128" t="s">
        <v>92</v>
      </c>
      <c r="H125" s="52"/>
      <c r="I125" s="52"/>
      <c r="J125" s="52"/>
      <c r="K125" s="52"/>
      <c r="L125" s="52"/>
      <c r="M125" s="52"/>
      <c r="N125" s="52"/>
      <c r="O125" s="52"/>
      <c r="P125" s="52"/>
      <c r="R125" s="7"/>
      <c r="S125" s="7"/>
      <c r="T125" s="7"/>
      <c r="U125" s="7">
        <v>667</v>
      </c>
      <c r="V125" s="3" t="s">
        <v>349</v>
      </c>
    </row>
    <row r="126" spans="3:22">
      <c r="C126" s="566" t="s">
        <v>626</v>
      </c>
      <c r="D126" s="348"/>
      <c r="E126" s="348"/>
      <c r="F126" s="7"/>
      <c r="G126" s="466" t="s">
        <v>478</v>
      </c>
      <c r="H126" s="467"/>
      <c r="I126" s="7"/>
      <c r="J126" s="7"/>
      <c r="K126" s="7"/>
      <c r="L126" s="7"/>
      <c r="M126" s="7"/>
      <c r="N126" s="7"/>
      <c r="O126" s="4"/>
      <c r="P126" s="52"/>
      <c r="R126" s="7"/>
      <c r="S126" s="7"/>
      <c r="U126" s="7"/>
    </row>
    <row r="127" spans="3:22">
      <c r="C127" s="566" t="s">
        <v>627</v>
      </c>
      <c r="D127" s="348"/>
      <c r="E127" s="348"/>
      <c r="G127" s="128"/>
      <c r="H127" s="216">
        <f>SUM(H116:H126)</f>
        <v>7900</v>
      </c>
      <c r="I127" s="216">
        <f t="shared" ref="I127:K127" si="19">SUM(I116:I126)</f>
        <v>667</v>
      </c>
      <c r="J127" s="216">
        <f t="shared" si="19"/>
        <v>146</v>
      </c>
      <c r="K127" s="216">
        <f t="shared" si="19"/>
        <v>7909</v>
      </c>
      <c r="L127" s="216"/>
      <c r="M127" s="326">
        <f t="shared" ref="M127:S127" si="20">SUM(M116:M126)</f>
        <v>15709</v>
      </c>
      <c r="N127" s="326">
        <f t="shared" si="20"/>
        <v>250760</v>
      </c>
      <c r="O127" s="326">
        <f t="shared" si="20"/>
        <v>87426</v>
      </c>
      <c r="P127" s="326">
        <f t="shared" si="20"/>
        <v>13926</v>
      </c>
      <c r="Q127" s="326">
        <f t="shared" si="20"/>
        <v>0</v>
      </c>
      <c r="R127" s="326">
        <f t="shared" si="20"/>
        <v>0</v>
      </c>
      <c r="S127" s="326">
        <f t="shared" si="20"/>
        <v>0</v>
      </c>
      <c r="T127" s="461">
        <f>SUM(M127:S127)</f>
        <v>367821</v>
      </c>
    </row>
    <row r="128" spans="3:22">
      <c r="D128" s="348"/>
      <c r="E128" s="348"/>
      <c r="H128" s="7">
        <f>F116-H127</f>
        <v>0</v>
      </c>
    </row>
    <row r="129" spans="3:22">
      <c r="N129" s="7"/>
    </row>
    <row r="130" spans="3:22">
      <c r="D130" s="281"/>
      <c r="E130" s="281"/>
      <c r="F130" s="7"/>
      <c r="G130" s="7"/>
      <c r="H130" s="216"/>
      <c r="I130" s="7" t="s">
        <v>307</v>
      </c>
      <c r="J130" s="7" t="s">
        <v>308</v>
      </c>
      <c r="K130" s="7" t="s">
        <v>488</v>
      </c>
      <c r="M130" s="751" t="s">
        <v>477</v>
      </c>
      <c r="N130" s="751"/>
      <c r="O130" s="751"/>
      <c r="P130" s="751"/>
      <c r="Q130" s="751"/>
      <c r="R130" s="751"/>
      <c r="S130" s="751"/>
      <c r="T130" s="751"/>
      <c r="U130" s="84"/>
    </row>
    <row r="131" spans="3:22">
      <c r="C131" s="3" t="s">
        <v>702</v>
      </c>
      <c r="D131" s="281"/>
      <c r="E131" s="281" t="s">
        <v>688</v>
      </c>
      <c r="F131" s="7">
        <v>45500</v>
      </c>
      <c r="G131" s="306" t="s">
        <v>303</v>
      </c>
      <c r="H131" s="52">
        <v>500</v>
      </c>
      <c r="I131" s="52"/>
      <c r="J131" s="52"/>
      <c r="K131" s="52">
        <v>500</v>
      </c>
      <c r="L131" s="52"/>
      <c r="M131" s="52">
        <v>500</v>
      </c>
      <c r="N131" s="52">
        <v>100</v>
      </c>
      <c r="O131" s="52"/>
      <c r="P131" s="52"/>
      <c r="Q131" s="52"/>
      <c r="R131" s="52"/>
      <c r="S131" s="52"/>
      <c r="T131" s="5"/>
      <c r="U131" s="491">
        <v>500</v>
      </c>
      <c r="V131" s="84" t="s">
        <v>303</v>
      </c>
    </row>
    <row r="132" spans="3:22">
      <c r="C132" s="8" t="s">
        <v>575</v>
      </c>
      <c r="D132" s="281"/>
      <c r="E132" s="281"/>
      <c r="F132" s="7"/>
      <c r="G132" s="306" t="s">
        <v>57</v>
      </c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"/>
      <c r="U132" s="491"/>
      <c r="V132" s="84" t="s">
        <v>530</v>
      </c>
    </row>
    <row r="133" spans="3:22">
      <c r="C133" s="8" t="s">
        <v>576</v>
      </c>
      <c r="D133" s="320"/>
      <c r="E133" s="320"/>
      <c r="F133" s="7"/>
      <c r="G133" s="306" t="s">
        <v>474</v>
      </c>
      <c r="H133" s="52"/>
      <c r="I133" s="52"/>
      <c r="J133" s="52"/>
      <c r="K133" s="52"/>
      <c r="L133" s="52"/>
      <c r="M133" s="52"/>
      <c r="N133" s="52">
        <v>1000</v>
      </c>
      <c r="O133" s="52"/>
      <c r="P133" s="52"/>
      <c r="Q133" s="52"/>
      <c r="R133" s="52"/>
      <c r="S133" s="52"/>
      <c r="T133" s="5"/>
      <c r="U133" s="491"/>
      <c r="V133" s="132"/>
    </row>
    <row r="134" spans="3:22">
      <c r="C134" s="320" t="s">
        <v>579</v>
      </c>
      <c r="D134" s="332"/>
      <c r="E134" s="332"/>
      <c r="F134" s="7"/>
      <c r="G134" s="306" t="s">
        <v>475</v>
      </c>
      <c r="H134" s="335"/>
      <c r="I134" s="52"/>
      <c r="J134" s="52"/>
      <c r="K134" s="52">
        <v>100</v>
      </c>
      <c r="L134" s="52"/>
      <c r="M134" s="52"/>
      <c r="N134" s="52"/>
      <c r="O134" s="52"/>
      <c r="P134" s="52"/>
      <c r="Q134" s="52"/>
      <c r="R134" s="52"/>
      <c r="S134" s="52"/>
      <c r="T134" s="52"/>
      <c r="U134" s="52">
        <v>22500</v>
      </c>
      <c r="V134" s="3" t="s">
        <v>509</v>
      </c>
    </row>
    <row r="135" spans="3:22">
      <c r="C135" s="3" t="s">
        <v>703</v>
      </c>
      <c r="D135" s="332"/>
      <c r="E135" s="332"/>
      <c r="F135" s="7"/>
      <c r="G135" s="306">
        <v>3600</v>
      </c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7" t="s">
        <v>485</v>
      </c>
    </row>
    <row r="136" spans="3:22">
      <c r="C136" s="3" t="s">
        <v>704</v>
      </c>
      <c r="D136" s="332"/>
      <c r="E136" s="332"/>
      <c r="F136" s="7"/>
      <c r="G136" s="306" t="s">
        <v>354</v>
      </c>
      <c r="H136" s="52">
        <v>45000</v>
      </c>
      <c r="I136" s="52">
        <v>22500</v>
      </c>
      <c r="J136" s="52"/>
      <c r="K136" s="52">
        <v>45000</v>
      </c>
      <c r="L136" s="52"/>
      <c r="M136" s="52">
        <v>45000</v>
      </c>
      <c r="N136" s="52"/>
      <c r="O136" s="52"/>
      <c r="P136" s="52"/>
      <c r="Q136" s="52"/>
      <c r="R136" s="52"/>
      <c r="S136" s="52"/>
      <c r="T136" s="52"/>
      <c r="U136" s="52"/>
      <c r="V136" s="7" t="s">
        <v>484</v>
      </c>
    </row>
    <row r="137" spans="3:22">
      <c r="D137" s="332"/>
      <c r="E137" s="332"/>
      <c r="F137" s="7"/>
      <c r="G137" s="306" t="s">
        <v>476</v>
      </c>
      <c r="H137" s="335"/>
      <c r="I137" s="52"/>
      <c r="J137" s="52"/>
      <c r="K137" s="52">
        <v>8250</v>
      </c>
      <c r="L137" s="52"/>
      <c r="M137" s="52">
        <v>8250</v>
      </c>
      <c r="N137" s="52">
        <v>8250</v>
      </c>
      <c r="O137" s="52"/>
      <c r="P137" s="52"/>
      <c r="Q137" s="52"/>
      <c r="R137" s="52"/>
      <c r="S137" s="52"/>
      <c r="T137" s="52"/>
      <c r="U137" s="52"/>
      <c r="V137" s="2" t="s">
        <v>483</v>
      </c>
    </row>
    <row r="138" spans="3:22">
      <c r="C138" s="3" t="s">
        <v>577</v>
      </c>
      <c r="D138" s="332"/>
      <c r="E138" s="332"/>
      <c r="F138" s="7"/>
      <c r="G138" s="128" t="s">
        <v>91</v>
      </c>
      <c r="H138" s="335"/>
      <c r="I138" s="52"/>
      <c r="J138" s="52"/>
      <c r="K138" s="52"/>
      <c r="L138" s="52" t="s">
        <v>622</v>
      </c>
      <c r="M138" s="52">
        <v>8500</v>
      </c>
      <c r="N138" s="52"/>
      <c r="O138" s="52"/>
      <c r="P138" s="52"/>
      <c r="Q138" s="52"/>
      <c r="R138" s="52"/>
      <c r="S138" s="52"/>
      <c r="T138" s="52"/>
      <c r="U138" s="52"/>
    </row>
    <row r="139" spans="3:22">
      <c r="C139" s="3" t="s">
        <v>705</v>
      </c>
      <c r="D139" s="332"/>
      <c r="E139" s="332"/>
      <c r="F139" s="7"/>
      <c r="G139" s="128" t="s">
        <v>350</v>
      </c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3" t="s">
        <v>347</v>
      </c>
    </row>
    <row r="140" spans="3:22">
      <c r="C140" s="3" t="s">
        <v>578</v>
      </c>
      <c r="D140" s="348"/>
      <c r="E140" s="348"/>
      <c r="F140" s="7"/>
      <c r="G140" s="128" t="s">
        <v>92</v>
      </c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7"/>
      <c r="S140" s="7"/>
      <c r="T140" s="7"/>
      <c r="U140" s="52">
        <v>22500</v>
      </c>
      <c r="V140" s="3" t="s">
        <v>349</v>
      </c>
    </row>
    <row r="141" spans="3:22">
      <c r="D141" s="348"/>
      <c r="E141" s="348"/>
      <c r="F141" s="7"/>
      <c r="G141" s="466" t="s">
        <v>478</v>
      </c>
      <c r="H141" s="467"/>
      <c r="I141" s="7"/>
      <c r="J141" s="7"/>
      <c r="K141" s="7"/>
      <c r="L141" s="7"/>
      <c r="M141" s="7"/>
      <c r="N141" s="7"/>
      <c r="O141" s="4"/>
      <c r="P141" s="52"/>
      <c r="R141" s="7"/>
      <c r="S141" s="7"/>
      <c r="U141" s="7"/>
    </row>
    <row r="142" spans="3:22">
      <c r="D142" s="348"/>
      <c r="E142" s="348"/>
      <c r="G142" s="128"/>
      <c r="H142" s="216">
        <f>SUM(H131:H141)</f>
        <v>45500</v>
      </c>
      <c r="I142" s="216">
        <f t="shared" ref="I142:K142" si="21">SUM(I131:I141)</f>
        <v>22500</v>
      </c>
      <c r="J142" s="216">
        <f t="shared" si="21"/>
        <v>0</v>
      </c>
      <c r="K142" s="216">
        <f t="shared" si="21"/>
        <v>53850</v>
      </c>
      <c r="L142" s="216"/>
      <c r="M142" s="326">
        <f t="shared" ref="M142:S142" si="22">SUM(M131:M141)</f>
        <v>62250</v>
      </c>
      <c r="N142" s="326">
        <f t="shared" si="22"/>
        <v>9350</v>
      </c>
      <c r="O142" s="326">
        <f t="shared" si="22"/>
        <v>0</v>
      </c>
      <c r="P142" s="326">
        <f t="shared" si="22"/>
        <v>0</v>
      </c>
      <c r="Q142" s="326">
        <f t="shared" si="22"/>
        <v>0</v>
      </c>
      <c r="R142" s="326">
        <f t="shared" si="22"/>
        <v>0</v>
      </c>
      <c r="S142" s="326">
        <f t="shared" si="22"/>
        <v>0</v>
      </c>
      <c r="T142" s="461">
        <f>SUM(M142:S142)</f>
        <v>71600</v>
      </c>
    </row>
    <row r="143" spans="3:22">
      <c r="D143" s="348"/>
      <c r="E143" s="348"/>
      <c r="H143" s="7">
        <f>F131-H142</f>
        <v>0</v>
      </c>
    </row>
    <row r="144" spans="3:22">
      <c r="N144" s="7"/>
    </row>
    <row r="145" spans="3:22">
      <c r="E145" s="281"/>
      <c r="F145" s="7"/>
      <c r="G145" s="7"/>
      <c r="H145" s="216" t="s">
        <v>537</v>
      </c>
      <c r="I145" s="7" t="s">
        <v>307</v>
      </c>
      <c r="J145" s="7" t="s">
        <v>308</v>
      </c>
      <c r="K145" s="7" t="s">
        <v>488</v>
      </c>
      <c r="M145" s="751" t="s">
        <v>477</v>
      </c>
      <c r="N145" s="751"/>
      <c r="O145" s="751"/>
      <c r="P145" s="751"/>
      <c r="Q145" s="751"/>
      <c r="R145" s="751"/>
      <c r="S145" s="751"/>
      <c r="T145" s="751"/>
      <c r="U145" s="84"/>
    </row>
    <row r="146" spans="3:22">
      <c r="E146" s="281" t="s">
        <v>689</v>
      </c>
      <c r="F146" s="7">
        <v>1530</v>
      </c>
      <c r="G146" s="306" t="s">
        <v>303</v>
      </c>
      <c r="H146" s="52">
        <v>50</v>
      </c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"/>
      <c r="U146" s="491"/>
      <c r="V146" s="84" t="s">
        <v>303</v>
      </c>
    </row>
    <row r="147" spans="3:22">
      <c r="C147" s="477" t="s">
        <v>631</v>
      </c>
      <c r="E147" s="281"/>
      <c r="F147" s="7"/>
      <c r="G147" s="306" t="s">
        <v>57</v>
      </c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"/>
      <c r="U147" s="491"/>
      <c r="V147" s="84" t="s">
        <v>530</v>
      </c>
    </row>
    <row r="148" spans="3:22">
      <c r="E148" s="320"/>
      <c r="F148" s="7"/>
      <c r="G148" s="306" t="s">
        <v>474</v>
      </c>
      <c r="H148" s="52">
        <v>1000</v>
      </c>
      <c r="I148" s="52">
        <v>110</v>
      </c>
      <c r="J148" s="52"/>
      <c r="K148" s="52">
        <v>1000</v>
      </c>
      <c r="L148" s="52"/>
      <c r="M148" s="52">
        <v>1000</v>
      </c>
      <c r="N148" s="52">
        <v>1000</v>
      </c>
      <c r="O148" s="52">
        <v>1000</v>
      </c>
      <c r="P148" s="52"/>
      <c r="Q148" s="52">
        <v>1000</v>
      </c>
      <c r="R148" s="52">
        <v>1000</v>
      </c>
      <c r="S148" s="52">
        <v>1000</v>
      </c>
      <c r="T148" s="5"/>
      <c r="U148" s="491"/>
      <c r="V148" s="132"/>
    </row>
    <row r="149" spans="3:22">
      <c r="E149" s="332"/>
      <c r="F149" s="7"/>
      <c r="G149" s="306" t="s">
        <v>475</v>
      </c>
      <c r="H149" s="52"/>
      <c r="I149" s="52"/>
      <c r="J149" s="52"/>
      <c r="K149" s="52"/>
      <c r="L149" s="52"/>
      <c r="M149" s="52"/>
      <c r="N149" s="52"/>
      <c r="O149" s="52"/>
      <c r="P149" s="52">
        <v>400</v>
      </c>
      <c r="Q149" s="52"/>
      <c r="R149" s="52"/>
      <c r="S149" s="52"/>
      <c r="T149" s="52">
        <v>400</v>
      </c>
      <c r="U149" s="52"/>
      <c r="V149" s="3" t="s">
        <v>509</v>
      </c>
    </row>
    <row r="150" spans="3:22">
      <c r="E150" s="332"/>
      <c r="F150" s="7"/>
      <c r="G150" s="306">
        <v>3600</v>
      </c>
      <c r="H150" s="52"/>
      <c r="I150" s="52"/>
      <c r="J150" s="52"/>
      <c r="K150" s="52"/>
      <c r="L150" s="52"/>
      <c r="M150" s="52"/>
      <c r="N150" s="52"/>
      <c r="O150" s="52"/>
      <c r="P150" s="52">
        <v>1800</v>
      </c>
      <c r="Q150" s="52"/>
      <c r="R150" s="52"/>
      <c r="S150" s="52"/>
      <c r="T150" s="52">
        <v>1800</v>
      </c>
      <c r="U150" s="52"/>
      <c r="V150" s="7" t="s">
        <v>485</v>
      </c>
    </row>
    <row r="151" spans="3:22">
      <c r="E151" s="332"/>
      <c r="F151" s="7"/>
      <c r="G151" s="306" t="s">
        <v>354</v>
      </c>
      <c r="H151" s="52"/>
      <c r="I151" s="52"/>
      <c r="J151" s="52"/>
      <c r="K151" s="52"/>
      <c r="L151" s="52"/>
      <c r="M151" s="52"/>
      <c r="N151" s="52"/>
      <c r="O151" s="52"/>
      <c r="P151" s="52">
        <v>12088</v>
      </c>
      <c r="Q151" s="52"/>
      <c r="R151" s="52"/>
      <c r="S151" s="52"/>
      <c r="T151" s="52">
        <v>27026</v>
      </c>
      <c r="U151" s="52"/>
      <c r="V151" s="7" t="s">
        <v>484</v>
      </c>
    </row>
    <row r="152" spans="3:22">
      <c r="E152" s="332"/>
      <c r="F152" s="7"/>
      <c r="G152" s="306" t="s">
        <v>476</v>
      </c>
      <c r="H152" s="52">
        <v>300</v>
      </c>
      <c r="I152" s="52"/>
      <c r="J152" s="52"/>
      <c r="K152" s="52">
        <v>300</v>
      </c>
      <c r="L152" s="52"/>
      <c r="M152" s="52">
        <v>300</v>
      </c>
      <c r="N152" s="52">
        <v>300</v>
      </c>
      <c r="O152" s="52">
        <v>300</v>
      </c>
      <c r="P152" s="52">
        <v>300</v>
      </c>
      <c r="Q152" s="52">
        <v>300</v>
      </c>
      <c r="R152" s="52">
        <v>300</v>
      </c>
      <c r="S152" s="52">
        <v>300</v>
      </c>
      <c r="T152" s="52">
        <v>300</v>
      </c>
      <c r="U152" s="52"/>
      <c r="V152" s="2" t="s">
        <v>483</v>
      </c>
    </row>
    <row r="153" spans="3:22">
      <c r="E153" s="332"/>
      <c r="F153" s="7"/>
      <c r="G153" s="128" t="s">
        <v>91</v>
      </c>
      <c r="H153" s="335"/>
      <c r="I153" s="52"/>
      <c r="J153" s="52"/>
      <c r="K153" s="335"/>
      <c r="L153" s="52"/>
      <c r="M153" s="52"/>
      <c r="N153" s="52"/>
      <c r="O153" s="52"/>
      <c r="P153" s="52"/>
      <c r="Q153" s="52"/>
      <c r="R153" s="52"/>
      <c r="S153" s="52"/>
      <c r="T153" s="52"/>
      <c r="U153" s="52"/>
    </row>
    <row r="154" spans="3:22">
      <c r="E154" s="332"/>
      <c r="F154" s="7"/>
      <c r="G154" s="128" t="s">
        <v>350</v>
      </c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3" t="s">
        <v>347</v>
      </c>
    </row>
    <row r="155" spans="3:22">
      <c r="E155" s="348"/>
      <c r="F155" s="7"/>
      <c r="G155" s="128" t="s">
        <v>92</v>
      </c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7"/>
      <c r="S155" s="7"/>
      <c r="T155" s="7"/>
      <c r="U155" s="52"/>
      <c r="V155" s="3" t="s">
        <v>349</v>
      </c>
    </row>
    <row r="156" spans="3:22">
      <c r="E156" s="348"/>
      <c r="F156" s="7"/>
      <c r="G156" s="466" t="s">
        <v>478</v>
      </c>
      <c r="H156" s="467">
        <v>180</v>
      </c>
      <c r="I156" s="7"/>
      <c r="J156" s="7"/>
      <c r="K156" s="7"/>
      <c r="L156" s="7"/>
      <c r="M156" s="7"/>
      <c r="N156" s="7"/>
      <c r="O156" s="4"/>
      <c r="P156" s="52"/>
      <c r="R156" s="7"/>
      <c r="S156" s="7"/>
      <c r="U156" s="7"/>
    </row>
    <row r="157" spans="3:22">
      <c r="E157" s="348"/>
      <c r="G157" s="128"/>
      <c r="H157" s="216">
        <f>SUM(H146:H156)</f>
        <v>1530</v>
      </c>
      <c r="I157" s="216">
        <f t="shared" ref="I157:K157" si="23">SUM(I146:I156)</f>
        <v>110</v>
      </c>
      <c r="J157" s="216">
        <f t="shared" si="23"/>
        <v>0</v>
      </c>
      <c r="K157" s="216">
        <f t="shared" si="23"/>
        <v>1300</v>
      </c>
      <c r="L157" s="216"/>
      <c r="M157" s="326">
        <f t="shared" ref="M157:S157" si="24">SUM(M146:M156)</f>
        <v>1300</v>
      </c>
      <c r="N157" s="326">
        <f t="shared" si="24"/>
        <v>1300</v>
      </c>
      <c r="O157" s="326">
        <f t="shared" si="24"/>
        <v>1300</v>
      </c>
      <c r="P157" s="326">
        <f t="shared" si="24"/>
        <v>14588</v>
      </c>
      <c r="Q157" s="326">
        <f t="shared" si="24"/>
        <v>1300</v>
      </c>
      <c r="R157" s="326">
        <f t="shared" si="24"/>
        <v>1300</v>
      </c>
      <c r="S157" s="326">
        <f t="shared" si="24"/>
        <v>1300</v>
      </c>
      <c r="T157" s="461">
        <f>SUM(M157:S157)</f>
        <v>22388</v>
      </c>
    </row>
    <row r="158" spans="3:22">
      <c r="E158" s="348"/>
      <c r="H158" s="7">
        <f>F146-H157</f>
        <v>0</v>
      </c>
    </row>
    <row r="159" spans="3:22">
      <c r="N159" s="7"/>
    </row>
    <row r="160" spans="3:22">
      <c r="E160" s="281"/>
      <c r="F160" s="7"/>
      <c r="G160" s="7"/>
      <c r="H160" s="216" t="s">
        <v>537</v>
      </c>
      <c r="I160" s="7" t="s">
        <v>307</v>
      </c>
      <c r="J160" s="7" t="s">
        <v>308</v>
      </c>
      <c r="K160" s="7" t="s">
        <v>488</v>
      </c>
      <c r="M160" s="751" t="s">
        <v>477</v>
      </c>
      <c r="N160" s="751"/>
      <c r="O160" s="751"/>
      <c r="P160" s="751"/>
      <c r="Q160" s="751"/>
      <c r="R160" s="751"/>
      <c r="S160" s="751"/>
      <c r="T160" s="751"/>
      <c r="U160" s="84"/>
    </row>
    <row r="161" spans="3:22">
      <c r="C161" s="574" t="s">
        <v>633</v>
      </c>
      <c r="E161" s="281" t="s">
        <v>690</v>
      </c>
      <c r="F161" s="7">
        <v>2080</v>
      </c>
      <c r="G161" s="306" t="s">
        <v>303</v>
      </c>
      <c r="H161" s="52">
        <v>100</v>
      </c>
      <c r="I161" s="52"/>
      <c r="J161" s="52"/>
      <c r="K161" s="52">
        <v>100</v>
      </c>
      <c r="L161" s="52"/>
      <c r="M161" s="52">
        <v>500</v>
      </c>
      <c r="N161" s="52"/>
      <c r="O161" s="52"/>
      <c r="P161" s="52"/>
      <c r="Q161" s="52"/>
      <c r="R161" s="52"/>
      <c r="S161" s="52"/>
      <c r="T161" s="5"/>
      <c r="U161" s="491">
        <v>100</v>
      </c>
      <c r="V161" s="84" t="s">
        <v>303</v>
      </c>
    </row>
    <row r="162" spans="3:22">
      <c r="C162" s="477" t="s">
        <v>632</v>
      </c>
      <c r="E162" s="281"/>
      <c r="F162" s="7"/>
      <c r="G162" s="306" t="s">
        <v>57</v>
      </c>
      <c r="H162" s="52">
        <v>180</v>
      </c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"/>
      <c r="U162" s="491">
        <v>180</v>
      </c>
      <c r="V162" s="84" t="s">
        <v>530</v>
      </c>
    </row>
    <row r="163" spans="3:22">
      <c r="E163" s="320"/>
      <c r="F163" s="7"/>
      <c r="G163" s="306" t="s">
        <v>474</v>
      </c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"/>
      <c r="U163" s="491"/>
      <c r="V163" s="132"/>
    </row>
    <row r="164" spans="3:22">
      <c r="C164" s="575" t="s">
        <v>634</v>
      </c>
      <c r="E164" s="332"/>
      <c r="F164" s="7"/>
      <c r="G164" s="306" t="s">
        <v>475</v>
      </c>
      <c r="H164" s="52"/>
      <c r="I164" s="52"/>
      <c r="J164" s="52"/>
      <c r="K164" s="52">
        <v>400</v>
      </c>
      <c r="L164" s="52"/>
      <c r="M164" s="52">
        <v>400</v>
      </c>
      <c r="N164" s="52"/>
      <c r="O164" s="52"/>
      <c r="P164" s="52"/>
      <c r="Q164" s="52"/>
      <c r="R164" s="52"/>
      <c r="S164" s="52"/>
      <c r="T164" s="52"/>
      <c r="U164" s="52">
        <v>1800</v>
      </c>
      <c r="V164" s="3" t="s">
        <v>509</v>
      </c>
    </row>
    <row r="165" spans="3:22">
      <c r="C165" s="575" t="s">
        <v>635</v>
      </c>
      <c r="E165" s="332"/>
      <c r="F165" s="7"/>
      <c r="G165" s="306">
        <v>3600</v>
      </c>
      <c r="H165" s="52">
        <v>1800</v>
      </c>
      <c r="I165" s="52"/>
      <c r="J165" s="52"/>
      <c r="K165" s="52">
        <v>1800</v>
      </c>
      <c r="L165" s="52"/>
      <c r="M165" s="52">
        <v>1800</v>
      </c>
      <c r="N165" s="52"/>
      <c r="O165" s="52"/>
      <c r="P165" s="52"/>
      <c r="Q165" s="52"/>
      <c r="R165" s="52"/>
      <c r="S165" s="52"/>
      <c r="T165" s="52"/>
      <c r="U165" s="52"/>
      <c r="V165" s="7" t="s">
        <v>485</v>
      </c>
    </row>
    <row r="166" spans="3:22">
      <c r="C166" s="576" t="s">
        <v>636</v>
      </c>
      <c r="E166" s="332"/>
      <c r="F166" s="7"/>
      <c r="G166" s="306" t="s">
        <v>354</v>
      </c>
      <c r="H166" s="52"/>
      <c r="I166" s="52"/>
      <c r="J166" s="52"/>
      <c r="K166" s="52">
        <v>10427</v>
      </c>
      <c r="L166" s="52"/>
      <c r="M166" s="52">
        <v>10427</v>
      </c>
      <c r="N166" s="52"/>
      <c r="O166" s="52"/>
      <c r="P166" s="52"/>
      <c r="Q166" s="52"/>
      <c r="R166" s="52"/>
      <c r="S166" s="52"/>
      <c r="T166" s="52"/>
      <c r="U166" s="52"/>
      <c r="V166" s="7" t="s">
        <v>484</v>
      </c>
    </row>
    <row r="167" spans="3:22">
      <c r="C167" s="477" t="s">
        <v>637</v>
      </c>
      <c r="E167" s="332"/>
      <c r="F167" s="7"/>
      <c r="G167" s="306" t="s">
        <v>476</v>
      </c>
      <c r="H167" s="335"/>
      <c r="I167" s="52"/>
      <c r="J167" s="52"/>
      <c r="K167" s="52">
        <v>300</v>
      </c>
      <c r="L167" s="52"/>
      <c r="M167" s="52">
        <v>300</v>
      </c>
      <c r="N167" s="52"/>
      <c r="O167" s="52"/>
      <c r="P167" s="52"/>
      <c r="Q167" s="52"/>
      <c r="R167" s="52"/>
      <c r="S167" s="52"/>
      <c r="T167" s="52"/>
      <c r="U167" s="52"/>
      <c r="V167" s="2" t="s">
        <v>483</v>
      </c>
    </row>
    <row r="168" spans="3:22">
      <c r="E168" s="332"/>
      <c r="F168" s="7"/>
      <c r="G168" s="128" t="s">
        <v>91</v>
      </c>
      <c r="H168" s="335"/>
      <c r="I168" s="52"/>
      <c r="J168" s="52"/>
      <c r="K168" s="335"/>
      <c r="L168" s="52" t="s">
        <v>529</v>
      </c>
      <c r="M168" s="52">
        <v>2400</v>
      </c>
      <c r="N168" s="52"/>
      <c r="O168" s="52"/>
      <c r="P168" s="52"/>
      <c r="Q168" s="52"/>
      <c r="R168" s="52"/>
      <c r="S168" s="52"/>
      <c r="T168" s="52"/>
      <c r="U168" s="52"/>
    </row>
    <row r="169" spans="3:22">
      <c r="C169" s="578" t="s">
        <v>638</v>
      </c>
      <c r="E169" s="332"/>
      <c r="F169" s="7"/>
      <c r="G169" s="128" t="s">
        <v>350</v>
      </c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3" t="s">
        <v>347</v>
      </c>
    </row>
    <row r="170" spans="3:22">
      <c r="E170" s="348"/>
      <c r="F170" s="7"/>
      <c r="G170" s="128" t="s">
        <v>92</v>
      </c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7"/>
      <c r="S170" s="7"/>
      <c r="T170" s="7"/>
      <c r="U170" s="52"/>
      <c r="V170" s="3" t="s">
        <v>349</v>
      </c>
    </row>
    <row r="171" spans="3:22">
      <c r="E171" s="348"/>
      <c r="F171" s="7"/>
      <c r="G171" s="466" t="s">
        <v>478</v>
      </c>
      <c r="H171" s="467"/>
      <c r="I171" s="7"/>
      <c r="J171" s="7"/>
      <c r="K171" s="7"/>
      <c r="L171" s="7"/>
      <c r="M171" s="7"/>
      <c r="N171" s="7"/>
      <c r="O171" s="4"/>
      <c r="P171" s="52"/>
      <c r="R171" s="7"/>
      <c r="S171" s="7"/>
      <c r="U171" s="7"/>
    </row>
    <row r="172" spans="3:22">
      <c r="E172" s="348"/>
      <c r="G172" s="128"/>
      <c r="H172" s="216">
        <f>SUM(H161:H171)</f>
        <v>2080</v>
      </c>
      <c r="I172" s="216">
        <f t="shared" ref="I172:K172" si="25">SUM(I161:I171)</f>
        <v>0</v>
      </c>
      <c r="J172" s="216">
        <f t="shared" si="25"/>
        <v>0</v>
      </c>
      <c r="K172" s="216">
        <f t="shared" si="25"/>
        <v>13027</v>
      </c>
      <c r="L172" s="216"/>
      <c r="M172" s="326">
        <f t="shared" ref="M172:S172" si="26">SUM(M161:M171)</f>
        <v>15827</v>
      </c>
      <c r="N172" s="326">
        <f t="shared" si="26"/>
        <v>0</v>
      </c>
      <c r="O172" s="326">
        <f t="shared" si="26"/>
        <v>0</v>
      </c>
      <c r="P172" s="326">
        <f t="shared" si="26"/>
        <v>0</v>
      </c>
      <c r="Q172" s="326">
        <f t="shared" si="26"/>
        <v>0</v>
      </c>
      <c r="R172" s="326">
        <f t="shared" si="26"/>
        <v>0</v>
      </c>
      <c r="S172" s="326">
        <f t="shared" si="26"/>
        <v>0</v>
      </c>
      <c r="T172" s="461">
        <f>SUM(M172:S172)</f>
        <v>15827</v>
      </c>
    </row>
    <row r="173" spans="3:22">
      <c r="E173" s="348"/>
      <c r="H173" s="7">
        <f>F161-H172</f>
        <v>0</v>
      </c>
    </row>
    <row r="174" spans="3:22">
      <c r="N174" s="7"/>
    </row>
    <row r="175" spans="3:22">
      <c r="E175" s="281"/>
      <c r="F175" s="7"/>
      <c r="G175" s="7"/>
      <c r="H175" s="216" t="s">
        <v>537</v>
      </c>
      <c r="I175" s="7" t="s">
        <v>307</v>
      </c>
      <c r="J175" s="7" t="s">
        <v>308</v>
      </c>
      <c r="K175" s="7" t="s">
        <v>488</v>
      </c>
      <c r="M175" s="751" t="s">
        <v>477</v>
      </c>
      <c r="N175" s="751"/>
      <c r="O175" s="751"/>
      <c r="P175" s="751"/>
      <c r="Q175" s="751"/>
      <c r="R175" s="751"/>
      <c r="S175" s="751"/>
      <c r="T175" s="751"/>
      <c r="U175" s="84"/>
    </row>
    <row r="176" spans="3:22">
      <c r="C176" s="3" t="s">
        <v>533</v>
      </c>
      <c r="E176" s="281" t="s">
        <v>691</v>
      </c>
      <c r="F176" s="7">
        <v>5500</v>
      </c>
      <c r="G176" s="306" t="s">
        <v>303</v>
      </c>
      <c r="H176" s="52">
        <v>1000</v>
      </c>
      <c r="I176" s="52"/>
      <c r="J176" s="52"/>
      <c r="K176" s="52">
        <v>1000</v>
      </c>
      <c r="L176" s="52"/>
      <c r="M176" s="52">
        <v>1000</v>
      </c>
      <c r="N176" s="52">
        <v>1000</v>
      </c>
      <c r="O176" s="52">
        <v>1000</v>
      </c>
      <c r="P176" s="52">
        <v>1000</v>
      </c>
      <c r="Q176" s="52"/>
      <c r="R176" s="52"/>
      <c r="S176" s="52"/>
      <c r="T176" s="5"/>
      <c r="U176" s="491">
        <v>1000</v>
      </c>
      <c r="V176" s="84" t="s">
        <v>303</v>
      </c>
    </row>
    <row r="177" spans="3:22">
      <c r="E177" s="281"/>
      <c r="F177" s="7"/>
      <c r="G177" s="306" t="s">
        <v>57</v>
      </c>
      <c r="H177" s="52">
        <v>140</v>
      </c>
      <c r="I177" s="52"/>
      <c r="J177" s="52"/>
      <c r="K177" s="52">
        <v>140</v>
      </c>
      <c r="L177" s="52"/>
      <c r="M177" s="52"/>
      <c r="N177" s="52"/>
      <c r="O177" s="52"/>
      <c r="P177" s="52"/>
      <c r="Q177" s="52"/>
      <c r="R177" s="52"/>
      <c r="S177" s="52"/>
      <c r="T177" s="5"/>
      <c r="U177" s="491">
        <v>140</v>
      </c>
      <c r="V177" s="84" t="s">
        <v>530</v>
      </c>
    </row>
    <row r="178" spans="3:22">
      <c r="E178" s="320"/>
      <c r="F178" s="7"/>
      <c r="G178" s="306" t="s">
        <v>474</v>
      </c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"/>
      <c r="U178" s="491"/>
      <c r="V178" s="132"/>
    </row>
    <row r="179" spans="3:22">
      <c r="E179" s="332"/>
      <c r="F179" s="7"/>
      <c r="G179" s="306" t="s">
        <v>475</v>
      </c>
      <c r="H179" s="465"/>
      <c r="I179" s="52"/>
      <c r="J179" s="52"/>
      <c r="K179" s="52">
        <v>400</v>
      </c>
      <c r="L179" s="52"/>
      <c r="M179" s="52">
        <v>400</v>
      </c>
      <c r="N179" s="52">
        <v>400</v>
      </c>
      <c r="O179" s="52">
        <v>400</v>
      </c>
      <c r="P179" s="52">
        <v>400</v>
      </c>
      <c r="Q179" s="52"/>
      <c r="R179" s="52"/>
      <c r="S179" s="52"/>
      <c r="T179" s="52">
        <v>460</v>
      </c>
      <c r="U179" s="52">
        <v>2600</v>
      </c>
      <c r="V179" s="3" t="s">
        <v>509</v>
      </c>
    </row>
    <row r="180" spans="3:22">
      <c r="E180" s="332"/>
      <c r="F180" s="7"/>
      <c r="G180" s="306">
        <v>3600</v>
      </c>
      <c r="H180" s="465"/>
      <c r="I180" s="52"/>
      <c r="J180" s="52"/>
      <c r="K180" s="52">
        <v>1800</v>
      </c>
      <c r="L180" s="52"/>
      <c r="M180" s="52">
        <v>1800</v>
      </c>
      <c r="N180" s="52">
        <v>1800</v>
      </c>
      <c r="O180" s="52">
        <v>1800</v>
      </c>
      <c r="P180" s="52">
        <v>1800</v>
      </c>
      <c r="Q180" s="52"/>
      <c r="R180" s="52"/>
      <c r="S180" s="52"/>
      <c r="T180" s="52">
        <v>842643.32949999999</v>
      </c>
      <c r="U180" s="52"/>
      <c r="V180" s="7" t="s">
        <v>485</v>
      </c>
    </row>
    <row r="181" spans="3:22">
      <c r="E181" s="332"/>
      <c r="F181" s="7"/>
      <c r="G181" s="306" t="s">
        <v>354</v>
      </c>
      <c r="H181" s="465">
        <v>2600</v>
      </c>
      <c r="I181" s="52"/>
      <c r="J181" s="52"/>
      <c r="K181" s="52">
        <v>460</v>
      </c>
      <c r="L181" s="52"/>
      <c r="M181" s="52">
        <v>460</v>
      </c>
      <c r="N181" s="52">
        <v>842643</v>
      </c>
      <c r="O181" s="52">
        <v>700810</v>
      </c>
      <c r="P181" s="52">
        <v>1532643</v>
      </c>
      <c r="Q181" s="52"/>
      <c r="R181" s="52"/>
      <c r="S181" s="52"/>
      <c r="T181" s="52">
        <v>700810</v>
      </c>
      <c r="U181" s="52"/>
      <c r="V181" s="7" t="s">
        <v>484</v>
      </c>
    </row>
    <row r="182" spans="3:22">
      <c r="E182" s="332"/>
      <c r="F182" s="7"/>
      <c r="G182" s="306" t="s">
        <v>476</v>
      </c>
      <c r="H182" s="335"/>
      <c r="I182" s="52"/>
      <c r="J182" s="52"/>
      <c r="K182" s="52">
        <v>2400</v>
      </c>
      <c r="L182" s="52"/>
      <c r="M182" s="52">
        <v>2400</v>
      </c>
      <c r="N182" s="52">
        <v>2400</v>
      </c>
      <c r="O182" s="52">
        <v>2400</v>
      </c>
      <c r="P182" s="52">
        <v>2400</v>
      </c>
      <c r="Q182" s="52"/>
      <c r="R182" s="52"/>
      <c r="S182" s="52"/>
      <c r="T182" s="52">
        <v>1532643.3295</v>
      </c>
      <c r="U182" s="52"/>
      <c r="V182" s="2" t="s">
        <v>483</v>
      </c>
    </row>
    <row r="183" spans="3:22">
      <c r="E183" s="332"/>
      <c r="F183" s="7"/>
      <c r="G183" s="128" t="s">
        <v>91</v>
      </c>
      <c r="H183" s="335"/>
      <c r="I183" s="52"/>
      <c r="J183" s="52"/>
      <c r="K183" s="335"/>
      <c r="L183" s="52" t="s">
        <v>648</v>
      </c>
      <c r="M183" s="52">
        <v>5400</v>
      </c>
      <c r="N183" s="52"/>
      <c r="O183" s="52"/>
      <c r="P183" s="52"/>
      <c r="Q183" s="52"/>
      <c r="R183" s="52"/>
      <c r="S183" s="52"/>
      <c r="T183" s="52"/>
      <c r="U183" s="52"/>
    </row>
    <row r="184" spans="3:22">
      <c r="E184" s="332"/>
      <c r="F184" s="609" t="s">
        <v>649</v>
      </c>
      <c r="G184" s="128" t="s">
        <v>350</v>
      </c>
      <c r="H184" s="52">
        <v>1300</v>
      </c>
      <c r="I184" s="52"/>
      <c r="J184" s="52"/>
      <c r="K184" s="52"/>
      <c r="L184" s="52"/>
      <c r="M184" s="52">
        <v>1300</v>
      </c>
      <c r="N184" s="52">
        <v>953333</v>
      </c>
      <c r="O184" s="52">
        <v>793000</v>
      </c>
      <c r="P184" s="52">
        <v>1733333</v>
      </c>
      <c r="Q184" s="52"/>
      <c r="R184" s="52"/>
      <c r="S184" s="52"/>
      <c r="T184" s="52"/>
      <c r="U184" s="52">
        <v>1300</v>
      </c>
      <c r="V184" s="3" t="s">
        <v>347</v>
      </c>
    </row>
    <row r="185" spans="3:22">
      <c r="E185" s="348"/>
      <c r="F185" s="7"/>
      <c r="G185" s="128" t="s">
        <v>92</v>
      </c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7"/>
      <c r="S185" s="7"/>
      <c r="T185" s="7"/>
      <c r="U185" s="335"/>
      <c r="V185" s="3" t="s">
        <v>349</v>
      </c>
    </row>
    <row r="186" spans="3:22">
      <c r="E186" s="348"/>
      <c r="F186" s="7"/>
      <c r="G186" s="466" t="s">
        <v>478</v>
      </c>
      <c r="H186" s="467">
        <v>460</v>
      </c>
      <c r="I186" s="7"/>
      <c r="J186" s="7"/>
      <c r="K186" s="7"/>
      <c r="L186" s="7"/>
      <c r="M186" s="7"/>
      <c r="N186" s="7"/>
      <c r="O186" s="4"/>
      <c r="P186" s="52"/>
      <c r="R186" s="7"/>
      <c r="S186" s="7"/>
      <c r="U186" s="7"/>
    </row>
    <row r="187" spans="3:22">
      <c r="E187" s="348"/>
      <c r="G187" s="128"/>
      <c r="H187" s="216">
        <f>SUM(H176:H186)</f>
        <v>5500</v>
      </c>
      <c r="I187" s="216">
        <f t="shared" ref="I187:K187" si="27">SUM(I176:I186)</f>
        <v>0</v>
      </c>
      <c r="J187" s="216">
        <f t="shared" si="27"/>
        <v>0</v>
      </c>
      <c r="K187" s="216">
        <f t="shared" si="27"/>
        <v>6200</v>
      </c>
      <c r="L187" s="216"/>
      <c r="M187" s="326">
        <f t="shared" ref="M187:S187" si="28">SUM(M176:M186)</f>
        <v>12760</v>
      </c>
      <c r="N187" s="326">
        <f t="shared" si="28"/>
        <v>1801576</v>
      </c>
      <c r="O187" s="326">
        <f t="shared" si="28"/>
        <v>1499410</v>
      </c>
      <c r="P187" s="326">
        <f t="shared" si="28"/>
        <v>3271576</v>
      </c>
      <c r="Q187" s="326">
        <f t="shared" si="28"/>
        <v>0</v>
      </c>
      <c r="R187" s="326">
        <f t="shared" si="28"/>
        <v>0</v>
      </c>
      <c r="S187" s="326">
        <f t="shared" si="28"/>
        <v>0</v>
      </c>
      <c r="T187" s="461">
        <f>SUM(M187:S187)</f>
        <v>6585322</v>
      </c>
    </row>
    <row r="188" spans="3:22">
      <c r="E188" s="348"/>
      <c r="H188" s="7">
        <f>F176-H187</f>
        <v>0</v>
      </c>
    </row>
    <row r="190" spans="3:22">
      <c r="E190" s="281"/>
      <c r="F190" s="7"/>
      <c r="G190" s="7"/>
      <c r="H190" s="216" t="s">
        <v>537</v>
      </c>
      <c r="I190" s="7" t="s">
        <v>307</v>
      </c>
      <c r="J190" s="7" t="s">
        <v>308</v>
      </c>
      <c r="K190" s="7" t="s">
        <v>488</v>
      </c>
      <c r="M190" s="751" t="s">
        <v>477</v>
      </c>
      <c r="N190" s="751"/>
      <c r="O190" s="751"/>
      <c r="P190" s="751"/>
      <c r="Q190" s="751"/>
      <c r="R190" s="751"/>
      <c r="S190" s="751"/>
      <c r="T190" s="751"/>
      <c r="U190" s="84"/>
    </row>
    <row r="191" spans="3:22">
      <c r="C191" s="3" t="s">
        <v>533</v>
      </c>
      <c r="E191" s="281" t="s">
        <v>692</v>
      </c>
      <c r="F191" s="7">
        <v>19540</v>
      </c>
      <c r="G191" s="306" t="s">
        <v>303</v>
      </c>
      <c r="H191" s="52">
        <v>1000</v>
      </c>
      <c r="I191" s="52"/>
      <c r="J191" s="52"/>
      <c r="K191" s="52">
        <v>1000</v>
      </c>
      <c r="L191" s="52"/>
      <c r="M191" s="52">
        <v>1000</v>
      </c>
      <c r="N191" s="52">
        <v>1000</v>
      </c>
      <c r="O191" s="52">
        <v>1000</v>
      </c>
      <c r="P191" s="52">
        <v>1000</v>
      </c>
      <c r="Q191" s="52"/>
      <c r="R191" s="52"/>
      <c r="S191" s="52"/>
      <c r="T191" s="5"/>
      <c r="U191" s="491">
        <v>1000</v>
      </c>
      <c r="V191" s="84" t="s">
        <v>303</v>
      </c>
    </row>
    <row r="192" spans="3:22">
      <c r="E192" s="281"/>
      <c r="F192" s="7"/>
      <c r="G192" s="306" t="s">
        <v>57</v>
      </c>
      <c r="H192" s="52">
        <v>480</v>
      </c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"/>
      <c r="U192" s="491">
        <v>480</v>
      </c>
      <c r="V192" s="84" t="s">
        <v>530</v>
      </c>
    </row>
    <row r="193" spans="3:22">
      <c r="E193" s="320"/>
      <c r="F193" s="7"/>
      <c r="G193" s="306" t="s">
        <v>474</v>
      </c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491"/>
      <c r="V193" s="132"/>
    </row>
    <row r="194" spans="3:22">
      <c r="E194" s="332"/>
      <c r="F194" s="7"/>
      <c r="G194" s="306" t="s">
        <v>475</v>
      </c>
      <c r="H194" s="465"/>
      <c r="I194" s="52"/>
      <c r="J194" s="52"/>
      <c r="K194" s="52">
        <v>800</v>
      </c>
      <c r="L194" s="52"/>
      <c r="M194" s="52">
        <v>800</v>
      </c>
      <c r="N194" s="52">
        <v>800</v>
      </c>
      <c r="O194" s="52">
        <v>800</v>
      </c>
      <c r="P194" s="52">
        <v>800</v>
      </c>
      <c r="Q194" s="52"/>
      <c r="R194" s="52"/>
      <c r="S194" s="52"/>
      <c r="T194" s="52"/>
      <c r="U194" s="52">
        <v>4160</v>
      </c>
      <c r="V194" s="3" t="s">
        <v>509</v>
      </c>
    </row>
    <row r="195" spans="3:22">
      <c r="E195" s="332"/>
      <c r="F195" s="7"/>
      <c r="G195" s="306">
        <v>3600</v>
      </c>
      <c r="H195" s="465"/>
      <c r="I195" s="52"/>
      <c r="J195" s="52"/>
      <c r="K195" s="52">
        <v>3600</v>
      </c>
      <c r="L195" s="52"/>
      <c r="M195" s="52">
        <v>3600</v>
      </c>
      <c r="N195" s="52">
        <v>3600</v>
      </c>
      <c r="O195" s="52">
        <v>3600</v>
      </c>
      <c r="P195" s="52">
        <v>3600</v>
      </c>
      <c r="Q195" s="52"/>
      <c r="R195" s="52"/>
      <c r="S195" s="52"/>
      <c r="T195" s="52"/>
      <c r="U195" s="52"/>
      <c r="V195" s="7" t="s">
        <v>485</v>
      </c>
    </row>
    <row r="196" spans="3:22">
      <c r="E196" s="332"/>
      <c r="F196" s="7"/>
      <c r="G196" s="306" t="s">
        <v>354</v>
      </c>
      <c r="H196" s="465">
        <v>4160</v>
      </c>
      <c r="I196" s="52"/>
      <c r="J196" s="52"/>
      <c r="K196" s="52">
        <v>480</v>
      </c>
      <c r="L196" s="52"/>
      <c r="M196" s="52">
        <v>480</v>
      </c>
      <c r="N196" s="52">
        <v>389947</v>
      </c>
      <c r="O196" s="52">
        <v>323280</v>
      </c>
      <c r="P196" s="52">
        <v>665947</v>
      </c>
      <c r="Q196" s="52"/>
      <c r="R196" s="52"/>
      <c r="S196" s="52"/>
      <c r="T196" s="52"/>
      <c r="U196" s="52"/>
      <c r="V196" s="7" t="s">
        <v>484</v>
      </c>
    </row>
    <row r="197" spans="3:22">
      <c r="E197" s="332"/>
      <c r="F197" s="7"/>
      <c r="G197" s="306" t="s">
        <v>476</v>
      </c>
      <c r="H197" s="52">
        <v>4200</v>
      </c>
      <c r="I197" s="52"/>
      <c r="J197" s="52"/>
      <c r="K197" s="52">
        <v>4200</v>
      </c>
      <c r="L197" s="52"/>
      <c r="M197" s="52">
        <v>4200</v>
      </c>
      <c r="N197" s="52">
        <v>4200</v>
      </c>
      <c r="O197" s="52">
        <v>4200</v>
      </c>
      <c r="P197" s="52">
        <v>4200</v>
      </c>
      <c r="Q197" s="52"/>
      <c r="R197" s="52"/>
      <c r="S197" s="52"/>
      <c r="T197" s="52"/>
      <c r="U197" s="52"/>
      <c r="V197" s="2" t="s">
        <v>483</v>
      </c>
    </row>
    <row r="198" spans="3:22">
      <c r="E198" s="332"/>
      <c r="F198" s="7"/>
      <c r="G198" s="128" t="s">
        <v>91</v>
      </c>
      <c r="H198" s="52">
        <v>4800</v>
      </c>
      <c r="I198" s="52"/>
      <c r="J198" s="52"/>
      <c r="K198" s="52">
        <v>4800</v>
      </c>
      <c r="L198" s="52"/>
      <c r="M198" s="52">
        <v>4800</v>
      </c>
      <c r="N198" s="52"/>
      <c r="O198" s="52"/>
      <c r="P198" s="52"/>
      <c r="Q198" s="52"/>
      <c r="R198" s="52"/>
      <c r="S198" s="52"/>
      <c r="T198" s="52"/>
      <c r="U198" s="52"/>
    </row>
    <row r="199" spans="3:22">
      <c r="E199" s="332"/>
      <c r="F199" s="609"/>
      <c r="G199" s="128" t="s">
        <v>350</v>
      </c>
      <c r="H199" s="52">
        <v>1300</v>
      </c>
      <c r="I199" s="52"/>
      <c r="J199" s="52"/>
      <c r="K199" s="52">
        <v>1300</v>
      </c>
      <c r="L199" s="52"/>
      <c r="M199" s="52">
        <v>1300</v>
      </c>
      <c r="N199" s="52">
        <v>423222</v>
      </c>
      <c r="O199" s="52">
        <v>351000</v>
      </c>
      <c r="P199" s="52">
        <v>722222</v>
      </c>
      <c r="Q199" s="52"/>
      <c r="R199" s="52"/>
      <c r="S199" s="52"/>
      <c r="T199" s="52"/>
      <c r="U199" s="52">
        <v>1300</v>
      </c>
      <c r="V199" s="3" t="s">
        <v>347</v>
      </c>
    </row>
    <row r="200" spans="3:22">
      <c r="E200" s="348"/>
      <c r="F200" s="7"/>
      <c r="G200" s="128" t="s">
        <v>92</v>
      </c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7"/>
      <c r="S200" s="7"/>
      <c r="T200" s="7"/>
      <c r="U200" s="335"/>
      <c r="V200" s="3" t="s">
        <v>349</v>
      </c>
    </row>
    <row r="201" spans="3:22">
      <c r="E201" s="348"/>
      <c r="F201" s="7"/>
      <c r="G201" s="466" t="s">
        <v>478</v>
      </c>
      <c r="H201" s="467">
        <v>3600</v>
      </c>
      <c r="I201" s="7"/>
      <c r="J201" s="7"/>
      <c r="K201" s="7"/>
      <c r="L201" s="7"/>
      <c r="M201" s="7"/>
      <c r="N201" s="7"/>
      <c r="O201" s="4"/>
      <c r="P201" s="52"/>
      <c r="R201" s="7"/>
      <c r="S201" s="7"/>
      <c r="U201" s="7"/>
    </row>
    <row r="202" spans="3:22">
      <c r="E202" s="348"/>
      <c r="G202" s="128"/>
      <c r="H202" s="216">
        <f>SUM(H191:H201)</f>
        <v>19540</v>
      </c>
      <c r="I202" s="216">
        <f t="shared" ref="I202:K202" si="29">SUM(I191:I201)</f>
        <v>0</v>
      </c>
      <c r="J202" s="216">
        <f t="shared" si="29"/>
        <v>0</v>
      </c>
      <c r="K202" s="216">
        <f t="shared" si="29"/>
        <v>16180</v>
      </c>
      <c r="L202" s="216"/>
      <c r="M202" s="326">
        <f t="shared" ref="M202:S202" si="30">SUM(M191:M201)</f>
        <v>16180</v>
      </c>
      <c r="N202" s="326">
        <f t="shared" si="30"/>
        <v>822769</v>
      </c>
      <c r="O202" s="326">
        <f t="shared" si="30"/>
        <v>683880</v>
      </c>
      <c r="P202" s="326">
        <f t="shared" si="30"/>
        <v>1397769</v>
      </c>
      <c r="Q202" s="326">
        <f t="shared" si="30"/>
        <v>0</v>
      </c>
      <c r="R202" s="326">
        <f t="shared" si="30"/>
        <v>0</v>
      </c>
      <c r="S202" s="326">
        <f t="shared" si="30"/>
        <v>0</v>
      </c>
      <c r="T202" s="461">
        <f>SUM(M202:S202)</f>
        <v>2920598</v>
      </c>
    </row>
    <row r="203" spans="3:22">
      <c r="E203" s="348"/>
      <c r="H203" s="7">
        <f>F191-H202</f>
        <v>0</v>
      </c>
    </row>
    <row r="205" spans="3:22">
      <c r="E205" s="281"/>
      <c r="F205" s="7"/>
      <c r="G205" s="7"/>
      <c r="H205" s="216"/>
      <c r="I205" s="7" t="s">
        <v>307</v>
      </c>
      <c r="J205" s="7" t="s">
        <v>308</v>
      </c>
      <c r="K205" s="7" t="s">
        <v>488</v>
      </c>
      <c r="M205" s="751" t="s">
        <v>477</v>
      </c>
      <c r="N205" s="751"/>
      <c r="O205" s="751"/>
      <c r="P205" s="751"/>
      <c r="Q205" s="751"/>
      <c r="R205" s="751"/>
      <c r="S205" s="751"/>
      <c r="T205" s="751"/>
      <c r="U205" s="84"/>
    </row>
    <row r="206" spans="3:22">
      <c r="C206" s="3" t="s">
        <v>657</v>
      </c>
      <c r="E206" s="281" t="s">
        <v>693</v>
      </c>
      <c r="F206" s="7">
        <v>28900</v>
      </c>
      <c r="G206" s="306" t="s">
        <v>303</v>
      </c>
      <c r="H206" s="52"/>
      <c r="I206" s="52"/>
      <c r="J206" s="52"/>
      <c r="K206" s="52">
        <v>1000</v>
      </c>
      <c r="L206" s="52"/>
      <c r="M206" s="52">
        <v>1000</v>
      </c>
      <c r="N206" s="52">
        <v>1000</v>
      </c>
      <c r="O206" s="52">
        <v>1000</v>
      </c>
      <c r="P206" s="52">
        <v>1000</v>
      </c>
      <c r="Q206" s="52"/>
      <c r="R206" s="52"/>
      <c r="S206" s="52"/>
      <c r="T206" s="5"/>
      <c r="U206" s="491"/>
      <c r="V206" s="84" t="s">
        <v>303</v>
      </c>
    </row>
    <row r="207" spans="3:22">
      <c r="C207" s="5" t="s">
        <v>550</v>
      </c>
      <c r="E207" s="281"/>
      <c r="F207" s="7"/>
      <c r="G207" s="306" t="s">
        <v>57</v>
      </c>
      <c r="H207" s="52">
        <v>900</v>
      </c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"/>
      <c r="U207" s="491">
        <v>900</v>
      </c>
      <c r="V207" s="84" t="s">
        <v>530</v>
      </c>
    </row>
    <row r="208" spans="3:22">
      <c r="C208" s="5" t="s">
        <v>554</v>
      </c>
      <c r="E208" s="320"/>
      <c r="F208" s="7"/>
      <c r="G208" s="306" t="s">
        <v>474</v>
      </c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491">
        <v>8410</v>
      </c>
      <c r="V208" s="132" t="s">
        <v>659</v>
      </c>
    </row>
    <row r="209" spans="3:22">
      <c r="C209" s="337" t="s">
        <v>555</v>
      </c>
      <c r="E209" s="332"/>
      <c r="F209" s="7"/>
      <c r="G209" s="306" t="s">
        <v>475</v>
      </c>
      <c r="H209" s="52"/>
      <c r="I209" s="52"/>
      <c r="J209" s="52"/>
      <c r="K209" s="52">
        <v>800</v>
      </c>
      <c r="L209" s="52"/>
      <c r="M209" s="52">
        <v>800</v>
      </c>
      <c r="N209" s="52">
        <v>800</v>
      </c>
      <c r="O209" s="52">
        <v>800</v>
      </c>
      <c r="P209" s="52">
        <v>800</v>
      </c>
      <c r="Q209" s="52"/>
      <c r="R209" s="52"/>
      <c r="S209" s="52"/>
      <c r="T209" s="52"/>
      <c r="U209" s="52">
        <v>11790</v>
      </c>
      <c r="V209" s="3" t="s">
        <v>509</v>
      </c>
    </row>
    <row r="210" spans="3:22">
      <c r="C210" s="5" t="s">
        <v>556</v>
      </c>
      <c r="E210" s="332"/>
      <c r="F210" s="7"/>
      <c r="G210" s="306">
        <v>3600</v>
      </c>
      <c r="H210" s="52"/>
      <c r="I210" s="52"/>
      <c r="J210" s="52"/>
      <c r="K210" s="52">
        <v>3600</v>
      </c>
      <c r="L210" s="52"/>
      <c r="M210" s="52">
        <v>3600</v>
      </c>
      <c r="N210" s="52">
        <v>3600</v>
      </c>
      <c r="O210" s="52">
        <v>3600</v>
      </c>
      <c r="P210" s="52">
        <v>3600</v>
      </c>
      <c r="Q210" s="52"/>
      <c r="R210" s="52"/>
      <c r="S210" s="52"/>
      <c r="T210" s="52"/>
      <c r="U210" s="52"/>
      <c r="V210" s="7" t="s">
        <v>485</v>
      </c>
    </row>
    <row r="211" spans="3:22">
      <c r="C211" s="337" t="s">
        <v>557</v>
      </c>
      <c r="E211" s="332"/>
      <c r="F211" s="7"/>
      <c r="G211" s="306" t="s">
        <v>354</v>
      </c>
      <c r="H211" s="52">
        <f>U208+U209</f>
        <v>20200</v>
      </c>
      <c r="I211" s="52"/>
      <c r="J211" s="52"/>
      <c r="K211" s="52">
        <v>883</v>
      </c>
      <c r="L211" s="52"/>
      <c r="M211" s="52">
        <v>6343</v>
      </c>
      <c r="N211" s="52">
        <v>599280</v>
      </c>
      <c r="O211" s="52">
        <v>39280</v>
      </c>
      <c r="P211" s="52">
        <v>71280</v>
      </c>
      <c r="Q211" s="52"/>
      <c r="R211" s="52"/>
      <c r="S211" s="52"/>
      <c r="T211" s="52"/>
      <c r="U211" s="52"/>
      <c r="V211" s="7" t="s">
        <v>484</v>
      </c>
    </row>
    <row r="212" spans="3:22">
      <c r="C212" s="613" t="s">
        <v>570</v>
      </c>
      <c r="E212" s="332"/>
      <c r="F212" s="7"/>
      <c r="G212" s="306" t="s">
        <v>476</v>
      </c>
      <c r="H212" s="52"/>
      <c r="I212" s="52"/>
      <c r="J212" s="52"/>
      <c r="K212" s="52">
        <v>7800</v>
      </c>
      <c r="L212" s="52"/>
      <c r="M212" s="52">
        <v>7800</v>
      </c>
      <c r="N212" s="52">
        <v>7800</v>
      </c>
      <c r="O212" s="52">
        <v>7800</v>
      </c>
      <c r="P212" s="52">
        <v>7800</v>
      </c>
      <c r="Q212" s="52"/>
      <c r="R212" s="52"/>
      <c r="S212" s="52"/>
      <c r="T212" s="52"/>
      <c r="U212" s="52"/>
      <c r="V212" s="2" t="s">
        <v>483</v>
      </c>
    </row>
    <row r="213" spans="3:22">
      <c r="C213" s="107" t="s">
        <v>656</v>
      </c>
      <c r="E213" s="332"/>
      <c r="F213" s="7"/>
      <c r="G213" s="128" t="s">
        <v>91</v>
      </c>
      <c r="H213" s="335"/>
      <c r="I213" s="52"/>
      <c r="J213" s="52" t="s">
        <v>661</v>
      </c>
      <c r="K213" s="335"/>
      <c r="L213" s="52"/>
      <c r="M213" s="52">
        <v>8400</v>
      </c>
      <c r="N213" s="52"/>
      <c r="O213" s="52"/>
      <c r="P213" s="52"/>
      <c r="Q213" s="52"/>
      <c r="R213" s="52"/>
      <c r="S213" s="52"/>
      <c r="T213" s="52"/>
      <c r="U213" s="52"/>
    </row>
    <row r="214" spans="3:22">
      <c r="C214" s="566" t="s">
        <v>625</v>
      </c>
      <c r="E214" s="332"/>
      <c r="F214" s="609"/>
      <c r="G214" s="128" t="s">
        <v>350</v>
      </c>
      <c r="H214" s="52">
        <v>7800</v>
      </c>
      <c r="I214" s="52"/>
      <c r="J214" s="52"/>
      <c r="K214" s="52">
        <v>957</v>
      </c>
      <c r="L214" s="52"/>
      <c r="M214" s="52">
        <v>7652</v>
      </c>
      <c r="N214" s="52">
        <v>650000</v>
      </c>
      <c r="O214" s="52">
        <v>43333</v>
      </c>
      <c r="P214" s="52">
        <v>78000</v>
      </c>
      <c r="Q214" s="52"/>
      <c r="R214" s="52"/>
      <c r="S214" s="52"/>
      <c r="T214" s="52"/>
      <c r="U214" s="52">
        <v>7800</v>
      </c>
      <c r="V214" s="107" t="s">
        <v>660</v>
      </c>
    </row>
    <row r="215" spans="3:22">
      <c r="C215" s="566" t="s">
        <v>626</v>
      </c>
      <c r="E215" s="348"/>
      <c r="F215" s="7"/>
      <c r="G215" s="128" t="s">
        <v>92</v>
      </c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7"/>
      <c r="S215" s="7"/>
      <c r="T215" s="7"/>
      <c r="U215" s="52"/>
      <c r="V215" s="3" t="s">
        <v>349</v>
      </c>
    </row>
    <row r="216" spans="3:22">
      <c r="C216" s="566" t="s">
        <v>627</v>
      </c>
      <c r="E216" s="348"/>
      <c r="F216" s="7"/>
      <c r="G216" s="466" t="s">
        <v>478</v>
      </c>
      <c r="H216" s="467"/>
      <c r="I216" s="7"/>
      <c r="J216" s="7"/>
      <c r="K216" s="7"/>
      <c r="L216" s="7"/>
      <c r="M216" s="7"/>
      <c r="N216" s="7"/>
      <c r="O216" s="4"/>
      <c r="P216" s="52"/>
      <c r="R216" s="7"/>
      <c r="S216" s="7"/>
      <c r="U216" s="7"/>
    </row>
    <row r="217" spans="3:22">
      <c r="C217" s="3" t="s">
        <v>655</v>
      </c>
      <c r="E217" s="348"/>
      <c r="G217" s="128"/>
      <c r="H217" s="216">
        <f>SUM(H206:H216)</f>
        <v>28900</v>
      </c>
      <c r="I217" s="216">
        <f t="shared" ref="I217:K217" si="31">SUM(I206:I216)</f>
        <v>0</v>
      </c>
      <c r="J217" s="216">
        <f t="shared" si="31"/>
        <v>0</v>
      </c>
      <c r="K217" s="216">
        <f t="shared" si="31"/>
        <v>15040</v>
      </c>
      <c r="L217" s="216"/>
      <c r="M217" s="326">
        <f t="shared" ref="M217:S217" si="32">SUM(M206:M216)</f>
        <v>35595</v>
      </c>
      <c r="N217" s="326">
        <f t="shared" si="32"/>
        <v>1262480</v>
      </c>
      <c r="O217" s="326">
        <f t="shared" si="32"/>
        <v>95813</v>
      </c>
      <c r="P217" s="326">
        <f t="shared" si="32"/>
        <v>162480</v>
      </c>
      <c r="Q217" s="326">
        <f t="shared" si="32"/>
        <v>0</v>
      </c>
      <c r="R217" s="326">
        <f t="shared" si="32"/>
        <v>0</v>
      </c>
      <c r="S217" s="326">
        <f t="shared" si="32"/>
        <v>0</v>
      </c>
      <c r="T217" s="461">
        <f>SUM(M217:S217)</f>
        <v>1556368</v>
      </c>
    </row>
    <row r="218" spans="3:22">
      <c r="C218" s="3" t="s">
        <v>658</v>
      </c>
      <c r="E218" s="348"/>
      <c r="H218" s="7">
        <f>F206-H217</f>
        <v>0</v>
      </c>
    </row>
    <row r="221" spans="3:22">
      <c r="E221" s="281"/>
      <c r="F221" s="7"/>
      <c r="G221" s="7"/>
      <c r="H221" s="216" t="s">
        <v>537</v>
      </c>
      <c r="I221" s="7" t="s">
        <v>307</v>
      </c>
      <c r="J221" s="7" t="s">
        <v>308</v>
      </c>
      <c r="K221" s="7" t="s">
        <v>488</v>
      </c>
      <c r="M221" s="751" t="s">
        <v>477</v>
      </c>
      <c r="N221" s="751"/>
      <c r="O221" s="751"/>
      <c r="P221" s="751"/>
      <c r="Q221" s="751"/>
      <c r="R221" s="751"/>
      <c r="S221" s="751"/>
      <c r="T221" s="751"/>
      <c r="U221" s="84"/>
    </row>
    <row r="222" spans="3:22">
      <c r="C222" s="574" t="s">
        <v>633</v>
      </c>
      <c r="E222" s="281" t="s">
        <v>694</v>
      </c>
      <c r="F222" s="7">
        <v>4410</v>
      </c>
      <c r="G222" s="306" t="s">
        <v>303</v>
      </c>
      <c r="H222" s="52">
        <v>100</v>
      </c>
      <c r="I222" s="52"/>
      <c r="J222" s="52"/>
      <c r="K222" s="52">
        <v>100</v>
      </c>
      <c r="L222" s="52"/>
      <c r="M222" s="52">
        <v>1000</v>
      </c>
      <c r="N222" s="52"/>
      <c r="O222" s="52"/>
      <c r="P222" s="52"/>
      <c r="Q222" s="52"/>
      <c r="R222" s="52"/>
      <c r="S222" s="52"/>
      <c r="T222" s="5"/>
      <c r="U222" s="491">
        <v>100</v>
      </c>
      <c r="V222" s="84" t="s">
        <v>303</v>
      </c>
    </row>
    <row r="223" spans="3:22">
      <c r="C223" s="477" t="s">
        <v>664</v>
      </c>
      <c r="E223" s="281"/>
      <c r="F223" s="7"/>
      <c r="G223" s="306" t="s">
        <v>57</v>
      </c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"/>
      <c r="U223" s="491"/>
      <c r="V223" s="84" t="s">
        <v>530</v>
      </c>
    </row>
    <row r="224" spans="3:22">
      <c r="E224" s="320"/>
      <c r="F224" s="7"/>
      <c r="G224" s="306" t="s">
        <v>474</v>
      </c>
      <c r="H224" s="52">
        <v>2000</v>
      </c>
      <c r="I224" s="52"/>
      <c r="J224" s="52"/>
      <c r="K224" s="52">
        <v>2000</v>
      </c>
      <c r="L224" s="52"/>
      <c r="M224" s="52"/>
      <c r="N224" s="52"/>
      <c r="O224" s="52"/>
      <c r="P224" s="52"/>
      <c r="Q224" s="52"/>
      <c r="R224" s="52"/>
      <c r="S224" s="52"/>
      <c r="T224" s="5"/>
      <c r="U224" s="491"/>
      <c r="V224" s="132"/>
    </row>
    <row r="225" spans="3:22">
      <c r="C225" s="575" t="s">
        <v>634</v>
      </c>
      <c r="E225" s="332"/>
      <c r="F225" s="7"/>
      <c r="G225" s="306" t="s">
        <v>475</v>
      </c>
      <c r="H225" s="52"/>
      <c r="I225" s="52"/>
      <c r="J225" s="52"/>
      <c r="K225" s="52"/>
      <c r="L225" s="52"/>
      <c r="M225" s="52">
        <v>800</v>
      </c>
      <c r="N225" s="52"/>
      <c r="O225" s="52"/>
      <c r="P225" s="52"/>
      <c r="Q225" s="52"/>
      <c r="R225" s="52"/>
      <c r="S225" s="52"/>
      <c r="T225" s="52"/>
      <c r="U225" s="52">
        <v>4310</v>
      </c>
      <c r="V225" s="3" t="s">
        <v>509</v>
      </c>
    </row>
    <row r="226" spans="3:22">
      <c r="C226" s="575" t="s">
        <v>635</v>
      </c>
      <c r="E226" s="332"/>
      <c r="F226" s="7"/>
      <c r="G226" s="306">
        <v>3600</v>
      </c>
      <c r="H226" s="52"/>
      <c r="I226" s="52"/>
      <c r="J226" s="52"/>
      <c r="K226" s="52"/>
      <c r="L226" s="52"/>
      <c r="M226" s="52">
        <v>3600</v>
      </c>
      <c r="N226" s="52"/>
      <c r="O226" s="52"/>
      <c r="P226" s="52"/>
      <c r="Q226" s="52"/>
      <c r="R226" s="52"/>
      <c r="S226" s="52"/>
      <c r="T226" s="52"/>
      <c r="U226" s="52"/>
      <c r="V226" s="7" t="s">
        <v>485</v>
      </c>
    </row>
    <row r="227" spans="3:22">
      <c r="C227" s="576" t="s">
        <v>636</v>
      </c>
      <c r="E227" s="332"/>
      <c r="F227" s="7"/>
      <c r="G227" s="306" t="s">
        <v>354</v>
      </c>
      <c r="H227" s="52"/>
      <c r="I227" s="52"/>
      <c r="J227" s="52"/>
      <c r="K227" s="52"/>
      <c r="L227" s="52"/>
      <c r="M227" s="52">
        <v>10764</v>
      </c>
      <c r="N227" s="52"/>
      <c r="O227" s="52"/>
      <c r="P227" s="52"/>
      <c r="Q227" s="52"/>
      <c r="R227" s="52"/>
      <c r="S227" s="52"/>
      <c r="T227" s="52"/>
      <c r="U227" s="52"/>
      <c r="V227" s="7" t="s">
        <v>484</v>
      </c>
    </row>
    <row r="228" spans="3:22">
      <c r="C228" s="477" t="s">
        <v>666</v>
      </c>
      <c r="E228" s="332"/>
      <c r="F228" s="7"/>
      <c r="G228" s="306" t="s">
        <v>476</v>
      </c>
      <c r="H228" s="52">
        <v>600</v>
      </c>
      <c r="I228" s="52"/>
      <c r="J228" s="52"/>
      <c r="K228" s="52">
        <v>600</v>
      </c>
      <c r="L228" s="52"/>
      <c r="M228" s="52">
        <v>600</v>
      </c>
      <c r="N228" s="52"/>
      <c r="O228" s="52"/>
      <c r="P228" s="52"/>
      <c r="Q228" s="52"/>
      <c r="R228" s="52"/>
      <c r="S228" s="52"/>
      <c r="T228" s="52"/>
      <c r="U228" s="52"/>
      <c r="V228" s="2" t="s">
        <v>483</v>
      </c>
    </row>
    <row r="229" spans="3:22">
      <c r="E229" s="332"/>
      <c r="F229" s="7"/>
      <c r="G229" s="128" t="s">
        <v>91</v>
      </c>
      <c r="H229" s="52">
        <v>1200</v>
      </c>
      <c r="I229" s="52"/>
      <c r="J229" s="52"/>
      <c r="K229" s="52">
        <v>1200</v>
      </c>
      <c r="L229" s="52"/>
      <c r="M229" s="52">
        <v>1200</v>
      </c>
      <c r="N229" s="52"/>
      <c r="O229" s="52"/>
      <c r="P229" s="52"/>
      <c r="Q229" s="52"/>
      <c r="R229" s="52"/>
      <c r="S229" s="52"/>
      <c r="T229" s="52"/>
      <c r="U229" s="52"/>
    </row>
    <row r="230" spans="3:22">
      <c r="C230" s="578" t="s">
        <v>638</v>
      </c>
      <c r="E230" s="332"/>
      <c r="F230" s="7"/>
      <c r="G230" s="128" t="s">
        <v>350</v>
      </c>
      <c r="H230" s="52"/>
      <c r="I230" s="52"/>
      <c r="J230" s="52"/>
      <c r="K230" s="52"/>
      <c r="L230" s="52"/>
      <c r="M230" s="52">
        <v>12441</v>
      </c>
      <c r="N230" s="52"/>
      <c r="O230" s="52"/>
      <c r="P230" s="52"/>
      <c r="Q230" s="52"/>
      <c r="R230" s="52"/>
      <c r="S230" s="52"/>
      <c r="T230" s="52"/>
      <c r="U230" s="52"/>
      <c r="V230" s="3" t="s">
        <v>347</v>
      </c>
    </row>
    <row r="231" spans="3:22">
      <c r="E231" s="348"/>
      <c r="F231" s="7"/>
      <c r="G231" s="128" t="s">
        <v>92</v>
      </c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7"/>
      <c r="S231" s="7"/>
      <c r="T231" s="7"/>
      <c r="U231" s="52"/>
      <c r="V231" s="3" t="s">
        <v>349</v>
      </c>
    </row>
    <row r="232" spans="3:22">
      <c r="E232" s="348"/>
      <c r="F232" s="7"/>
      <c r="G232" s="466" t="s">
        <v>478</v>
      </c>
      <c r="H232" s="467">
        <v>510</v>
      </c>
      <c r="I232" s="7"/>
      <c r="J232" s="7"/>
      <c r="K232" s="7"/>
      <c r="L232" s="7"/>
      <c r="M232" s="7"/>
      <c r="N232" s="7"/>
      <c r="O232" s="4"/>
      <c r="P232" s="52"/>
      <c r="R232" s="7"/>
      <c r="S232" s="7"/>
      <c r="U232" s="7"/>
    </row>
    <row r="233" spans="3:22">
      <c r="E233" s="348"/>
      <c r="G233" s="128"/>
      <c r="H233" s="216">
        <f>SUM(H222:H232)</f>
        <v>4410</v>
      </c>
      <c r="I233" s="216">
        <f t="shared" ref="I233:K233" si="33">SUM(I222:I232)</f>
        <v>0</v>
      </c>
      <c r="J233" s="216">
        <f t="shared" si="33"/>
        <v>0</v>
      </c>
      <c r="K233" s="216">
        <f t="shared" si="33"/>
        <v>3900</v>
      </c>
      <c r="L233" s="216"/>
      <c r="M233" s="326">
        <f t="shared" ref="M233:S233" si="34">SUM(M222:M232)</f>
        <v>30405</v>
      </c>
      <c r="N233" s="326">
        <f t="shared" si="34"/>
        <v>0</v>
      </c>
      <c r="O233" s="326">
        <f t="shared" si="34"/>
        <v>0</v>
      </c>
      <c r="P233" s="326">
        <f t="shared" si="34"/>
        <v>0</v>
      </c>
      <c r="Q233" s="326">
        <f t="shared" si="34"/>
        <v>0</v>
      </c>
      <c r="R233" s="326">
        <f t="shared" si="34"/>
        <v>0</v>
      </c>
      <c r="S233" s="326">
        <f t="shared" si="34"/>
        <v>0</v>
      </c>
      <c r="T233" s="461">
        <f>SUM(M233:S233)</f>
        <v>30405</v>
      </c>
    </row>
    <row r="234" spans="3:22">
      <c r="E234" s="348"/>
      <c r="H234" s="7">
        <f>F222-H233</f>
        <v>0</v>
      </c>
    </row>
  </sheetData>
  <mergeCells count="22">
    <mergeCell ref="Q1:AB1"/>
    <mergeCell ref="F1:L1"/>
    <mergeCell ref="M55:T55"/>
    <mergeCell ref="E1:E2"/>
    <mergeCell ref="M85:T85"/>
    <mergeCell ref="M70:T70"/>
    <mergeCell ref="A1:A2"/>
    <mergeCell ref="B1:B2"/>
    <mergeCell ref="C1:C2"/>
    <mergeCell ref="D1:D2"/>
    <mergeCell ref="O1:P1"/>
    <mergeCell ref="M1:N1"/>
    <mergeCell ref="M221:T221"/>
    <mergeCell ref="A47:D47"/>
    <mergeCell ref="M130:T130"/>
    <mergeCell ref="M115:T115"/>
    <mergeCell ref="M100:T100"/>
    <mergeCell ref="M175:T175"/>
    <mergeCell ref="M160:T160"/>
    <mergeCell ref="M145:T145"/>
    <mergeCell ref="M205:T205"/>
    <mergeCell ref="M190:T190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68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2.42578125" style="7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910" t="s">
        <v>19</v>
      </c>
      <c r="B1" s="912" t="s">
        <v>335</v>
      </c>
      <c r="C1" s="912" t="s">
        <v>83</v>
      </c>
      <c r="D1" s="914" t="s">
        <v>336</v>
      </c>
      <c r="E1" s="915"/>
      <c r="F1" s="915"/>
      <c r="G1" s="916" t="s">
        <v>307</v>
      </c>
      <c r="H1" s="917"/>
      <c r="I1" s="906" t="s">
        <v>308</v>
      </c>
      <c r="J1" s="906"/>
      <c r="K1" s="246"/>
      <c r="L1" s="247"/>
      <c r="M1" s="907" t="s">
        <v>337</v>
      </c>
      <c r="N1" s="907"/>
      <c r="O1" s="907"/>
      <c r="P1" s="247"/>
      <c r="Q1" s="907" t="s">
        <v>338</v>
      </c>
      <c r="R1" s="907"/>
      <c r="S1" s="907"/>
      <c r="T1" s="907"/>
      <c r="U1" s="248"/>
      <c r="V1" s="908" t="s">
        <v>307</v>
      </c>
      <c r="W1" s="908" t="s">
        <v>339</v>
      </c>
      <c r="X1" s="908" t="s">
        <v>340</v>
      </c>
      <c r="Y1" s="248"/>
      <c r="Z1" s="900" t="s">
        <v>341</v>
      </c>
      <c r="AA1" s="901"/>
      <c r="AB1" s="901"/>
      <c r="AC1" s="901"/>
      <c r="AD1" s="902"/>
    </row>
    <row r="2" spans="1:30" ht="12" thickBot="1">
      <c r="A2" s="911"/>
      <c r="B2" s="913"/>
      <c r="C2" s="913"/>
      <c r="D2" s="201" t="s">
        <v>313</v>
      </c>
      <c r="E2" s="201" t="s">
        <v>319</v>
      </c>
      <c r="F2" s="143" t="s">
        <v>320</v>
      </c>
      <c r="G2" s="202" t="s">
        <v>342</v>
      </c>
      <c r="H2" s="203" t="s">
        <v>343</v>
      </c>
      <c r="I2" s="202" t="s">
        <v>344</v>
      </c>
      <c r="J2" s="204" t="s">
        <v>345</v>
      </c>
      <c r="K2" s="249" t="s">
        <v>346</v>
      </c>
      <c r="L2" s="250"/>
      <c r="M2" s="251" t="s">
        <v>349</v>
      </c>
      <c r="N2" s="251" t="s">
        <v>347</v>
      </c>
      <c r="O2" s="251" t="s">
        <v>348</v>
      </c>
      <c r="P2" s="250"/>
      <c r="Q2" s="252" t="s">
        <v>349</v>
      </c>
      <c r="R2" s="253">
        <v>1.2999999999999999E-2</v>
      </c>
      <c r="S2" s="253">
        <v>6.4999999999999997E-3</v>
      </c>
      <c r="T2" s="254">
        <v>1.25E-3</v>
      </c>
      <c r="U2" s="255"/>
      <c r="V2" s="909"/>
      <c r="W2" s="909"/>
      <c r="X2" s="909"/>
      <c r="Y2" s="255"/>
      <c r="Z2" s="256" t="s">
        <v>349</v>
      </c>
      <c r="AA2" s="256" t="s">
        <v>347</v>
      </c>
      <c r="AB2" s="257" t="s">
        <v>348</v>
      </c>
      <c r="AC2" s="256" t="s">
        <v>339</v>
      </c>
      <c r="AD2" s="256" t="s">
        <v>340</v>
      </c>
    </row>
    <row r="3" spans="1:30" s="17" customFormat="1">
      <c r="A3" s="205" t="str">
        <f>'1-συμβολαια'!A3</f>
        <v>93τραπ &amp; σημ</v>
      </c>
      <c r="B3" s="114" t="str">
        <f>'1-συμβολαια'!C3</f>
        <v>δάνειο</v>
      </c>
      <c r="C3" s="205">
        <f>'1-συμβολαια'!D3</f>
        <v>24000000</v>
      </c>
      <c r="D3" s="205">
        <f>'8-κ-15-17'!D3</f>
        <v>312000</v>
      </c>
      <c r="E3" s="205">
        <f>'8-κ-15-17'!M3</f>
        <v>0</v>
      </c>
      <c r="F3" s="205">
        <f>'8-κ-15-17'!V3</f>
        <v>0</v>
      </c>
      <c r="G3" s="205">
        <f>'2-δικαιώμ'!J3</f>
        <v>21672</v>
      </c>
      <c r="H3" s="205">
        <f>'2-δικαιώμ'!K3</f>
        <v>5</v>
      </c>
      <c r="I3" s="205">
        <f>'2-δικαιώμ'!L3</f>
        <v>12045</v>
      </c>
      <c r="J3" s="205">
        <f>'2-δικαιώμ'!M3</f>
        <v>2409</v>
      </c>
      <c r="M3" s="24"/>
      <c r="N3" s="24"/>
      <c r="O3" s="24"/>
      <c r="Q3" s="11"/>
      <c r="R3" s="11"/>
      <c r="S3" s="11"/>
      <c r="T3" s="11"/>
      <c r="V3" s="11">
        <f>'2-δικαιώμ'!J3+'2-δικαιώμ'!K3</f>
        <v>21677</v>
      </c>
      <c r="W3" s="11">
        <f>'2-δικαιώμ'!L3</f>
        <v>12045</v>
      </c>
      <c r="X3" s="11">
        <f>'2-δικαιώμ'!M3</f>
        <v>2409</v>
      </c>
      <c r="Z3" s="11"/>
      <c r="AA3" s="11"/>
      <c r="AB3" s="11"/>
      <c r="AC3" s="11"/>
      <c r="AD3" s="11"/>
    </row>
    <row r="4" spans="1:30" s="17" customFormat="1">
      <c r="A4" s="205">
        <f>'1-συμβολαια'!A4</f>
        <v>0</v>
      </c>
      <c r="B4" s="114" t="str">
        <f>'1-συμβολαια'!C4</f>
        <v>υποθήκη δανείου</v>
      </c>
      <c r="C4" s="205">
        <f>'1-συμβολαια'!D4</f>
        <v>26666666</v>
      </c>
      <c r="D4" s="205">
        <f>'8-κ-15-17'!D4</f>
        <v>346666.65800000005</v>
      </c>
      <c r="E4" s="205">
        <f>'8-κ-15-17'!M4</f>
        <v>0</v>
      </c>
      <c r="F4" s="205">
        <f>'8-κ-15-17'!V4</f>
        <v>0</v>
      </c>
      <c r="G4" s="205">
        <f>'2-δικαιώμ'!J4</f>
        <v>24071.999400000001</v>
      </c>
      <c r="H4" s="205">
        <f>'2-δικαιώμ'!K4</f>
        <v>5</v>
      </c>
      <c r="I4" s="205">
        <f>'2-δικαιώμ'!L4</f>
        <v>13378.333000000002</v>
      </c>
      <c r="J4" s="205">
        <f>'2-δικαιώμ'!M4</f>
        <v>2675.6666000000005</v>
      </c>
      <c r="M4" s="24"/>
      <c r="N4" s="24"/>
      <c r="O4" s="24"/>
      <c r="Q4" s="11"/>
      <c r="R4" s="11"/>
      <c r="S4" s="11"/>
      <c r="T4" s="11"/>
      <c r="V4" s="11">
        <f>'2-δικαιώμ'!J4+'2-δικαιώμ'!K4</f>
        <v>24076.999400000001</v>
      </c>
      <c r="W4" s="11">
        <f>'2-δικαιώμ'!L4</f>
        <v>13378.333000000002</v>
      </c>
      <c r="X4" s="11">
        <f>'2-δικαιώμ'!M4</f>
        <v>2675.6666000000005</v>
      </c>
      <c r="Z4" s="11"/>
      <c r="AA4" s="11"/>
      <c r="AB4" s="11"/>
      <c r="AC4" s="11"/>
      <c r="AD4" s="11"/>
    </row>
    <row r="5" spans="1:30" s="17" customFormat="1">
      <c r="A5" s="205">
        <f>'1-συμβολαια'!A5</f>
        <v>0</v>
      </c>
      <c r="B5" s="114" t="str">
        <f>'1-συμβολαια'!C5</f>
        <v>τόκοι δανείου {εμπρόθεσμα πληρωθέντες}</v>
      </c>
      <c r="C5" s="205">
        <f>'1-συμβολαια'!D5</f>
        <v>51111111</v>
      </c>
      <c r="D5" s="205">
        <f>'8-κ-15-17'!D5</f>
        <v>664444.44300000009</v>
      </c>
      <c r="E5" s="205">
        <f>'8-κ-15-17'!M5</f>
        <v>0</v>
      </c>
      <c r="F5" s="205">
        <f>'8-κ-15-17'!V5</f>
        <v>0</v>
      </c>
      <c r="G5" s="205">
        <f>'2-δικαιώμ'!J5</f>
        <v>46071.999899999995</v>
      </c>
      <c r="H5" s="205">
        <f>'2-δικαιώμ'!K5</f>
        <v>5</v>
      </c>
      <c r="I5" s="205">
        <f>'2-δικαιώμ'!L5</f>
        <v>25600.555500000002</v>
      </c>
      <c r="J5" s="205">
        <f>'2-δικαιώμ'!M5</f>
        <v>5120.1111000000001</v>
      </c>
      <c r="M5" s="24"/>
      <c r="N5" s="24"/>
      <c r="O5" s="24"/>
      <c r="Q5" s="11"/>
      <c r="R5" s="11"/>
      <c r="S5" s="11"/>
      <c r="T5" s="11"/>
      <c r="V5" s="11">
        <f>'2-δικαιώμ'!J5+'2-δικαιώμ'!K5</f>
        <v>46076.999899999995</v>
      </c>
      <c r="W5" s="11">
        <f>'2-δικαιώμ'!L5</f>
        <v>25600.555500000002</v>
      </c>
      <c r="X5" s="11">
        <f>'2-δικαιώμ'!M5</f>
        <v>5120.1111000000001</v>
      </c>
      <c r="Z5" s="11"/>
      <c r="AA5" s="11"/>
      <c r="AB5" s="11"/>
      <c r="AC5" s="11"/>
      <c r="AD5" s="11"/>
    </row>
    <row r="6" spans="1:30" s="17" customFormat="1">
      <c r="A6" s="205" t="str">
        <f>'1-συμβολαια'!A6</f>
        <v>375τραπ</v>
      </c>
      <c r="B6" s="114" t="str">
        <f>'1-συμβολαια'!C6</f>
        <v>δάνειο</v>
      </c>
      <c r="C6" s="205">
        <f>'1-συμβολαια'!D6</f>
        <v>5000000</v>
      </c>
      <c r="D6" s="205">
        <f>'8-κ-15-17'!D6</f>
        <v>65000.000000000007</v>
      </c>
      <c r="E6" s="205">
        <f>'8-κ-15-17'!M6</f>
        <v>0</v>
      </c>
      <c r="F6" s="205">
        <f>'8-κ-15-17'!V6</f>
        <v>0</v>
      </c>
      <c r="G6" s="205">
        <f>'2-δικαιώμ'!J6</f>
        <v>4572</v>
      </c>
      <c r="H6" s="205">
        <f>'2-δικαιώμ'!K6</f>
        <v>5</v>
      </c>
      <c r="I6" s="205">
        <f>'2-δικαιώμ'!L6</f>
        <v>2545</v>
      </c>
      <c r="J6" s="205">
        <f>'2-δικαιώμ'!M6</f>
        <v>509</v>
      </c>
      <c r="M6" s="24"/>
      <c r="N6" s="24"/>
      <c r="O6" s="24"/>
      <c r="Q6" s="11"/>
      <c r="R6" s="11"/>
      <c r="S6" s="11"/>
      <c r="T6" s="11"/>
      <c r="V6" s="11">
        <f>'2-δικαιώμ'!J6+'2-δικαιώμ'!K6</f>
        <v>4577</v>
      </c>
      <c r="W6" s="11">
        <f>'2-δικαιώμ'!L6</f>
        <v>2545</v>
      </c>
      <c r="X6" s="11">
        <f>'2-δικαιώμ'!M6</f>
        <v>509</v>
      </c>
      <c r="Z6" s="11"/>
      <c r="AA6" s="11"/>
      <c r="AB6" s="11"/>
      <c r="AC6" s="11"/>
      <c r="AD6" s="11"/>
    </row>
    <row r="7" spans="1:30" s="17" customFormat="1">
      <c r="A7" s="205">
        <f>'1-συμβολαια'!A7</f>
        <v>0</v>
      </c>
      <c r="B7" s="114" t="str">
        <f>'1-συμβολαια'!C7</f>
        <v>υποθήκη δανείου</v>
      </c>
      <c r="C7" s="205">
        <f>'1-συμβολαια'!D7</f>
        <v>6666666</v>
      </c>
      <c r="D7" s="205">
        <f>'8-κ-15-17'!D7</f>
        <v>86666.65800000001</v>
      </c>
      <c r="E7" s="205">
        <f>'8-κ-15-17'!M7</f>
        <v>0</v>
      </c>
      <c r="F7" s="205">
        <f>'8-κ-15-17'!V7</f>
        <v>0</v>
      </c>
      <c r="G7" s="205">
        <f>'2-δικαιώμ'!J7</f>
        <v>6071.9993999999997</v>
      </c>
      <c r="H7" s="205">
        <f>'2-δικαιώμ'!K7</f>
        <v>5</v>
      </c>
      <c r="I7" s="205">
        <f>'2-δικαιώμ'!L7</f>
        <v>3378.3330000000005</v>
      </c>
      <c r="J7" s="205">
        <f>'2-δικαιώμ'!M7</f>
        <v>675.66660000000002</v>
      </c>
      <c r="M7" s="24"/>
      <c r="N7" s="24"/>
      <c r="O7" s="24"/>
      <c r="Q7" s="11"/>
      <c r="R7" s="11"/>
      <c r="S7" s="11"/>
      <c r="T7" s="11"/>
      <c r="V7" s="11">
        <f>'2-δικαιώμ'!J7+'2-δικαιώμ'!K7</f>
        <v>6076.9993999999997</v>
      </c>
      <c r="W7" s="11">
        <f>'2-δικαιώμ'!L7</f>
        <v>3378.3330000000005</v>
      </c>
      <c r="X7" s="11">
        <f>'2-δικαιώμ'!M7</f>
        <v>675.66660000000002</v>
      </c>
      <c r="Z7" s="11"/>
      <c r="AA7" s="11"/>
      <c r="AB7" s="11"/>
      <c r="AC7" s="11"/>
      <c r="AD7" s="11"/>
    </row>
    <row r="8" spans="1:30" s="17" customFormat="1">
      <c r="A8" s="205">
        <f>'1-συμβολαια'!A8</f>
        <v>0</v>
      </c>
      <c r="B8" s="114" t="str">
        <f>'1-συμβολαια'!C8</f>
        <v>τόκοι δανείου</v>
      </c>
      <c r="C8" s="205">
        <f>'1-συμβολαια'!D8</f>
        <v>11111111</v>
      </c>
      <c r="D8" s="205">
        <f>'8-κ-15-17'!D8</f>
        <v>144444.443</v>
      </c>
      <c r="E8" s="205">
        <f>'8-κ-15-17'!M8</f>
        <v>0</v>
      </c>
      <c r="F8" s="205">
        <f>'8-κ-15-17'!V8</f>
        <v>0</v>
      </c>
      <c r="G8" s="205">
        <f>'2-δικαιώμ'!J8</f>
        <v>10071.999899999999</v>
      </c>
      <c r="H8" s="205">
        <f>'2-δικαιώμ'!K8</f>
        <v>5</v>
      </c>
      <c r="I8" s="205">
        <f>'2-δικαιώμ'!L8</f>
        <v>5600.5555000000004</v>
      </c>
      <c r="J8" s="205">
        <f>'2-δικαιώμ'!M8</f>
        <v>1120.1111000000001</v>
      </c>
      <c r="M8" s="24"/>
      <c r="N8" s="24"/>
      <c r="O8" s="24"/>
      <c r="Q8" s="11"/>
      <c r="R8" s="11"/>
      <c r="S8" s="11"/>
      <c r="T8" s="11"/>
      <c r="V8" s="11">
        <f>'2-δικαιώμ'!J8+'2-δικαιώμ'!K8</f>
        <v>10076.999899999999</v>
      </c>
      <c r="W8" s="11">
        <f>'2-δικαιώμ'!L8</f>
        <v>5600.5555000000004</v>
      </c>
      <c r="X8" s="11">
        <f>'2-δικαιώμ'!M8</f>
        <v>1120.1111000000001</v>
      </c>
      <c r="Z8" s="11"/>
      <c r="AA8" s="11"/>
      <c r="AB8" s="11"/>
      <c r="AC8" s="11"/>
      <c r="AD8" s="11"/>
    </row>
    <row r="9" spans="1:30" s="17" customFormat="1">
      <c r="A9" s="205" t="str">
        <f>'1-συμβολαια'!A9</f>
        <v>1ο</v>
      </c>
      <c r="B9" s="114" t="str">
        <f>'1-συμβολαια'!C9</f>
        <v>υποθήκη τυχόν αυξήσεως ΤΟΚΩΝ δανείου</v>
      </c>
      <c r="C9" s="205">
        <f>'1-συμβολαια'!D9</f>
        <v>20000</v>
      </c>
      <c r="D9" s="205">
        <f>'8-κ-15-17'!D9</f>
        <v>260</v>
      </c>
      <c r="E9" s="205">
        <f>'8-κ-15-17'!M9</f>
        <v>0</v>
      </c>
      <c r="F9" s="205">
        <f>'8-κ-15-17'!V9</f>
        <v>0</v>
      </c>
      <c r="G9" s="205">
        <f>'2-δικαιώμ'!J9</f>
        <v>108</v>
      </c>
      <c r="H9" s="205">
        <f>'2-δικαιώμ'!K9</f>
        <v>5</v>
      </c>
      <c r="I9" s="205">
        <f>'2-δικαιώμ'!L9</f>
        <v>65</v>
      </c>
      <c r="J9" s="205">
        <f>'2-δικαιώμ'!M9</f>
        <v>13</v>
      </c>
      <c r="M9" s="24"/>
      <c r="N9" s="24"/>
      <c r="O9" s="24"/>
      <c r="Q9" s="11"/>
      <c r="R9" s="11"/>
      <c r="S9" s="11"/>
      <c r="T9" s="11"/>
      <c r="V9" s="11">
        <f>'2-δικαιώμ'!J9+'2-δικαιώμ'!K9</f>
        <v>113</v>
      </c>
      <c r="W9" s="11">
        <f>'2-δικαιώμ'!L9</f>
        <v>65</v>
      </c>
      <c r="X9" s="11">
        <f>'2-δικαιώμ'!M9</f>
        <v>13</v>
      </c>
      <c r="Z9" s="11"/>
      <c r="AA9" s="11"/>
      <c r="AB9" s="11"/>
      <c r="AC9" s="11"/>
      <c r="AD9" s="11"/>
    </row>
    <row r="10" spans="1:30" s="17" customFormat="1">
      <c r="A10" s="205" t="str">
        <f>'1-συμβολαια'!A10</f>
        <v>2ο</v>
      </c>
      <c r="B10" s="114" t="str">
        <f>'1-συμβολαια'!C10</f>
        <v>αγοραπωλησία οικοπεδου τίμημα = 800.000 Δ.Ο.Υ. =</v>
      </c>
      <c r="C10" s="205">
        <f>'1-συμβολαια'!D10</f>
        <v>1000000</v>
      </c>
      <c r="D10" s="205">
        <f>'8-κ-15-17'!D10</f>
        <v>0</v>
      </c>
      <c r="E10" s="205">
        <f>'8-κ-15-17'!M10</f>
        <v>0</v>
      </c>
      <c r="F10" s="205">
        <f>'8-κ-15-17'!V10</f>
        <v>0</v>
      </c>
      <c r="G10" s="205">
        <f>'2-δικαιώμ'!J10</f>
        <v>972</v>
      </c>
      <c r="H10" s="205">
        <f>'2-δικαιώμ'!K10</f>
        <v>5</v>
      </c>
      <c r="I10" s="205">
        <f>'2-δικαιώμ'!L10</f>
        <v>545</v>
      </c>
      <c r="J10" s="205">
        <f>'2-δικαιώμ'!M10</f>
        <v>109</v>
      </c>
      <c r="M10" s="24"/>
      <c r="N10" s="24"/>
      <c r="O10" s="24"/>
      <c r="Q10" s="11"/>
      <c r="R10" s="11"/>
      <c r="S10" s="11"/>
      <c r="T10" s="11"/>
      <c r="V10" s="11">
        <f>'2-δικαιώμ'!J10+'2-δικαιώμ'!K10</f>
        <v>977</v>
      </c>
      <c r="W10" s="11">
        <f>'2-δικαιώμ'!L10</f>
        <v>545</v>
      </c>
      <c r="X10" s="11">
        <f>'2-δικαιώμ'!M10</f>
        <v>109</v>
      </c>
      <c r="Z10" s="11"/>
      <c r="AA10" s="11"/>
      <c r="AB10" s="11"/>
      <c r="AC10" s="11"/>
      <c r="AD10" s="11"/>
    </row>
    <row r="11" spans="1:30" s="17" customFormat="1">
      <c r="A11" s="205">
        <f>'1-συμβολαια'!A11</f>
        <v>0</v>
      </c>
      <c r="B11" s="114" t="str">
        <f>'1-συμβολαια'!C11</f>
        <v>αγορά εργοστασίου ;;;??? μ2</v>
      </c>
      <c r="C11" s="205">
        <f>'1-συμβολαια'!D11</f>
        <v>11111111</v>
      </c>
      <c r="D11" s="205">
        <f>'8-κ-15-17'!D11</f>
        <v>0</v>
      </c>
      <c r="E11" s="205">
        <f>'8-κ-15-17'!M11</f>
        <v>0</v>
      </c>
      <c r="F11" s="205">
        <f>'8-κ-15-17'!V11</f>
        <v>0</v>
      </c>
      <c r="G11" s="205">
        <f>'2-δικαιώμ'!J11</f>
        <v>10071.999899999999</v>
      </c>
      <c r="H11" s="205">
        <f>'2-δικαιώμ'!K11</f>
        <v>5</v>
      </c>
      <c r="I11" s="205">
        <f>'2-δικαιώμ'!L11</f>
        <v>5600.5555000000004</v>
      </c>
      <c r="J11" s="205">
        <f>'2-δικαιώμ'!M11</f>
        <v>1120.1111000000001</v>
      </c>
      <c r="M11" s="24"/>
      <c r="N11" s="24"/>
      <c r="O11" s="24"/>
      <c r="Q11" s="11"/>
      <c r="R11" s="11"/>
      <c r="S11" s="11"/>
      <c r="T11" s="11"/>
      <c r="V11" s="11">
        <f>'2-δικαιώμ'!J11+'2-δικαιώμ'!K11</f>
        <v>10076.999899999999</v>
      </c>
      <c r="W11" s="11">
        <f>'2-δικαιώμ'!L11</f>
        <v>5600.5555000000004</v>
      </c>
      <c r="X11" s="11">
        <f>'2-δικαιώμ'!M11</f>
        <v>1120.1111000000001</v>
      </c>
      <c r="Z11" s="11"/>
      <c r="AA11" s="11"/>
      <c r="AB11" s="11"/>
      <c r="AC11" s="11"/>
      <c r="AD11" s="11"/>
    </row>
    <row r="12" spans="1:30" s="17" customFormat="1">
      <c r="A12" s="205">
        <f>'1-συμβολαια'!A12</f>
        <v>0</v>
      </c>
      <c r="B12" s="114" t="str">
        <f>'1-συμβολαια'!C12</f>
        <v>αγορά εργοστασίου ΕΞΟΠΛΙΣΜΟΣ</v>
      </c>
      <c r="C12" s="205">
        <f>'1-συμβολαια'!D12</f>
        <v>6666666</v>
      </c>
      <c r="D12" s="205">
        <f>'8-κ-15-17'!D12</f>
        <v>0</v>
      </c>
      <c r="E12" s="205">
        <f>'8-κ-15-17'!M12</f>
        <v>0</v>
      </c>
      <c r="F12" s="205">
        <f>'8-κ-15-17'!V12</f>
        <v>0</v>
      </c>
      <c r="G12" s="205">
        <f>'2-δικαιώμ'!J12</f>
        <v>6071.9993999999997</v>
      </c>
      <c r="H12" s="205">
        <f>'2-δικαιώμ'!K12</f>
        <v>5</v>
      </c>
      <c r="I12" s="205">
        <f>'2-δικαιώμ'!L12</f>
        <v>3378.3330000000005</v>
      </c>
      <c r="J12" s="205">
        <f>'2-δικαιώμ'!M12</f>
        <v>675.66660000000002</v>
      </c>
      <c r="M12" s="24"/>
      <c r="N12" s="24"/>
      <c r="O12" s="24"/>
      <c r="Q12" s="11"/>
      <c r="R12" s="11"/>
      <c r="S12" s="11"/>
      <c r="T12" s="11"/>
      <c r="V12" s="11">
        <f>'2-δικαιώμ'!J12+'2-δικαιώμ'!K12</f>
        <v>6076.9993999999997</v>
      </c>
      <c r="W12" s="11">
        <f>'2-δικαιώμ'!L12</f>
        <v>3378.3330000000005</v>
      </c>
      <c r="X12" s="11">
        <f>'2-δικαιώμ'!M12</f>
        <v>675.66660000000002</v>
      </c>
      <c r="Z12" s="11"/>
      <c r="AA12" s="11"/>
      <c r="AB12" s="11"/>
      <c r="AC12" s="11"/>
      <c r="AD12" s="11"/>
    </row>
    <row r="13" spans="1:30" s="17" customFormat="1">
      <c r="A13" s="205" t="str">
        <f>'1-συμβολαια'!A13</f>
        <v>3ο</v>
      </c>
      <c r="B13" s="114" t="str">
        <f>'1-συμβολαια'!C13</f>
        <v>πληρεξούσιο</v>
      </c>
      <c r="C13" s="205">
        <f>'1-συμβολαια'!D13</f>
        <v>0</v>
      </c>
      <c r="D13" s="205">
        <f>'8-κ-15-17'!D13</f>
        <v>0</v>
      </c>
      <c r="E13" s="205">
        <f>'8-κ-15-17'!M13</f>
        <v>0</v>
      </c>
      <c r="F13" s="205">
        <f>'8-κ-15-17'!V13</f>
        <v>0</v>
      </c>
      <c r="G13" s="205">
        <f>'2-δικαιώμ'!J13</f>
        <v>0</v>
      </c>
      <c r="H13" s="205">
        <f>'2-δικαιώμ'!K13</f>
        <v>12.5</v>
      </c>
      <c r="I13" s="205">
        <f>'2-δικαιώμ'!L13</f>
        <v>12.5</v>
      </c>
      <c r="J13" s="205">
        <f>'2-δικαιώμ'!M13</f>
        <v>2.5</v>
      </c>
      <c r="M13" s="24"/>
      <c r="N13" s="24"/>
      <c r="O13" s="24"/>
      <c r="Q13" s="11"/>
      <c r="R13" s="11"/>
      <c r="S13" s="11"/>
      <c r="T13" s="11"/>
      <c r="V13" s="11">
        <f>'2-δικαιώμ'!J13+'2-δικαιώμ'!K13</f>
        <v>12.5</v>
      </c>
      <c r="W13" s="11">
        <f>'2-δικαιώμ'!L13</f>
        <v>12.5</v>
      </c>
      <c r="X13" s="11">
        <f>'2-δικαιώμ'!M13</f>
        <v>2.5</v>
      </c>
      <c r="Z13" s="11"/>
      <c r="AA13" s="11"/>
      <c r="AB13" s="11"/>
      <c r="AC13" s="11"/>
      <c r="AD13" s="11"/>
    </row>
    <row r="14" spans="1:30" s="17" customFormat="1">
      <c r="A14" s="205" t="str">
        <f>'1-συμβολαια'!A14</f>
        <v>4ο</v>
      </c>
      <c r="B14" s="114" t="str">
        <f>'1-συμβολαια'!C14</f>
        <v>υποθήκη [έναντι του δανείου 375-29/07/1982τραπ</v>
      </c>
      <c r="C14" s="205">
        <f>'1-συμβολαια'!D14</f>
        <v>100000</v>
      </c>
      <c r="D14" s="205">
        <f>'8-κ-15-17'!D14</f>
        <v>1300.0000000000002</v>
      </c>
      <c r="E14" s="205">
        <f>'8-κ-15-17'!M14</f>
        <v>0</v>
      </c>
      <c r="F14" s="205">
        <f>'8-κ-15-17'!V14</f>
        <v>0</v>
      </c>
      <c r="G14" s="205">
        <f>'2-δικαιώμ'!J14</f>
        <v>149.4</v>
      </c>
      <c r="H14" s="205">
        <f>'2-δικαιώμ'!K14</f>
        <v>5</v>
      </c>
      <c r="I14" s="205">
        <f>'2-δικαιώμ'!L14</f>
        <v>88</v>
      </c>
      <c r="J14" s="205">
        <f>'2-δικαιώμ'!M14</f>
        <v>17.600000000000001</v>
      </c>
      <c r="M14" s="24"/>
      <c r="N14" s="24"/>
      <c r="O14" s="24"/>
      <c r="Q14" s="11"/>
      <c r="R14" s="11"/>
      <c r="S14" s="11"/>
      <c r="T14" s="11"/>
      <c r="V14" s="11">
        <f>'2-δικαιώμ'!J14+'2-δικαιώμ'!K14</f>
        <v>154.4</v>
      </c>
      <c r="W14" s="11">
        <f>'2-δικαιώμ'!L14</f>
        <v>88</v>
      </c>
      <c r="X14" s="11">
        <f>'2-δικαιώμ'!M14</f>
        <v>17.600000000000001</v>
      </c>
      <c r="Z14" s="11"/>
      <c r="AA14" s="11"/>
      <c r="AB14" s="11"/>
      <c r="AC14" s="11"/>
      <c r="AD14" s="11"/>
    </row>
    <row r="15" spans="1:30" s="17" customFormat="1">
      <c r="A15" s="205" t="str">
        <f>'1-συμβολαια'!A15</f>
        <v>389τραπ</v>
      </c>
      <c r="B15" s="114" t="str">
        <f>'1-συμβολαια'!C15</f>
        <v>δάνειο</v>
      </c>
      <c r="C15" s="205">
        <f>'1-συμβολαια'!D15</f>
        <v>10000000</v>
      </c>
      <c r="D15" s="205">
        <f>'8-κ-15-17'!D15</f>
        <v>130000.00000000001</v>
      </c>
      <c r="E15" s="205">
        <f>'8-κ-15-17'!M15</f>
        <v>0</v>
      </c>
      <c r="F15" s="205">
        <f>'8-κ-15-17'!V15</f>
        <v>0</v>
      </c>
      <c r="G15" s="205">
        <f>'2-δικαιώμ'!J15</f>
        <v>10395.9</v>
      </c>
      <c r="H15" s="205">
        <f>'2-δικαιώμ'!K15</f>
        <v>5</v>
      </c>
      <c r="I15" s="205">
        <f>'2-δικαιώμ'!L15</f>
        <v>5780.5</v>
      </c>
      <c r="J15" s="205">
        <f>'2-δικαιώμ'!M15</f>
        <v>1156.1000000000001</v>
      </c>
      <c r="M15" s="24"/>
      <c r="N15" s="24"/>
      <c r="O15" s="24"/>
      <c r="Q15" s="11"/>
      <c r="R15" s="11"/>
      <c r="S15" s="11"/>
      <c r="T15" s="11"/>
      <c r="V15" s="11">
        <f>'2-δικαιώμ'!J15+'2-δικαιώμ'!K15</f>
        <v>10400.9</v>
      </c>
      <c r="W15" s="11">
        <f>'2-δικαιώμ'!L15</f>
        <v>5780.5</v>
      </c>
      <c r="X15" s="11">
        <f>'2-δικαιώμ'!M15</f>
        <v>1156.1000000000001</v>
      </c>
      <c r="Z15" s="11"/>
      <c r="AA15" s="11"/>
      <c r="AB15" s="11"/>
      <c r="AC15" s="11"/>
      <c r="AD15" s="11"/>
    </row>
    <row r="16" spans="1:30" s="17" customFormat="1">
      <c r="A16" s="205">
        <f>'1-συμβολαια'!A16</f>
        <v>0</v>
      </c>
      <c r="B16" s="114" t="str">
        <f>'1-συμβολαια'!C16</f>
        <v>υποθήκη δανείου</v>
      </c>
      <c r="C16" s="205">
        <f>'1-συμβολαια'!D16</f>
        <v>12222222</v>
      </c>
      <c r="D16" s="205">
        <f>'8-κ-15-17'!D16</f>
        <v>158888.88600000003</v>
      </c>
      <c r="E16" s="205">
        <f>'8-κ-15-17'!M16</f>
        <v>0</v>
      </c>
      <c r="F16" s="205">
        <f>'8-κ-15-17'!V16</f>
        <v>0</v>
      </c>
      <c r="G16" s="205">
        <f>'2-δικαιώμ'!J16</f>
        <v>12695.899769999998</v>
      </c>
      <c r="H16" s="205">
        <f>'2-δικαιώμ'!K16</f>
        <v>5</v>
      </c>
      <c r="I16" s="205">
        <f>'2-δικαιώμ'!L16</f>
        <v>7058.27765</v>
      </c>
      <c r="J16" s="205">
        <f>'2-δικαιώμ'!M16</f>
        <v>1411.6555299999998</v>
      </c>
      <c r="M16" s="24"/>
      <c r="N16" s="24"/>
      <c r="O16" s="24"/>
      <c r="Q16" s="11"/>
      <c r="R16" s="11"/>
      <c r="S16" s="11"/>
      <c r="T16" s="11"/>
      <c r="V16" s="11">
        <f>'2-δικαιώμ'!J16+'2-δικαιώμ'!K16</f>
        <v>12700.899769999998</v>
      </c>
      <c r="W16" s="11">
        <f>'2-δικαιώμ'!L16</f>
        <v>7058.27765</v>
      </c>
      <c r="X16" s="11">
        <f>'2-δικαιώμ'!M16</f>
        <v>1411.6555299999998</v>
      </c>
      <c r="Z16" s="11"/>
      <c r="AA16" s="11"/>
      <c r="AB16" s="11"/>
      <c r="AC16" s="11"/>
      <c r="AD16" s="11"/>
    </row>
    <row r="17" spans="1:30" s="17" customFormat="1">
      <c r="A17" s="205">
        <f>'1-συμβολαια'!A17</f>
        <v>0</v>
      </c>
      <c r="B17" s="114" t="str">
        <f>'1-συμβολαια'!C17</f>
        <v>τόκοι δανείου</v>
      </c>
      <c r="C17" s="205">
        <f>'1-συμβολαια'!D17</f>
        <v>22222222</v>
      </c>
      <c r="D17" s="205">
        <f>'8-κ-15-17'!D17</f>
        <v>288888.886</v>
      </c>
      <c r="E17" s="205">
        <f>'8-κ-15-17'!M17</f>
        <v>0</v>
      </c>
      <c r="F17" s="205">
        <f>'8-κ-15-17'!V17</f>
        <v>0</v>
      </c>
      <c r="G17" s="205">
        <f>'2-δικαιώμ'!J17</f>
        <v>23045.899769999996</v>
      </c>
      <c r="H17" s="205">
        <f>'2-δικαιώμ'!K17</f>
        <v>5</v>
      </c>
      <c r="I17" s="205">
        <f>'2-δικαιώμ'!L17</f>
        <v>12808.27765</v>
      </c>
      <c r="J17" s="205">
        <f>'2-δικαιώμ'!M17</f>
        <v>2561.65553</v>
      </c>
      <c r="M17" s="24"/>
      <c r="N17" s="24"/>
      <c r="O17" s="24"/>
      <c r="Q17" s="11"/>
      <c r="R17" s="11"/>
      <c r="S17" s="11"/>
      <c r="T17" s="11"/>
      <c r="V17" s="11">
        <f>'2-δικαιώμ'!J17+'2-δικαιώμ'!K17</f>
        <v>23050.899769999996</v>
      </c>
      <c r="W17" s="11">
        <f>'2-δικαιώμ'!L17</f>
        <v>12808.27765</v>
      </c>
      <c r="X17" s="11">
        <f>'2-δικαιώμ'!M17</f>
        <v>2561.65553</v>
      </c>
      <c r="Z17" s="11"/>
      <c r="AA17" s="11"/>
      <c r="AB17" s="11"/>
      <c r="AC17" s="11"/>
      <c r="AD17" s="11"/>
    </row>
    <row r="18" spans="1:30" s="17" customFormat="1">
      <c r="A18" s="205" t="str">
        <f>'1-συμβολαια'!A18</f>
        <v>5ο</v>
      </c>
      <c r="B18" s="114" t="str">
        <f>'1-συμβολαια'!C18</f>
        <v>μίσθωσις νταμάρι  Παναγία -'';;;???'' 29στρ 3έτη [1000/έτος/στρ</v>
      </c>
      <c r="C18" s="205">
        <f>'1-συμβολαια'!D18</f>
        <v>696000</v>
      </c>
      <c r="D18" s="205">
        <f>'8-κ-15-17'!D18</f>
        <v>9048</v>
      </c>
      <c r="E18" s="205">
        <f>'8-κ-15-17'!M18</f>
        <v>0</v>
      </c>
      <c r="F18" s="205">
        <f>'8-κ-15-17'!V18</f>
        <v>0</v>
      </c>
      <c r="G18" s="205">
        <f>'2-δικαιώμ'!J18</f>
        <v>820.26</v>
      </c>
      <c r="H18" s="205">
        <f>'2-δικαιώμ'!K18</f>
        <v>20</v>
      </c>
      <c r="I18" s="205">
        <f>'2-δικαιώμ'!L18</f>
        <v>475.70000000000005</v>
      </c>
      <c r="J18" s="205">
        <f>'2-δικαιώμ'!M18</f>
        <v>95.14</v>
      </c>
      <c r="M18" s="24"/>
      <c r="N18" s="24"/>
      <c r="O18" s="24"/>
      <c r="Q18" s="11"/>
      <c r="R18" s="11"/>
      <c r="S18" s="11"/>
      <c r="T18" s="11"/>
      <c r="V18" s="11">
        <f>'2-δικαιώμ'!J18+'2-δικαιώμ'!K18</f>
        <v>840.26</v>
      </c>
      <c r="W18" s="11">
        <f>'2-δικαιώμ'!L18</f>
        <v>475.70000000000005</v>
      </c>
      <c r="X18" s="11">
        <f>'2-δικαιώμ'!M18</f>
        <v>95.14</v>
      </c>
      <c r="Z18" s="11"/>
      <c r="AA18" s="11"/>
      <c r="AB18" s="11"/>
      <c r="AC18" s="11"/>
      <c r="AD18" s="11"/>
    </row>
    <row r="19" spans="1:30" s="17" customFormat="1">
      <c r="A19" s="205">
        <f>'1-συμβολαια'!A19</f>
        <v>0</v>
      </c>
      <c r="B19" s="114" t="str">
        <f>'1-συμβολαια'!C19</f>
        <v>μίσθωση … ΚΤΙΡΙΑΚΑ &amp; τεχνικές εγκαταστάσεις &amp; ΚΛΠ</v>
      </c>
      <c r="C19" s="205">
        <f>'1-συμβολαια'!D19</f>
        <v>10000000</v>
      </c>
      <c r="D19" s="205">
        <f>'8-κ-15-17'!D19</f>
        <v>130000.00000000001</v>
      </c>
      <c r="E19" s="205">
        <f>'8-κ-15-17'!M19</f>
        <v>0</v>
      </c>
      <c r="F19" s="205">
        <f>'8-κ-15-17'!V19</f>
        <v>0</v>
      </c>
      <c r="G19" s="205">
        <f>'2-δικαιώμ'!J19</f>
        <v>10449.9</v>
      </c>
      <c r="H19" s="205">
        <f>'2-δικαιώμ'!K19</f>
        <v>20</v>
      </c>
      <c r="I19" s="205">
        <f>'2-δικαιώμ'!L19</f>
        <v>5825.5</v>
      </c>
      <c r="J19" s="205">
        <f>'2-δικαιώμ'!M19</f>
        <v>1165.1000000000001</v>
      </c>
      <c r="M19" s="24"/>
      <c r="N19" s="24"/>
      <c r="O19" s="24"/>
      <c r="Q19" s="11"/>
      <c r="R19" s="11"/>
      <c r="S19" s="11"/>
      <c r="T19" s="11"/>
      <c r="V19" s="11">
        <f>'2-δικαιώμ'!J19+'2-δικαιώμ'!K19</f>
        <v>10469.9</v>
      </c>
      <c r="W19" s="11">
        <f>'2-δικαιώμ'!L19</f>
        <v>5825.5</v>
      </c>
      <c r="X19" s="11">
        <f>'2-δικαιώμ'!M19</f>
        <v>1165.1000000000001</v>
      </c>
      <c r="Z19" s="11"/>
      <c r="AA19" s="11"/>
      <c r="AB19" s="11"/>
      <c r="AC19" s="11"/>
      <c r="AD19" s="11"/>
    </row>
    <row r="20" spans="1:30" s="17" customFormat="1">
      <c r="A20" s="205">
        <f>'1-συμβολαια'!A20</f>
        <v>0</v>
      </c>
      <c r="B20" s="114" t="str">
        <f>'1-συμβολαια'!C20</f>
        <v>μίσθωση … ΕΡΕΥΝΗΤΙΚΕΣ εργασίες</v>
      </c>
      <c r="C20" s="205">
        <f>'1-συμβολαια'!D20</f>
        <v>3333333</v>
      </c>
      <c r="D20" s="205">
        <f>'8-κ-15-17'!D20</f>
        <v>43333.329000000005</v>
      </c>
      <c r="E20" s="205">
        <f>'8-κ-15-17'!M20</f>
        <v>0</v>
      </c>
      <c r="F20" s="205">
        <f>'8-κ-15-17'!V20</f>
        <v>0</v>
      </c>
      <c r="G20" s="205">
        <f>'2-δικαιώμ'!J20</f>
        <v>3549.8996549999997</v>
      </c>
      <c r="H20" s="205">
        <f>'2-δικαιώμ'!K20</f>
        <v>20</v>
      </c>
      <c r="I20" s="205">
        <f>'2-δικαιώμ'!L20</f>
        <v>1992.166475</v>
      </c>
      <c r="J20" s="205">
        <f>'2-δικαιώμ'!M20</f>
        <v>398.43329499999999</v>
      </c>
      <c r="M20" s="24"/>
      <c r="N20" s="24"/>
      <c r="O20" s="24"/>
      <c r="Q20" s="11"/>
      <c r="R20" s="11"/>
      <c r="S20" s="11"/>
      <c r="T20" s="11"/>
      <c r="V20" s="11">
        <f>'2-δικαιώμ'!J20+'2-δικαιώμ'!K20</f>
        <v>3569.8996549999997</v>
      </c>
      <c r="W20" s="11">
        <f>'2-δικαιώμ'!L20</f>
        <v>1992.166475</v>
      </c>
      <c r="X20" s="11">
        <f>'2-δικαιώμ'!M20</f>
        <v>398.43329499999999</v>
      </c>
      <c r="Z20" s="11"/>
      <c r="AA20" s="11"/>
      <c r="AB20" s="11"/>
      <c r="AC20" s="11"/>
      <c r="AD20" s="11"/>
    </row>
    <row r="21" spans="1:30" s="17" customFormat="1">
      <c r="A21" s="205">
        <f>'1-συμβολαια'!A21</f>
        <v>0</v>
      </c>
      <c r="B21" s="114" t="str">
        <f>'1-συμβολαια'!C21</f>
        <v>μίσθωση ….. κόστος έργων αποκατάστασης</v>
      </c>
      <c r="C21" s="205">
        <f>'1-συμβολαια'!D21</f>
        <v>6000000</v>
      </c>
      <c r="D21" s="205">
        <f>'8-κ-15-17'!D21</f>
        <v>78000</v>
      </c>
      <c r="E21" s="205">
        <f>'8-κ-15-17'!M21</f>
        <v>0</v>
      </c>
      <c r="F21" s="205">
        <f>'8-κ-15-17'!V21</f>
        <v>0</v>
      </c>
      <c r="G21" s="205">
        <f>'2-δικαιώμ'!J21</f>
        <v>6309.9</v>
      </c>
      <c r="H21" s="205">
        <f>'2-δικαιώμ'!K21</f>
        <v>20</v>
      </c>
      <c r="I21" s="205">
        <f>'2-δικαιώμ'!L21</f>
        <v>3525.5</v>
      </c>
      <c r="J21" s="205">
        <f>'2-δικαιώμ'!M21</f>
        <v>705.1</v>
      </c>
      <c r="M21" s="24"/>
      <c r="N21" s="24"/>
      <c r="O21" s="24"/>
      <c r="Q21" s="11"/>
      <c r="R21" s="11"/>
      <c r="S21" s="11"/>
      <c r="T21" s="11"/>
      <c r="V21" s="11">
        <f>'2-δικαιώμ'!J21+'2-δικαιώμ'!K21</f>
        <v>6329.9</v>
      </c>
      <c r="W21" s="11">
        <f>'2-δικαιώμ'!L21</f>
        <v>3525.5</v>
      </c>
      <c r="X21" s="11">
        <f>'2-δικαιώμ'!M21</f>
        <v>705.1</v>
      </c>
      <c r="Z21" s="11"/>
      <c r="AA21" s="11"/>
      <c r="AB21" s="11"/>
      <c r="AC21" s="11"/>
      <c r="AD21" s="11"/>
    </row>
    <row r="22" spans="1:30" s="17" customFormat="1">
      <c r="A22" s="205" t="str">
        <f>'1-συμβολαια'!A22</f>
        <v>6ο</v>
      </c>
      <c r="B22" s="114" t="str">
        <f>'1-συμβολαια'!C22</f>
        <v>;;;???ΑΕ σύσταση από ΜΕΤΑΤΡΟΠΗ ατομικής [= 40.000.000δρχ</v>
      </c>
      <c r="C22" s="205">
        <f>'1-συμβολαια'!D22</f>
        <v>0</v>
      </c>
      <c r="D22" s="205">
        <f>'8-κ-15-17'!D22</f>
        <v>0</v>
      </c>
      <c r="E22" s="205">
        <f>'8-κ-15-17'!M22</f>
        <v>0</v>
      </c>
      <c r="F22" s="205">
        <f>'8-κ-15-17'!V22</f>
        <v>0</v>
      </c>
      <c r="G22" s="205">
        <f>'2-δικαιώμ'!J22</f>
        <v>22500</v>
      </c>
      <c r="H22" s="205">
        <f>'2-δικαιώμ'!K22</f>
        <v>5</v>
      </c>
      <c r="I22" s="205">
        <f>'2-δικαιώμ'!L22</f>
        <v>2255</v>
      </c>
      <c r="J22" s="205">
        <f>'2-δικαιώμ'!M22</f>
        <v>451</v>
      </c>
      <c r="M22" s="24"/>
      <c r="N22" s="24"/>
      <c r="O22" s="24"/>
      <c r="Q22" s="11"/>
      <c r="R22" s="11"/>
      <c r="S22" s="11"/>
      <c r="T22" s="11"/>
      <c r="V22" s="11">
        <f>'2-δικαιώμ'!J22+'2-δικαιώμ'!K22</f>
        <v>22505</v>
      </c>
      <c r="W22" s="11">
        <f>'2-δικαιώμ'!L22</f>
        <v>2255</v>
      </c>
      <c r="X22" s="11">
        <f>'2-δικαιώμ'!M22</f>
        <v>451</v>
      </c>
      <c r="Z22" s="11"/>
      <c r="AA22" s="11"/>
      <c r="AB22" s="11"/>
      <c r="AC22" s="11"/>
      <c r="AD22" s="11"/>
    </row>
    <row r="23" spans="1:30" s="17" customFormat="1">
      <c r="A23" s="205">
        <f>'1-συμβολαια'!A23</f>
        <v>0</v>
      </c>
      <c r="B23" s="114" t="str">
        <f>'1-συμβολαια'!C23</f>
        <v>πληρεξουσιότητα</v>
      </c>
      <c r="C23" s="205">
        <f>'1-συμβολαια'!D23</f>
        <v>0</v>
      </c>
      <c r="D23" s="205">
        <f>'8-κ-15-17'!D23</f>
        <v>0</v>
      </c>
      <c r="E23" s="205">
        <f>'8-κ-15-17'!M23</f>
        <v>0</v>
      </c>
      <c r="F23" s="205">
        <f>'8-κ-15-17'!V23</f>
        <v>0</v>
      </c>
      <c r="G23" s="205">
        <f>'2-δικαιώμ'!J23</f>
        <v>0</v>
      </c>
      <c r="H23" s="205">
        <f>'2-δικαιώμ'!K23</f>
        <v>50</v>
      </c>
      <c r="I23" s="205">
        <f>'2-δικαιώμ'!L23</f>
        <v>50</v>
      </c>
      <c r="J23" s="205">
        <f>'2-δικαιώμ'!M23</f>
        <v>10</v>
      </c>
      <c r="M23" s="24"/>
      <c r="N23" s="24"/>
      <c r="O23" s="24"/>
      <c r="Q23" s="11"/>
      <c r="R23" s="11"/>
      <c r="S23" s="11"/>
      <c r="T23" s="11"/>
      <c r="V23" s="11">
        <f>'2-δικαιώμ'!J23+'2-δικαιώμ'!K23</f>
        <v>50</v>
      </c>
      <c r="W23" s="11">
        <f>'2-δικαιώμ'!L23</f>
        <v>50</v>
      </c>
      <c r="X23" s="11">
        <f>'2-δικαιώμ'!M23</f>
        <v>10</v>
      </c>
      <c r="Z23" s="11"/>
      <c r="AA23" s="11"/>
      <c r="AB23" s="11"/>
      <c r="AC23" s="11"/>
      <c r="AD23" s="11"/>
    </row>
    <row r="24" spans="1:30" s="17" customFormat="1">
      <c r="A24" s="205" t="str">
        <f>'1-συμβολαια'!A24</f>
        <v>7ο</v>
      </c>
      <c r="B24" s="114" t="str">
        <f>'1-συμβολαια'!C24</f>
        <v>;;;??? υποθήκης ΕΞΑΛΕΙΨΗ</v>
      </c>
      <c r="C24" s="205">
        <f>'1-συμβολαια'!D24</f>
        <v>0</v>
      </c>
      <c r="D24" s="205">
        <f>'8-κ-15-17'!D24</f>
        <v>0</v>
      </c>
      <c r="E24" s="205">
        <f>'8-κ-15-17'!M24</f>
        <v>0</v>
      </c>
      <c r="F24" s="205">
        <f>'8-κ-15-17'!V24</f>
        <v>0</v>
      </c>
      <c r="G24" s="205">
        <f>'2-δικαιώμ'!J24</f>
        <v>0</v>
      </c>
      <c r="H24" s="205">
        <f>'2-δικαιώμ'!K24</f>
        <v>50</v>
      </c>
      <c r="I24" s="205">
        <f>'2-δικαιώμ'!L24</f>
        <v>50</v>
      </c>
      <c r="J24" s="205">
        <f>'2-δικαιώμ'!M24</f>
        <v>10</v>
      </c>
      <c r="M24" s="24"/>
      <c r="N24" s="24"/>
      <c r="O24" s="24"/>
      <c r="Q24" s="11"/>
      <c r="R24" s="11"/>
      <c r="S24" s="11"/>
      <c r="T24" s="11"/>
      <c r="V24" s="11">
        <f>'2-δικαιώμ'!J24+'2-δικαιώμ'!K24</f>
        <v>50</v>
      </c>
      <c r="W24" s="11">
        <f>'2-δικαιώμ'!L24</f>
        <v>50</v>
      </c>
      <c r="X24" s="11">
        <f>'2-δικαιώμ'!M24</f>
        <v>10</v>
      </c>
      <c r="Z24" s="11"/>
      <c r="AA24" s="11"/>
      <c r="AB24" s="11"/>
      <c r="AC24" s="11"/>
      <c r="AD24" s="11"/>
    </row>
    <row r="25" spans="1:30" s="17" customFormat="1">
      <c r="A25" s="205">
        <f>'1-συμβολαια'!A25</f>
        <v>0</v>
      </c>
      <c r="B25" s="114" t="str">
        <f>'1-συμβολαια'!C25</f>
        <v>υποθήκης 375τραπ29/7/82 ΕΞΑΛΕΙΨΗ</v>
      </c>
      <c r="C25" s="205">
        <f>'1-συμβολαια'!D25</f>
        <v>0</v>
      </c>
      <c r="D25" s="205">
        <f>'8-κ-15-17'!D25</f>
        <v>0</v>
      </c>
      <c r="E25" s="205">
        <f>'8-κ-15-17'!M25</f>
        <v>0</v>
      </c>
      <c r="F25" s="205">
        <f>'8-κ-15-17'!V25</f>
        <v>0</v>
      </c>
      <c r="G25" s="205">
        <f>'2-δικαιώμ'!J25</f>
        <v>0</v>
      </c>
      <c r="H25" s="205">
        <f>'2-δικαιώμ'!K25</f>
        <v>50</v>
      </c>
      <c r="I25" s="205">
        <f>'2-δικαιώμ'!L25</f>
        <v>50</v>
      </c>
      <c r="J25" s="205">
        <f>'2-δικαιώμ'!M25</f>
        <v>10</v>
      </c>
      <c r="M25" s="24"/>
      <c r="N25" s="24"/>
      <c r="O25" s="24"/>
      <c r="Q25" s="11"/>
      <c r="R25" s="11"/>
      <c r="S25" s="11"/>
      <c r="T25" s="11"/>
      <c r="V25" s="11">
        <f>'2-δικαιώμ'!J25+'2-δικαιώμ'!K25</f>
        <v>50</v>
      </c>
      <c r="W25" s="11">
        <f>'2-δικαιώμ'!L25</f>
        <v>50</v>
      </c>
      <c r="X25" s="11">
        <f>'2-δικαιώμ'!M25</f>
        <v>10</v>
      </c>
      <c r="Z25" s="11"/>
      <c r="AA25" s="11"/>
      <c r="AB25" s="11"/>
      <c r="AC25" s="11"/>
      <c r="AD25" s="11"/>
    </row>
    <row r="26" spans="1:30" s="17" customFormat="1">
      <c r="A26" s="205">
        <f>'1-συμβολαια'!A26</f>
        <v>0</v>
      </c>
      <c r="B26" s="114" t="str">
        <f>'1-συμβολαια'!C26</f>
        <v>δάνειο 375τραπ 9/7/82 ΕΞΟΦΛΗΣΗ</v>
      </c>
      <c r="C26" s="205">
        <f>'1-συμβολαια'!D26</f>
        <v>0</v>
      </c>
      <c r="D26" s="205">
        <f>'8-κ-15-17'!D26</f>
        <v>0</v>
      </c>
      <c r="E26" s="205">
        <f>'8-κ-15-17'!M26</f>
        <v>0</v>
      </c>
      <c r="F26" s="205">
        <f>'8-κ-15-17'!V26</f>
        <v>0</v>
      </c>
      <c r="G26" s="205">
        <f>'2-δικαιώμ'!J26</f>
        <v>0</v>
      </c>
      <c r="H26" s="205">
        <f>'2-δικαιώμ'!K26</f>
        <v>50</v>
      </c>
      <c r="I26" s="205">
        <f>'2-δικαιώμ'!L26</f>
        <v>50</v>
      </c>
      <c r="J26" s="205">
        <f>'2-δικαιώμ'!M26</f>
        <v>10</v>
      </c>
      <c r="M26" s="24"/>
      <c r="N26" s="24"/>
      <c r="O26" s="24"/>
      <c r="Q26" s="11"/>
      <c r="R26" s="11"/>
      <c r="S26" s="11"/>
      <c r="T26" s="11"/>
      <c r="V26" s="11">
        <f>'2-δικαιώμ'!J26+'2-δικαιώμ'!K26</f>
        <v>50</v>
      </c>
      <c r="W26" s="11">
        <f>'2-δικαιώμ'!L26</f>
        <v>50</v>
      </c>
      <c r="X26" s="11">
        <f>'2-δικαιώμ'!M26</f>
        <v>10</v>
      </c>
      <c r="Z26" s="11"/>
      <c r="AA26" s="11"/>
      <c r="AB26" s="11"/>
      <c r="AC26" s="11"/>
      <c r="AD26" s="11"/>
    </row>
    <row r="27" spans="1:30" s="17" customFormat="1">
      <c r="A27" s="205">
        <f>'1-συμβολαια'!A27</f>
        <v>0</v>
      </c>
      <c r="B27" s="114" t="str">
        <f>'1-συμβολαια'!C27</f>
        <v>τόκοι δανείου 375τραπ {= προπληρωθέντες VS υπερΠληρωθέντες</v>
      </c>
      <c r="C27" s="205">
        <f>'1-συμβολαια'!D27</f>
        <v>1111111</v>
      </c>
      <c r="D27" s="205">
        <f>'8-κ-15-17'!D27</f>
        <v>14444.443000000001</v>
      </c>
      <c r="E27" s="205">
        <f>'8-κ-15-17'!M27</f>
        <v>0</v>
      </c>
      <c r="F27" s="205">
        <f>'8-κ-15-17'!V27</f>
        <v>0</v>
      </c>
      <c r="G27" s="205">
        <f>'2-δικαιώμ'!J27</f>
        <v>1249.899885</v>
      </c>
      <c r="H27" s="205">
        <f>'2-δικαιώμ'!K27</f>
        <v>20</v>
      </c>
      <c r="I27" s="205">
        <f>'2-δικαιώμ'!L27</f>
        <v>714.388825</v>
      </c>
      <c r="J27" s="205">
        <f>'2-δικαιώμ'!M27</f>
        <v>142.87776500000001</v>
      </c>
      <c r="M27" s="24"/>
      <c r="N27" s="24"/>
      <c r="O27" s="24"/>
      <c r="Q27" s="11"/>
      <c r="R27" s="11"/>
      <c r="S27" s="11"/>
      <c r="T27" s="11"/>
      <c r="V27" s="11">
        <f>'2-δικαιώμ'!J27+'2-δικαιώμ'!K27</f>
        <v>1269.899885</v>
      </c>
      <c r="W27" s="11">
        <f>'2-δικαιώμ'!L27</f>
        <v>714.388825</v>
      </c>
      <c r="X27" s="11">
        <f>'2-δικαιώμ'!M27</f>
        <v>142.87776500000001</v>
      </c>
      <c r="Z27" s="11"/>
      <c r="AA27" s="11"/>
      <c r="AB27" s="11"/>
      <c r="AC27" s="11"/>
      <c r="AD27" s="11"/>
    </row>
    <row r="28" spans="1:30" s="17" customFormat="1">
      <c r="A28" s="205">
        <f>'1-συμβολαια'!A28</f>
        <v>0</v>
      </c>
      <c r="B28" s="114" t="str">
        <f>'1-συμβολαια'!C28</f>
        <v>υποθήκης 389τραπ29/7/82 ΕΞΑΛΕΙΨΗ</v>
      </c>
      <c r="C28" s="205">
        <f>'1-συμβολαια'!D28</f>
        <v>0</v>
      </c>
      <c r="D28" s="205">
        <f>'8-κ-15-17'!D28</f>
        <v>0</v>
      </c>
      <c r="E28" s="205">
        <f>'8-κ-15-17'!M28</f>
        <v>0</v>
      </c>
      <c r="F28" s="205">
        <f>'8-κ-15-17'!V28</f>
        <v>0</v>
      </c>
      <c r="G28" s="205">
        <f>'2-δικαιώμ'!J28</f>
        <v>0</v>
      </c>
      <c r="H28" s="205">
        <f>'2-δικαιώμ'!K28</f>
        <v>50</v>
      </c>
      <c r="I28" s="205">
        <f>'2-δικαιώμ'!L28</f>
        <v>50</v>
      </c>
      <c r="J28" s="205">
        <f>'2-δικαιώμ'!M28</f>
        <v>10</v>
      </c>
      <c r="M28" s="24"/>
      <c r="N28" s="24"/>
      <c r="O28" s="24"/>
      <c r="Q28" s="11"/>
      <c r="R28" s="11"/>
      <c r="S28" s="11"/>
      <c r="T28" s="11"/>
      <c r="V28" s="11">
        <f>'2-δικαιώμ'!J28+'2-δικαιώμ'!K28</f>
        <v>50</v>
      </c>
      <c r="W28" s="11">
        <f>'2-δικαιώμ'!L28</f>
        <v>50</v>
      </c>
      <c r="X28" s="11">
        <f>'2-δικαιώμ'!M28</f>
        <v>10</v>
      </c>
      <c r="Z28" s="11"/>
      <c r="AA28" s="11"/>
      <c r="AB28" s="11"/>
      <c r="AC28" s="11"/>
      <c r="AD28" s="11"/>
    </row>
    <row r="29" spans="1:30" s="17" customFormat="1">
      <c r="A29" s="205">
        <f>'1-συμβολαια'!A29</f>
        <v>0</v>
      </c>
      <c r="B29" s="114" t="str">
        <f>'1-συμβολαια'!C29</f>
        <v>δάνειο 389τραπ29/7/82 ΕΞΟΦΛΗΣΗ</v>
      </c>
      <c r="C29" s="205">
        <f>'1-συμβολαια'!D29</f>
        <v>0</v>
      </c>
      <c r="D29" s="205">
        <f>'8-κ-15-17'!D29</f>
        <v>0</v>
      </c>
      <c r="E29" s="205">
        <f>'8-κ-15-17'!M29</f>
        <v>0</v>
      </c>
      <c r="F29" s="205">
        <f>'8-κ-15-17'!V29</f>
        <v>0</v>
      </c>
      <c r="G29" s="205">
        <f>'2-δικαιώμ'!J29</f>
        <v>0</v>
      </c>
      <c r="H29" s="205">
        <f>'2-δικαιώμ'!K29</f>
        <v>50</v>
      </c>
      <c r="I29" s="205">
        <f>'2-δικαιώμ'!L29</f>
        <v>50</v>
      </c>
      <c r="J29" s="205">
        <f>'2-δικαιώμ'!M29</f>
        <v>10</v>
      </c>
      <c r="M29" s="24"/>
      <c r="N29" s="24"/>
      <c r="O29" s="24"/>
      <c r="Q29" s="11"/>
      <c r="R29" s="11"/>
      <c r="S29" s="11"/>
      <c r="T29" s="11"/>
      <c r="V29" s="11">
        <f>'2-δικαιώμ'!J29+'2-δικαιώμ'!K29</f>
        <v>50</v>
      </c>
      <c r="W29" s="11">
        <f>'2-δικαιώμ'!L29</f>
        <v>50</v>
      </c>
      <c r="X29" s="11">
        <f>'2-δικαιώμ'!M29</f>
        <v>10</v>
      </c>
      <c r="Z29" s="11"/>
      <c r="AA29" s="11"/>
      <c r="AB29" s="11"/>
      <c r="AC29" s="11"/>
      <c r="AD29" s="11"/>
    </row>
    <row r="30" spans="1:30" s="17" customFormat="1">
      <c r="A30" s="205">
        <f>'1-συμβολαια'!A30</f>
        <v>0</v>
      </c>
      <c r="B30" s="114" t="str">
        <f>'1-συμβολαια'!C30</f>
        <v>τόκοι δανείου 389τραπ {= προπληρωθέντες VS υπερΠληρωθέντες</v>
      </c>
      <c r="C30" s="205">
        <f>'1-συμβολαια'!D30</f>
        <v>2222222</v>
      </c>
      <c r="D30" s="205">
        <f>'8-κ-15-17'!D30</f>
        <v>28888.886000000002</v>
      </c>
      <c r="E30" s="205">
        <f>'8-κ-15-17'!M30</f>
        <v>0</v>
      </c>
      <c r="F30" s="205">
        <f>'8-κ-15-17'!V30</f>
        <v>0</v>
      </c>
      <c r="G30" s="205">
        <f>'2-δικαιώμ'!J30</f>
        <v>2399.89977</v>
      </c>
      <c r="H30" s="205">
        <f>'2-δικαιώμ'!K30</f>
        <v>20</v>
      </c>
      <c r="I30" s="205">
        <f>'2-δικαιώμ'!L30</f>
        <v>1353.27765</v>
      </c>
      <c r="J30" s="205">
        <f>'2-δικαιώμ'!M30</f>
        <v>270.65553</v>
      </c>
      <c r="M30" s="24"/>
      <c r="N30" s="24"/>
      <c r="O30" s="24"/>
      <c r="Q30" s="11"/>
      <c r="R30" s="11"/>
      <c r="S30" s="11"/>
      <c r="T30" s="11"/>
      <c r="V30" s="11">
        <f>'2-δικαιώμ'!J30+'2-δικαιώμ'!K30</f>
        <v>2419.89977</v>
      </c>
      <c r="W30" s="11">
        <f>'2-δικαιώμ'!L30</f>
        <v>1353.27765</v>
      </c>
      <c r="X30" s="11">
        <f>'2-δικαιώμ'!M30</f>
        <v>270.65553</v>
      </c>
      <c r="Z30" s="11"/>
      <c r="AA30" s="11"/>
      <c r="AB30" s="11"/>
      <c r="AC30" s="11"/>
      <c r="AD30" s="11"/>
    </row>
    <row r="31" spans="1:30" s="17" customFormat="1">
      <c r="A31" s="205" t="str">
        <f>'1-συμβολαια'!A31</f>
        <v>8ο</v>
      </c>
      <c r="B31" s="114" t="str">
        <f>'1-συμβολαια'!C31</f>
        <v>μίσθωσης νταμάρι …. ΠΑΡΑΤΑΣΗ 3έτη</v>
      </c>
      <c r="C31" s="205">
        <f>'1-συμβολαια'!D31</f>
        <v>966657</v>
      </c>
      <c r="D31" s="205">
        <f>'8-κ-15-17'!D31</f>
        <v>12566.541000000001</v>
      </c>
      <c r="E31" s="205">
        <f>'8-κ-15-17'!M31</f>
        <v>0</v>
      </c>
      <c r="F31" s="205">
        <f>'8-κ-15-17'!V31</f>
        <v>0</v>
      </c>
      <c r="G31" s="205">
        <f>'2-δικαιώμ'!J31</f>
        <v>1100.389995</v>
      </c>
      <c r="H31" s="205">
        <f>'2-δικαιώμ'!K31</f>
        <v>20</v>
      </c>
      <c r="I31" s="205">
        <f>'2-δικαιώμ'!L31</f>
        <v>631.32777500000009</v>
      </c>
      <c r="J31" s="205">
        <f>'2-δικαιώμ'!M31</f>
        <v>126.26555500000001</v>
      </c>
      <c r="M31" s="24"/>
      <c r="N31" s="24"/>
      <c r="O31" s="24"/>
      <c r="Q31" s="11"/>
      <c r="R31" s="11"/>
      <c r="S31" s="11"/>
      <c r="T31" s="11"/>
      <c r="V31" s="11">
        <f>'2-δικαιώμ'!J31+'2-δικαιώμ'!K31</f>
        <v>1120.389995</v>
      </c>
      <c r="W31" s="11">
        <f>'2-δικαιώμ'!L31</f>
        <v>631.32777500000009</v>
      </c>
      <c r="X31" s="11">
        <f>'2-δικαιώμ'!M31</f>
        <v>126.26555500000001</v>
      </c>
      <c r="Z31" s="11"/>
      <c r="AA31" s="11"/>
      <c r="AB31" s="11"/>
      <c r="AC31" s="11"/>
      <c r="AD31" s="11"/>
    </row>
    <row r="32" spans="1:30" s="17" customFormat="1">
      <c r="A32" s="205">
        <f>'1-συμβολαια'!A32</f>
        <v>0</v>
      </c>
      <c r="B32" s="114" t="str">
        <f>'1-συμβολαια'!C32</f>
        <v>ΧΑΟΣ= κλείσιμο &amp; εκ ΝΕΟΥ</v>
      </c>
      <c r="C32" s="205">
        <f>'1-συμβολαια'!D32</f>
        <v>0</v>
      </c>
      <c r="D32" s="205">
        <f>'8-κ-15-17'!D32</f>
        <v>0</v>
      </c>
      <c r="E32" s="205">
        <f>'8-κ-15-17'!M32</f>
        <v>0</v>
      </c>
      <c r="F32" s="205">
        <f>'8-κ-15-17'!V32</f>
        <v>0</v>
      </c>
      <c r="G32" s="205">
        <f>'2-δικαιώμ'!J32</f>
        <v>0</v>
      </c>
      <c r="H32" s="205">
        <f>'2-δικαιώμ'!K32</f>
        <v>0</v>
      </c>
      <c r="I32" s="205">
        <f>'2-δικαιώμ'!L32</f>
        <v>0</v>
      </c>
      <c r="J32" s="205">
        <f>'2-δικαιώμ'!M32</f>
        <v>0</v>
      </c>
      <c r="M32" s="24"/>
      <c r="N32" s="24"/>
      <c r="O32" s="24"/>
      <c r="Q32" s="11"/>
      <c r="R32" s="11"/>
      <c r="S32" s="11"/>
      <c r="T32" s="11"/>
      <c r="V32" s="11">
        <f>'2-δικαιώμ'!J32+'2-δικαιώμ'!K32</f>
        <v>0</v>
      </c>
      <c r="W32" s="11">
        <f>'2-δικαιώμ'!L32</f>
        <v>0</v>
      </c>
      <c r="X32" s="11">
        <f>'2-δικαιώμ'!M32</f>
        <v>0</v>
      </c>
      <c r="Z32" s="11"/>
      <c r="AA32" s="11"/>
      <c r="AB32" s="11"/>
      <c r="AC32" s="11"/>
      <c r="AD32" s="11"/>
    </row>
    <row r="33" spans="1:30" s="17" customFormat="1">
      <c r="A33" s="205" t="str">
        <f>'1-συμβολαια'!A33</f>
        <v>9ο</v>
      </c>
      <c r="B33" s="114" t="str">
        <f>'1-συμβολαια'!C33</f>
        <v xml:space="preserve">υποθήκη </v>
      </c>
      <c r="C33" s="205">
        <f>'1-συμβολαια'!D33</f>
        <v>100000</v>
      </c>
      <c r="D33" s="205">
        <f>'8-κ-15-17'!D33</f>
        <v>1300.0000000000002</v>
      </c>
      <c r="E33" s="205">
        <f>'8-κ-15-17'!M33</f>
        <v>0</v>
      </c>
      <c r="F33" s="205">
        <f>'8-κ-15-17'!V33</f>
        <v>0</v>
      </c>
      <c r="G33" s="205">
        <f>'2-δικαιώμ'!J33</f>
        <v>203.4</v>
      </c>
      <c r="H33" s="205">
        <f>'2-δικαιώμ'!K33</f>
        <v>20</v>
      </c>
      <c r="I33" s="205">
        <f>'2-δικαιώμ'!L33</f>
        <v>133</v>
      </c>
      <c r="J33" s="205">
        <f>'2-δικαιώμ'!M33</f>
        <v>26.6</v>
      </c>
      <c r="M33" s="24"/>
      <c r="N33" s="24"/>
      <c r="O33" s="24"/>
      <c r="Q33" s="11"/>
      <c r="R33" s="11"/>
      <c r="S33" s="11"/>
      <c r="T33" s="11"/>
      <c r="V33" s="11">
        <f>'2-δικαιώμ'!J33+'2-δικαιώμ'!K33</f>
        <v>223.4</v>
      </c>
      <c r="W33" s="11">
        <f>'2-δικαιώμ'!L33</f>
        <v>133</v>
      </c>
      <c r="X33" s="11">
        <f>'2-δικαιώμ'!M33</f>
        <v>26.6</v>
      </c>
      <c r="Z33" s="11"/>
      <c r="AA33" s="11"/>
      <c r="AB33" s="11"/>
      <c r="AC33" s="11"/>
      <c r="AD33" s="11"/>
    </row>
    <row r="34" spans="1:30" s="17" customFormat="1">
      <c r="A34" s="205" t="str">
        <f>'1-συμβολαια'!A34</f>
        <v>794-1-2-3τραπ</v>
      </c>
      <c r="B34" s="114" t="str">
        <f>'1-συμβολαια'!C34</f>
        <v>υποθήκες δανείων [7/8/89-25/1/1991-8/3/1991-22/11/1991</v>
      </c>
      <c r="C34" s="205">
        <f>'1-συμβολαια'!D34</f>
        <v>73333333</v>
      </c>
      <c r="D34" s="205">
        <f>'8-κ-15-17'!D34</f>
        <v>953333.32900000003</v>
      </c>
      <c r="E34" s="205">
        <f>'8-κ-15-17'!M34</f>
        <v>0</v>
      </c>
      <c r="F34" s="205">
        <f>'8-κ-15-17'!V34</f>
        <v>0</v>
      </c>
      <c r="G34" s="205">
        <f>'2-δικαιώμ'!J34</f>
        <v>75999.899655000001</v>
      </c>
      <c r="H34" s="205">
        <f>'2-δικαιώμ'!K34</f>
        <v>20</v>
      </c>
      <c r="I34" s="205">
        <f>'2-δικαιώμ'!L34</f>
        <v>42242.166475000005</v>
      </c>
      <c r="J34" s="205">
        <f>'2-δικαιώμ'!M34</f>
        <v>8448.4332950000007</v>
      </c>
      <c r="M34" s="24"/>
      <c r="N34" s="24"/>
      <c r="O34" s="24"/>
      <c r="Q34" s="11"/>
      <c r="R34" s="11"/>
      <c r="S34" s="11"/>
      <c r="T34" s="11"/>
      <c r="V34" s="11">
        <f>'2-δικαιώμ'!J34+'2-δικαιώμ'!K34</f>
        <v>76019.899655000001</v>
      </c>
      <c r="W34" s="11">
        <f>'2-δικαιώμ'!L34</f>
        <v>42242.166475000005</v>
      </c>
      <c r="X34" s="11">
        <f>'2-δικαιώμ'!M34</f>
        <v>8448.4332950000007</v>
      </c>
      <c r="Z34" s="11"/>
      <c r="AA34" s="11"/>
      <c r="AB34" s="11"/>
      <c r="AC34" s="11"/>
      <c r="AD34" s="11"/>
    </row>
    <row r="35" spans="1:30" s="17" customFormat="1">
      <c r="A35" s="205">
        <f>'1-συμβολαια'!A35</f>
        <v>0</v>
      </c>
      <c r="B35" s="114" t="str">
        <f>'1-συμβολαια'!C35</f>
        <v>δάνεια ανωτέρω υποθηκών</v>
      </c>
      <c r="C35" s="205">
        <f>'1-συμβολαια'!D35</f>
        <v>61000000</v>
      </c>
      <c r="D35" s="205">
        <f>'8-κ-15-17'!D35</f>
        <v>793000.00000000012</v>
      </c>
      <c r="E35" s="205">
        <f>'8-κ-15-17'!M35</f>
        <v>0</v>
      </c>
      <c r="F35" s="205">
        <f>'8-κ-15-17'!V35</f>
        <v>0</v>
      </c>
      <c r="G35" s="205">
        <f>'2-δικαιώμ'!J35</f>
        <v>63234.899999999994</v>
      </c>
      <c r="H35" s="205">
        <f>'2-δικαιώμ'!K35</f>
        <v>20</v>
      </c>
      <c r="I35" s="205">
        <f>'2-δικαιώμ'!L35</f>
        <v>35150.5</v>
      </c>
      <c r="J35" s="205">
        <f>'2-δικαιώμ'!M35</f>
        <v>7030.1</v>
      </c>
      <c r="M35" s="24"/>
      <c r="N35" s="24"/>
      <c r="O35" s="24"/>
      <c r="Q35" s="11"/>
      <c r="R35" s="11"/>
      <c r="S35" s="11"/>
      <c r="T35" s="11"/>
      <c r="V35" s="11">
        <f>'2-δικαιώμ'!J35+'2-δικαιώμ'!K35</f>
        <v>63254.899999999994</v>
      </c>
      <c r="W35" s="11">
        <f>'2-δικαιώμ'!L35</f>
        <v>35150.5</v>
      </c>
      <c r="X35" s="11">
        <f>'2-δικαιώμ'!M35</f>
        <v>7030.1</v>
      </c>
      <c r="Z35" s="11"/>
      <c r="AA35" s="11"/>
      <c r="AB35" s="11"/>
      <c r="AC35" s="11"/>
      <c r="AD35" s="11"/>
    </row>
    <row r="36" spans="1:30" s="17" customFormat="1">
      <c r="A36" s="205">
        <f>'1-συμβολαια'!A36</f>
        <v>0</v>
      </c>
      <c r="B36" s="114" t="str">
        <f>'1-συμβολαια'!C36</f>
        <v>τόκοι  ανωτέρω δανείων προπληρωθέντες</v>
      </c>
      <c r="C36" s="205">
        <f>'1-συμβολαια'!D36</f>
        <v>133333333</v>
      </c>
      <c r="D36" s="205">
        <f>'8-κ-15-17'!D36</f>
        <v>1733333.3290000001</v>
      </c>
      <c r="E36" s="205">
        <f>'8-κ-15-17'!M36</f>
        <v>0</v>
      </c>
      <c r="F36" s="205">
        <f>'8-κ-15-17'!V36</f>
        <v>0</v>
      </c>
      <c r="G36" s="205">
        <f>'2-δικαιώμ'!J36</f>
        <v>138099.89965499999</v>
      </c>
      <c r="H36" s="205">
        <f>'2-δικαιώμ'!K36</f>
        <v>20</v>
      </c>
      <c r="I36" s="205">
        <f>'2-δικαιώμ'!L36</f>
        <v>76742.166475000005</v>
      </c>
      <c r="J36" s="205">
        <f>'2-δικαιώμ'!M36</f>
        <v>15348.433295000001</v>
      </c>
      <c r="M36" s="24"/>
      <c r="N36" s="24"/>
      <c r="O36" s="24"/>
      <c r="Q36" s="11"/>
      <c r="R36" s="11"/>
      <c r="S36" s="11"/>
      <c r="T36" s="11"/>
      <c r="V36" s="11">
        <f>'2-δικαιώμ'!J36+'2-δικαιώμ'!K36</f>
        <v>138119.89965499999</v>
      </c>
      <c r="W36" s="11">
        <f>'2-δικαιώμ'!L36</f>
        <v>76742.166475000005</v>
      </c>
      <c r="X36" s="11">
        <f>'2-δικαιώμ'!M36</f>
        <v>15348.433295000001</v>
      </c>
      <c r="Z36" s="11"/>
      <c r="AA36" s="11"/>
      <c r="AB36" s="11"/>
      <c r="AC36" s="11"/>
      <c r="AD36" s="11"/>
    </row>
    <row r="37" spans="1:30" s="17" customFormat="1">
      <c r="A37" s="205" t="str">
        <f>'1-συμβολαια'!A37</f>
        <v>10ο</v>
      </c>
      <c r="B37" s="114" t="str">
        <f>'1-συμβολαια'!C37</f>
        <v>υποθήκη  τοιχόν τόκων</v>
      </c>
      <c r="C37" s="205">
        <f>'1-συμβολαια'!D37</f>
        <v>100000</v>
      </c>
      <c r="D37" s="205">
        <f>'8-κ-15-17'!D37</f>
        <v>1300.0000000000002</v>
      </c>
      <c r="E37" s="205">
        <f>'8-κ-15-17'!M37</f>
        <v>0</v>
      </c>
      <c r="F37" s="205">
        <f>'8-κ-15-17'!V37</f>
        <v>0</v>
      </c>
      <c r="G37" s="205">
        <f>'2-δικαιώμ'!J37</f>
        <v>367.2</v>
      </c>
      <c r="H37" s="205">
        <f>'2-δικαιώμ'!K37</f>
        <v>40</v>
      </c>
      <c r="I37" s="205">
        <f>'2-δικαιώμ'!L37</f>
        <v>244</v>
      </c>
      <c r="J37" s="205">
        <f>'2-δικαιώμ'!M37</f>
        <v>48.800000000000004</v>
      </c>
      <c r="M37" s="24"/>
      <c r="N37" s="24"/>
      <c r="O37" s="24"/>
      <c r="Q37" s="11"/>
      <c r="R37" s="11"/>
      <c r="S37" s="11"/>
      <c r="T37" s="11"/>
      <c r="V37" s="11">
        <f>'2-δικαιώμ'!J37+'2-δικαιώμ'!K37</f>
        <v>407.2</v>
      </c>
      <c r="W37" s="11">
        <f>'2-δικαιώμ'!L37</f>
        <v>244</v>
      </c>
      <c r="X37" s="11">
        <f>'2-δικαιώμ'!M37</f>
        <v>48.800000000000004</v>
      </c>
      <c r="Z37" s="11"/>
      <c r="AA37" s="11"/>
      <c r="AB37" s="11"/>
      <c r="AC37" s="11"/>
      <c r="AD37" s="11"/>
    </row>
    <row r="38" spans="1:30" s="17" customFormat="1">
      <c r="A38" s="205" t="str">
        <f>'1-συμβολαια'!A38</f>
        <v>794-4-5τραπ</v>
      </c>
      <c r="B38" s="114" t="str">
        <f>'1-συμβολαια'!C38</f>
        <v>υποθήκες δανείων [27/08/1992-30/10/1992</v>
      </c>
      <c r="C38" s="205">
        <f>'1-συμβολαια'!D38</f>
        <v>32555555</v>
      </c>
      <c r="D38" s="205">
        <f>'8-κ-15-17'!D38</f>
        <v>423222.21500000003</v>
      </c>
      <c r="E38" s="205">
        <f>'8-κ-15-17'!M38</f>
        <v>0</v>
      </c>
      <c r="F38" s="205">
        <f>'8-κ-15-17'!V38</f>
        <v>0</v>
      </c>
      <c r="G38" s="205">
        <f>'2-δικαιώμ'!J38</f>
        <v>35419.199400000005</v>
      </c>
      <c r="H38" s="205">
        <f>'2-δικαιώμ'!K38</f>
        <v>40</v>
      </c>
      <c r="I38" s="205">
        <f>'2-δικαιώμ'!L38</f>
        <v>19717.333000000002</v>
      </c>
      <c r="J38" s="205">
        <f>'2-δικαιώμ'!M38</f>
        <v>3943.4666000000002</v>
      </c>
      <c r="M38" s="24"/>
      <c r="N38" s="24"/>
      <c r="O38" s="24"/>
      <c r="Q38" s="11"/>
      <c r="R38" s="11"/>
      <c r="S38" s="11"/>
      <c r="T38" s="11"/>
      <c r="V38" s="11">
        <f>'2-δικαιώμ'!J38+'2-δικαιώμ'!K38</f>
        <v>35459.199400000005</v>
      </c>
      <c r="W38" s="11">
        <f>'2-δικαιώμ'!L38</f>
        <v>19717.333000000002</v>
      </c>
      <c r="X38" s="11">
        <f>'2-δικαιώμ'!M38</f>
        <v>3943.4666000000002</v>
      </c>
      <c r="Z38" s="11"/>
      <c r="AA38" s="11"/>
      <c r="AB38" s="11"/>
      <c r="AC38" s="11"/>
      <c r="AD38" s="11"/>
    </row>
    <row r="39" spans="1:30" s="17" customFormat="1">
      <c r="A39" s="205">
        <f>'1-συμβολαια'!A39</f>
        <v>0</v>
      </c>
      <c r="B39" s="114" t="str">
        <f>'1-συμβολαια'!C39</f>
        <v>δάνεια ανωτέρω υποθηκών</v>
      </c>
      <c r="C39" s="205">
        <f>'1-συμβολαια'!D39</f>
        <v>27000000</v>
      </c>
      <c r="D39" s="205">
        <f>'8-κ-15-17'!D39</f>
        <v>351000.00000000006</v>
      </c>
      <c r="E39" s="205">
        <f>'8-κ-15-17'!M39</f>
        <v>0</v>
      </c>
      <c r="F39" s="205">
        <f>'8-κ-15-17'!V39</f>
        <v>0</v>
      </c>
      <c r="G39" s="205">
        <f>'2-δικαιώμ'!J39</f>
        <v>29419.200000000001</v>
      </c>
      <c r="H39" s="205">
        <f>'2-δικαιώμ'!K39</f>
        <v>40</v>
      </c>
      <c r="I39" s="205">
        <f>'2-δικαιώμ'!L39</f>
        <v>16384</v>
      </c>
      <c r="J39" s="205">
        <f>'2-δικαιώμ'!M39</f>
        <v>3276.8</v>
      </c>
      <c r="M39" s="24"/>
      <c r="N39" s="24"/>
      <c r="O39" s="24"/>
      <c r="Q39" s="11"/>
      <c r="R39" s="11"/>
      <c r="S39" s="11"/>
      <c r="T39" s="11"/>
      <c r="V39" s="11">
        <f>'2-δικαιώμ'!J39+'2-δικαιώμ'!K39</f>
        <v>29459.200000000001</v>
      </c>
      <c r="W39" s="11">
        <f>'2-δικαιώμ'!L39</f>
        <v>16384</v>
      </c>
      <c r="X39" s="11">
        <f>'2-δικαιώμ'!M39</f>
        <v>3276.8</v>
      </c>
      <c r="Z39" s="11"/>
      <c r="AA39" s="11"/>
      <c r="AB39" s="11"/>
      <c r="AC39" s="11"/>
      <c r="AD39" s="11"/>
    </row>
    <row r="40" spans="1:30" s="17" customFormat="1">
      <c r="A40" s="205">
        <f>'1-συμβολαια'!A40</f>
        <v>0</v>
      </c>
      <c r="B40" s="114" t="str">
        <f>'1-συμβολαια'!C40</f>
        <v>τόκοι  ανωτέρω δανείων προπληρωθέντες</v>
      </c>
      <c r="C40" s="205">
        <f>'1-συμβολαια'!D40</f>
        <v>55555555</v>
      </c>
      <c r="D40" s="205">
        <f>'8-κ-15-17'!D40</f>
        <v>722222.21500000008</v>
      </c>
      <c r="E40" s="205">
        <f>'8-κ-15-17'!M40</f>
        <v>0</v>
      </c>
      <c r="F40" s="205">
        <f>'8-κ-15-17'!V40</f>
        <v>0</v>
      </c>
      <c r="G40" s="205">
        <f>'2-δικαιώμ'!J40</f>
        <v>60259.199399999998</v>
      </c>
      <c r="H40" s="205">
        <f>'2-δικαιώμ'!K40</f>
        <v>40</v>
      </c>
      <c r="I40" s="205">
        <f>'2-δικαιώμ'!L40</f>
        <v>33517.333000000006</v>
      </c>
      <c r="J40" s="205">
        <f>'2-δικαιώμ'!M40</f>
        <v>6703.4666000000007</v>
      </c>
      <c r="M40" s="24"/>
      <c r="N40" s="24"/>
      <c r="O40" s="24"/>
      <c r="Q40" s="11"/>
      <c r="R40" s="11"/>
      <c r="S40" s="11"/>
      <c r="T40" s="11"/>
      <c r="V40" s="11">
        <f>'2-δικαιώμ'!J40+'2-δικαιώμ'!K40</f>
        <v>60299.199399999998</v>
      </c>
      <c r="W40" s="11">
        <f>'2-δικαιώμ'!L40</f>
        <v>33517.333000000006</v>
      </c>
      <c r="X40" s="11">
        <f>'2-δικαιώμ'!M40</f>
        <v>6703.4666000000007</v>
      </c>
      <c r="Z40" s="11"/>
      <c r="AA40" s="11"/>
      <c r="AB40" s="11"/>
      <c r="AC40" s="11"/>
      <c r="AD40" s="11"/>
    </row>
    <row r="41" spans="1:30" s="17" customFormat="1">
      <c r="A41" s="205" t="str">
        <f>'1-συμβολαια'!A41</f>
        <v>11ο</v>
      </c>
      <c r="B41" s="114" t="str">
        <f>'1-συμβολαια'!C41</f>
        <v>μίσθωσις νταμάρι  Λιμένας -'';;;???'' 24,526στρ 3έτη [8000/έτος/στρ</v>
      </c>
      <c r="C41" s="205">
        <f>'1-συμβολαια'!D41</f>
        <v>588624</v>
      </c>
      <c r="D41" s="205">
        <f>'8-κ-15-17'!D41</f>
        <v>7652.112000000001</v>
      </c>
      <c r="E41" s="205">
        <f>'8-κ-15-17'!M41</f>
        <v>0</v>
      </c>
      <c r="F41" s="205">
        <f>'8-κ-15-17'!V41</f>
        <v>0</v>
      </c>
      <c r="G41" s="205">
        <f>'2-δικαιώμ'!J41</f>
        <v>894.91392000000008</v>
      </c>
      <c r="H41" s="205">
        <f>'2-δικαιώμ'!K41</f>
        <v>40</v>
      </c>
      <c r="I41" s="205">
        <f>'2-δικαιώμ'!L41</f>
        <v>537.17440000000011</v>
      </c>
      <c r="J41" s="205">
        <f>'2-δικαιώμ'!M41</f>
        <v>107.43488000000002</v>
      </c>
      <c r="M41" s="24"/>
      <c r="N41" s="24"/>
      <c r="O41" s="24"/>
      <c r="Q41" s="11"/>
      <c r="R41" s="11"/>
      <c r="S41" s="11"/>
      <c r="T41" s="11"/>
      <c r="V41" s="11">
        <f>'2-δικαιώμ'!J41+'2-δικαιώμ'!K41</f>
        <v>934.91392000000008</v>
      </c>
      <c r="W41" s="11">
        <f>'2-δικαιώμ'!L41</f>
        <v>537.17440000000011</v>
      </c>
      <c r="X41" s="11">
        <f>'2-δικαιώμ'!M41</f>
        <v>107.43488000000002</v>
      </c>
      <c r="Z41" s="11"/>
      <c r="AA41" s="11"/>
      <c r="AB41" s="11"/>
      <c r="AC41" s="11"/>
      <c r="AD41" s="11"/>
    </row>
    <row r="42" spans="1:30" s="17" customFormat="1">
      <c r="A42" s="205">
        <f>'1-συμβολαια'!A42</f>
        <v>0</v>
      </c>
      <c r="B42" s="114" t="str">
        <f>'1-συμβολαια'!C42</f>
        <v>μίσθωση … ΚΤΙΡΙΑΚΑ &amp; τεχνικές εγκαταστάσεις &amp; ΚΛΠ</v>
      </c>
      <c r="C42" s="205">
        <f>'1-συμβολαια'!D42</f>
        <v>50000000</v>
      </c>
      <c r="D42" s="205">
        <f>'8-κ-15-17'!D42</f>
        <v>650000</v>
      </c>
      <c r="E42" s="205">
        <f>'8-κ-15-17'!M42</f>
        <v>0</v>
      </c>
      <c r="F42" s="205">
        <f>'8-κ-15-17'!V42</f>
        <v>0</v>
      </c>
      <c r="G42" s="205">
        <f>'2-δικαιώμ'!J42</f>
        <v>54259.199999999997</v>
      </c>
      <c r="H42" s="205">
        <f>'2-δικαιώμ'!K42</f>
        <v>40</v>
      </c>
      <c r="I42" s="205">
        <f>'2-δικαιώμ'!L42</f>
        <v>30184</v>
      </c>
      <c r="J42" s="205">
        <f>'2-δικαιώμ'!M42</f>
        <v>6036.8</v>
      </c>
      <c r="M42" s="24"/>
      <c r="N42" s="24"/>
      <c r="O42" s="24"/>
      <c r="Q42" s="11"/>
      <c r="R42" s="11"/>
      <c r="S42" s="11"/>
      <c r="T42" s="11"/>
      <c r="V42" s="11">
        <f>'2-δικαιώμ'!J42+'2-δικαιώμ'!K42</f>
        <v>54299.199999999997</v>
      </c>
      <c r="W42" s="11">
        <f>'2-δικαιώμ'!L42</f>
        <v>30184</v>
      </c>
      <c r="X42" s="11">
        <f>'2-δικαιώμ'!M42</f>
        <v>6036.8</v>
      </c>
      <c r="Z42" s="11"/>
      <c r="AA42" s="11"/>
      <c r="AB42" s="11"/>
      <c r="AC42" s="11"/>
      <c r="AD42" s="11"/>
    </row>
    <row r="43" spans="1:30" s="17" customFormat="1">
      <c r="A43" s="205">
        <f>'1-συμβολαια'!A43</f>
        <v>0</v>
      </c>
      <c r="B43" s="114" t="str">
        <f>'1-συμβολαια'!C43</f>
        <v>μίσθωση … ΕΡΕΥΝΗΤΙΚΕΣ εργασίες</v>
      </c>
      <c r="C43" s="205">
        <f>'1-συμβολαια'!D43</f>
        <v>3333333</v>
      </c>
      <c r="D43" s="205">
        <f>'8-κ-15-17'!D43</f>
        <v>43333.329000000005</v>
      </c>
      <c r="E43" s="205">
        <f>'8-κ-15-17'!M43</f>
        <v>0</v>
      </c>
      <c r="F43" s="205">
        <f>'8-κ-15-17'!V43</f>
        <v>0</v>
      </c>
      <c r="G43" s="205">
        <f>'2-δικαιώμ'!J43</f>
        <v>3859.1996399999998</v>
      </c>
      <c r="H43" s="205">
        <f>'2-δικαιώμ'!K43</f>
        <v>40</v>
      </c>
      <c r="I43" s="205">
        <f>'2-δικαιώμ'!L43</f>
        <v>2183.9998000000001</v>
      </c>
      <c r="J43" s="205">
        <f>'2-δικαιώμ'!M43</f>
        <v>436.79996</v>
      </c>
      <c r="M43" s="24"/>
      <c r="N43" s="24"/>
      <c r="O43" s="24"/>
      <c r="Q43" s="11"/>
      <c r="R43" s="11"/>
      <c r="S43" s="11"/>
      <c r="T43" s="11"/>
      <c r="V43" s="11">
        <f>'2-δικαιώμ'!J43+'2-δικαιώμ'!K43</f>
        <v>3899.1996399999998</v>
      </c>
      <c r="W43" s="11">
        <f>'2-δικαιώμ'!L43</f>
        <v>2183.9998000000001</v>
      </c>
      <c r="X43" s="11">
        <f>'2-δικαιώμ'!M43</f>
        <v>436.79996</v>
      </c>
      <c r="Z43" s="11"/>
      <c r="AA43" s="11"/>
      <c r="AB43" s="11"/>
      <c r="AC43" s="11"/>
      <c r="AD43" s="11"/>
    </row>
    <row r="44" spans="1:30" s="17" customFormat="1">
      <c r="A44" s="205">
        <f>'1-συμβολαια'!A44</f>
        <v>0</v>
      </c>
      <c r="B44" s="114" t="str">
        <f>'1-συμβολαια'!C44</f>
        <v>μίσθωση ….. κόστος έργων αποκατάστασης</v>
      </c>
      <c r="C44" s="205">
        <f>'1-συμβολαια'!D44</f>
        <v>6000000</v>
      </c>
      <c r="D44" s="205">
        <f>'8-κ-15-17'!D44</f>
        <v>78000</v>
      </c>
      <c r="E44" s="205">
        <f>'8-κ-15-17'!M44</f>
        <v>0</v>
      </c>
      <c r="F44" s="205">
        <f>'8-κ-15-17'!V44</f>
        <v>0</v>
      </c>
      <c r="G44" s="205">
        <f>'2-δικαιώμ'!J44</f>
        <v>6739.2</v>
      </c>
      <c r="H44" s="205">
        <f>'2-δικαιώμ'!K44</f>
        <v>40</v>
      </c>
      <c r="I44" s="205">
        <f>'2-δικαιώμ'!L44</f>
        <v>3784</v>
      </c>
      <c r="J44" s="205">
        <f>'2-δικαιώμ'!M44</f>
        <v>756.80000000000007</v>
      </c>
      <c r="M44" s="24"/>
      <c r="N44" s="24"/>
      <c r="O44" s="24"/>
      <c r="Q44" s="11"/>
      <c r="R44" s="11"/>
      <c r="S44" s="11"/>
      <c r="T44" s="11"/>
      <c r="V44" s="11">
        <f>'2-δικαιώμ'!J44+'2-δικαιώμ'!K44</f>
        <v>6779.2</v>
      </c>
      <c r="W44" s="11">
        <f>'2-δικαιώμ'!L44</f>
        <v>3784</v>
      </c>
      <c r="X44" s="11">
        <f>'2-δικαιώμ'!M44</f>
        <v>756.80000000000007</v>
      </c>
      <c r="Z44" s="11"/>
      <c r="AA44" s="11"/>
      <c r="AB44" s="11"/>
      <c r="AC44" s="11"/>
      <c r="AD44" s="11"/>
    </row>
    <row r="45" spans="1:30" s="17" customFormat="1">
      <c r="A45" s="205" t="str">
        <f>'1-συμβολαια'!A45</f>
        <v>12ο</v>
      </c>
      <c r="B45" s="114" t="str">
        <f>'1-συμβολαια'!C45</f>
        <v>μίσθωσης νταμάρι ... &amp; ... ΠΑΡΑΤΑΣΗ 3έτη</v>
      </c>
      <c r="C45" s="205">
        <f>'1-συμβολαια'!D45</f>
        <v>957000</v>
      </c>
      <c r="D45" s="205">
        <f>'8-κ-15-17'!D45</f>
        <v>12441.000000000002</v>
      </c>
      <c r="E45" s="205">
        <f>'8-κ-15-17'!M45</f>
        <v>0</v>
      </c>
      <c r="F45" s="205">
        <f>'8-κ-15-17'!V45</f>
        <v>0</v>
      </c>
      <c r="G45" s="205">
        <f>'2-δικαιώμ'!J45</f>
        <v>1292.76</v>
      </c>
      <c r="H45" s="205">
        <f>'2-δικαιώμ'!K45</f>
        <v>40</v>
      </c>
      <c r="I45" s="205">
        <f>'2-δικαιώμ'!L45</f>
        <v>758.2</v>
      </c>
      <c r="J45" s="205">
        <f>'2-δικαιώμ'!M45</f>
        <v>151.64000000000001</v>
      </c>
      <c r="M45" s="24"/>
      <c r="N45" s="24"/>
      <c r="O45" s="24"/>
      <c r="Q45" s="11"/>
      <c r="R45" s="11"/>
      <c r="S45" s="11"/>
      <c r="T45" s="11"/>
      <c r="V45" s="11">
        <f>'2-δικαιώμ'!J45+'2-δικαιώμ'!K45</f>
        <v>1332.76</v>
      </c>
      <c r="W45" s="11">
        <f>'2-δικαιώμ'!L45</f>
        <v>758.2</v>
      </c>
      <c r="X45" s="11">
        <f>'2-δικαιώμ'!M45</f>
        <v>151.64000000000001</v>
      </c>
      <c r="Z45" s="11"/>
      <c r="AA45" s="11"/>
      <c r="AB45" s="11"/>
      <c r="AC45" s="11"/>
      <c r="AD45" s="11"/>
    </row>
    <row r="46" spans="1:30" s="17" customFormat="1">
      <c r="A46" s="205">
        <f>'1-συμβολαια'!A46</f>
        <v>0</v>
      </c>
      <c r="B46" s="114" t="str">
        <f>'1-συμβολαια'!C46</f>
        <v>ΧΑΟΣ= κλείσιμο &amp; εκ ΝΕΟΥ</v>
      </c>
      <c r="C46" s="205">
        <f>'1-συμβολαια'!D46</f>
        <v>0</v>
      </c>
      <c r="D46" s="205">
        <f>'8-κ-15-17'!D46</f>
        <v>0</v>
      </c>
      <c r="E46" s="205">
        <f>'8-κ-15-17'!M46</f>
        <v>0</v>
      </c>
      <c r="F46" s="205">
        <f>'8-κ-15-17'!V46</f>
        <v>0</v>
      </c>
      <c r="G46" s="205">
        <f>'2-δικαιώμ'!J46</f>
        <v>0</v>
      </c>
      <c r="H46" s="205">
        <f>'2-δικαιώμ'!K46</f>
        <v>0</v>
      </c>
      <c r="I46" s="205">
        <f>'2-δικαιώμ'!L46</f>
        <v>0</v>
      </c>
      <c r="J46" s="205">
        <f>'2-δικαιώμ'!M46</f>
        <v>0</v>
      </c>
      <c r="M46" s="24"/>
      <c r="N46" s="24"/>
      <c r="O46" s="24"/>
      <c r="Q46" s="11"/>
      <c r="R46" s="11"/>
      <c r="S46" s="11"/>
      <c r="T46" s="11"/>
      <c r="V46" s="11">
        <f>'2-δικαιώμ'!J46+'2-δικαιώμ'!K46</f>
        <v>0</v>
      </c>
      <c r="W46" s="11">
        <f>'2-δικαιώμ'!L46</f>
        <v>0</v>
      </c>
      <c r="X46" s="11">
        <f>'2-δικαιώμ'!M46</f>
        <v>0</v>
      </c>
      <c r="Z46" s="11"/>
      <c r="AA46" s="11"/>
      <c r="AB46" s="11"/>
      <c r="AC46" s="11"/>
      <c r="AD46" s="11"/>
    </row>
    <row r="47" spans="1:30">
      <c r="A47" s="903" t="str">
        <f>'1-συμβολαια'!A47</f>
        <v>σύνολο</v>
      </c>
      <c r="B47" s="904"/>
      <c r="C47" s="905"/>
      <c r="D47" s="190">
        <f t="shared" ref="D47:J47" si="0">SUM(D3:D46)</f>
        <v>8284978.7019999996</v>
      </c>
      <c r="E47" s="190">
        <f t="shared" si="0"/>
        <v>0</v>
      </c>
      <c r="F47" s="190">
        <f t="shared" si="0"/>
        <v>0</v>
      </c>
      <c r="G47" s="190">
        <f t="shared" si="0"/>
        <v>694471.41841499973</v>
      </c>
      <c r="H47" s="190">
        <f t="shared" si="0"/>
        <v>967.5</v>
      </c>
      <c r="I47" s="190">
        <f t="shared" si="0"/>
        <v>376534.95467499999</v>
      </c>
      <c r="J47" s="190">
        <f t="shared" si="0"/>
        <v>75306.990935000023</v>
      </c>
    </row>
    <row r="50" spans="2:12">
      <c r="B50" s="84"/>
      <c r="D50" s="2"/>
      <c r="E50" s="2"/>
      <c r="F50" s="2"/>
      <c r="G50" s="2"/>
      <c r="H50" s="2"/>
      <c r="I50" s="2"/>
      <c r="J50" s="2"/>
    </row>
    <row r="51" spans="2:12" ht="12.75">
      <c r="B51" s="214" t="s">
        <v>375</v>
      </c>
      <c r="D51" s="2"/>
      <c r="E51" s="2"/>
      <c r="F51" s="2"/>
      <c r="G51" s="156"/>
      <c r="H51" s="5"/>
      <c r="I51" s="5"/>
      <c r="J51" s="2"/>
    </row>
    <row r="52" spans="2:12" ht="12.75">
      <c r="B52" s="215" t="s">
        <v>376</v>
      </c>
      <c r="D52" s="2"/>
      <c r="E52" s="2"/>
      <c r="F52" s="2"/>
      <c r="G52" s="107"/>
      <c r="J52" s="2"/>
      <c r="L52" s="107"/>
    </row>
    <row r="53" spans="2:12" ht="15.75">
      <c r="B53" s="224" t="s">
        <v>377</v>
      </c>
      <c r="D53" s="2"/>
      <c r="E53" s="2"/>
      <c r="F53" s="2"/>
      <c r="G53" s="2"/>
      <c r="H53" s="5"/>
      <c r="I53" s="5"/>
      <c r="J53" s="2"/>
    </row>
    <row r="54" spans="2:12">
      <c r="B54" s="84"/>
      <c r="D54" s="2"/>
      <c r="E54" s="2"/>
      <c r="F54" s="2"/>
      <c r="G54" s="2"/>
      <c r="H54" s="5"/>
      <c r="J54" s="2"/>
    </row>
    <row r="55" spans="2:12">
      <c r="B55" s="84"/>
      <c r="D55" s="2"/>
      <c r="E55" s="2"/>
      <c r="F55" s="2"/>
      <c r="G55" s="2"/>
      <c r="H55" s="217"/>
      <c r="I55" s="5"/>
      <c r="J55" s="5"/>
    </row>
    <row r="56" spans="2:12">
      <c r="B56" s="84"/>
      <c r="D56" s="2"/>
      <c r="E56" s="2"/>
      <c r="F56" s="2"/>
      <c r="G56" s="2"/>
      <c r="H56" s="2"/>
      <c r="I56" s="2"/>
      <c r="J56" s="2"/>
    </row>
    <row r="57" spans="2:12">
      <c r="B57" s="84"/>
      <c r="D57" s="2"/>
      <c r="E57" s="2"/>
      <c r="F57" s="2"/>
      <c r="G57" s="2"/>
      <c r="H57" s="2"/>
      <c r="I57" s="2"/>
      <c r="J57" s="2"/>
    </row>
    <row r="58" spans="2:12">
      <c r="B58" s="84"/>
      <c r="D58" s="2"/>
      <c r="E58" s="2"/>
      <c r="F58" s="2"/>
      <c r="G58" s="2"/>
      <c r="H58" s="2"/>
      <c r="I58" s="2"/>
      <c r="J58" s="2"/>
    </row>
    <row r="59" spans="2:12">
      <c r="B59" s="84"/>
      <c r="D59" s="2"/>
      <c r="E59" s="2"/>
      <c r="F59" s="2"/>
      <c r="G59" s="2"/>
      <c r="H59" s="2"/>
      <c r="I59" s="2"/>
      <c r="J59" s="2"/>
    </row>
    <row r="60" spans="2:12">
      <c r="C60" s="281"/>
      <c r="D60" s="7"/>
      <c r="E60" s="7"/>
    </row>
    <row r="61" spans="2:12">
      <c r="C61" s="281"/>
      <c r="D61" s="7"/>
      <c r="E61" s="7"/>
    </row>
    <row r="62" spans="2:12">
      <c r="C62" s="281"/>
      <c r="D62" s="7"/>
      <c r="E62" s="7"/>
    </row>
    <row r="63" spans="2:12">
      <c r="C63" s="281"/>
      <c r="D63" s="7"/>
      <c r="E63" s="7"/>
    </row>
    <row r="64" spans="2:12">
      <c r="C64" s="281"/>
      <c r="D64" s="7"/>
      <c r="E64" s="7"/>
    </row>
    <row r="65" spans="3:5">
      <c r="C65" s="281"/>
      <c r="D65" s="7"/>
      <c r="E65" s="7"/>
    </row>
    <row r="66" spans="3:5">
      <c r="C66" s="281"/>
      <c r="D66" s="7"/>
      <c r="E66" s="7"/>
    </row>
    <row r="67" spans="3:5">
      <c r="C67" s="281"/>
      <c r="D67" s="7"/>
      <c r="E67" s="7"/>
    </row>
    <row r="68" spans="3:5">
      <c r="C68" s="281"/>
      <c r="D68" s="7"/>
      <c r="E68" s="7"/>
    </row>
  </sheetData>
  <mergeCells count="13">
    <mergeCell ref="Z1:AD1"/>
    <mergeCell ref="A47:C4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68"/>
  <sheetViews>
    <sheetView workbookViewId="0">
      <pane ySplit="2" topLeftCell="A3" activePane="bottomLeft" state="frozen"/>
      <selection pane="bottomLeft" activeCell="R24" sqref="R24"/>
    </sheetView>
  </sheetViews>
  <sheetFormatPr defaultRowHeight="11.25"/>
  <cols>
    <col min="1" max="1" width="17.85546875" style="7" bestFit="1" customWidth="1"/>
    <col min="2" max="2" width="80.28515625" style="84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8" width="7.7109375" style="2" customWidth="1"/>
    <col min="9" max="9" width="9.5703125" style="2" customWidth="1"/>
    <col min="10" max="10" width="7.7109375" style="2" customWidth="1"/>
    <col min="11" max="11" width="9.7109375" style="2" bestFit="1" customWidth="1"/>
    <col min="12" max="17" width="4.7109375" style="3" customWidth="1"/>
    <col min="18" max="18" width="25.85546875" style="3" customWidth="1"/>
    <col min="19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8" s="6" customFormat="1" ht="34.5" customHeight="1">
      <c r="A1" s="794" t="s">
        <v>1</v>
      </c>
      <c r="B1" s="796" t="s">
        <v>0</v>
      </c>
      <c r="C1" s="827" t="s">
        <v>7</v>
      </c>
      <c r="D1" s="923" t="s">
        <v>43</v>
      </c>
      <c r="E1" s="924"/>
      <c r="F1" s="924"/>
      <c r="G1" s="925" t="s">
        <v>390</v>
      </c>
      <c r="H1" s="926"/>
      <c r="I1" s="926"/>
      <c r="J1" s="926"/>
      <c r="K1" s="921" t="s">
        <v>55</v>
      </c>
      <c r="L1" s="918" t="s">
        <v>29</v>
      </c>
      <c r="M1" s="919"/>
      <c r="N1" s="919"/>
      <c r="O1" s="919"/>
      <c r="P1" s="919"/>
      <c r="Q1" s="919"/>
      <c r="R1" s="920"/>
    </row>
    <row r="2" spans="1:18" ht="34.5" customHeight="1" thickBot="1">
      <c r="A2" s="795"/>
      <c r="B2" s="797"/>
      <c r="C2" s="828"/>
      <c r="D2" s="221" t="s">
        <v>303</v>
      </c>
      <c r="E2" s="221" t="s">
        <v>389</v>
      </c>
      <c r="F2" s="227" t="s">
        <v>88</v>
      </c>
      <c r="G2" s="225" t="s">
        <v>303</v>
      </c>
      <c r="H2" s="226" t="s">
        <v>307</v>
      </c>
      <c r="I2" s="226" t="s">
        <v>391</v>
      </c>
      <c r="J2" s="223" t="s">
        <v>308</v>
      </c>
      <c r="K2" s="922"/>
      <c r="L2" s="785"/>
      <c r="M2" s="786"/>
      <c r="N2" s="786"/>
      <c r="O2" s="786"/>
      <c r="P2" s="786"/>
      <c r="Q2" s="786"/>
      <c r="R2" s="787"/>
    </row>
    <row r="3" spans="1:18" s="293" customFormat="1" ht="14.25">
      <c r="A3" s="294" t="str">
        <f>'1-συμβολαια'!A3</f>
        <v>93τραπ &amp; σημ</v>
      </c>
      <c r="B3" s="290" t="str">
        <f>'1-συμβολαια'!C3</f>
        <v>δάνειο</v>
      </c>
      <c r="C3" s="291">
        <f>'1-συμβολαια'!D3</f>
        <v>24000000</v>
      </c>
      <c r="D3" s="696"/>
      <c r="E3" s="696"/>
      <c r="F3" s="697"/>
      <c r="G3" s="697"/>
      <c r="H3" s="697"/>
      <c r="I3" s="697"/>
      <c r="J3" s="697"/>
      <c r="K3" s="292">
        <v>700</v>
      </c>
      <c r="L3" s="277" t="s">
        <v>123</v>
      </c>
      <c r="M3" s="277" t="s">
        <v>396</v>
      </c>
      <c r="N3" s="277" t="s">
        <v>121</v>
      </c>
      <c r="O3" s="277" t="s">
        <v>397</v>
      </c>
      <c r="P3" s="277" t="s">
        <v>398</v>
      </c>
      <c r="Q3" s="277" t="s">
        <v>399</v>
      </c>
      <c r="R3" s="67"/>
    </row>
    <row r="4" spans="1:18" s="293" customFormat="1" ht="14.25">
      <c r="A4" s="294">
        <f>'1-συμβολαια'!A4</f>
        <v>0</v>
      </c>
      <c r="B4" s="290" t="str">
        <f>'1-συμβολαια'!C4</f>
        <v>υποθήκη δανείου</v>
      </c>
      <c r="C4" s="291">
        <f>'1-συμβολαια'!D4</f>
        <v>26666666</v>
      </c>
      <c r="D4" s="696"/>
      <c r="E4" s="696"/>
      <c r="F4" s="697"/>
      <c r="G4" s="697"/>
      <c r="H4" s="697"/>
      <c r="I4" s="697"/>
      <c r="J4" s="697"/>
      <c r="K4" s="292">
        <v>700</v>
      </c>
      <c r="L4" s="277" t="s">
        <v>123</v>
      </c>
      <c r="M4" s="277" t="s">
        <v>396</v>
      </c>
      <c r="N4" s="277" t="s">
        <v>121</v>
      </c>
      <c r="O4" s="277" t="s">
        <v>397</v>
      </c>
      <c r="P4" s="277" t="s">
        <v>398</v>
      </c>
      <c r="Q4" s="277" t="s">
        <v>399</v>
      </c>
      <c r="R4" s="67"/>
    </row>
    <row r="5" spans="1:18" s="293" customFormat="1" ht="14.25">
      <c r="A5" s="294">
        <f>'1-συμβολαια'!A5</f>
        <v>0</v>
      </c>
      <c r="B5" s="290" t="str">
        <f>'1-συμβολαια'!C5</f>
        <v>τόκοι δανείου {εμπρόθεσμα πληρωθέντες}</v>
      </c>
      <c r="C5" s="291">
        <f>'1-συμβολαια'!D5</f>
        <v>51111111</v>
      </c>
      <c r="D5" s="696"/>
      <c r="E5" s="696"/>
      <c r="F5" s="697"/>
      <c r="G5" s="697"/>
      <c r="H5" s="697"/>
      <c r="I5" s="697"/>
      <c r="J5" s="697"/>
      <c r="K5" s="292">
        <v>700</v>
      </c>
      <c r="L5" s="277" t="s">
        <v>123</v>
      </c>
      <c r="M5" s="277" t="s">
        <v>396</v>
      </c>
      <c r="N5" s="277" t="s">
        <v>121</v>
      </c>
      <c r="O5" s="277" t="s">
        <v>397</v>
      </c>
      <c r="P5" s="277" t="s">
        <v>398</v>
      </c>
      <c r="Q5" s="277" t="s">
        <v>399</v>
      </c>
      <c r="R5" s="67"/>
    </row>
    <row r="6" spans="1:18" s="293" customFormat="1" ht="14.25">
      <c r="A6" s="294" t="str">
        <f>'1-συμβολαια'!A6</f>
        <v>375τραπ</v>
      </c>
      <c r="B6" s="290" t="str">
        <f>'1-συμβολαια'!C6</f>
        <v>δάνειο</v>
      </c>
      <c r="C6" s="291">
        <f>'1-συμβολαια'!D6</f>
        <v>5000000</v>
      </c>
      <c r="D6" s="696"/>
      <c r="E6" s="696"/>
      <c r="F6" s="697"/>
      <c r="G6" s="697"/>
      <c r="H6" s="697"/>
      <c r="I6" s="697"/>
      <c r="J6" s="697"/>
      <c r="K6" s="292">
        <v>700</v>
      </c>
      <c r="L6" s="277" t="s">
        <v>123</v>
      </c>
      <c r="M6" s="277" t="s">
        <v>396</v>
      </c>
      <c r="N6" s="277" t="s">
        <v>121</v>
      </c>
      <c r="O6" s="277" t="s">
        <v>397</v>
      </c>
      <c r="P6" s="277" t="s">
        <v>398</v>
      </c>
      <c r="Q6" s="277" t="s">
        <v>399</v>
      </c>
      <c r="R6" s="67"/>
    </row>
    <row r="7" spans="1:18" s="293" customFormat="1" ht="14.25">
      <c r="A7" s="294">
        <f>'1-συμβολαια'!A7</f>
        <v>0</v>
      </c>
      <c r="B7" s="290" t="str">
        <f>'1-συμβολαια'!C7</f>
        <v>υποθήκη δανείου</v>
      </c>
      <c r="C7" s="291">
        <f>'1-συμβολαια'!D7</f>
        <v>6666666</v>
      </c>
      <c r="D7" s="696"/>
      <c r="E7" s="696"/>
      <c r="F7" s="697"/>
      <c r="G7" s="697"/>
      <c r="H7" s="697"/>
      <c r="I7" s="697"/>
      <c r="J7" s="697"/>
      <c r="K7" s="292">
        <v>700</v>
      </c>
      <c r="L7" s="277" t="s">
        <v>123</v>
      </c>
      <c r="M7" s="277" t="s">
        <v>396</v>
      </c>
      <c r="N7" s="277" t="s">
        <v>121</v>
      </c>
      <c r="O7" s="277" t="s">
        <v>397</v>
      </c>
      <c r="P7" s="277" t="s">
        <v>398</v>
      </c>
      <c r="Q7" s="277" t="s">
        <v>399</v>
      </c>
      <c r="R7" s="67"/>
    </row>
    <row r="8" spans="1:18" s="293" customFormat="1" ht="14.25">
      <c r="A8" s="294">
        <f>'1-συμβολαια'!A8</f>
        <v>0</v>
      </c>
      <c r="B8" s="290" t="str">
        <f>'1-συμβολαια'!C8</f>
        <v>τόκοι δανείου</v>
      </c>
      <c r="C8" s="291">
        <f>'1-συμβολαια'!D8</f>
        <v>11111111</v>
      </c>
      <c r="D8" s="696"/>
      <c r="E8" s="696"/>
      <c r="F8" s="697"/>
      <c r="G8" s="697"/>
      <c r="H8" s="697"/>
      <c r="I8" s="697"/>
      <c r="J8" s="697"/>
      <c r="K8" s="292">
        <v>700</v>
      </c>
      <c r="L8" s="277" t="s">
        <v>123</v>
      </c>
      <c r="M8" s="277" t="s">
        <v>396</v>
      </c>
      <c r="N8" s="277" t="s">
        <v>121</v>
      </c>
      <c r="O8" s="277" t="s">
        <v>397</v>
      </c>
      <c r="P8" s="277" t="s">
        <v>398</v>
      </c>
      <c r="Q8" s="277" t="s">
        <v>399</v>
      </c>
      <c r="R8" s="67"/>
    </row>
    <row r="9" spans="1:18" s="293" customFormat="1" ht="15" thickBot="1">
      <c r="A9" s="443" t="str">
        <f>'1-συμβολαια'!A9</f>
        <v>1ο</v>
      </c>
      <c r="B9" s="440" t="str">
        <f>'1-συμβολαια'!C9</f>
        <v>υποθήκη τυχόν αυξήσεως ΤΟΚΩΝ δανείου</v>
      </c>
      <c r="C9" s="441">
        <f>'1-συμβολαια'!D9</f>
        <v>20000</v>
      </c>
      <c r="D9" s="442">
        <v>700</v>
      </c>
      <c r="E9" s="698"/>
      <c r="F9" s="699"/>
      <c r="G9" s="442">
        <v>200</v>
      </c>
      <c r="H9" s="697"/>
      <c r="I9" s="442">
        <v>60</v>
      </c>
      <c r="J9" s="697"/>
      <c r="K9" s="442">
        <v>260</v>
      </c>
      <c r="L9" s="418"/>
      <c r="M9" s="418" t="s">
        <v>396</v>
      </c>
      <c r="N9" s="418"/>
      <c r="O9" s="418" t="s">
        <v>397</v>
      </c>
      <c r="P9" s="418" t="s">
        <v>398</v>
      </c>
      <c r="Q9" s="418"/>
      <c r="R9" s="346"/>
    </row>
    <row r="10" spans="1:18" s="293" customFormat="1" ht="14.25">
      <c r="A10" s="683" t="str">
        <f>'1-συμβολαια'!A10</f>
        <v>2ο</v>
      </c>
      <c r="B10" s="684" t="str">
        <f>'1-συμβολαια'!C10</f>
        <v>αγοραπωλησία οικοπεδου τίμημα = 800.000 Δ.Ο.Υ. =</v>
      </c>
      <c r="C10" s="291">
        <f>'1-συμβολαια'!D10</f>
        <v>1000000</v>
      </c>
      <c r="D10" s="292">
        <v>200</v>
      </c>
      <c r="E10" s="292">
        <v>88</v>
      </c>
      <c r="F10" s="697"/>
      <c r="G10" s="292">
        <v>200</v>
      </c>
      <c r="H10" s="697"/>
      <c r="I10" s="292">
        <v>110</v>
      </c>
      <c r="J10" s="697"/>
      <c r="K10" s="292">
        <v>310</v>
      </c>
      <c r="L10" s="350"/>
      <c r="M10" s="350"/>
      <c r="N10" s="350"/>
      <c r="O10" s="350" t="s">
        <v>397</v>
      </c>
      <c r="P10" s="350" t="s">
        <v>398</v>
      </c>
      <c r="Q10" s="350"/>
      <c r="R10" s="288"/>
    </row>
    <row r="11" spans="1:18" s="293" customFormat="1" ht="14.25">
      <c r="A11" s="444">
        <f>'1-συμβολαια'!A11</f>
        <v>0</v>
      </c>
      <c r="B11" s="290" t="str">
        <f>'1-συμβολαια'!C11</f>
        <v>αγορά εργοστασίου ;;;??? μ2</v>
      </c>
      <c r="C11" s="291">
        <f>'1-συμβολαια'!D11</f>
        <v>11111111</v>
      </c>
      <c r="D11" s="697"/>
      <c r="E11" s="697"/>
      <c r="F11" s="697"/>
      <c r="G11" s="697"/>
      <c r="H11" s="697"/>
      <c r="I11" s="697"/>
      <c r="J11" s="697"/>
      <c r="K11" s="292">
        <v>200</v>
      </c>
      <c r="L11" s="277" t="s">
        <v>123</v>
      </c>
      <c r="M11" s="277" t="s">
        <v>396</v>
      </c>
      <c r="N11" s="277" t="s">
        <v>121</v>
      </c>
      <c r="O11" s="277" t="s">
        <v>397</v>
      </c>
      <c r="P11" s="277" t="s">
        <v>398</v>
      </c>
      <c r="Q11" s="277" t="s">
        <v>399</v>
      </c>
      <c r="R11" s="67"/>
    </row>
    <row r="12" spans="1:18" s="293" customFormat="1" ht="15" thickBot="1">
      <c r="A12" s="685">
        <f>'1-συμβολαια'!A12</f>
        <v>0</v>
      </c>
      <c r="B12" s="440" t="str">
        <f>'1-συμβολαια'!C12</f>
        <v>αγορά εργοστασίου ΕΞΟΠΛΙΣΜΟΣ</v>
      </c>
      <c r="C12" s="441">
        <f>'1-συμβολαια'!D12</f>
        <v>6666666</v>
      </c>
      <c r="D12" s="697"/>
      <c r="E12" s="697"/>
      <c r="F12" s="697"/>
      <c r="G12" s="697"/>
      <c r="H12" s="697"/>
      <c r="I12" s="697"/>
      <c r="J12" s="697"/>
      <c r="K12" s="292">
        <v>200</v>
      </c>
      <c r="L12" s="277" t="s">
        <v>123</v>
      </c>
      <c r="M12" s="277" t="s">
        <v>396</v>
      </c>
      <c r="N12" s="277" t="s">
        <v>121</v>
      </c>
      <c r="O12" s="277" t="s">
        <v>397</v>
      </c>
      <c r="P12" s="277" t="s">
        <v>398</v>
      </c>
      <c r="Q12" s="277" t="s">
        <v>399</v>
      </c>
      <c r="R12" s="67"/>
    </row>
    <row r="13" spans="1:18" s="293" customFormat="1" ht="15" thickBot="1">
      <c r="A13" s="687" t="str">
        <f>'1-συμβολαια'!A13</f>
        <v>3ο</v>
      </c>
      <c r="B13" s="688" t="str">
        <f>'1-συμβολαια'!C13</f>
        <v>πληρεξούσιο</v>
      </c>
      <c r="C13" s="689">
        <f>'1-συμβολαια'!D13</f>
        <v>0</v>
      </c>
      <c r="D13" s="442">
        <v>20</v>
      </c>
      <c r="E13" s="442">
        <v>96</v>
      </c>
      <c r="F13" s="697"/>
      <c r="G13" s="442">
        <v>20</v>
      </c>
      <c r="H13" s="442">
        <v>22</v>
      </c>
      <c r="I13" s="442">
        <v>44</v>
      </c>
      <c r="J13" s="442">
        <v>4</v>
      </c>
      <c r="K13" s="442">
        <v>88</v>
      </c>
      <c r="L13" s="418"/>
      <c r="M13" s="418"/>
      <c r="N13" s="418"/>
      <c r="O13" s="418"/>
      <c r="P13" s="418"/>
      <c r="Q13" s="418"/>
      <c r="R13" s="346"/>
    </row>
    <row r="14" spans="1:18" s="293" customFormat="1" ht="14.25">
      <c r="A14" s="686" t="str">
        <f>'1-συμβολαια'!A14</f>
        <v>4ο</v>
      </c>
      <c r="B14" s="684" t="str">
        <f>'1-συμβολαια'!C14</f>
        <v>υποθήκη [έναντι του δανείου 375-29/07/1982τραπ</v>
      </c>
      <c r="C14" s="291">
        <f>'1-συμβολαια'!D14</f>
        <v>100000</v>
      </c>
      <c r="D14" s="292">
        <v>200</v>
      </c>
      <c r="E14" s="292">
        <v>96</v>
      </c>
      <c r="F14" s="697"/>
      <c r="G14" s="292">
        <v>200</v>
      </c>
      <c r="H14" s="697"/>
      <c r="I14" s="292">
        <v>84</v>
      </c>
      <c r="J14" s="697"/>
      <c r="K14" s="292">
        <v>284</v>
      </c>
      <c r="L14" s="350"/>
      <c r="M14" s="350"/>
      <c r="N14" s="350"/>
      <c r="O14" s="350" t="s">
        <v>397</v>
      </c>
      <c r="P14" s="350" t="s">
        <v>398</v>
      </c>
      <c r="Q14" s="350"/>
      <c r="R14" s="288"/>
    </row>
    <row r="15" spans="1:18" s="293" customFormat="1" ht="14.25">
      <c r="A15" s="294" t="str">
        <f>'1-συμβολαια'!A15</f>
        <v>389τραπ</v>
      </c>
      <c r="B15" s="290" t="str">
        <f>'1-συμβολαια'!C15</f>
        <v>δάνειο</v>
      </c>
      <c r="C15" s="291">
        <f>'1-συμβολαια'!D15</f>
        <v>10000000</v>
      </c>
      <c r="D15" s="697"/>
      <c r="E15" s="697"/>
      <c r="F15" s="697"/>
      <c r="G15" s="697"/>
      <c r="H15" s="697"/>
      <c r="I15" s="697"/>
      <c r="J15" s="697"/>
      <c r="K15" s="292">
        <v>200</v>
      </c>
      <c r="L15" s="277" t="s">
        <v>123</v>
      </c>
      <c r="M15" s="277" t="s">
        <v>396</v>
      </c>
      <c r="N15" s="277" t="s">
        <v>121</v>
      </c>
      <c r="O15" s="277" t="s">
        <v>397</v>
      </c>
      <c r="P15" s="277" t="s">
        <v>398</v>
      </c>
      <c r="Q15" s="277" t="s">
        <v>399</v>
      </c>
      <c r="R15" s="67"/>
    </row>
    <row r="16" spans="1:18" s="293" customFormat="1" ht="14.25">
      <c r="A16" s="294">
        <f>'1-συμβολαια'!A16</f>
        <v>0</v>
      </c>
      <c r="B16" s="290" t="str">
        <f>'1-συμβολαια'!C16</f>
        <v>υποθήκη δανείου</v>
      </c>
      <c r="C16" s="291">
        <f>'1-συμβολαια'!D16</f>
        <v>12222222</v>
      </c>
      <c r="D16" s="697"/>
      <c r="E16" s="697"/>
      <c r="F16" s="697"/>
      <c r="G16" s="697"/>
      <c r="H16" s="697"/>
      <c r="I16" s="697"/>
      <c r="J16" s="697"/>
      <c r="K16" s="292">
        <v>200</v>
      </c>
      <c r="L16" s="277" t="s">
        <v>123</v>
      </c>
      <c r="M16" s="277" t="s">
        <v>396</v>
      </c>
      <c r="N16" s="277" t="s">
        <v>121</v>
      </c>
      <c r="O16" s="277" t="s">
        <v>397</v>
      </c>
      <c r="P16" s="277" t="s">
        <v>398</v>
      </c>
      <c r="Q16" s="277" t="s">
        <v>399</v>
      </c>
      <c r="R16" s="67"/>
    </row>
    <row r="17" spans="1:18" s="293" customFormat="1" ht="15" thickBot="1">
      <c r="A17" s="443">
        <f>'1-συμβολαια'!A17</f>
        <v>0</v>
      </c>
      <c r="B17" s="440" t="str">
        <f>'1-συμβολαια'!C17</f>
        <v>τόκοι δανείου</v>
      </c>
      <c r="C17" s="441">
        <f>'1-συμβολαια'!D17</f>
        <v>22222222</v>
      </c>
      <c r="D17" s="699"/>
      <c r="E17" s="699"/>
      <c r="F17" s="699"/>
      <c r="G17" s="699"/>
      <c r="H17" s="699"/>
      <c r="I17" s="699"/>
      <c r="J17" s="699"/>
      <c r="K17" s="442">
        <v>200</v>
      </c>
      <c r="L17" s="418" t="s">
        <v>123</v>
      </c>
      <c r="M17" s="418" t="s">
        <v>396</v>
      </c>
      <c r="N17" s="418" t="s">
        <v>121</v>
      </c>
      <c r="O17" s="418" t="s">
        <v>397</v>
      </c>
      <c r="P17" s="418" t="s">
        <v>398</v>
      </c>
      <c r="Q17" s="418" t="s">
        <v>399</v>
      </c>
      <c r="R17" s="346"/>
    </row>
    <row r="18" spans="1:18" s="293" customFormat="1" ht="14.25">
      <c r="A18" s="683" t="str">
        <f>'1-συμβολαια'!A18</f>
        <v>5ο</v>
      </c>
      <c r="B18" s="684" t="str">
        <f>'1-συμβολαια'!C18</f>
        <v>μίσθωσις νταμάρι  Παναγία -'';;;???'' 29στρ 3έτη [1000/έτος/στρ</v>
      </c>
      <c r="C18" s="291">
        <f>'1-συμβολαια'!D18</f>
        <v>696000</v>
      </c>
      <c r="D18" s="292">
        <v>500</v>
      </c>
      <c r="E18" s="697"/>
      <c r="F18" s="697"/>
      <c r="G18" s="292">
        <v>500</v>
      </c>
      <c r="H18" s="697"/>
      <c r="I18" s="292">
        <v>324</v>
      </c>
      <c r="J18" s="697"/>
      <c r="K18" s="292">
        <v>824</v>
      </c>
      <c r="L18" s="350"/>
      <c r="M18" s="350" t="s">
        <v>396</v>
      </c>
      <c r="N18" s="350"/>
      <c r="O18" s="350" t="s">
        <v>397</v>
      </c>
      <c r="P18" s="350" t="s">
        <v>398</v>
      </c>
      <c r="Q18" s="350"/>
      <c r="R18" s="288"/>
    </row>
    <row r="19" spans="1:18" s="293" customFormat="1" ht="14.25">
      <c r="A19" s="444">
        <f>'1-συμβολαια'!A19</f>
        <v>0</v>
      </c>
      <c r="B19" s="290" t="str">
        <f>'1-συμβολαια'!C19</f>
        <v>μίσθωση … ΚΤΙΡΙΑΚΑ &amp; τεχνικές εγκαταστάσεις &amp; ΚΛΠ</v>
      </c>
      <c r="C19" s="291">
        <f>'1-συμβολαια'!D19</f>
        <v>10000000</v>
      </c>
      <c r="D19" s="697"/>
      <c r="E19" s="697"/>
      <c r="F19" s="697"/>
      <c r="G19" s="697"/>
      <c r="H19" s="697"/>
      <c r="I19" s="697"/>
      <c r="J19" s="697"/>
      <c r="K19" s="292">
        <v>500</v>
      </c>
      <c r="L19" s="277" t="s">
        <v>123</v>
      </c>
      <c r="M19" s="277" t="s">
        <v>396</v>
      </c>
      <c r="N19" s="277" t="s">
        <v>121</v>
      </c>
      <c r="O19" s="277" t="s">
        <v>397</v>
      </c>
      <c r="P19" s="277" t="s">
        <v>398</v>
      </c>
      <c r="Q19" s="277" t="s">
        <v>399</v>
      </c>
      <c r="R19" s="67"/>
    </row>
    <row r="20" spans="1:18" s="293" customFormat="1" ht="14.25">
      <c r="A20" s="444">
        <f>'1-συμβολαια'!A20</f>
        <v>0</v>
      </c>
      <c r="B20" s="290" t="str">
        <f>'1-συμβολαια'!C20</f>
        <v>μίσθωση … ΕΡΕΥΝΗΤΙΚΕΣ εργασίες</v>
      </c>
      <c r="C20" s="291">
        <f>'1-συμβολαια'!D20</f>
        <v>3333333</v>
      </c>
      <c r="D20" s="697"/>
      <c r="E20" s="697"/>
      <c r="F20" s="697"/>
      <c r="G20" s="697"/>
      <c r="H20" s="697"/>
      <c r="I20" s="697"/>
      <c r="J20" s="697"/>
      <c r="K20" s="292">
        <v>500</v>
      </c>
      <c r="L20" s="277" t="s">
        <v>123</v>
      </c>
      <c r="M20" s="277" t="s">
        <v>396</v>
      </c>
      <c r="N20" s="277" t="s">
        <v>121</v>
      </c>
      <c r="O20" s="277" t="s">
        <v>397</v>
      </c>
      <c r="P20" s="277" t="s">
        <v>398</v>
      </c>
      <c r="Q20" s="277" t="s">
        <v>399</v>
      </c>
      <c r="R20" s="67"/>
    </row>
    <row r="21" spans="1:18" s="293" customFormat="1" ht="15" thickBot="1">
      <c r="A21" s="685">
        <f>'1-συμβολαια'!A21</f>
        <v>0</v>
      </c>
      <c r="B21" s="440" t="str">
        <f>'1-συμβολαια'!C21</f>
        <v>μίσθωση ….. κόστος έργων αποκατάστασης</v>
      </c>
      <c r="C21" s="441">
        <f>'1-συμβολαια'!D21</f>
        <v>6000000</v>
      </c>
      <c r="D21" s="699"/>
      <c r="E21" s="699"/>
      <c r="F21" s="699"/>
      <c r="G21" s="699"/>
      <c r="H21" s="699"/>
      <c r="I21" s="699"/>
      <c r="J21" s="699"/>
      <c r="K21" s="442">
        <v>500</v>
      </c>
      <c r="L21" s="418" t="s">
        <v>123</v>
      </c>
      <c r="M21" s="418" t="s">
        <v>396</v>
      </c>
      <c r="N21" s="418" t="s">
        <v>121</v>
      </c>
      <c r="O21" s="418" t="s">
        <v>397</v>
      </c>
      <c r="P21" s="418" t="s">
        <v>398</v>
      </c>
      <c r="Q21" s="418" t="s">
        <v>399</v>
      </c>
      <c r="R21" s="346"/>
    </row>
    <row r="22" spans="1:18" s="293" customFormat="1" ht="14.25">
      <c r="A22" s="686" t="str">
        <f>'1-συμβολαια'!A22</f>
        <v>6ο</v>
      </c>
      <c r="B22" s="684" t="str">
        <f>'1-συμβολαια'!C22</f>
        <v>;;;???ΑΕ σύσταση από ΜΕΤΑΤΡΟΠΗ ατομικής [= 40.000.000δρχ</v>
      </c>
      <c r="C22" s="291">
        <f>'1-συμβολαια'!D22</f>
        <v>0</v>
      </c>
      <c r="D22" s="292">
        <v>500</v>
      </c>
      <c r="E22" s="697"/>
      <c r="F22" s="697"/>
      <c r="G22" s="292">
        <v>500</v>
      </c>
      <c r="H22" s="697"/>
      <c r="I22" s="292">
        <v>1956</v>
      </c>
      <c r="J22" s="697"/>
      <c r="K22" s="292">
        <v>2456</v>
      </c>
      <c r="L22" s="350"/>
      <c r="M22" s="350" t="s">
        <v>396</v>
      </c>
      <c r="N22" s="350"/>
      <c r="O22" s="350" t="s">
        <v>397</v>
      </c>
      <c r="P22" s="350" t="s">
        <v>398</v>
      </c>
      <c r="Q22" s="350"/>
      <c r="R22" s="288"/>
    </row>
    <row r="23" spans="1:18" s="293" customFormat="1" ht="15" thickBot="1">
      <c r="A23" s="443">
        <f>'1-συμβολαια'!A23</f>
        <v>0</v>
      </c>
      <c r="B23" s="440" t="str">
        <f>'1-συμβολαια'!C23</f>
        <v>πληρεξουσιότητα</v>
      </c>
      <c r="C23" s="441">
        <f>'1-συμβολαια'!D23</f>
        <v>0</v>
      </c>
      <c r="D23" s="699"/>
      <c r="E23" s="699"/>
      <c r="F23" s="699"/>
      <c r="G23" s="699"/>
      <c r="H23" s="699"/>
      <c r="I23" s="699"/>
      <c r="J23" s="699"/>
      <c r="K23" s="442">
        <v>100</v>
      </c>
      <c r="L23" s="418" t="s">
        <v>123</v>
      </c>
      <c r="M23" s="418" t="s">
        <v>396</v>
      </c>
      <c r="N23" s="418" t="s">
        <v>121</v>
      </c>
      <c r="O23" s="418" t="s">
        <v>397</v>
      </c>
      <c r="P23" s="418" t="s">
        <v>398</v>
      </c>
      <c r="Q23" s="418" t="s">
        <v>399</v>
      </c>
      <c r="R23" s="346"/>
    </row>
    <row r="24" spans="1:18" s="293" customFormat="1" ht="15" thickBot="1">
      <c r="A24" s="683" t="str">
        <f>'1-συμβολαια'!A24</f>
        <v>7ο</v>
      </c>
      <c r="B24" s="684" t="str">
        <f>'1-συμβολαια'!C24</f>
        <v>;;;??? υποθήκης ΕΞΑΛΕΙΨΗ</v>
      </c>
      <c r="C24" s="291">
        <f>'1-συμβολαια'!D24</f>
        <v>0</v>
      </c>
      <c r="D24" s="292">
        <v>50</v>
      </c>
      <c r="E24" s="292">
        <v>180</v>
      </c>
      <c r="F24" s="699"/>
      <c r="G24" s="292">
        <v>50</v>
      </c>
      <c r="H24" s="292">
        <v>60</v>
      </c>
      <c r="I24" s="292">
        <v>200</v>
      </c>
      <c r="J24" s="292">
        <v>10</v>
      </c>
      <c r="K24" s="292">
        <v>320</v>
      </c>
      <c r="L24" s="350"/>
      <c r="M24" s="350"/>
      <c r="N24" s="350"/>
      <c r="O24" s="350"/>
      <c r="P24" s="350"/>
      <c r="Q24" s="350"/>
      <c r="R24" s="288"/>
    </row>
    <row r="25" spans="1:18" s="293" customFormat="1" ht="14.25">
      <c r="A25" s="444">
        <f>'1-συμβολαια'!A25</f>
        <v>0</v>
      </c>
      <c r="B25" s="290" t="str">
        <f>'1-συμβολαια'!C25</f>
        <v>υποθήκης 375τραπ29/7/82 ΕΞΑΛΕΙΨΗ</v>
      </c>
      <c r="C25" s="291">
        <f>'1-συμβολαια'!D25</f>
        <v>0</v>
      </c>
      <c r="D25" s="697"/>
      <c r="E25" s="697"/>
      <c r="F25" s="697"/>
      <c r="G25" s="697"/>
      <c r="H25" s="697"/>
      <c r="I25" s="697"/>
      <c r="J25" s="697"/>
      <c r="K25" s="292">
        <v>50</v>
      </c>
      <c r="L25" s="277" t="s">
        <v>123</v>
      </c>
      <c r="M25" s="277" t="s">
        <v>396</v>
      </c>
      <c r="N25" s="277" t="s">
        <v>121</v>
      </c>
      <c r="O25" s="277" t="s">
        <v>397</v>
      </c>
      <c r="P25" s="277" t="s">
        <v>398</v>
      </c>
      <c r="Q25" s="277" t="s">
        <v>399</v>
      </c>
      <c r="R25" s="67"/>
    </row>
    <row r="26" spans="1:18" s="293" customFormat="1" ht="14.25">
      <c r="A26" s="444">
        <f>'1-συμβολαια'!A26</f>
        <v>0</v>
      </c>
      <c r="B26" s="290" t="str">
        <f>'1-συμβολαια'!C26</f>
        <v>δάνειο 375τραπ 9/7/82 ΕΞΟΦΛΗΣΗ</v>
      </c>
      <c r="C26" s="291">
        <f>'1-συμβολαια'!D26</f>
        <v>0</v>
      </c>
      <c r="D26" s="697"/>
      <c r="E26" s="697"/>
      <c r="F26" s="697"/>
      <c r="G26" s="697"/>
      <c r="H26" s="697"/>
      <c r="I26" s="697"/>
      <c r="J26" s="697"/>
      <c r="K26" s="292">
        <v>50</v>
      </c>
      <c r="L26" s="277" t="s">
        <v>123</v>
      </c>
      <c r="M26" s="277" t="s">
        <v>396</v>
      </c>
      <c r="N26" s="277" t="s">
        <v>121</v>
      </c>
      <c r="O26" s="277" t="s">
        <v>397</v>
      </c>
      <c r="P26" s="277" t="s">
        <v>398</v>
      </c>
      <c r="Q26" s="277" t="s">
        <v>399</v>
      </c>
      <c r="R26" s="67"/>
    </row>
    <row r="27" spans="1:18" s="293" customFormat="1" ht="14.25">
      <c r="A27" s="444">
        <f>'1-συμβολαια'!A27</f>
        <v>0</v>
      </c>
      <c r="B27" s="290" t="str">
        <f>'1-συμβολαια'!C27</f>
        <v>τόκοι δανείου 375τραπ {= προπληρωθέντες VS υπερΠληρωθέντες</v>
      </c>
      <c r="C27" s="291">
        <f>'1-συμβολαια'!D27</f>
        <v>1111111</v>
      </c>
      <c r="D27" s="697"/>
      <c r="E27" s="697"/>
      <c r="F27" s="697"/>
      <c r="G27" s="697"/>
      <c r="H27" s="697"/>
      <c r="I27" s="697"/>
      <c r="J27" s="697"/>
      <c r="K27" s="292">
        <v>500</v>
      </c>
      <c r="L27" s="277" t="s">
        <v>123</v>
      </c>
      <c r="M27" s="277" t="s">
        <v>396</v>
      </c>
      <c r="N27" s="277" t="s">
        <v>121</v>
      </c>
      <c r="O27" s="277" t="s">
        <v>397</v>
      </c>
      <c r="P27" s="277" t="s">
        <v>398</v>
      </c>
      <c r="Q27" s="277" t="s">
        <v>399</v>
      </c>
      <c r="R27" s="67"/>
    </row>
    <row r="28" spans="1:18" s="293" customFormat="1" ht="14.25">
      <c r="A28" s="444">
        <f>'1-συμβολαια'!A28</f>
        <v>0</v>
      </c>
      <c r="B28" s="290" t="str">
        <f>'1-συμβολαια'!C28</f>
        <v>υποθήκης 389τραπ29/7/82 ΕΞΑΛΕΙΨΗ</v>
      </c>
      <c r="C28" s="291">
        <f>'1-συμβολαια'!D28</f>
        <v>0</v>
      </c>
      <c r="D28" s="697"/>
      <c r="E28" s="697"/>
      <c r="F28" s="697"/>
      <c r="G28" s="697"/>
      <c r="H28" s="697"/>
      <c r="I28" s="697"/>
      <c r="J28" s="697"/>
      <c r="K28" s="292">
        <v>50</v>
      </c>
      <c r="L28" s="277" t="s">
        <v>123</v>
      </c>
      <c r="M28" s="277" t="s">
        <v>396</v>
      </c>
      <c r="N28" s="277" t="s">
        <v>121</v>
      </c>
      <c r="O28" s="277" t="s">
        <v>397</v>
      </c>
      <c r="P28" s="277" t="s">
        <v>398</v>
      </c>
      <c r="Q28" s="277" t="s">
        <v>399</v>
      </c>
      <c r="R28" s="67"/>
    </row>
    <row r="29" spans="1:18" s="293" customFormat="1" ht="14.25">
      <c r="A29" s="444">
        <f>'1-συμβολαια'!A29</f>
        <v>0</v>
      </c>
      <c r="B29" s="290" t="str">
        <f>'1-συμβολαια'!C29</f>
        <v>δάνειο 389τραπ29/7/82 ΕΞΟΦΛΗΣΗ</v>
      </c>
      <c r="C29" s="291">
        <f>'1-συμβολαια'!D29</f>
        <v>0</v>
      </c>
      <c r="D29" s="697"/>
      <c r="E29" s="697"/>
      <c r="F29" s="697"/>
      <c r="G29" s="697"/>
      <c r="H29" s="697"/>
      <c r="I29" s="697"/>
      <c r="J29" s="697"/>
      <c r="K29" s="292">
        <v>50</v>
      </c>
      <c r="L29" s="277" t="s">
        <v>123</v>
      </c>
      <c r="M29" s="277" t="s">
        <v>396</v>
      </c>
      <c r="N29" s="277" t="s">
        <v>121</v>
      </c>
      <c r="O29" s="277" t="s">
        <v>397</v>
      </c>
      <c r="P29" s="277" t="s">
        <v>398</v>
      </c>
      <c r="Q29" s="277" t="s">
        <v>399</v>
      </c>
      <c r="R29" s="67"/>
    </row>
    <row r="30" spans="1:18" s="293" customFormat="1" ht="15" thickBot="1">
      <c r="A30" s="685">
        <f>'1-συμβολαια'!A30</f>
        <v>0</v>
      </c>
      <c r="B30" s="440" t="str">
        <f>'1-συμβολαια'!C30</f>
        <v>τόκοι δανείου 389τραπ {= προπληρωθέντες VS υπερΠληρωθέντες</v>
      </c>
      <c r="C30" s="441">
        <f>'1-συμβολαια'!D30</f>
        <v>2222222</v>
      </c>
      <c r="D30" s="699"/>
      <c r="E30" s="699"/>
      <c r="F30" s="699"/>
      <c r="G30" s="699"/>
      <c r="H30" s="699"/>
      <c r="I30" s="699"/>
      <c r="J30" s="699"/>
      <c r="K30" s="442">
        <v>500</v>
      </c>
      <c r="L30" s="418" t="s">
        <v>123</v>
      </c>
      <c r="M30" s="418" t="s">
        <v>396</v>
      </c>
      <c r="N30" s="418" t="s">
        <v>121</v>
      </c>
      <c r="O30" s="418" t="s">
        <v>397</v>
      </c>
      <c r="P30" s="418" t="s">
        <v>398</v>
      </c>
      <c r="Q30" s="418" t="s">
        <v>399</v>
      </c>
      <c r="R30" s="346"/>
    </row>
    <row r="31" spans="1:18" s="293" customFormat="1" ht="14.25">
      <c r="A31" s="686" t="str">
        <f>'1-συμβολαια'!A31</f>
        <v>8ο</v>
      </c>
      <c r="B31" s="684" t="str">
        <f>'1-συμβολαια'!C31</f>
        <v>μίσθωσης νταμάρι …. ΠΑΡΑΤΑΣΗ 3έτη</v>
      </c>
      <c r="C31" s="291">
        <f>'1-συμβολαια'!D31</f>
        <v>966657</v>
      </c>
      <c r="D31" s="292">
        <v>100</v>
      </c>
      <c r="E31" s="697"/>
      <c r="F31" s="697"/>
      <c r="G31" s="697"/>
      <c r="H31" s="697"/>
      <c r="I31" s="697"/>
      <c r="J31" s="697"/>
      <c r="K31" s="292"/>
      <c r="L31" s="350"/>
      <c r="M31" s="350" t="s">
        <v>396</v>
      </c>
      <c r="N31" s="350" t="s">
        <v>121</v>
      </c>
      <c r="O31" s="350" t="s">
        <v>397</v>
      </c>
      <c r="P31" s="350" t="s">
        <v>398</v>
      </c>
      <c r="Q31" s="350" t="s">
        <v>399</v>
      </c>
      <c r="R31" s="288"/>
    </row>
    <row r="32" spans="1:18" s="293" customFormat="1" ht="15" thickBot="1">
      <c r="A32" s="443">
        <f>'1-συμβολαια'!A32</f>
        <v>0</v>
      </c>
      <c r="B32" s="691" t="str">
        <f>'1-συμβολαια'!C32</f>
        <v>ΧΑΟΣ= κλείσιμο &amp; εκ ΝΕΟΥ</v>
      </c>
      <c r="C32" s="441">
        <f>'1-συμβολαια'!D32</f>
        <v>0</v>
      </c>
      <c r="D32" s="700"/>
      <c r="E32" s="700"/>
      <c r="F32" s="701"/>
      <c r="G32" s="700"/>
      <c r="H32" s="700"/>
      <c r="I32" s="700"/>
      <c r="J32" s="700"/>
      <c r="K32" s="700"/>
      <c r="L32" s="702"/>
      <c r="M32" s="702"/>
      <c r="N32" s="702"/>
      <c r="O32" s="702"/>
      <c r="P32" s="702"/>
      <c r="Q32" s="702"/>
      <c r="R32" s="346"/>
    </row>
    <row r="33" spans="1:18" s="293" customFormat="1" ht="14.25">
      <c r="A33" s="683" t="str">
        <f>'1-συμβολαια'!A33</f>
        <v>9ο</v>
      </c>
      <c r="B33" s="684" t="str">
        <f>'1-συμβολαια'!C33</f>
        <v xml:space="preserve">υποθήκη </v>
      </c>
      <c r="C33" s="291">
        <f>'1-συμβολαια'!D33</f>
        <v>100000</v>
      </c>
      <c r="D33" s="292">
        <v>1000</v>
      </c>
      <c r="E33" s="292">
        <v>460</v>
      </c>
      <c r="F33" s="697"/>
      <c r="G33" s="292">
        <v>100</v>
      </c>
      <c r="H33" s="697"/>
      <c r="I33" s="292">
        <v>580</v>
      </c>
      <c r="J33" s="697"/>
      <c r="K33" s="292">
        <v>680</v>
      </c>
      <c r="L33" s="350"/>
      <c r="M33" s="350"/>
      <c r="N33" s="350"/>
      <c r="O33" s="350" t="s">
        <v>397</v>
      </c>
      <c r="P33" s="350" t="s">
        <v>398</v>
      </c>
      <c r="Q33" s="350"/>
      <c r="R33" s="288"/>
    </row>
    <row r="34" spans="1:18" s="293" customFormat="1" ht="14.25">
      <c r="A34" s="444" t="str">
        <f>'1-συμβολαια'!A34</f>
        <v>794-1-2-3τραπ</v>
      </c>
      <c r="B34" s="290" t="str">
        <f>'1-συμβολαια'!C34</f>
        <v>υποθήκες δανείων [7/8/89-25/1/1991-8/3/1991-22/11/1991</v>
      </c>
      <c r="C34" s="291">
        <f>'1-συμβολαια'!D34</f>
        <v>73333333</v>
      </c>
      <c r="D34" s="697"/>
      <c r="E34" s="697"/>
      <c r="F34" s="697"/>
      <c r="G34" s="697"/>
      <c r="H34" s="697"/>
      <c r="I34" s="697"/>
      <c r="J34" s="697"/>
      <c r="K34" s="292">
        <v>1000</v>
      </c>
      <c r="L34" s="277" t="s">
        <v>123</v>
      </c>
      <c r="M34" s="277" t="s">
        <v>396</v>
      </c>
      <c r="N34" s="277" t="s">
        <v>121</v>
      </c>
      <c r="O34" s="277" t="s">
        <v>397</v>
      </c>
      <c r="P34" s="277" t="s">
        <v>398</v>
      </c>
      <c r="Q34" s="277" t="s">
        <v>399</v>
      </c>
      <c r="R34" s="67"/>
    </row>
    <row r="35" spans="1:18" s="293" customFormat="1" ht="14.25">
      <c r="A35" s="444">
        <f>'1-συμβολαια'!A35</f>
        <v>0</v>
      </c>
      <c r="B35" s="290" t="str">
        <f>'1-συμβολαια'!C35</f>
        <v>δάνεια ανωτέρω υποθηκών</v>
      </c>
      <c r="C35" s="291">
        <f>'1-συμβολαια'!D35</f>
        <v>61000000</v>
      </c>
      <c r="D35" s="697"/>
      <c r="E35" s="697"/>
      <c r="F35" s="697"/>
      <c r="G35" s="697"/>
      <c r="H35" s="697"/>
      <c r="I35" s="697"/>
      <c r="J35" s="697"/>
      <c r="K35" s="292">
        <v>1000</v>
      </c>
      <c r="L35" s="277" t="s">
        <v>123</v>
      </c>
      <c r="M35" s="277" t="s">
        <v>396</v>
      </c>
      <c r="N35" s="277" t="s">
        <v>121</v>
      </c>
      <c r="O35" s="277" t="s">
        <v>397</v>
      </c>
      <c r="P35" s="277" t="s">
        <v>398</v>
      </c>
      <c r="Q35" s="277" t="s">
        <v>399</v>
      </c>
      <c r="R35" s="67"/>
    </row>
    <row r="36" spans="1:18" s="293" customFormat="1" ht="15" thickBot="1">
      <c r="A36" s="685">
        <f>'1-συμβολαια'!A36</f>
        <v>0</v>
      </c>
      <c r="B36" s="440" t="str">
        <f>'1-συμβολαια'!C36</f>
        <v>τόκοι  ανωτέρω δανείων προπληρωθέντες</v>
      </c>
      <c r="C36" s="441">
        <f>'1-συμβολαια'!D36</f>
        <v>133333333</v>
      </c>
      <c r="D36" s="699"/>
      <c r="E36" s="699"/>
      <c r="F36" s="699"/>
      <c r="G36" s="697"/>
      <c r="H36" s="697"/>
      <c r="I36" s="697"/>
      <c r="J36" s="697"/>
      <c r="K36" s="442">
        <v>1000</v>
      </c>
      <c r="L36" s="418" t="s">
        <v>123</v>
      </c>
      <c r="M36" s="418" t="s">
        <v>396</v>
      </c>
      <c r="N36" s="418" t="s">
        <v>121</v>
      </c>
      <c r="O36" s="418" t="s">
        <v>397</v>
      </c>
      <c r="P36" s="418" t="s">
        <v>398</v>
      </c>
      <c r="Q36" s="418" t="s">
        <v>399</v>
      </c>
      <c r="R36" s="67"/>
    </row>
    <row r="37" spans="1:18" s="293" customFormat="1" ht="14.25">
      <c r="A37" s="686" t="str">
        <f>'1-συμβολαια'!A37</f>
        <v>10ο</v>
      </c>
      <c r="B37" s="684" t="str">
        <f>'1-συμβολαια'!C37</f>
        <v>υποθήκη  τοιχόν τόκων</v>
      </c>
      <c r="C37" s="291">
        <f>'1-συμβολαια'!D37</f>
        <v>100000</v>
      </c>
      <c r="D37" s="292">
        <v>1000</v>
      </c>
      <c r="E37" s="292">
        <v>480</v>
      </c>
      <c r="F37" s="697"/>
      <c r="G37" s="292">
        <v>1000</v>
      </c>
      <c r="H37" s="292">
        <v>480</v>
      </c>
      <c r="I37" s="292">
        <v>100</v>
      </c>
      <c r="J37" s="697"/>
      <c r="K37" s="292">
        <v>1580</v>
      </c>
      <c r="L37" s="350"/>
      <c r="M37" s="350"/>
      <c r="N37" s="350"/>
      <c r="O37" s="350"/>
      <c r="P37" s="350" t="s">
        <v>398</v>
      </c>
      <c r="Q37" s="350"/>
      <c r="R37" s="67"/>
    </row>
    <row r="38" spans="1:18" s="293" customFormat="1" ht="14.25">
      <c r="A38" s="294" t="str">
        <f>'1-συμβολαια'!A38</f>
        <v>794-4-5τραπ</v>
      </c>
      <c r="B38" s="290" t="str">
        <f>'1-συμβολαια'!C38</f>
        <v>υποθήκες δανείων [27/08/1992-30/10/1992</v>
      </c>
      <c r="C38" s="291">
        <f>'1-συμβολαια'!D38</f>
        <v>32555555</v>
      </c>
      <c r="D38" s="697"/>
      <c r="E38" s="697"/>
      <c r="F38" s="697"/>
      <c r="G38" s="697"/>
      <c r="H38" s="697"/>
      <c r="I38" s="697"/>
      <c r="J38" s="697"/>
      <c r="K38" s="292">
        <v>1000</v>
      </c>
      <c r="L38" s="277" t="s">
        <v>123</v>
      </c>
      <c r="M38" s="277" t="s">
        <v>396</v>
      </c>
      <c r="N38" s="277" t="s">
        <v>121</v>
      </c>
      <c r="O38" s="277" t="s">
        <v>397</v>
      </c>
      <c r="P38" s="277" t="s">
        <v>398</v>
      </c>
      <c r="Q38" s="277" t="s">
        <v>399</v>
      </c>
      <c r="R38" s="67"/>
    </row>
    <row r="39" spans="1:18" s="293" customFormat="1" ht="14.25">
      <c r="A39" s="294">
        <f>'1-συμβολαια'!A39</f>
        <v>0</v>
      </c>
      <c r="B39" s="290" t="str">
        <f>'1-συμβολαια'!C39</f>
        <v>δάνεια ανωτέρω υποθηκών</v>
      </c>
      <c r="C39" s="291">
        <f>'1-συμβολαια'!D39</f>
        <v>27000000</v>
      </c>
      <c r="D39" s="697"/>
      <c r="E39" s="697"/>
      <c r="F39" s="697"/>
      <c r="G39" s="697"/>
      <c r="H39" s="697"/>
      <c r="I39" s="697"/>
      <c r="J39" s="697"/>
      <c r="K39" s="292">
        <v>1000</v>
      </c>
      <c r="L39" s="277" t="s">
        <v>123</v>
      </c>
      <c r="M39" s="277" t="s">
        <v>396</v>
      </c>
      <c r="N39" s="277" t="s">
        <v>121</v>
      </c>
      <c r="O39" s="277" t="s">
        <v>397</v>
      </c>
      <c r="P39" s="277" t="s">
        <v>398</v>
      </c>
      <c r="Q39" s="277" t="s">
        <v>399</v>
      </c>
      <c r="R39" s="67"/>
    </row>
    <row r="40" spans="1:18" s="293" customFormat="1" ht="15" thickBot="1">
      <c r="A40" s="443">
        <f>'1-συμβολαια'!A40</f>
        <v>0</v>
      </c>
      <c r="B40" s="440" t="str">
        <f>'1-συμβολαια'!C40</f>
        <v>τόκοι  ανωτέρω δανείων προπληρωθέντες</v>
      </c>
      <c r="C40" s="441">
        <f>'1-συμβολαια'!D40</f>
        <v>55555555</v>
      </c>
      <c r="D40" s="699"/>
      <c r="E40" s="699"/>
      <c r="F40" s="699"/>
      <c r="G40" s="699"/>
      <c r="H40" s="699"/>
      <c r="I40" s="699"/>
      <c r="J40" s="699"/>
      <c r="K40" s="442">
        <v>1000</v>
      </c>
      <c r="L40" s="418" t="s">
        <v>123</v>
      </c>
      <c r="M40" s="418" t="s">
        <v>396</v>
      </c>
      <c r="N40" s="418" t="s">
        <v>121</v>
      </c>
      <c r="O40" s="418" t="s">
        <v>397</v>
      </c>
      <c r="P40" s="418" t="s">
        <v>398</v>
      </c>
      <c r="Q40" s="418" t="s">
        <v>399</v>
      </c>
      <c r="R40" s="67"/>
    </row>
    <row r="41" spans="1:18" s="293" customFormat="1" ht="14.25">
      <c r="A41" s="683" t="str">
        <f>'1-συμβολαια'!A41</f>
        <v>11ο</v>
      </c>
      <c r="B41" s="684" t="str">
        <f>'1-συμβολαια'!C41</f>
        <v>μίσθωσις νταμάρι  Λιμένας -'';;;???'' 24,526στρ 3έτη [8000/έτος/στρ</v>
      </c>
      <c r="C41" s="291">
        <f>'1-συμβολαια'!D41</f>
        <v>588624</v>
      </c>
      <c r="D41" s="697"/>
      <c r="E41" s="292">
        <v>900</v>
      </c>
      <c r="F41" s="697"/>
      <c r="G41" s="697"/>
      <c r="H41" s="697"/>
      <c r="I41" s="697"/>
      <c r="J41" s="697"/>
      <c r="K41" s="292">
        <v>1000</v>
      </c>
      <c r="L41" s="350" t="s">
        <v>123</v>
      </c>
      <c r="M41" s="350"/>
      <c r="N41" s="350" t="s">
        <v>121</v>
      </c>
      <c r="O41" s="350" t="s">
        <v>397</v>
      </c>
      <c r="P41" s="350" t="s">
        <v>398</v>
      </c>
      <c r="Q41" s="350" t="s">
        <v>399</v>
      </c>
      <c r="R41" s="67"/>
    </row>
    <row r="42" spans="1:18" s="293" customFormat="1" ht="14.25">
      <c r="A42" s="444">
        <f>'1-συμβολαια'!A42</f>
        <v>0</v>
      </c>
      <c r="B42" s="290" t="str">
        <f>'1-συμβολαια'!C42</f>
        <v>μίσθωση … ΚΤΙΡΙΑΚΑ &amp; τεχνικές εγκαταστάσεις &amp; ΚΛΠ</v>
      </c>
      <c r="C42" s="291">
        <f>'1-συμβολαια'!D42</f>
        <v>50000000</v>
      </c>
      <c r="D42" s="697"/>
      <c r="E42" s="697"/>
      <c r="F42" s="697"/>
      <c r="G42" s="697"/>
      <c r="H42" s="697"/>
      <c r="I42" s="697"/>
      <c r="J42" s="697"/>
      <c r="K42" s="292">
        <v>1000</v>
      </c>
      <c r="L42" s="277" t="s">
        <v>123</v>
      </c>
      <c r="M42" s="277" t="s">
        <v>396</v>
      </c>
      <c r="N42" s="277" t="s">
        <v>121</v>
      </c>
      <c r="O42" s="277" t="s">
        <v>397</v>
      </c>
      <c r="P42" s="277" t="s">
        <v>398</v>
      </c>
      <c r="Q42" s="277" t="s">
        <v>399</v>
      </c>
      <c r="R42" s="67"/>
    </row>
    <row r="43" spans="1:18" s="293" customFormat="1" ht="14.25">
      <c r="A43" s="444">
        <f>'1-συμβολαια'!A43</f>
        <v>0</v>
      </c>
      <c r="B43" s="290" t="str">
        <f>'1-συμβολαια'!C43</f>
        <v>μίσθωση … ΕΡΕΥΝΗΤΙΚΕΣ εργασίες</v>
      </c>
      <c r="C43" s="291">
        <f>'1-συμβολαια'!D43</f>
        <v>3333333</v>
      </c>
      <c r="D43" s="697"/>
      <c r="E43" s="697"/>
      <c r="F43" s="697"/>
      <c r="G43" s="697"/>
      <c r="H43" s="697"/>
      <c r="I43" s="697"/>
      <c r="J43" s="697"/>
      <c r="K43" s="292">
        <v>1000</v>
      </c>
      <c r="L43" s="277" t="s">
        <v>123</v>
      </c>
      <c r="M43" s="277" t="s">
        <v>396</v>
      </c>
      <c r="N43" s="277" t="s">
        <v>121</v>
      </c>
      <c r="O43" s="277" t="s">
        <v>397</v>
      </c>
      <c r="P43" s="277" t="s">
        <v>398</v>
      </c>
      <c r="Q43" s="277" t="s">
        <v>399</v>
      </c>
      <c r="R43" s="67"/>
    </row>
    <row r="44" spans="1:18" s="293" customFormat="1" ht="15" thickBot="1">
      <c r="A44" s="685">
        <f>'1-συμβολαια'!A44</f>
        <v>0</v>
      </c>
      <c r="B44" s="440" t="str">
        <f>'1-συμβολαια'!C44</f>
        <v>μίσθωση ….. κόστος έργων αποκατάστασης</v>
      </c>
      <c r="C44" s="441">
        <f>'1-συμβολαια'!D44</f>
        <v>6000000</v>
      </c>
      <c r="D44" s="697"/>
      <c r="E44" s="697"/>
      <c r="F44" s="697"/>
      <c r="G44" s="697"/>
      <c r="H44" s="697"/>
      <c r="I44" s="697"/>
      <c r="J44" s="697"/>
      <c r="K44" s="442">
        <v>1000</v>
      </c>
      <c r="L44" s="418" t="s">
        <v>123</v>
      </c>
      <c r="M44" s="418" t="s">
        <v>396</v>
      </c>
      <c r="N44" s="418" t="s">
        <v>121</v>
      </c>
      <c r="O44" s="418" t="s">
        <v>397</v>
      </c>
      <c r="P44" s="418" t="s">
        <v>398</v>
      </c>
      <c r="Q44" s="418" t="s">
        <v>399</v>
      </c>
      <c r="R44" s="346"/>
    </row>
    <row r="45" spans="1:18" s="293" customFormat="1" ht="14.25">
      <c r="A45" s="686" t="str">
        <f>'1-συμβολαια'!A45</f>
        <v>12ο</v>
      </c>
      <c r="B45" s="684" t="str">
        <f>'1-συμβολαια'!C45</f>
        <v>μίσθωσης νταμάρι ... &amp; ... ΠΑΡΑΤΑΣΗ 3έτη</v>
      </c>
      <c r="C45" s="291">
        <f>'1-συμβολαια'!D45</f>
        <v>957000</v>
      </c>
      <c r="D45" s="292">
        <v>100</v>
      </c>
      <c r="E45" s="697"/>
      <c r="F45" s="697"/>
      <c r="G45" s="292">
        <v>100</v>
      </c>
      <c r="H45" s="292">
        <v>100</v>
      </c>
      <c r="I45" s="292">
        <v>160</v>
      </c>
      <c r="J45" s="292">
        <v>40</v>
      </c>
      <c r="K45" s="292">
        <f>900+440+100+100+160+40</f>
        <v>1740</v>
      </c>
      <c r="L45" s="350"/>
      <c r="M45" s="350" t="s">
        <v>396</v>
      </c>
      <c r="N45" s="350"/>
      <c r="O45" s="350"/>
      <c r="P45" s="350"/>
      <c r="Q45" s="350"/>
      <c r="R45" s="288" t="s">
        <v>682</v>
      </c>
    </row>
    <row r="46" spans="1:18" s="293" customFormat="1" ht="14.25">
      <c r="A46" s="294">
        <f>'1-συμβολαια'!A46</f>
        <v>0</v>
      </c>
      <c r="B46" s="690" t="str">
        <f>'1-συμβολαια'!C46</f>
        <v>ΧΑΟΣ= κλείσιμο &amp; εκ ΝΕΟΥ</v>
      </c>
      <c r="C46" s="291">
        <f>'1-συμβολαια'!D46</f>
        <v>0</v>
      </c>
      <c r="D46" s="692"/>
      <c r="E46" s="692"/>
      <c r="F46" s="693"/>
      <c r="G46" s="692"/>
      <c r="H46" s="694"/>
      <c r="I46" s="694"/>
      <c r="J46" s="694"/>
      <c r="K46" s="694"/>
      <c r="L46" s="695"/>
      <c r="M46" s="695"/>
      <c r="N46" s="695"/>
      <c r="O46" s="695"/>
      <c r="P46" s="695"/>
      <c r="Q46" s="695"/>
      <c r="R46" s="67"/>
    </row>
    <row r="47" spans="1:18" ht="15.75">
      <c r="A47" s="806" t="s">
        <v>54</v>
      </c>
      <c r="B47" s="807"/>
      <c r="C47" s="807"/>
      <c r="D47" s="228">
        <f t="shared" ref="D47:K47" si="0">SUM(D3:D46)</f>
        <v>4370</v>
      </c>
      <c r="E47" s="228">
        <f t="shared" si="0"/>
        <v>2300</v>
      </c>
      <c r="F47" s="228">
        <f t="shared" si="0"/>
        <v>0</v>
      </c>
      <c r="G47" s="228">
        <f t="shared" si="0"/>
        <v>2870</v>
      </c>
      <c r="H47" s="228">
        <f t="shared" si="0"/>
        <v>662</v>
      </c>
      <c r="I47" s="228">
        <f t="shared" si="0"/>
        <v>3618</v>
      </c>
      <c r="J47" s="228">
        <f t="shared" si="0"/>
        <v>54</v>
      </c>
      <c r="K47" s="228">
        <f t="shared" si="0"/>
        <v>26542</v>
      </c>
    </row>
    <row r="48" spans="1:18" ht="15.75">
      <c r="L48" s="119" t="s">
        <v>99</v>
      </c>
      <c r="M48" s="134"/>
      <c r="N48" s="134"/>
      <c r="O48" s="134"/>
      <c r="P48" s="134"/>
      <c r="Q48" s="134"/>
      <c r="R48" s="134"/>
    </row>
    <row r="49" spans="2:18" ht="15.75">
      <c r="L49" s="222"/>
      <c r="M49" s="119" t="s">
        <v>392</v>
      </c>
      <c r="N49" s="222"/>
      <c r="O49" s="222"/>
      <c r="P49" s="222"/>
      <c r="Q49" s="222"/>
      <c r="R49" s="222"/>
    </row>
    <row r="50" spans="2:18" ht="15.75">
      <c r="L50" s="229"/>
      <c r="M50" s="229"/>
      <c r="N50" s="134" t="s">
        <v>100</v>
      </c>
      <c r="O50" s="134"/>
      <c r="P50" s="134"/>
      <c r="Q50" s="134"/>
      <c r="R50" s="134"/>
    </row>
    <row r="51" spans="2:18" ht="15.75">
      <c r="B51" s="125"/>
      <c r="L51" s="229"/>
      <c r="M51" s="229"/>
      <c r="N51" s="229"/>
      <c r="O51" s="230" t="s">
        <v>393</v>
      </c>
      <c r="P51" s="229"/>
      <c r="Q51" s="229"/>
      <c r="R51" s="230"/>
    </row>
    <row r="52" spans="2:18" ht="15.75">
      <c r="B52" s="126"/>
      <c r="L52" s="229"/>
      <c r="M52" s="229"/>
      <c r="N52" s="229"/>
      <c r="O52" s="229"/>
      <c r="P52" s="134" t="s">
        <v>394</v>
      </c>
      <c r="Q52" s="134"/>
      <c r="R52" s="134"/>
    </row>
    <row r="53" spans="2:18" ht="15.75">
      <c r="L53" s="229"/>
      <c r="M53" s="229"/>
      <c r="N53" s="229"/>
      <c r="O53" s="229"/>
      <c r="P53" s="229"/>
      <c r="Q53" s="230" t="s">
        <v>395</v>
      </c>
      <c r="R53" s="230"/>
    </row>
    <row r="54" spans="2:18">
      <c r="B54" s="125"/>
      <c r="C54" s="281"/>
      <c r="D54" s="7"/>
      <c r="E54" s="7"/>
    </row>
    <row r="55" spans="2:18">
      <c r="B55" s="126"/>
      <c r="C55" s="281"/>
      <c r="D55" s="7"/>
      <c r="E55" s="7"/>
    </row>
    <row r="56" spans="2:18">
      <c r="C56" s="84"/>
      <c r="D56" s="84"/>
      <c r="E56" s="84"/>
      <c r="F56" s="84"/>
      <c r="G56" s="84"/>
      <c r="H56" s="84"/>
      <c r="I56" s="84"/>
      <c r="J56" s="84"/>
      <c r="K56" s="84"/>
    </row>
    <row r="57" spans="2:18">
      <c r="C57" s="281"/>
      <c r="D57" s="7"/>
      <c r="E57" s="7"/>
    </row>
    <row r="58" spans="2:18">
      <c r="C58" s="281"/>
      <c r="D58" s="7"/>
      <c r="E58" s="7"/>
    </row>
    <row r="59" spans="2:18">
      <c r="C59" s="281"/>
      <c r="D59" s="7"/>
      <c r="E59" s="7"/>
    </row>
    <row r="60" spans="2:18">
      <c r="C60" s="281"/>
      <c r="D60" s="7"/>
      <c r="E60" s="7"/>
    </row>
    <row r="61" spans="2:18">
      <c r="C61" s="281"/>
      <c r="D61" s="7"/>
      <c r="E61" s="7"/>
    </row>
    <row r="62" spans="2:18">
      <c r="C62" s="281"/>
      <c r="D62" s="7"/>
      <c r="E62" s="7"/>
    </row>
    <row r="63" spans="2:18">
      <c r="C63" s="281"/>
      <c r="D63" s="7"/>
      <c r="E63" s="7"/>
    </row>
    <row r="64" spans="2:18">
      <c r="C64" s="281"/>
      <c r="D64" s="7"/>
      <c r="E64" s="7"/>
    </row>
    <row r="65" spans="3:6">
      <c r="C65" s="281"/>
      <c r="D65" s="7"/>
      <c r="E65" s="7"/>
    </row>
    <row r="66" spans="3:6">
      <c r="C66" s="281"/>
      <c r="D66" s="7"/>
      <c r="E66" s="7"/>
    </row>
    <row r="67" spans="3:6">
      <c r="C67" s="281"/>
      <c r="D67" s="7"/>
      <c r="E67" s="7"/>
    </row>
    <row r="68" spans="3:6">
      <c r="C68" s="281"/>
      <c r="D68" s="7"/>
      <c r="E68" s="7"/>
      <c r="F68" s="7"/>
    </row>
  </sheetData>
  <mergeCells count="8">
    <mergeCell ref="L1:R2"/>
    <mergeCell ref="K1:K2"/>
    <mergeCell ref="A47:C47"/>
    <mergeCell ref="D1:F1"/>
    <mergeCell ref="A1:A2"/>
    <mergeCell ref="B1:B2"/>
    <mergeCell ref="C1:C2"/>
    <mergeCell ref="G1:J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76"/>
  <sheetViews>
    <sheetView workbookViewId="0">
      <pane ySplit="2" topLeftCell="A3" activePane="bottomLeft" state="frozen"/>
      <selection pane="bottomLeft" activeCell="C51" sqref="C51"/>
    </sheetView>
  </sheetViews>
  <sheetFormatPr defaultRowHeight="15"/>
  <cols>
    <col min="1" max="1" width="19.5703125" style="96" bestFit="1" customWidth="1"/>
    <col min="2" max="2" width="94.5703125" style="97" customWidth="1"/>
    <col min="3" max="3" width="14.85546875" style="98" bestFit="1" customWidth="1"/>
    <col min="4" max="4" width="10.42578125" style="98" bestFit="1" customWidth="1"/>
    <col min="5" max="5" width="16.7109375" style="98" bestFit="1" customWidth="1"/>
    <col min="6" max="6" width="7.85546875" style="95" customWidth="1"/>
    <col min="7" max="7" width="10" style="95" customWidth="1"/>
    <col min="8" max="8" width="6.140625" style="95" bestFit="1" customWidth="1"/>
    <col min="9" max="12" width="7.140625" style="95" customWidth="1"/>
    <col min="13" max="13" width="6.28515625" style="95" customWidth="1"/>
    <col min="14" max="21" width="7.140625" style="95" customWidth="1"/>
    <col min="22" max="22" width="30.85546875" style="95" customWidth="1"/>
    <col min="23" max="220" width="9.140625" style="91"/>
    <col min="221" max="221" width="9" style="91" bestFit="1" customWidth="1"/>
    <col min="222" max="222" width="9.85546875" style="91" bestFit="1" customWidth="1"/>
    <col min="223" max="223" width="9.140625" style="91" bestFit="1" customWidth="1"/>
    <col min="224" max="224" width="16" style="91" bestFit="1" customWidth="1"/>
    <col min="225" max="225" width="9" style="91" bestFit="1" customWidth="1"/>
    <col min="226" max="226" width="7.85546875" style="91" bestFit="1" customWidth="1"/>
    <col min="227" max="227" width="11.7109375" style="91" bestFit="1" customWidth="1"/>
    <col min="228" max="228" width="14.28515625" style="91" customWidth="1"/>
    <col min="229" max="229" width="11.7109375" style="91" bestFit="1" customWidth="1"/>
    <col min="230" max="230" width="14.140625" style="91" bestFit="1" customWidth="1"/>
    <col min="231" max="231" width="16.7109375" style="91" customWidth="1"/>
    <col min="232" max="232" width="16.5703125" style="91" customWidth="1"/>
    <col min="233" max="234" width="7.85546875" style="91" bestFit="1" customWidth="1"/>
    <col min="235" max="235" width="8" style="91" bestFit="1" customWidth="1"/>
    <col min="236" max="237" width="7.85546875" style="91" bestFit="1" customWidth="1"/>
    <col min="238" max="238" width="9.7109375" style="91" customWidth="1"/>
    <col min="239" max="239" width="12.85546875" style="91" customWidth="1"/>
    <col min="240" max="476" width="9.140625" style="91"/>
    <col min="477" max="477" width="9" style="91" bestFit="1" customWidth="1"/>
    <col min="478" max="478" width="9.85546875" style="91" bestFit="1" customWidth="1"/>
    <col min="479" max="479" width="9.140625" style="91" bestFit="1" customWidth="1"/>
    <col min="480" max="480" width="16" style="91" bestFit="1" customWidth="1"/>
    <col min="481" max="481" width="9" style="91" bestFit="1" customWidth="1"/>
    <col min="482" max="482" width="7.85546875" style="91" bestFit="1" customWidth="1"/>
    <col min="483" max="483" width="11.7109375" style="91" bestFit="1" customWidth="1"/>
    <col min="484" max="484" width="14.28515625" style="91" customWidth="1"/>
    <col min="485" max="485" width="11.7109375" style="91" bestFit="1" customWidth="1"/>
    <col min="486" max="486" width="14.140625" style="91" bestFit="1" customWidth="1"/>
    <col min="487" max="487" width="16.7109375" style="91" customWidth="1"/>
    <col min="488" max="488" width="16.5703125" style="91" customWidth="1"/>
    <col min="489" max="490" width="7.85546875" style="91" bestFit="1" customWidth="1"/>
    <col min="491" max="491" width="8" style="91" bestFit="1" customWidth="1"/>
    <col min="492" max="493" width="7.85546875" style="91" bestFit="1" customWidth="1"/>
    <col min="494" max="494" width="9.7109375" style="91" customWidth="1"/>
    <col min="495" max="495" width="12.85546875" style="91" customWidth="1"/>
    <col min="496" max="732" width="9.140625" style="91"/>
    <col min="733" max="733" width="9" style="91" bestFit="1" customWidth="1"/>
    <col min="734" max="734" width="9.85546875" style="91" bestFit="1" customWidth="1"/>
    <col min="735" max="735" width="9.140625" style="91" bestFit="1" customWidth="1"/>
    <col min="736" max="736" width="16" style="91" bestFit="1" customWidth="1"/>
    <col min="737" max="737" width="9" style="91" bestFit="1" customWidth="1"/>
    <col min="738" max="738" width="7.85546875" style="91" bestFit="1" customWidth="1"/>
    <col min="739" max="739" width="11.7109375" style="91" bestFit="1" customWidth="1"/>
    <col min="740" max="740" width="14.28515625" style="91" customWidth="1"/>
    <col min="741" max="741" width="11.7109375" style="91" bestFit="1" customWidth="1"/>
    <col min="742" max="742" width="14.140625" style="91" bestFit="1" customWidth="1"/>
    <col min="743" max="743" width="16.7109375" style="91" customWidth="1"/>
    <col min="744" max="744" width="16.5703125" style="91" customWidth="1"/>
    <col min="745" max="746" width="7.85546875" style="91" bestFit="1" customWidth="1"/>
    <col min="747" max="747" width="8" style="91" bestFit="1" customWidth="1"/>
    <col min="748" max="749" width="7.85546875" style="91" bestFit="1" customWidth="1"/>
    <col min="750" max="750" width="9.7109375" style="91" customWidth="1"/>
    <col min="751" max="751" width="12.85546875" style="91" customWidth="1"/>
    <col min="752" max="988" width="9.140625" style="91"/>
    <col min="989" max="989" width="9" style="91" bestFit="1" customWidth="1"/>
    <col min="990" max="990" width="9.85546875" style="91" bestFit="1" customWidth="1"/>
    <col min="991" max="991" width="9.140625" style="91" bestFit="1" customWidth="1"/>
    <col min="992" max="992" width="16" style="91" bestFit="1" customWidth="1"/>
    <col min="993" max="993" width="9" style="91" bestFit="1" customWidth="1"/>
    <col min="994" max="994" width="7.85546875" style="91" bestFit="1" customWidth="1"/>
    <col min="995" max="995" width="11.7109375" style="91" bestFit="1" customWidth="1"/>
    <col min="996" max="996" width="14.28515625" style="91" customWidth="1"/>
    <col min="997" max="997" width="11.7109375" style="91" bestFit="1" customWidth="1"/>
    <col min="998" max="998" width="14.140625" style="91" bestFit="1" customWidth="1"/>
    <col min="999" max="999" width="16.7109375" style="91" customWidth="1"/>
    <col min="1000" max="1000" width="16.5703125" style="91" customWidth="1"/>
    <col min="1001" max="1002" width="7.85546875" style="91" bestFit="1" customWidth="1"/>
    <col min="1003" max="1003" width="8" style="91" bestFit="1" customWidth="1"/>
    <col min="1004" max="1005" width="7.85546875" style="91" bestFit="1" customWidth="1"/>
    <col min="1006" max="1006" width="9.7109375" style="91" customWidth="1"/>
    <col min="1007" max="1007" width="12.85546875" style="91" customWidth="1"/>
    <col min="1008" max="1244" width="9.140625" style="91"/>
    <col min="1245" max="1245" width="9" style="91" bestFit="1" customWidth="1"/>
    <col min="1246" max="1246" width="9.85546875" style="91" bestFit="1" customWidth="1"/>
    <col min="1247" max="1247" width="9.140625" style="91" bestFit="1" customWidth="1"/>
    <col min="1248" max="1248" width="16" style="91" bestFit="1" customWidth="1"/>
    <col min="1249" max="1249" width="9" style="91" bestFit="1" customWidth="1"/>
    <col min="1250" max="1250" width="7.85546875" style="91" bestFit="1" customWidth="1"/>
    <col min="1251" max="1251" width="11.7109375" style="91" bestFit="1" customWidth="1"/>
    <col min="1252" max="1252" width="14.28515625" style="91" customWidth="1"/>
    <col min="1253" max="1253" width="11.7109375" style="91" bestFit="1" customWidth="1"/>
    <col min="1254" max="1254" width="14.140625" style="91" bestFit="1" customWidth="1"/>
    <col min="1255" max="1255" width="16.7109375" style="91" customWidth="1"/>
    <col min="1256" max="1256" width="16.5703125" style="91" customWidth="1"/>
    <col min="1257" max="1258" width="7.85546875" style="91" bestFit="1" customWidth="1"/>
    <col min="1259" max="1259" width="8" style="91" bestFit="1" customWidth="1"/>
    <col min="1260" max="1261" width="7.85546875" style="91" bestFit="1" customWidth="1"/>
    <col min="1262" max="1262" width="9.7109375" style="91" customWidth="1"/>
    <col min="1263" max="1263" width="12.85546875" style="91" customWidth="1"/>
    <col min="1264" max="1500" width="9.140625" style="91"/>
    <col min="1501" max="1501" width="9" style="91" bestFit="1" customWidth="1"/>
    <col min="1502" max="1502" width="9.85546875" style="91" bestFit="1" customWidth="1"/>
    <col min="1503" max="1503" width="9.140625" style="91" bestFit="1" customWidth="1"/>
    <col min="1504" max="1504" width="16" style="91" bestFit="1" customWidth="1"/>
    <col min="1505" max="1505" width="9" style="91" bestFit="1" customWidth="1"/>
    <col min="1506" max="1506" width="7.85546875" style="91" bestFit="1" customWidth="1"/>
    <col min="1507" max="1507" width="11.7109375" style="91" bestFit="1" customWidth="1"/>
    <col min="1508" max="1508" width="14.28515625" style="91" customWidth="1"/>
    <col min="1509" max="1509" width="11.7109375" style="91" bestFit="1" customWidth="1"/>
    <col min="1510" max="1510" width="14.140625" style="91" bestFit="1" customWidth="1"/>
    <col min="1511" max="1511" width="16.7109375" style="91" customWidth="1"/>
    <col min="1512" max="1512" width="16.5703125" style="91" customWidth="1"/>
    <col min="1513" max="1514" width="7.85546875" style="91" bestFit="1" customWidth="1"/>
    <col min="1515" max="1515" width="8" style="91" bestFit="1" customWidth="1"/>
    <col min="1516" max="1517" width="7.85546875" style="91" bestFit="1" customWidth="1"/>
    <col min="1518" max="1518" width="9.7109375" style="91" customWidth="1"/>
    <col min="1519" max="1519" width="12.85546875" style="91" customWidth="1"/>
    <col min="1520" max="1756" width="9.140625" style="91"/>
    <col min="1757" max="1757" width="9" style="91" bestFit="1" customWidth="1"/>
    <col min="1758" max="1758" width="9.85546875" style="91" bestFit="1" customWidth="1"/>
    <col min="1759" max="1759" width="9.140625" style="91" bestFit="1" customWidth="1"/>
    <col min="1760" max="1760" width="16" style="91" bestFit="1" customWidth="1"/>
    <col min="1761" max="1761" width="9" style="91" bestFit="1" customWidth="1"/>
    <col min="1762" max="1762" width="7.85546875" style="91" bestFit="1" customWidth="1"/>
    <col min="1763" max="1763" width="11.7109375" style="91" bestFit="1" customWidth="1"/>
    <col min="1764" max="1764" width="14.28515625" style="91" customWidth="1"/>
    <col min="1765" max="1765" width="11.7109375" style="91" bestFit="1" customWidth="1"/>
    <col min="1766" max="1766" width="14.140625" style="91" bestFit="1" customWidth="1"/>
    <col min="1767" max="1767" width="16.7109375" style="91" customWidth="1"/>
    <col min="1768" max="1768" width="16.5703125" style="91" customWidth="1"/>
    <col min="1769" max="1770" width="7.85546875" style="91" bestFit="1" customWidth="1"/>
    <col min="1771" max="1771" width="8" style="91" bestFit="1" customWidth="1"/>
    <col min="1772" max="1773" width="7.85546875" style="91" bestFit="1" customWidth="1"/>
    <col min="1774" max="1774" width="9.7109375" style="91" customWidth="1"/>
    <col min="1775" max="1775" width="12.85546875" style="91" customWidth="1"/>
    <col min="1776" max="2012" width="9.140625" style="91"/>
    <col min="2013" max="2013" width="9" style="91" bestFit="1" customWidth="1"/>
    <col min="2014" max="2014" width="9.85546875" style="91" bestFit="1" customWidth="1"/>
    <col min="2015" max="2015" width="9.140625" style="91" bestFit="1" customWidth="1"/>
    <col min="2016" max="2016" width="16" style="91" bestFit="1" customWidth="1"/>
    <col min="2017" max="2017" width="9" style="91" bestFit="1" customWidth="1"/>
    <col min="2018" max="2018" width="7.85546875" style="91" bestFit="1" customWidth="1"/>
    <col min="2019" max="2019" width="11.7109375" style="91" bestFit="1" customWidth="1"/>
    <col min="2020" max="2020" width="14.28515625" style="91" customWidth="1"/>
    <col min="2021" max="2021" width="11.7109375" style="91" bestFit="1" customWidth="1"/>
    <col min="2022" max="2022" width="14.140625" style="91" bestFit="1" customWidth="1"/>
    <col min="2023" max="2023" width="16.7109375" style="91" customWidth="1"/>
    <col min="2024" max="2024" width="16.5703125" style="91" customWidth="1"/>
    <col min="2025" max="2026" width="7.85546875" style="91" bestFit="1" customWidth="1"/>
    <col min="2027" max="2027" width="8" style="91" bestFit="1" customWidth="1"/>
    <col min="2028" max="2029" width="7.85546875" style="91" bestFit="1" customWidth="1"/>
    <col min="2030" max="2030" width="9.7109375" style="91" customWidth="1"/>
    <col min="2031" max="2031" width="12.85546875" style="91" customWidth="1"/>
    <col min="2032" max="2268" width="9.140625" style="91"/>
    <col min="2269" max="2269" width="9" style="91" bestFit="1" customWidth="1"/>
    <col min="2270" max="2270" width="9.85546875" style="91" bestFit="1" customWidth="1"/>
    <col min="2271" max="2271" width="9.140625" style="91" bestFit="1" customWidth="1"/>
    <col min="2272" max="2272" width="16" style="91" bestFit="1" customWidth="1"/>
    <col min="2273" max="2273" width="9" style="91" bestFit="1" customWidth="1"/>
    <col min="2274" max="2274" width="7.85546875" style="91" bestFit="1" customWidth="1"/>
    <col min="2275" max="2275" width="11.7109375" style="91" bestFit="1" customWidth="1"/>
    <col min="2276" max="2276" width="14.28515625" style="91" customWidth="1"/>
    <col min="2277" max="2277" width="11.7109375" style="91" bestFit="1" customWidth="1"/>
    <col min="2278" max="2278" width="14.140625" style="91" bestFit="1" customWidth="1"/>
    <col min="2279" max="2279" width="16.7109375" style="91" customWidth="1"/>
    <col min="2280" max="2280" width="16.5703125" style="91" customWidth="1"/>
    <col min="2281" max="2282" width="7.85546875" style="91" bestFit="1" customWidth="1"/>
    <col min="2283" max="2283" width="8" style="91" bestFit="1" customWidth="1"/>
    <col min="2284" max="2285" width="7.85546875" style="91" bestFit="1" customWidth="1"/>
    <col min="2286" max="2286" width="9.7109375" style="91" customWidth="1"/>
    <col min="2287" max="2287" width="12.85546875" style="91" customWidth="1"/>
    <col min="2288" max="2524" width="9.140625" style="91"/>
    <col min="2525" max="2525" width="9" style="91" bestFit="1" customWidth="1"/>
    <col min="2526" max="2526" width="9.85546875" style="91" bestFit="1" customWidth="1"/>
    <col min="2527" max="2527" width="9.140625" style="91" bestFit="1" customWidth="1"/>
    <col min="2528" max="2528" width="16" style="91" bestFit="1" customWidth="1"/>
    <col min="2529" max="2529" width="9" style="91" bestFit="1" customWidth="1"/>
    <col min="2530" max="2530" width="7.85546875" style="91" bestFit="1" customWidth="1"/>
    <col min="2531" max="2531" width="11.7109375" style="91" bestFit="1" customWidth="1"/>
    <col min="2532" max="2532" width="14.28515625" style="91" customWidth="1"/>
    <col min="2533" max="2533" width="11.7109375" style="91" bestFit="1" customWidth="1"/>
    <col min="2534" max="2534" width="14.140625" style="91" bestFit="1" customWidth="1"/>
    <col min="2535" max="2535" width="16.7109375" style="91" customWidth="1"/>
    <col min="2536" max="2536" width="16.5703125" style="91" customWidth="1"/>
    <col min="2537" max="2538" width="7.85546875" style="91" bestFit="1" customWidth="1"/>
    <col min="2539" max="2539" width="8" style="91" bestFit="1" customWidth="1"/>
    <col min="2540" max="2541" width="7.85546875" style="91" bestFit="1" customWidth="1"/>
    <col min="2542" max="2542" width="9.7109375" style="91" customWidth="1"/>
    <col min="2543" max="2543" width="12.85546875" style="91" customWidth="1"/>
    <col min="2544" max="2780" width="9.140625" style="91"/>
    <col min="2781" max="2781" width="9" style="91" bestFit="1" customWidth="1"/>
    <col min="2782" max="2782" width="9.85546875" style="91" bestFit="1" customWidth="1"/>
    <col min="2783" max="2783" width="9.140625" style="91" bestFit="1" customWidth="1"/>
    <col min="2784" max="2784" width="16" style="91" bestFit="1" customWidth="1"/>
    <col min="2785" max="2785" width="9" style="91" bestFit="1" customWidth="1"/>
    <col min="2786" max="2786" width="7.85546875" style="91" bestFit="1" customWidth="1"/>
    <col min="2787" max="2787" width="11.7109375" style="91" bestFit="1" customWidth="1"/>
    <col min="2788" max="2788" width="14.28515625" style="91" customWidth="1"/>
    <col min="2789" max="2789" width="11.7109375" style="91" bestFit="1" customWidth="1"/>
    <col min="2790" max="2790" width="14.140625" style="91" bestFit="1" customWidth="1"/>
    <col min="2791" max="2791" width="16.7109375" style="91" customWidth="1"/>
    <col min="2792" max="2792" width="16.5703125" style="91" customWidth="1"/>
    <col min="2793" max="2794" width="7.85546875" style="91" bestFit="1" customWidth="1"/>
    <col min="2795" max="2795" width="8" style="91" bestFit="1" customWidth="1"/>
    <col min="2796" max="2797" width="7.85546875" style="91" bestFit="1" customWidth="1"/>
    <col min="2798" max="2798" width="9.7109375" style="91" customWidth="1"/>
    <col min="2799" max="2799" width="12.85546875" style="91" customWidth="1"/>
    <col min="2800" max="3036" width="9.140625" style="91"/>
    <col min="3037" max="3037" width="9" style="91" bestFit="1" customWidth="1"/>
    <col min="3038" max="3038" width="9.85546875" style="91" bestFit="1" customWidth="1"/>
    <col min="3039" max="3039" width="9.140625" style="91" bestFit="1" customWidth="1"/>
    <col min="3040" max="3040" width="16" style="91" bestFit="1" customWidth="1"/>
    <col min="3041" max="3041" width="9" style="91" bestFit="1" customWidth="1"/>
    <col min="3042" max="3042" width="7.85546875" style="91" bestFit="1" customWidth="1"/>
    <col min="3043" max="3043" width="11.7109375" style="91" bestFit="1" customWidth="1"/>
    <col min="3044" max="3044" width="14.28515625" style="91" customWidth="1"/>
    <col min="3045" max="3045" width="11.7109375" style="91" bestFit="1" customWidth="1"/>
    <col min="3046" max="3046" width="14.140625" style="91" bestFit="1" customWidth="1"/>
    <col min="3047" max="3047" width="16.7109375" style="91" customWidth="1"/>
    <col min="3048" max="3048" width="16.5703125" style="91" customWidth="1"/>
    <col min="3049" max="3050" width="7.85546875" style="91" bestFit="1" customWidth="1"/>
    <col min="3051" max="3051" width="8" style="91" bestFit="1" customWidth="1"/>
    <col min="3052" max="3053" width="7.85546875" style="91" bestFit="1" customWidth="1"/>
    <col min="3054" max="3054" width="9.7109375" style="91" customWidth="1"/>
    <col min="3055" max="3055" width="12.85546875" style="91" customWidth="1"/>
    <col min="3056" max="3292" width="9.140625" style="91"/>
    <col min="3293" max="3293" width="9" style="91" bestFit="1" customWidth="1"/>
    <col min="3294" max="3294" width="9.85546875" style="91" bestFit="1" customWidth="1"/>
    <col min="3295" max="3295" width="9.140625" style="91" bestFit="1" customWidth="1"/>
    <col min="3296" max="3296" width="16" style="91" bestFit="1" customWidth="1"/>
    <col min="3297" max="3297" width="9" style="91" bestFit="1" customWidth="1"/>
    <col min="3298" max="3298" width="7.85546875" style="91" bestFit="1" customWidth="1"/>
    <col min="3299" max="3299" width="11.7109375" style="91" bestFit="1" customWidth="1"/>
    <col min="3300" max="3300" width="14.28515625" style="91" customWidth="1"/>
    <col min="3301" max="3301" width="11.7109375" style="91" bestFit="1" customWidth="1"/>
    <col min="3302" max="3302" width="14.140625" style="91" bestFit="1" customWidth="1"/>
    <col min="3303" max="3303" width="16.7109375" style="91" customWidth="1"/>
    <col min="3304" max="3304" width="16.5703125" style="91" customWidth="1"/>
    <col min="3305" max="3306" width="7.85546875" style="91" bestFit="1" customWidth="1"/>
    <col min="3307" max="3307" width="8" style="91" bestFit="1" customWidth="1"/>
    <col min="3308" max="3309" width="7.85546875" style="91" bestFit="1" customWidth="1"/>
    <col min="3310" max="3310" width="9.7109375" style="91" customWidth="1"/>
    <col min="3311" max="3311" width="12.85546875" style="91" customWidth="1"/>
    <col min="3312" max="3548" width="9.140625" style="91"/>
    <col min="3549" max="3549" width="9" style="91" bestFit="1" customWidth="1"/>
    <col min="3550" max="3550" width="9.85546875" style="91" bestFit="1" customWidth="1"/>
    <col min="3551" max="3551" width="9.140625" style="91" bestFit="1" customWidth="1"/>
    <col min="3552" max="3552" width="16" style="91" bestFit="1" customWidth="1"/>
    <col min="3553" max="3553" width="9" style="91" bestFit="1" customWidth="1"/>
    <col min="3554" max="3554" width="7.85546875" style="91" bestFit="1" customWidth="1"/>
    <col min="3555" max="3555" width="11.7109375" style="91" bestFit="1" customWidth="1"/>
    <col min="3556" max="3556" width="14.28515625" style="91" customWidth="1"/>
    <col min="3557" max="3557" width="11.7109375" style="91" bestFit="1" customWidth="1"/>
    <col min="3558" max="3558" width="14.140625" style="91" bestFit="1" customWidth="1"/>
    <col min="3559" max="3559" width="16.7109375" style="91" customWidth="1"/>
    <col min="3560" max="3560" width="16.5703125" style="91" customWidth="1"/>
    <col min="3561" max="3562" width="7.85546875" style="91" bestFit="1" customWidth="1"/>
    <col min="3563" max="3563" width="8" style="91" bestFit="1" customWidth="1"/>
    <col min="3564" max="3565" width="7.85546875" style="91" bestFit="1" customWidth="1"/>
    <col min="3566" max="3566" width="9.7109375" style="91" customWidth="1"/>
    <col min="3567" max="3567" width="12.85546875" style="91" customWidth="1"/>
    <col min="3568" max="3804" width="9.140625" style="91"/>
    <col min="3805" max="3805" width="9" style="91" bestFit="1" customWidth="1"/>
    <col min="3806" max="3806" width="9.85546875" style="91" bestFit="1" customWidth="1"/>
    <col min="3807" max="3807" width="9.140625" style="91" bestFit="1" customWidth="1"/>
    <col min="3808" max="3808" width="16" style="91" bestFit="1" customWidth="1"/>
    <col min="3809" max="3809" width="9" style="91" bestFit="1" customWidth="1"/>
    <col min="3810" max="3810" width="7.85546875" style="91" bestFit="1" customWidth="1"/>
    <col min="3811" max="3811" width="11.7109375" style="91" bestFit="1" customWidth="1"/>
    <col min="3812" max="3812" width="14.28515625" style="91" customWidth="1"/>
    <col min="3813" max="3813" width="11.7109375" style="91" bestFit="1" customWidth="1"/>
    <col min="3814" max="3814" width="14.140625" style="91" bestFit="1" customWidth="1"/>
    <col min="3815" max="3815" width="16.7109375" style="91" customWidth="1"/>
    <col min="3816" max="3816" width="16.5703125" style="91" customWidth="1"/>
    <col min="3817" max="3818" width="7.85546875" style="91" bestFit="1" customWidth="1"/>
    <col min="3819" max="3819" width="8" style="91" bestFit="1" customWidth="1"/>
    <col min="3820" max="3821" width="7.85546875" style="91" bestFit="1" customWidth="1"/>
    <col min="3822" max="3822" width="9.7109375" style="91" customWidth="1"/>
    <col min="3823" max="3823" width="12.85546875" style="91" customWidth="1"/>
    <col min="3824" max="4060" width="9.140625" style="91"/>
    <col min="4061" max="4061" width="9" style="91" bestFit="1" customWidth="1"/>
    <col min="4062" max="4062" width="9.85546875" style="91" bestFit="1" customWidth="1"/>
    <col min="4063" max="4063" width="9.140625" style="91" bestFit="1" customWidth="1"/>
    <col min="4064" max="4064" width="16" style="91" bestFit="1" customWidth="1"/>
    <col min="4065" max="4065" width="9" style="91" bestFit="1" customWidth="1"/>
    <col min="4066" max="4066" width="7.85546875" style="91" bestFit="1" customWidth="1"/>
    <col min="4067" max="4067" width="11.7109375" style="91" bestFit="1" customWidth="1"/>
    <col min="4068" max="4068" width="14.28515625" style="91" customWidth="1"/>
    <col min="4069" max="4069" width="11.7109375" style="91" bestFit="1" customWidth="1"/>
    <col min="4070" max="4070" width="14.140625" style="91" bestFit="1" customWidth="1"/>
    <col min="4071" max="4071" width="16.7109375" style="91" customWidth="1"/>
    <col min="4072" max="4072" width="16.5703125" style="91" customWidth="1"/>
    <col min="4073" max="4074" width="7.85546875" style="91" bestFit="1" customWidth="1"/>
    <col min="4075" max="4075" width="8" style="91" bestFit="1" customWidth="1"/>
    <col min="4076" max="4077" width="7.85546875" style="91" bestFit="1" customWidth="1"/>
    <col min="4078" max="4078" width="9.7109375" style="91" customWidth="1"/>
    <col min="4079" max="4079" width="12.85546875" style="91" customWidth="1"/>
    <col min="4080" max="4316" width="9.140625" style="91"/>
    <col min="4317" max="4317" width="9" style="91" bestFit="1" customWidth="1"/>
    <col min="4318" max="4318" width="9.85546875" style="91" bestFit="1" customWidth="1"/>
    <col min="4319" max="4319" width="9.140625" style="91" bestFit="1" customWidth="1"/>
    <col min="4320" max="4320" width="16" style="91" bestFit="1" customWidth="1"/>
    <col min="4321" max="4321" width="9" style="91" bestFit="1" customWidth="1"/>
    <col min="4322" max="4322" width="7.85546875" style="91" bestFit="1" customWidth="1"/>
    <col min="4323" max="4323" width="11.7109375" style="91" bestFit="1" customWidth="1"/>
    <col min="4324" max="4324" width="14.28515625" style="91" customWidth="1"/>
    <col min="4325" max="4325" width="11.7109375" style="91" bestFit="1" customWidth="1"/>
    <col min="4326" max="4326" width="14.140625" style="91" bestFit="1" customWidth="1"/>
    <col min="4327" max="4327" width="16.7109375" style="91" customWidth="1"/>
    <col min="4328" max="4328" width="16.5703125" style="91" customWidth="1"/>
    <col min="4329" max="4330" width="7.85546875" style="91" bestFit="1" customWidth="1"/>
    <col min="4331" max="4331" width="8" style="91" bestFit="1" customWidth="1"/>
    <col min="4332" max="4333" width="7.85546875" style="91" bestFit="1" customWidth="1"/>
    <col min="4334" max="4334" width="9.7109375" style="91" customWidth="1"/>
    <col min="4335" max="4335" width="12.85546875" style="91" customWidth="1"/>
    <col min="4336" max="4572" width="9.140625" style="91"/>
    <col min="4573" max="4573" width="9" style="91" bestFit="1" customWidth="1"/>
    <col min="4574" max="4574" width="9.85546875" style="91" bestFit="1" customWidth="1"/>
    <col min="4575" max="4575" width="9.140625" style="91" bestFit="1" customWidth="1"/>
    <col min="4576" max="4576" width="16" style="91" bestFit="1" customWidth="1"/>
    <col min="4577" max="4577" width="9" style="91" bestFit="1" customWidth="1"/>
    <col min="4578" max="4578" width="7.85546875" style="91" bestFit="1" customWidth="1"/>
    <col min="4579" max="4579" width="11.7109375" style="91" bestFit="1" customWidth="1"/>
    <col min="4580" max="4580" width="14.28515625" style="91" customWidth="1"/>
    <col min="4581" max="4581" width="11.7109375" style="91" bestFit="1" customWidth="1"/>
    <col min="4582" max="4582" width="14.140625" style="91" bestFit="1" customWidth="1"/>
    <col min="4583" max="4583" width="16.7109375" style="91" customWidth="1"/>
    <col min="4584" max="4584" width="16.5703125" style="91" customWidth="1"/>
    <col min="4585" max="4586" width="7.85546875" style="91" bestFit="1" customWidth="1"/>
    <col min="4587" max="4587" width="8" style="91" bestFit="1" customWidth="1"/>
    <col min="4588" max="4589" width="7.85546875" style="91" bestFit="1" customWidth="1"/>
    <col min="4590" max="4590" width="9.7109375" style="91" customWidth="1"/>
    <col min="4591" max="4591" width="12.85546875" style="91" customWidth="1"/>
    <col min="4592" max="4828" width="9.140625" style="91"/>
    <col min="4829" max="4829" width="9" style="91" bestFit="1" customWidth="1"/>
    <col min="4830" max="4830" width="9.85546875" style="91" bestFit="1" customWidth="1"/>
    <col min="4831" max="4831" width="9.140625" style="91" bestFit="1" customWidth="1"/>
    <col min="4832" max="4832" width="16" style="91" bestFit="1" customWidth="1"/>
    <col min="4833" max="4833" width="9" style="91" bestFit="1" customWidth="1"/>
    <col min="4834" max="4834" width="7.85546875" style="91" bestFit="1" customWidth="1"/>
    <col min="4835" max="4835" width="11.7109375" style="91" bestFit="1" customWidth="1"/>
    <col min="4836" max="4836" width="14.28515625" style="91" customWidth="1"/>
    <col min="4837" max="4837" width="11.7109375" style="91" bestFit="1" customWidth="1"/>
    <col min="4838" max="4838" width="14.140625" style="91" bestFit="1" customWidth="1"/>
    <col min="4839" max="4839" width="16.7109375" style="91" customWidth="1"/>
    <col min="4840" max="4840" width="16.5703125" style="91" customWidth="1"/>
    <col min="4841" max="4842" width="7.85546875" style="91" bestFit="1" customWidth="1"/>
    <col min="4843" max="4843" width="8" style="91" bestFit="1" customWidth="1"/>
    <col min="4844" max="4845" width="7.85546875" style="91" bestFit="1" customWidth="1"/>
    <col min="4846" max="4846" width="9.7109375" style="91" customWidth="1"/>
    <col min="4847" max="4847" width="12.85546875" style="91" customWidth="1"/>
    <col min="4848" max="5084" width="9.140625" style="91"/>
    <col min="5085" max="5085" width="9" style="91" bestFit="1" customWidth="1"/>
    <col min="5086" max="5086" width="9.85546875" style="91" bestFit="1" customWidth="1"/>
    <col min="5087" max="5087" width="9.140625" style="91" bestFit="1" customWidth="1"/>
    <col min="5088" max="5088" width="16" style="91" bestFit="1" customWidth="1"/>
    <col min="5089" max="5089" width="9" style="91" bestFit="1" customWidth="1"/>
    <col min="5090" max="5090" width="7.85546875" style="91" bestFit="1" customWidth="1"/>
    <col min="5091" max="5091" width="11.7109375" style="91" bestFit="1" customWidth="1"/>
    <col min="5092" max="5092" width="14.28515625" style="91" customWidth="1"/>
    <col min="5093" max="5093" width="11.7109375" style="91" bestFit="1" customWidth="1"/>
    <col min="5094" max="5094" width="14.140625" style="91" bestFit="1" customWidth="1"/>
    <col min="5095" max="5095" width="16.7109375" style="91" customWidth="1"/>
    <col min="5096" max="5096" width="16.5703125" style="91" customWidth="1"/>
    <col min="5097" max="5098" width="7.85546875" style="91" bestFit="1" customWidth="1"/>
    <col min="5099" max="5099" width="8" style="91" bestFit="1" customWidth="1"/>
    <col min="5100" max="5101" width="7.85546875" style="91" bestFit="1" customWidth="1"/>
    <col min="5102" max="5102" width="9.7109375" style="91" customWidth="1"/>
    <col min="5103" max="5103" width="12.85546875" style="91" customWidth="1"/>
    <col min="5104" max="5340" width="9.140625" style="91"/>
    <col min="5341" max="5341" width="9" style="91" bestFit="1" customWidth="1"/>
    <col min="5342" max="5342" width="9.85546875" style="91" bestFit="1" customWidth="1"/>
    <col min="5343" max="5343" width="9.140625" style="91" bestFit="1" customWidth="1"/>
    <col min="5344" max="5344" width="16" style="91" bestFit="1" customWidth="1"/>
    <col min="5345" max="5345" width="9" style="91" bestFit="1" customWidth="1"/>
    <col min="5346" max="5346" width="7.85546875" style="91" bestFit="1" customWidth="1"/>
    <col min="5347" max="5347" width="11.7109375" style="91" bestFit="1" customWidth="1"/>
    <col min="5348" max="5348" width="14.28515625" style="91" customWidth="1"/>
    <col min="5349" max="5349" width="11.7109375" style="91" bestFit="1" customWidth="1"/>
    <col min="5350" max="5350" width="14.140625" style="91" bestFit="1" customWidth="1"/>
    <col min="5351" max="5351" width="16.7109375" style="91" customWidth="1"/>
    <col min="5352" max="5352" width="16.5703125" style="91" customWidth="1"/>
    <col min="5353" max="5354" width="7.85546875" style="91" bestFit="1" customWidth="1"/>
    <col min="5355" max="5355" width="8" style="91" bestFit="1" customWidth="1"/>
    <col min="5356" max="5357" width="7.85546875" style="91" bestFit="1" customWidth="1"/>
    <col min="5358" max="5358" width="9.7109375" style="91" customWidth="1"/>
    <col min="5359" max="5359" width="12.85546875" style="91" customWidth="1"/>
    <col min="5360" max="5596" width="9.140625" style="91"/>
    <col min="5597" max="5597" width="9" style="91" bestFit="1" customWidth="1"/>
    <col min="5598" max="5598" width="9.85546875" style="91" bestFit="1" customWidth="1"/>
    <col min="5599" max="5599" width="9.140625" style="91" bestFit="1" customWidth="1"/>
    <col min="5600" max="5600" width="16" style="91" bestFit="1" customWidth="1"/>
    <col min="5601" max="5601" width="9" style="91" bestFit="1" customWidth="1"/>
    <col min="5602" max="5602" width="7.85546875" style="91" bestFit="1" customWidth="1"/>
    <col min="5603" max="5603" width="11.7109375" style="91" bestFit="1" customWidth="1"/>
    <col min="5604" max="5604" width="14.28515625" style="91" customWidth="1"/>
    <col min="5605" max="5605" width="11.7109375" style="91" bestFit="1" customWidth="1"/>
    <col min="5606" max="5606" width="14.140625" style="91" bestFit="1" customWidth="1"/>
    <col min="5607" max="5607" width="16.7109375" style="91" customWidth="1"/>
    <col min="5608" max="5608" width="16.5703125" style="91" customWidth="1"/>
    <col min="5609" max="5610" width="7.85546875" style="91" bestFit="1" customWidth="1"/>
    <col min="5611" max="5611" width="8" style="91" bestFit="1" customWidth="1"/>
    <col min="5612" max="5613" width="7.85546875" style="91" bestFit="1" customWidth="1"/>
    <col min="5614" max="5614" width="9.7109375" style="91" customWidth="1"/>
    <col min="5615" max="5615" width="12.85546875" style="91" customWidth="1"/>
    <col min="5616" max="5852" width="9.140625" style="91"/>
    <col min="5853" max="5853" width="9" style="91" bestFit="1" customWidth="1"/>
    <col min="5854" max="5854" width="9.85546875" style="91" bestFit="1" customWidth="1"/>
    <col min="5855" max="5855" width="9.140625" style="91" bestFit="1" customWidth="1"/>
    <col min="5856" max="5856" width="16" style="91" bestFit="1" customWidth="1"/>
    <col min="5857" max="5857" width="9" style="91" bestFit="1" customWidth="1"/>
    <col min="5858" max="5858" width="7.85546875" style="91" bestFit="1" customWidth="1"/>
    <col min="5859" max="5859" width="11.7109375" style="91" bestFit="1" customWidth="1"/>
    <col min="5860" max="5860" width="14.28515625" style="91" customWidth="1"/>
    <col min="5861" max="5861" width="11.7109375" style="91" bestFit="1" customWidth="1"/>
    <col min="5862" max="5862" width="14.140625" style="91" bestFit="1" customWidth="1"/>
    <col min="5863" max="5863" width="16.7109375" style="91" customWidth="1"/>
    <col min="5864" max="5864" width="16.5703125" style="91" customWidth="1"/>
    <col min="5865" max="5866" width="7.85546875" style="91" bestFit="1" customWidth="1"/>
    <col min="5867" max="5867" width="8" style="91" bestFit="1" customWidth="1"/>
    <col min="5868" max="5869" width="7.85546875" style="91" bestFit="1" customWidth="1"/>
    <col min="5870" max="5870" width="9.7109375" style="91" customWidth="1"/>
    <col min="5871" max="5871" width="12.85546875" style="91" customWidth="1"/>
    <col min="5872" max="6108" width="9.140625" style="91"/>
    <col min="6109" max="6109" width="9" style="91" bestFit="1" customWidth="1"/>
    <col min="6110" max="6110" width="9.85546875" style="91" bestFit="1" customWidth="1"/>
    <col min="6111" max="6111" width="9.140625" style="91" bestFit="1" customWidth="1"/>
    <col min="6112" max="6112" width="16" style="91" bestFit="1" customWidth="1"/>
    <col min="6113" max="6113" width="9" style="91" bestFit="1" customWidth="1"/>
    <col min="6114" max="6114" width="7.85546875" style="91" bestFit="1" customWidth="1"/>
    <col min="6115" max="6115" width="11.7109375" style="91" bestFit="1" customWidth="1"/>
    <col min="6116" max="6116" width="14.28515625" style="91" customWidth="1"/>
    <col min="6117" max="6117" width="11.7109375" style="91" bestFit="1" customWidth="1"/>
    <col min="6118" max="6118" width="14.140625" style="91" bestFit="1" customWidth="1"/>
    <col min="6119" max="6119" width="16.7109375" style="91" customWidth="1"/>
    <col min="6120" max="6120" width="16.5703125" style="91" customWidth="1"/>
    <col min="6121" max="6122" width="7.85546875" style="91" bestFit="1" customWidth="1"/>
    <col min="6123" max="6123" width="8" style="91" bestFit="1" customWidth="1"/>
    <col min="6124" max="6125" width="7.85546875" style="91" bestFit="1" customWidth="1"/>
    <col min="6126" max="6126" width="9.7109375" style="91" customWidth="1"/>
    <col min="6127" max="6127" width="12.85546875" style="91" customWidth="1"/>
    <col min="6128" max="6364" width="9.140625" style="91"/>
    <col min="6365" max="6365" width="9" style="91" bestFit="1" customWidth="1"/>
    <col min="6366" max="6366" width="9.85546875" style="91" bestFit="1" customWidth="1"/>
    <col min="6367" max="6367" width="9.140625" style="91" bestFit="1" customWidth="1"/>
    <col min="6368" max="6368" width="16" style="91" bestFit="1" customWidth="1"/>
    <col min="6369" max="6369" width="9" style="91" bestFit="1" customWidth="1"/>
    <col min="6370" max="6370" width="7.85546875" style="91" bestFit="1" customWidth="1"/>
    <col min="6371" max="6371" width="11.7109375" style="91" bestFit="1" customWidth="1"/>
    <col min="6372" max="6372" width="14.28515625" style="91" customWidth="1"/>
    <col min="6373" max="6373" width="11.7109375" style="91" bestFit="1" customWidth="1"/>
    <col min="6374" max="6374" width="14.140625" style="91" bestFit="1" customWidth="1"/>
    <col min="6375" max="6375" width="16.7109375" style="91" customWidth="1"/>
    <col min="6376" max="6376" width="16.5703125" style="91" customWidth="1"/>
    <col min="6377" max="6378" width="7.85546875" style="91" bestFit="1" customWidth="1"/>
    <col min="6379" max="6379" width="8" style="91" bestFit="1" customWidth="1"/>
    <col min="6380" max="6381" width="7.85546875" style="91" bestFit="1" customWidth="1"/>
    <col min="6382" max="6382" width="9.7109375" style="91" customWidth="1"/>
    <col min="6383" max="6383" width="12.85546875" style="91" customWidth="1"/>
    <col min="6384" max="6620" width="9.140625" style="91"/>
    <col min="6621" max="6621" width="9" style="91" bestFit="1" customWidth="1"/>
    <col min="6622" max="6622" width="9.85546875" style="91" bestFit="1" customWidth="1"/>
    <col min="6623" max="6623" width="9.140625" style="91" bestFit="1" customWidth="1"/>
    <col min="6624" max="6624" width="16" style="91" bestFit="1" customWidth="1"/>
    <col min="6625" max="6625" width="9" style="91" bestFit="1" customWidth="1"/>
    <col min="6626" max="6626" width="7.85546875" style="91" bestFit="1" customWidth="1"/>
    <col min="6627" max="6627" width="11.7109375" style="91" bestFit="1" customWidth="1"/>
    <col min="6628" max="6628" width="14.28515625" style="91" customWidth="1"/>
    <col min="6629" max="6629" width="11.7109375" style="91" bestFit="1" customWidth="1"/>
    <col min="6630" max="6630" width="14.140625" style="91" bestFit="1" customWidth="1"/>
    <col min="6631" max="6631" width="16.7109375" style="91" customWidth="1"/>
    <col min="6632" max="6632" width="16.5703125" style="91" customWidth="1"/>
    <col min="6633" max="6634" width="7.85546875" style="91" bestFit="1" customWidth="1"/>
    <col min="6635" max="6635" width="8" style="91" bestFit="1" customWidth="1"/>
    <col min="6636" max="6637" width="7.85546875" style="91" bestFit="1" customWidth="1"/>
    <col min="6638" max="6638" width="9.7109375" style="91" customWidth="1"/>
    <col min="6639" max="6639" width="12.85546875" style="91" customWidth="1"/>
    <col min="6640" max="6876" width="9.140625" style="91"/>
    <col min="6877" max="6877" width="9" style="91" bestFit="1" customWidth="1"/>
    <col min="6878" max="6878" width="9.85546875" style="91" bestFit="1" customWidth="1"/>
    <col min="6879" max="6879" width="9.140625" style="91" bestFit="1" customWidth="1"/>
    <col min="6880" max="6880" width="16" style="91" bestFit="1" customWidth="1"/>
    <col min="6881" max="6881" width="9" style="91" bestFit="1" customWidth="1"/>
    <col min="6882" max="6882" width="7.85546875" style="91" bestFit="1" customWidth="1"/>
    <col min="6883" max="6883" width="11.7109375" style="91" bestFit="1" customWidth="1"/>
    <col min="6884" max="6884" width="14.28515625" style="91" customWidth="1"/>
    <col min="6885" max="6885" width="11.7109375" style="91" bestFit="1" customWidth="1"/>
    <col min="6886" max="6886" width="14.140625" style="91" bestFit="1" customWidth="1"/>
    <col min="6887" max="6887" width="16.7109375" style="91" customWidth="1"/>
    <col min="6888" max="6888" width="16.5703125" style="91" customWidth="1"/>
    <col min="6889" max="6890" width="7.85546875" style="91" bestFit="1" customWidth="1"/>
    <col min="6891" max="6891" width="8" style="91" bestFit="1" customWidth="1"/>
    <col min="6892" max="6893" width="7.85546875" style="91" bestFit="1" customWidth="1"/>
    <col min="6894" max="6894" width="9.7109375" style="91" customWidth="1"/>
    <col min="6895" max="6895" width="12.85546875" style="91" customWidth="1"/>
    <col min="6896" max="7132" width="9.140625" style="91"/>
    <col min="7133" max="7133" width="9" style="91" bestFit="1" customWidth="1"/>
    <col min="7134" max="7134" width="9.85546875" style="91" bestFit="1" customWidth="1"/>
    <col min="7135" max="7135" width="9.140625" style="91" bestFit="1" customWidth="1"/>
    <col min="7136" max="7136" width="16" style="91" bestFit="1" customWidth="1"/>
    <col min="7137" max="7137" width="9" style="91" bestFit="1" customWidth="1"/>
    <col min="7138" max="7138" width="7.85546875" style="91" bestFit="1" customWidth="1"/>
    <col min="7139" max="7139" width="11.7109375" style="91" bestFit="1" customWidth="1"/>
    <col min="7140" max="7140" width="14.28515625" style="91" customWidth="1"/>
    <col min="7141" max="7141" width="11.7109375" style="91" bestFit="1" customWidth="1"/>
    <col min="7142" max="7142" width="14.140625" style="91" bestFit="1" customWidth="1"/>
    <col min="7143" max="7143" width="16.7109375" style="91" customWidth="1"/>
    <col min="7144" max="7144" width="16.5703125" style="91" customWidth="1"/>
    <col min="7145" max="7146" width="7.85546875" style="91" bestFit="1" customWidth="1"/>
    <col min="7147" max="7147" width="8" style="91" bestFit="1" customWidth="1"/>
    <col min="7148" max="7149" width="7.85546875" style="91" bestFit="1" customWidth="1"/>
    <col min="7150" max="7150" width="9.7109375" style="91" customWidth="1"/>
    <col min="7151" max="7151" width="12.85546875" style="91" customWidth="1"/>
    <col min="7152" max="7388" width="9.140625" style="91"/>
    <col min="7389" max="7389" width="9" style="91" bestFit="1" customWidth="1"/>
    <col min="7390" max="7390" width="9.85546875" style="91" bestFit="1" customWidth="1"/>
    <col min="7391" max="7391" width="9.140625" style="91" bestFit="1" customWidth="1"/>
    <col min="7392" max="7392" width="16" style="91" bestFit="1" customWidth="1"/>
    <col min="7393" max="7393" width="9" style="91" bestFit="1" customWidth="1"/>
    <col min="7394" max="7394" width="7.85546875" style="91" bestFit="1" customWidth="1"/>
    <col min="7395" max="7395" width="11.7109375" style="91" bestFit="1" customWidth="1"/>
    <col min="7396" max="7396" width="14.28515625" style="91" customWidth="1"/>
    <col min="7397" max="7397" width="11.7109375" style="91" bestFit="1" customWidth="1"/>
    <col min="7398" max="7398" width="14.140625" style="91" bestFit="1" customWidth="1"/>
    <col min="7399" max="7399" width="16.7109375" style="91" customWidth="1"/>
    <col min="7400" max="7400" width="16.5703125" style="91" customWidth="1"/>
    <col min="7401" max="7402" width="7.85546875" style="91" bestFit="1" customWidth="1"/>
    <col min="7403" max="7403" width="8" style="91" bestFit="1" customWidth="1"/>
    <col min="7404" max="7405" width="7.85546875" style="91" bestFit="1" customWidth="1"/>
    <col min="7406" max="7406" width="9.7109375" style="91" customWidth="1"/>
    <col min="7407" max="7407" width="12.85546875" style="91" customWidth="1"/>
    <col min="7408" max="7644" width="9.140625" style="91"/>
    <col min="7645" max="7645" width="9" style="91" bestFit="1" customWidth="1"/>
    <col min="7646" max="7646" width="9.85546875" style="91" bestFit="1" customWidth="1"/>
    <col min="7647" max="7647" width="9.140625" style="91" bestFit="1" customWidth="1"/>
    <col min="7648" max="7648" width="16" style="91" bestFit="1" customWidth="1"/>
    <col min="7649" max="7649" width="9" style="91" bestFit="1" customWidth="1"/>
    <col min="7650" max="7650" width="7.85546875" style="91" bestFit="1" customWidth="1"/>
    <col min="7651" max="7651" width="11.7109375" style="91" bestFit="1" customWidth="1"/>
    <col min="7652" max="7652" width="14.28515625" style="91" customWidth="1"/>
    <col min="7653" max="7653" width="11.7109375" style="91" bestFit="1" customWidth="1"/>
    <col min="7654" max="7654" width="14.140625" style="91" bestFit="1" customWidth="1"/>
    <col min="7655" max="7655" width="16.7109375" style="91" customWidth="1"/>
    <col min="7656" max="7656" width="16.5703125" style="91" customWidth="1"/>
    <col min="7657" max="7658" width="7.85546875" style="91" bestFit="1" customWidth="1"/>
    <col min="7659" max="7659" width="8" style="91" bestFit="1" customWidth="1"/>
    <col min="7660" max="7661" width="7.85546875" style="91" bestFit="1" customWidth="1"/>
    <col min="7662" max="7662" width="9.7109375" style="91" customWidth="1"/>
    <col min="7663" max="7663" width="12.85546875" style="91" customWidth="1"/>
    <col min="7664" max="7900" width="9.140625" style="91"/>
    <col min="7901" max="7901" width="9" style="91" bestFit="1" customWidth="1"/>
    <col min="7902" max="7902" width="9.85546875" style="91" bestFit="1" customWidth="1"/>
    <col min="7903" max="7903" width="9.140625" style="91" bestFit="1" customWidth="1"/>
    <col min="7904" max="7904" width="16" style="91" bestFit="1" customWidth="1"/>
    <col min="7905" max="7905" width="9" style="91" bestFit="1" customWidth="1"/>
    <col min="7906" max="7906" width="7.85546875" style="91" bestFit="1" customWidth="1"/>
    <col min="7907" max="7907" width="11.7109375" style="91" bestFit="1" customWidth="1"/>
    <col min="7908" max="7908" width="14.28515625" style="91" customWidth="1"/>
    <col min="7909" max="7909" width="11.7109375" style="91" bestFit="1" customWidth="1"/>
    <col min="7910" max="7910" width="14.140625" style="91" bestFit="1" customWidth="1"/>
    <col min="7911" max="7911" width="16.7109375" style="91" customWidth="1"/>
    <col min="7912" max="7912" width="16.5703125" style="91" customWidth="1"/>
    <col min="7913" max="7914" width="7.85546875" style="91" bestFit="1" customWidth="1"/>
    <col min="7915" max="7915" width="8" style="91" bestFit="1" customWidth="1"/>
    <col min="7916" max="7917" width="7.85546875" style="91" bestFit="1" customWidth="1"/>
    <col min="7918" max="7918" width="9.7109375" style="91" customWidth="1"/>
    <col min="7919" max="7919" width="12.85546875" style="91" customWidth="1"/>
    <col min="7920" max="8156" width="9.140625" style="91"/>
    <col min="8157" max="8157" width="9" style="91" bestFit="1" customWidth="1"/>
    <col min="8158" max="8158" width="9.85546875" style="91" bestFit="1" customWidth="1"/>
    <col min="8159" max="8159" width="9.140625" style="91" bestFit="1" customWidth="1"/>
    <col min="8160" max="8160" width="16" style="91" bestFit="1" customWidth="1"/>
    <col min="8161" max="8161" width="9" style="91" bestFit="1" customWidth="1"/>
    <col min="8162" max="8162" width="7.85546875" style="91" bestFit="1" customWidth="1"/>
    <col min="8163" max="8163" width="11.7109375" style="91" bestFit="1" customWidth="1"/>
    <col min="8164" max="8164" width="14.28515625" style="91" customWidth="1"/>
    <col min="8165" max="8165" width="11.7109375" style="91" bestFit="1" customWidth="1"/>
    <col min="8166" max="8166" width="14.140625" style="91" bestFit="1" customWidth="1"/>
    <col min="8167" max="8167" width="16.7109375" style="91" customWidth="1"/>
    <col min="8168" max="8168" width="16.5703125" style="91" customWidth="1"/>
    <col min="8169" max="8170" width="7.85546875" style="91" bestFit="1" customWidth="1"/>
    <col min="8171" max="8171" width="8" style="91" bestFit="1" customWidth="1"/>
    <col min="8172" max="8173" width="7.85546875" style="91" bestFit="1" customWidth="1"/>
    <col min="8174" max="8174" width="9.7109375" style="91" customWidth="1"/>
    <col min="8175" max="8175" width="12.85546875" style="91" customWidth="1"/>
    <col min="8176" max="8412" width="9.140625" style="91"/>
    <col min="8413" max="8413" width="9" style="91" bestFit="1" customWidth="1"/>
    <col min="8414" max="8414" width="9.85546875" style="91" bestFit="1" customWidth="1"/>
    <col min="8415" max="8415" width="9.140625" style="91" bestFit="1" customWidth="1"/>
    <col min="8416" max="8416" width="16" style="91" bestFit="1" customWidth="1"/>
    <col min="8417" max="8417" width="9" style="91" bestFit="1" customWidth="1"/>
    <col min="8418" max="8418" width="7.85546875" style="91" bestFit="1" customWidth="1"/>
    <col min="8419" max="8419" width="11.7109375" style="91" bestFit="1" customWidth="1"/>
    <col min="8420" max="8420" width="14.28515625" style="91" customWidth="1"/>
    <col min="8421" max="8421" width="11.7109375" style="91" bestFit="1" customWidth="1"/>
    <col min="8422" max="8422" width="14.140625" style="91" bestFit="1" customWidth="1"/>
    <col min="8423" max="8423" width="16.7109375" style="91" customWidth="1"/>
    <col min="8424" max="8424" width="16.5703125" style="91" customWidth="1"/>
    <col min="8425" max="8426" width="7.85546875" style="91" bestFit="1" customWidth="1"/>
    <col min="8427" max="8427" width="8" style="91" bestFit="1" customWidth="1"/>
    <col min="8428" max="8429" width="7.85546875" style="91" bestFit="1" customWidth="1"/>
    <col min="8430" max="8430" width="9.7109375" style="91" customWidth="1"/>
    <col min="8431" max="8431" width="12.85546875" style="91" customWidth="1"/>
    <col min="8432" max="8668" width="9.140625" style="91"/>
    <col min="8669" max="8669" width="9" style="91" bestFit="1" customWidth="1"/>
    <col min="8670" max="8670" width="9.85546875" style="91" bestFit="1" customWidth="1"/>
    <col min="8671" max="8671" width="9.140625" style="91" bestFit="1" customWidth="1"/>
    <col min="8672" max="8672" width="16" style="91" bestFit="1" customWidth="1"/>
    <col min="8673" max="8673" width="9" style="91" bestFit="1" customWidth="1"/>
    <col min="8674" max="8674" width="7.85546875" style="91" bestFit="1" customWidth="1"/>
    <col min="8675" max="8675" width="11.7109375" style="91" bestFit="1" customWidth="1"/>
    <col min="8676" max="8676" width="14.28515625" style="91" customWidth="1"/>
    <col min="8677" max="8677" width="11.7109375" style="91" bestFit="1" customWidth="1"/>
    <col min="8678" max="8678" width="14.140625" style="91" bestFit="1" customWidth="1"/>
    <col min="8679" max="8679" width="16.7109375" style="91" customWidth="1"/>
    <col min="8680" max="8680" width="16.5703125" style="91" customWidth="1"/>
    <col min="8681" max="8682" width="7.85546875" style="91" bestFit="1" customWidth="1"/>
    <col min="8683" max="8683" width="8" style="91" bestFit="1" customWidth="1"/>
    <col min="8684" max="8685" width="7.85546875" style="91" bestFit="1" customWidth="1"/>
    <col min="8686" max="8686" width="9.7109375" style="91" customWidth="1"/>
    <col min="8687" max="8687" width="12.85546875" style="91" customWidth="1"/>
    <col min="8688" max="8924" width="9.140625" style="91"/>
    <col min="8925" max="8925" width="9" style="91" bestFit="1" customWidth="1"/>
    <col min="8926" max="8926" width="9.85546875" style="91" bestFit="1" customWidth="1"/>
    <col min="8927" max="8927" width="9.140625" style="91" bestFit="1" customWidth="1"/>
    <col min="8928" max="8928" width="16" style="91" bestFit="1" customWidth="1"/>
    <col min="8929" max="8929" width="9" style="91" bestFit="1" customWidth="1"/>
    <col min="8930" max="8930" width="7.85546875" style="91" bestFit="1" customWidth="1"/>
    <col min="8931" max="8931" width="11.7109375" style="91" bestFit="1" customWidth="1"/>
    <col min="8932" max="8932" width="14.28515625" style="91" customWidth="1"/>
    <col min="8933" max="8933" width="11.7109375" style="91" bestFit="1" customWidth="1"/>
    <col min="8934" max="8934" width="14.140625" style="91" bestFit="1" customWidth="1"/>
    <col min="8935" max="8935" width="16.7109375" style="91" customWidth="1"/>
    <col min="8936" max="8936" width="16.5703125" style="91" customWidth="1"/>
    <col min="8937" max="8938" width="7.85546875" style="91" bestFit="1" customWidth="1"/>
    <col min="8939" max="8939" width="8" style="91" bestFit="1" customWidth="1"/>
    <col min="8940" max="8941" width="7.85546875" style="91" bestFit="1" customWidth="1"/>
    <col min="8942" max="8942" width="9.7109375" style="91" customWidth="1"/>
    <col min="8943" max="8943" width="12.85546875" style="91" customWidth="1"/>
    <col min="8944" max="9180" width="9.140625" style="91"/>
    <col min="9181" max="9181" width="9" style="91" bestFit="1" customWidth="1"/>
    <col min="9182" max="9182" width="9.85546875" style="91" bestFit="1" customWidth="1"/>
    <col min="9183" max="9183" width="9.140625" style="91" bestFit="1" customWidth="1"/>
    <col min="9184" max="9184" width="16" style="91" bestFit="1" customWidth="1"/>
    <col min="9185" max="9185" width="9" style="91" bestFit="1" customWidth="1"/>
    <col min="9186" max="9186" width="7.85546875" style="91" bestFit="1" customWidth="1"/>
    <col min="9187" max="9187" width="11.7109375" style="91" bestFit="1" customWidth="1"/>
    <col min="9188" max="9188" width="14.28515625" style="91" customWidth="1"/>
    <col min="9189" max="9189" width="11.7109375" style="91" bestFit="1" customWidth="1"/>
    <col min="9190" max="9190" width="14.140625" style="91" bestFit="1" customWidth="1"/>
    <col min="9191" max="9191" width="16.7109375" style="91" customWidth="1"/>
    <col min="9192" max="9192" width="16.5703125" style="91" customWidth="1"/>
    <col min="9193" max="9194" width="7.85546875" style="91" bestFit="1" customWidth="1"/>
    <col min="9195" max="9195" width="8" style="91" bestFit="1" customWidth="1"/>
    <col min="9196" max="9197" width="7.85546875" style="91" bestFit="1" customWidth="1"/>
    <col min="9198" max="9198" width="9.7109375" style="91" customWidth="1"/>
    <col min="9199" max="9199" width="12.85546875" style="91" customWidth="1"/>
    <col min="9200" max="9436" width="9.140625" style="91"/>
    <col min="9437" max="9437" width="9" style="91" bestFit="1" customWidth="1"/>
    <col min="9438" max="9438" width="9.85546875" style="91" bestFit="1" customWidth="1"/>
    <col min="9439" max="9439" width="9.140625" style="91" bestFit="1" customWidth="1"/>
    <col min="9440" max="9440" width="16" style="91" bestFit="1" customWidth="1"/>
    <col min="9441" max="9441" width="9" style="91" bestFit="1" customWidth="1"/>
    <col min="9442" max="9442" width="7.85546875" style="91" bestFit="1" customWidth="1"/>
    <col min="9443" max="9443" width="11.7109375" style="91" bestFit="1" customWidth="1"/>
    <col min="9444" max="9444" width="14.28515625" style="91" customWidth="1"/>
    <col min="9445" max="9445" width="11.7109375" style="91" bestFit="1" customWidth="1"/>
    <col min="9446" max="9446" width="14.140625" style="91" bestFit="1" customWidth="1"/>
    <col min="9447" max="9447" width="16.7109375" style="91" customWidth="1"/>
    <col min="9448" max="9448" width="16.5703125" style="91" customWidth="1"/>
    <col min="9449" max="9450" width="7.85546875" style="91" bestFit="1" customWidth="1"/>
    <col min="9451" max="9451" width="8" style="91" bestFit="1" customWidth="1"/>
    <col min="9452" max="9453" width="7.85546875" style="91" bestFit="1" customWidth="1"/>
    <col min="9454" max="9454" width="9.7109375" style="91" customWidth="1"/>
    <col min="9455" max="9455" width="12.85546875" style="91" customWidth="1"/>
    <col min="9456" max="9692" width="9.140625" style="91"/>
    <col min="9693" max="9693" width="9" style="91" bestFit="1" customWidth="1"/>
    <col min="9694" max="9694" width="9.85546875" style="91" bestFit="1" customWidth="1"/>
    <col min="9695" max="9695" width="9.140625" style="91" bestFit="1" customWidth="1"/>
    <col min="9696" max="9696" width="16" style="91" bestFit="1" customWidth="1"/>
    <col min="9697" max="9697" width="9" style="91" bestFit="1" customWidth="1"/>
    <col min="9698" max="9698" width="7.85546875" style="91" bestFit="1" customWidth="1"/>
    <col min="9699" max="9699" width="11.7109375" style="91" bestFit="1" customWidth="1"/>
    <col min="9700" max="9700" width="14.28515625" style="91" customWidth="1"/>
    <col min="9701" max="9701" width="11.7109375" style="91" bestFit="1" customWidth="1"/>
    <col min="9702" max="9702" width="14.140625" style="91" bestFit="1" customWidth="1"/>
    <col min="9703" max="9703" width="16.7109375" style="91" customWidth="1"/>
    <col min="9704" max="9704" width="16.5703125" style="91" customWidth="1"/>
    <col min="9705" max="9706" width="7.85546875" style="91" bestFit="1" customWidth="1"/>
    <col min="9707" max="9707" width="8" style="91" bestFit="1" customWidth="1"/>
    <col min="9708" max="9709" width="7.85546875" style="91" bestFit="1" customWidth="1"/>
    <col min="9710" max="9710" width="9.7109375" style="91" customWidth="1"/>
    <col min="9711" max="9711" width="12.85546875" style="91" customWidth="1"/>
    <col min="9712" max="9948" width="9.140625" style="91"/>
    <col min="9949" max="9949" width="9" style="91" bestFit="1" customWidth="1"/>
    <col min="9950" max="9950" width="9.85546875" style="91" bestFit="1" customWidth="1"/>
    <col min="9951" max="9951" width="9.140625" style="91" bestFit="1" customWidth="1"/>
    <col min="9952" max="9952" width="16" style="91" bestFit="1" customWidth="1"/>
    <col min="9953" max="9953" width="9" style="91" bestFit="1" customWidth="1"/>
    <col min="9954" max="9954" width="7.85546875" style="91" bestFit="1" customWidth="1"/>
    <col min="9955" max="9955" width="11.7109375" style="91" bestFit="1" customWidth="1"/>
    <col min="9956" max="9956" width="14.28515625" style="91" customWidth="1"/>
    <col min="9957" max="9957" width="11.7109375" style="91" bestFit="1" customWidth="1"/>
    <col min="9958" max="9958" width="14.140625" style="91" bestFit="1" customWidth="1"/>
    <col min="9959" max="9959" width="16.7109375" style="91" customWidth="1"/>
    <col min="9960" max="9960" width="16.5703125" style="91" customWidth="1"/>
    <col min="9961" max="9962" width="7.85546875" style="91" bestFit="1" customWidth="1"/>
    <col min="9963" max="9963" width="8" style="91" bestFit="1" customWidth="1"/>
    <col min="9964" max="9965" width="7.85546875" style="91" bestFit="1" customWidth="1"/>
    <col min="9966" max="9966" width="9.7109375" style="91" customWidth="1"/>
    <col min="9967" max="9967" width="12.85546875" style="91" customWidth="1"/>
    <col min="9968" max="10204" width="9.140625" style="91"/>
    <col min="10205" max="10205" width="9" style="91" bestFit="1" customWidth="1"/>
    <col min="10206" max="10206" width="9.85546875" style="91" bestFit="1" customWidth="1"/>
    <col min="10207" max="10207" width="9.140625" style="91" bestFit="1" customWidth="1"/>
    <col min="10208" max="10208" width="16" style="91" bestFit="1" customWidth="1"/>
    <col min="10209" max="10209" width="9" style="91" bestFit="1" customWidth="1"/>
    <col min="10210" max="10210" width="7.85546875" style="91" bestFit="1" customWidth="1"/>
    <col min="10211" max="10211" width="11.7109375" style="91" bestFit="1" customWidth="1"/>
    <col min="10212" max="10212" width="14.28515625" style="91" customWidth="1"/>
    <col min="10213" max="10213" width="11.7109375" style="91" bestFit="1" customWidth="1"/>
    <col min="10214" max="10214" width="14.140625" style="91" bestFit="1" customWidth="1"/>
    <col min="10215" max="10215" width="16.7109375" style="91" customWidth="1"/>
    <col min="10216" max="10216" width="16.5703125" style="91" customWidth="1"/>
    <col min="10217" max="10218" width="7.85546875" style="91" bestFit="1" customWidth="1"/>
    <col min="10219" max="10219" width="8" style="91" bestFit="1" customWidth="1"/>
    <col min="10220" max="10221" width="7.85546875" style="91" bestFit="1" customWidth="1"/>
    <col min="10222" max="10222" width="9.7109375" style="91" customWidth="1"/>
    <col min="10223" max="10223" width="12.85546875" style="91" customWidth="1"/>
    <col min="10224" max="10460" width="9.140625" style="91"/>
    <col min="10461" max="10461" width="9" style="91" bestFit="1" customWidth="1"/>
    <col min="10462" max="10462" width="9.85546875" style="91" bestFit="1" customWidth="1"/>
    <col min="10463" max="10463" width="9.140625" style="91" bestFit="1" customWidth="1"/>
    <col min="10464" max="10464" width="16" style="91" bestFit="1" customWidth="1"/>
    <col min="10465" max="10465" width="9" style="91" bestFit="1" customWidth="1"/>
    <col min="10466" max="10466" width="7.85546875" style="91" bestFit="1" customWidth="1"/>
    <col min="10467" max="10467" width="11.7109375" style="91" bestFit="1" customWidth="1"/>
    <col min="10468" max="10468" width="14.28515625" style="91" customWidth="1"/>
    <col min="10469" max="10469" width="11.7109375" style="91" bestFit="1" customWidth="1"/>
    <col min="10470" max="10470" width="14.140625" style="91" bestFit="1" customWidth="1"/>
    <col min="10471" max="10471" width="16.7109375" style="91" customWidth="1"/>
    <col min="10472" max="10472" width="16.5703125" style="91" customWidth="1"/>
    <col min="10473" max="10474" width="7.85546875" style="91" bestFit="1" customWidth="1"/>
    <col min="10475" max="10475" width="8" style="91" bestFit="1" customWidth="1"/>
    <col min="10476" max="10477" width="7.85546875" style="91" bestFit="1" customWidth="1"/>
    <col min="10478" max="10478" width="9.7109375" style="91" customWidth="1"/>
    <col min="10479" max="10479" width="12.85546875" style="91" customWidth="1"/>
    <col min="10480" max="10716" width="9.140625" style="91"/>
    <col min="10717" max="10717" width="9" style="91" bestFit="1" customWidth="1"/>
    <col min="10718" max="10718" width="9.85546875" style="91" bestFit="1" customWidth="1"/>
    <col min="10719" max="10719" width="9.140625" style="91" bestFit="1" customWidth="1"/>
    <col min="10720" max="10720" width="16" style="91" bestFit="1" customWidth="1"/>
    <col min="10721" max="10721" width="9" style="91" bestFit="1" customWidth="1"/>
    <col min="10722" max="10722" width="7.85546875" style="91" bestFit="1" customWidth="1"/>
    <col min="10723" max="10723" width="11.7109375" style="91" bestFit="1" customWidth="1"/>
    <col min="10724" max="10724" width="14.28515625" style="91" customWidth="1"/>
    <col min="10725" max="10725" width="11.7109375" style="91" bestFit="1" customWidth="1"/>
    <col min="10726" max="10726" width="14.140625" style="91" bestFit="1" customWidth="1"/>
    <col min="10727" max="10727" width="16.7109375" style="91" customWidth="1"/>
    <col min="10728" max="10728" width="16.5703125" style="91" customWidth="1"/>
    <col min="10729" max="10730" width="7.85546875" style="91" bestFit="1" customWidth="1"/>
    <col min="10731" max="10731" width="8" style="91" bestFit="1" customWidth="1"/>
    <col min="10732" max="10733" width="7.85546875" style="91" bestFit="1" customWidth="1"/>
    <col min="10734" max="10734" width="9.7109375" style="91" customWidth="1"/>
    <col min="10735" max="10735" width="12.85546875" style="91" customWidth="1"/>
    <col min="10736" max="10972" width="9.140625" style="91"/>
    <col min="10973" max="10973" width="9" style="91" bestFit="1" customWidth="1"/>
    <col min="10974" max="10974" width="9.85546875" style="91" bestFit="1" customWidth="1"/>
    <col min="10975" max="10975" width="9.140625" style="91" bestFit="1" customWidth="1"/>
    <col min="10976" max="10976" width="16" style="91" bestFit="1" customWidth="1"/>
    <col min="10977" max="10977" width="9" style="91" bestFit="1" customWidth="1"/>
    <col min="10978" max="10978" width="7.85546875" style="91" bestFit="1" customWidth="1"/>
    <col min="10979" max="10979" width="11.7109375" style="91" bestFit="1" customWidth="1"/>
    <col min="10980" max="10980" width="14.28515625" style="91" customWidth="1"/>
    <col min="10981" max="10981" width="11.7109375" style="91" bestFit="1" customWidth="1"/>
    <col min="10982" max="10982" width="14.140625" style="91" bestFit="1" customWidth="1"/>
    <col min="10983" max="10983" width="16.7109375" style="91" customWidth="1"/>
    <col min="10984" max="10984" width="16.5703125" style="91" customWidth="1"/>
    <col min="10985" max="10986" width="7.85546875" style="91" bestFit="1" customWidth="1"/>
    <col min="10987" max="10987" width="8" style="91" bestFit="1" customWidth="1"/>
    <col min="10988" max="10989" width="7.85546875" style="91" bestFit="1" customWidth="1"/>
    <col min="10990" max="10990" width="9.7109375" style="91" customWidth="1"/>
    <col min="10991" max="10991" width="12.85546875" style="91" customWidth="1"/>
    <col min="10992" max="11228" width="9.140625" style="91"/>
    <col min="11229" max="11229" width="9" style="91" bestFit="1" customWidth="1"/>
    <col min="11230" max="11230" width="9.85546875" style="91" bestFit="1" customWidth="1"/>
    <col min="11231" max="11231" width="9.140625" style="91" bestFit="1" customWidth="1"/>
    <col min="11232" max="11232" width="16" style="91" bestFit="1" customWidth="1"/>
    <col min="11233" max="11233" width="9" style="91" bestFit="1" customWidth="1"/>
    <col min="11234" max="11234" width="7.85546875" style="91" bestFit="1" customWidth="1"/>
    <col min="11235" max="11235" width="11.7109375" style="91" bestFit="1" customWidth="1"/>
    <col min="11236" max="11236" width="14.28515625" style="91" customWidth="1"/>
    <col min="11237" max="11237" width="11.7109375" style="91" bestFit="1" customWidth="1"/>
    <col min="11238" max="11238" width="14.140625" style="91" bestFit="1" customWidth="1"/>
    <col min="11239" max="11239" width="16.7109375" style="91" customWidth="1"/>
    <col min="11240" max="11240" width="16.5703125" style="91" customWidth="1"/>
    <col min="11241" max="11242" width="7.85546875" style="91" bestFit="1" customWidth="1"/>
    <col min="11243" max="11243" width="8" style="91" bestFit="1" customWidth="1"/>
    <col min="11244" max="11245" width="7.85546875" style="91" bestFit="1" customWidth="1"/>
    <col min="11246" max="11246" width="9.7109375" style="91" customWidth="1"/>
    <col min="11247" max="11247" width="12.85546875" style="91" customWidth="1"/>
    <col min="11248" max="11484" width="9.140625" style="91"/>
    <col min="11485" max="11485" width="9" style="91" bestFit="1" customWidth="1"/>
    <col min="11486" max="11486" width="9.85546875" style="91" bestFit="1" customWidth="1"/>
    <col min="11487" max="11487" width="9.140625" style="91" bestFit="1" customWidth="1"/>
    <col min="11488" max="11488" width="16" style="91" bestFit="1" customWidth="1"/>
    <col min="11489" max="11489" width="9" style="91" bestFit="1" customWidth="1"/>
    <col min="11490" max="11490" width="7.85546875" style="91" bestFit="1" customWidth="1"/>
    <col min="11491" max="11491" width="11.7109375" style="91" bestFit="1" customWidth="1"/>
    <col min="11492" max="11492" width="14.28515625" style="91" customWidth="1"/>
    <col min="11493" max="11493" width="11.7109375" style="91" bestFit="1" customWidth="1"/>
    <col min="11494" max="11494" width="14.140625" style="91" bestFit="1" customWidth="1"/>
    <col min="11495" max="11495" width="16.7109375" style="91" customWidth="1"/>
    <col min="11496" max="11496" width="16.5703125" style="91" customWidth="1"/>
    <col min="11497" max="11498" width="7.85546875" style="91" bestFit="1" customWidth="1"/>
    <col min="11499" max="11499" width="8" style="91" bestFit="1" customWidth="1"/>
    <col min="11500" max="11501" width="7.85546875" style="91" bestFit="1" customWidth="1"/>
    <col min="11502" max="11502" width="9.7109375" style="91" customWidth="1"/>
    <col min="11503" max="11503" width="12.85546875" style="91" customWidth="1"/>
    <col min="11504" max="11740" width="9.140625" style="91"/>
    <col min="11741" max="11741" width="9" style="91" bestFit="1" customWidth="1"/>
    <col min="11742" max="11742" width="9.85546875" style="91" bestFit="1" customWidth="1"/>
    <col min="11743" max="11743" width="9.140625" style="91" bestFit="1" customWidth="1"/>
    <col min="11744" max="11744" width="16" style="91" bestFit="1" customWidth="1"/>
    <col min="11745" max="11745" width="9" style="91" bestFit="1" customWidth="1"/>
    <col min="11746" max="11746" width="7.85546875" style="91" bestFit="1" customWidth="1"/>
    <col min="11747" max="11747" width="11.7109375" style="91" bestFit="1" customWidth="1"/>
    <col min="11748" max="11748" width="14.28515625" style="91" customWidth="1"/>
    <col min="11749" max="11749" width="11.7109375" style="91" bestFit="1" customWidth="1"/>
    <col min="11750" max="11750" width="14.140625" style="91" bestFit="1" customWidth="1"/>
    <col min="11751" max="11751" width="16.7109375" style="91" customWidth="1"/>
    <col min="11752" max="11752" width="16.5703125" style="91" customWidth="1"/>
    <col min="11753" max="11754" width="7.85546875" style="91" bestFit="1" customWidth="1"/>
    <col min="11755" max="11755" width="8" style="91" bestFit="1" customWidth="1"/>
    <col min="11756" max="11757" width="7.85546875" style="91" bestFit="1" customWidth="1"/>
    <col min="11758" max="11758" width="9.7109375" style="91" customWidth="1"/>
    <col min="11759" max="11759" width="12.85546875" style="91" customWidth="1"/>
    <col min="11760" max="11996" width="9.140625" style="91"/>
    <col min="11997" max="11997" width="9" style="91" bestFit="1" customWidth="1"/>
    <col min="11998" max="11998" width="9.85546875" style="91" bestFit="1" customWidth="1"/>
    <col min="11999" max="11999" width="9.140625" style="91" bestFit="1" customWidth="1"/>
    <col min="12000" max="12000" width="16" style="91" bestFit="1" customWidth="1"/>
    <col min="12001" max="12001" width="9" style="91" bestFit="1" customWidth="1"/>
    <col min="12002" max="12002" width="7.85546875" style="91" bestFit="1" customWidth="1"/>
    <col min="12003" max="12003" width="11.7109375" style="91" bestFit="1" customWidth="1"/>
    <col min="12004" max="12004" width="14.28515625" style="91" customWidth="1"/>
    <col min="12005" max="12005" width="11.7109375" style="91" bestFit="1" customWidth="1"/>
    <col min="12006" max="12006" width="14.140625" style="91" bestFit="1" customWidth="1"/>
    <col min="12007" max="12007" width="16.7109375" style="91" customWidth="1"/>
    <col min="12008" max="12008" width="16.5703125" style="91" customWidth="1"/>
    <col min="12009" max="12010" width="7.85546875" style="91" bestFit="1" customWidth="1"/>
    <col min="12011" max="12011" width="8" style="91" bestFit="1" customWidth="1"/>
    <col min="12012" max="12013" width="7.85546875" style="91" bestFit="1" customWidth="1"/>
    <col min="12014" max="12014" width="9.7109375" style="91" customWidth="1"/>
    <col min="12015" max="12015" width="12.85546875" style="91" customWidth="1"/>
    <col min="12016" max="12252" width="9.140625" style="91"/>
    <col min="12253" max="12253" width="9" style="91" bestFit="1" customWidth="1"/>
    <col min="12254" max="12254" width="9.85546875" style="91" bestFit="1" customWidth="1"/>
    <col min="12255" max="12255" width="9.140625" style="91" bestFit="1" customWidth="1"/>
    <col min="12256" max="12256" width="16" style="91" bestFit="1" customWidth="1"/>
    <col min="12257" max="12257" width="9" style="91" bestFit="1" customWidth="1"/>
    <col min="12258" max="12258" width="7.85546875" style="91" bestFit="1" customWidth="1"/>
    <col min="12259" max="12259" width="11.7109375" style="91" bestFit="1" customWidth="1"/>
    <col min="12260" max="12260" width="14.28515625" style="91" customWidth="1"/>
    <col min="12261" max="12261" width="11.7109375" style="91" bestFit="1" customWidth="1"/>
    <col min="12262" max="12262" width="14.140625" style="91" bestFit="1" customWidth="1"/>
    <col min="12263" max="12263" width="16.7109375" style="91" customWidth="1"/>
    <col min="12264" max="12264" width="16.5703125" style="91" customWidth="1"/>
    <col min="12265" max="12266" width="7.85546875" style="91" bestFit="1" customWidth="1"/>
    <col min="12267" max="12267" width="8" style="91" bestFit="1" customWidth="1"/>
    <col min="12268" max="12269" width="7.85546875" style="91" bestFit="1" customWidth="1"/>
    <col min="12270" max="12270" width="9.7109375" style="91" customWidth="1"/>
    <col min="12271" max="12271" width="12.85546875" style="91" customWidth="1"/>
    <col min="12272" max="12508" width="9.140625" style="91"/>
    <col min="12509" max="12509" width="9" style="91" bestFit="1" customWidth="1"/>
    <col min="12510" max="12510" width="9.85546875" style="91" bestFit="1" customWidth="1"/>
    <col min="12511" max="12511" width="9.140625" style="91" bestFit="1" customWidth="1"/>
    <col min="12512" max="12512" width="16" style="91" bestFit="1" customWidth="1"/>
    <col min="12513" max="12513" width="9" style="91" bestFit="1" customWidth="1"/>
    <col min="12514" max="12514" width="7.85546875" style="91" bestFit="1" customWidth="1"/>
    <col min="12515" max="12515" width="11.7109375" style="91" bestFit="1" customWidth="1"/>
    <col min="12516" max="12516" width="14.28515625" style="91" customWidth="1"/>
    <col min="12517" max="12517" width="11.7109375" style="91" bestFit="1" customWidth="1"/>
    <col min="12518" max="12518" width="14.140625" style="91" bestFit="1" customWidth="1"/>
    <col min="12519" max="12519" width="16.7109375" style="91" customWidth="1"/>
    <col min="12520" max="12520" width="16.5703125" style="91" customWidth="1"/>
    <col min="12521" max="12522" width="7.85546875" style="91" bestFit="1" customWidth="1"/>
    <col min="12523" max="12523" width="8" style="91" bestFit="1" customWidth="1"/>
    <col min="12524" max="12525" width="7.85546875" style="91" bestFit="1" customWidth="1"/>
    <col min="12526" max="12526" width="9.7109375" style="91" customWidth="1"/>
    <col min="12527" max="12527" width="12.85546875" style="91" customWidth="1"/>
    <col min="12528" max="12764" width="9.140625" style="91"/>
    <col min="12765" max="12765" width="9" style="91" bestFit="1" customWidth="1"/>
    <col min="12766" max="12766" width="9.85546875" style="91" bestFit="1" customWidth="1"/>
    <col min="12767" max="12767" width="9.140625" style="91" bestFit="1" customWidth="1"/>
    <col min="12768" max="12768" width="16" style="91" bestFit="1" customWidth="1"/>
    <col min="12769" max="12769" width="9" style="91" bestFit="1" customWidth="1"/>
    <col min="12770" max="12770" width="7.85546875" style="91" bestFit="1" customWidth="1"/>
    <col min="12771" max="12771" width="11.7109375" style="91" bestFit="1" customWidth="1"/>
    <col min="12772" max="12772" width="14.28515625" style="91" customWidth="1"/>
    <col min="12773" max="12773" width="11.7109375" style="91" bestFit="1" customWidth="1"/>
    <col min="12774" max="12774" width="14.140625" style="91" bestFit="1" customWidth="1"/>
    <col min="12775" max="12775" width="16.7109375" style="91" customWidth="1"/>
    <col min="12776" max="12776" width="16.5703125" style="91" customWidth="1"/>
    <col min="12777" max="12778" width="7.85546875" style="91" bestFit="1" customWidth="1"/>
    <col min="12779" max="12779" width="8" style="91" bestFit="1" customWidth="1"/>
    <col min="12780" max="12781" width="7.85546875" style="91" bestFit="1" customWidth="1"/>
    <col min="12782" max="12782" width="9.7109375" style="91" customWidth="1"/>
    <col min="12783" max="12783" width="12.85546875" style="91" customWidth="1"/>
    <col min="12784" max="13020" width="9.140625" style="91"/>
    <col min="13021" max="13021" width="9" style="91" bestFit="1" customWidth="1"/>
    <col min="13022" max="13022" width="9.85546875" style="91" bestFit="1" customWidth="1"/>
    <col min="13023" max="13023" width="9.140625" style="91" bestFit="1" customWidth="1"/>
    <col min="13024" max="13024" width="16" style="91" bestFit="1" customWidth="1"/>
    <col min="13025" max="13025" width="9" style="91" bestFit="1" customWidth="1"/>
    <col min="13026" max="13026" width="7.85546875" style="91" bestFit="1" customWidth="1"/>
    <col min="13027" max="13027" width="11.7109375" style="91" bestFit="1" customWidth="1"/>
    <col min="13028" max="13028" width="14.28515625" style="91" customWidth="1"/>
    <col min="13029" max="13029" width="11.7109375" style="91" bestFit="1" customWidth="1"/>
    <col min="13030" max="13030" width="14.140625" style="91" bestFit="1" customWidth="1"/>
    <col min="13031" max="13031" width="16.7109375" style="91" customWidth="1"/>
    <col min="13032" max="13032" width="16.5703125" style="91" customWidth="1"/>
    <col min="13033" max="13034" width="7.85546875" style="91" bestFit="1" customWidth="1"/>
    <col min="13035" max="13035" width="8" style="91" bestFit="1" customWidth="1"/>
    <col min="13036" max="13037" width="7.85546875" style="91" bestFit="1" customWidth="1"/>
    <col min="13038" max="13038" width="9.7109375" style="91" customWidth="1"/>
    <col min="13039" max="13039" width="12.85546875" style="91" customWidth="1"/>
    <col min="13040" max="13276" width="9.140625" style="91"/>
    <col min="13277" max="13277" width="9" style="91" bestFit="1" customWidth="1"/>
    <col min="13278" max="13278" width="9.85546875" style="91" bestFit="1" customWidth="1"/>
    <col min="13279" max="13279" width="9.140625" style="91" bestFit="1" customWidth="1"/>
    <col min="13280" max="13280" width="16" style="91" bestFit="1" customWidth="1"/>
    <col min="13281" max="13281" width="9" style="91" bestFit="1" customWidth="1"/>
    <col min="13282" max="13282" width="7.85546875" style="91" bestFit="1" customWidth="1"/>
    <col min="13283" max="13283" width="11.7109375" style="91" bestFit="1" customWidth="1"/>
    <col min="13284" max="13284" width="14.28515625" style="91" customWidth="1"/>
    <col min="13285" max="13285" width="11.7109375" style="91" bestFit="1" customWidth="1"/>
    <col min="13286" max="13286" width="14.140625" style="91" bestFit="1" customWidth="1"/>
    <col min="13287" max="13287" width="16.7109375" style="91" customWidth="1"/>
    <col min="13288" max="13288" width="16.5703125" style="91" customWidth="1"/>
    <col min="13289" max="13290" width="7.85546875" style="91" bestFit="1" customWidth="1"/>
    <col min="13291" max="13291" width="8" style="91" bestFit="1" customWidth="1"/>
    <col min="13292" max="13293" width="7.85546875" style="91" bestFit="1" customWidth="1"/>
    <col min="13294" max="13294" width="9.7109375" style="91" customWidth="1"/>
    <col min="13295" max="13295" width="12.85546875" style="91" customWidth="1"/>
    <col min="13296" max="13532" width="9.140625" style="91"/>
    <col min="13533" max="13533" width="9" style="91" bestFit="1" customWidth="1"/>
    <col min="13534" max="13534" width="9.85546875" style="91" bestFit="1" customWidth="1"/>
    <col min="13535" max="13535" width="9.140625" style="91" bestFit="1" customWidth="1"/>
    <col min="13536" max="13536" width="16" style="91" bestFit="1" customWidth="1"/>
    <col min="13537" max="13537" width="9" style="91" bestFit="1" customWidth="1"/>
    <col min="13538" max="13538" width="7.85546875" style="91" bestFit="1" customWidth="1"/>
    <col min="13539" max="13539" width="11.7109375" style="91" bestFit="1" customWidth="1"/>
    <col min="13540" max="13540" width="14.28515625" style="91" customWidth="1"/>
    <col min="13541" max="13541" width="11.7109375" style="91" bestFit="1" customWidth="1"/>
    <col min="13542" max="13542" width="14.140625" style="91" bestFit="1" customWidth="1"/>
    <col min="13543" max="13543" width="16.7109375" style="91" customWidth="1"/>
    <col min="13544" max="13544" width="16.5703125" style="91" customWidth="1"/>
    <col min="13545" max="13546" width="7.85546875" style="91" bestFit="1" customWidth="1"/>
    <col min="13547" max="13547" width="8" style="91" bestFit="1" customWidth="1"/>
    <col min="13548" max="13549" width="7.85546875" style="91" bestFit="1" customWidth="1"/>
    <col min="13550" max="13550" width="9.7109375" style="91" customWidth="1"/>
    <col min="13551" max="13551" width="12.85546875" style="91" customWidth="1"/>
    <col min="13552" max="13788" width="9.140625" style="91"/>
    <col min="13789" max="13789" width="9" style="91" bestFit="1" customWidth="1"/>
    <col min="13790" max="13790" width="9.85546875" style="91" bestFit="1" customWidth="1"/>
    <col min="13791" max="13791" width="9.140625" style="91" bestFit="1" customWidth="1"/>
    <col min="13792" max="13792" width="16" style="91" bestFit="1" customWidth="1"/>
    <col min="13793" max="13793" width="9" style="91" bestFit="1" customWidth="1"/>
    <col min="13794" max="13794" width="7.85546875" style="91" bestFit="1" customWidth="1"/>
    <col min="13795" max="13795" width="11.7109375" style="91" bestFit="1" customWidth="1"/>
    <col min="13796" max="13796" width="14.28515625" style="91" customWidth="1"/>
    <col min="13797" max="13797" width="11.7109375" style="91" bestFit="1" customWidth="1"/>
    <col min="13798" max="13798" width="14.140625" style="91" bestFit="1" customWidth="1"/>
    <col min="13799" max="13799" width="16.7109375" style="91" customWidth="1"/>
    <col min="13800" max="13800" width="16.5703125" style="91" customWidth="1"/>
    <col min="13801" max="13802" width="7.85546875" style="91" bestFit="1" customWidth="1"/>
    <col min="13803" max="13803" width="8" style="91" bestFit="1" customWidth="1"/>
    <col min="13804" max="13805" width="7.85546875" style="91" bestFit="1" customWidth="1"/>
    <col min="13806" max="13806" width="9.7109375" style="91" customWidth="1"/>
    <col min="13807" max="13807" width="12.85546875" style="91" customWidth="1"/>
    <col min="13808" max="14044" width="9.140625" style="91"/>
    <col min="14045" max="14045" width="9" style="91" bestFit="1" customWidth="1"/>
    <col min="14046" max="14046" width="9.85546875" style="91" bestFit="1" customWidth="1"/>
    <col min="14047" max="14047" width="9.140625" style="91" bestFit="1" customWidth="1"/>
    <col min="14048" max="14048" width="16" style="91" bestFit="1" customWidth="1"/>
    <col min="14049" max="14049" width="9" style="91" bestFit="1" customWidth="1"/>
    <col min="14050" max="14050" width="7.85546875" style="91" bestFit="1" customWidth="1"/>
    <col min="14051" max="14051" width="11.7109375" style="91" bestFit="1" customWidth="1"/>
    <col min="14052" max="14052" width="14.28515625" style="91" customWidth="1"/>
    <col min="14053" max="14053" width="11.7109375" style="91" bestFit="1" customWidth="1"/>
    <col min="14054" max="14054" width="14.140625" style="91" bestFit="1" customWidth="1"/>
    <col min="14055" max="14055" width="16.7109375" style="91" customWidth="1"/>
    <col min="14056" max="14056" width="16.5703125" style="91" customWidth="1"/>
    <col min="14057" max="14058" width="7.85546875" style="91" bestFit="1" customWidth="1"/>
    <col min="14059" max="14059" width="8" style="91" bestFit="1" customWidth="1"/>
    <col min="14060" max="14061" width="7.85546875" style="91" bestFit="1" customWidth="1"/>
    <col min="14062" max="14062" width="9.7109375" style="91" customWidth="1"/>
    <col min="14063" max="14063" width="12.85546875" style="91" customWidth="1"/>
    <col min="14064" max="14300" width="9.140625" style="91"/>
    <col min="14301" max="14301" width="9" style="91" bestFit="1" customWidth="1"/>
    <col min="14302" max="14302" width="9.85546875" style="91" bestFit="1" customWidth="1"/>
    <col min="14303" max="14303" width="9.140625" style="91" bestFit="1" customWidth="1"/>
    <col min="14304" max="14304" width="16" style="91" bestFit="1" customWidth="1"/>
    <col min="14305" max="14305" width="9" style="91" bestFit="1" customWidth="1"/>
    <col min="14306" max="14306" width="7.85546875" style="91" bestFit="1" customWidth="1"/>
    <col min="14307" max="14307" width="11.7109375" style="91" bestFit="1" customWidth="1"/>
    <col min="14308" max="14308" width="14.28515625" style="91" customWidth="1"/>
    <col min="14309" max="14309" width="11.7109375" style="91" bestFit="1" customWidth="1"/>
    <col min="14310" max="14310" width="14.140625" style="91" bestFit="1" customWidth="1"/>
    <col min="14311" max="14311" width="16.7109375" style="91" customWidth="1"/>
    <col min="14312" max="14312" width="16.5703125" style="91" customWidth="1"/>
    <col min="14313" max="14314" width="7.85546875" style="91" bestFit="1" customWidth="1"/>
    <col min="14315" max="14315" width="8" style="91" bestFit="1" customWidth="1"/>
    <col min="14316" max="14317" width="7.85546875" style="91" bestFit="1" customWidth="1"/>
    <col min="14318" max="14318" width="9.7109375" style="91" customWidth="1"/>
    <col min="14319" max="14319" width="12.85546875" style="91" customWidth="1"/>
    <col min="14320" max="14556" width="9.140625" style="91"/>
    <col min="14557" max="14557" width="9" style="91" bestFit="1" customWidth="1"/>
    <col min="14558" max="14558" width="9.85546875" style="91" bestFit="1" customWidth="1"/>
    <col min="14559" max="14559" width="9.140625" style="91" bestFit="1" customWidth="1"/>
    <col min="14560" max="14560" width="16" style="91" bestFit="1" customWidth="1"/>
    <col min="14561" max="14561" width="9" style="91" bestFit="1" customWidth="1"/>
    <col min="14562" max="14562" width="7.85546875" style="91" bestFit="1" customWidth="1"/>
    <col min="14563" max="14563" width="11.7109375" style="91" bestFit="1" customWidth="1"/>
    <col min="14564" max="14564" width="14.28515625" style="91" customWidth="1"/>
    <col min="14565" max="14565" width="11.7109375" style="91" bestFit="1" customWidth="1"/>
    <col min="14566" max="14566" width="14.140625" style="91" bestFit="1" customWidth="1"/>
    <col min="14567" max="14567" width="16.7109375" style="91" customWidth="1"/>
    <col min="14568" max="14568" width="16.5703125" style="91" customWidth="1"/>
    <col min="14569" max="14570" width="7.85546875" style="91" bestFit="1" customWidth="1"/>
    <col min="14571" max="14571" width="8" style="91" bestFit="1" customWidth="1"/>
    <col min="14572" max="14573" width="7.85546875" style="91" bestFit="1" customWidth="1"/>
    <col min="14574" max="14574" width="9.7109375" style="91" customWidth="1"/>
    <col min="14575" max="14575" width="12.85546875" style="91" customWidth="1"/>
    <col min="14576" max="14812" width="9.140625" style="91"/>
    <col min="14813" max="14813" width="9" style="91" bestFit="1" customWidth="1"/>
    <col min="14814" max="14814" width="9.85546875" style="91" bestFit="1" customWidth="1"/>
    <col min="14815" max="14815" width="9.140625" style="91" bestFit="1" customWidth="1"/>
    <col min="14816" max="14816" width="16" style="91" bestFit="1" customWidth="1"/>
    <col min="14817" max="14817" width="9" style="91" bestFit="1" customWidth="1"/>
    <col min="14818" max="14818" width="7.85546875" style="91" bestFit="1" customWidth="1"/>
    <col min="14819" max="14819" width="11.7109375" style="91" bestFit="1" customWidth="1"/>
    <col min="14820" max="14820" width="14.28515625" style="91" customWidth="1"/>
    <col min="14821" max="14821" width="11.7109375" style="91" bestFit="1" customWidth="1"/>
    <col min="14822" max="14822" width="14.140625" style="91" bestFit="1" customWidth="1"/>
    <col min="14823" max="14823" width="16.7109375" style="91" customWidth="1"/>
    <col min="14824" max="14824" width="16.5703125" style="91" customWidth="1"/>
    <col min="14825" max="14826" width="7.85546875" style="91" bestFit="1" customWidth="1"/>
    <col min="14827" max="14827" width="8" style="91" bestFit="1" customWidth="1"/>
    <col min="14828" max="14829" width="7.85546875" style="91" bestFit="1" customWidth="1"/>
    <col min="14830" max="14830" width="9.7109375" style="91" customWidth="1"/>
    <col min="14831" max="14831" width="12.85546875" style="91" customWidth="1"/>
    <col min="14832" max="15068" width="9.140625" style="91"/>
    <col min="15069" max="15069" width="9" style="91" bestFit="1" customWidth="1"/>
    <col min="15070" max="15070" width="9.85546875" style="91" bestFit="1" customWidth="1"/>
    <col min="15071" max="15071" width="9.140625" style="91" bestFit="1" customWidth="1"/>
    <col min="15072" max="15072" width="16" style="91" bestFit="1" customWidth="1"/>
    <col min="15073" max="15073" width="9" style="91" bestFit="1" customWidth="1"/>
    <col min="15074" max="15074" width="7.85546875" style="91" bestFit="1" customWidth="1"/>
    <col min="15075" max="15075" width="11.7109375" style="91" bestFit="1" customWidth="1"/>
    <col min="15076" max="15076" width="14.28515625" style="91" customWidth="1"/>
    <col min="15077" max="15077" width="11.7109375" style="91" bestFit="1" customWidth="1"/>
    <col min="15078" max="15078" width="14.140625" style="91" bestFit="1" customWidth="1"/>
    <col min="15079" max="15079" width="16.7109375" style="91" customWidth="1"/>
    <col min="15080" max="15080" width="16.5703125" style="91" customWidth="1"/>
    <col min="15081" max="15082" width="7.85546875" style="91" bestFit="1" customWidth="1"/>
    <col min="15083" max="15083" width="8" style="91" bestFit="1" customWidth="1"/>
    <col min="15084" max="15085" width="7.85546875" style="91" bestFit="1" customWidth="1"/>
    <col min="15086" max="15086" width="9.7109375" style="91" customWidth="1"/>
    <col min="15087" max="15087" width="12.85546875" style="91" customWidth="1"/>
    <col min="15088" max="15324" width="9.140625" style="91"/>
    <col min="15325" max="15325" width="9" style="91" bestFit="1" customWidth="1"/>
    <col min="15326" max="15326" width="9.85546875" style="91" bestFit="1" customWidth="1"/>
    <col min="15327" max="15327" width="9.140625" style="91" bestFit="1" customWidth="1"/>
    <col min="15328" max="15328" width="16" style="91" bestFit="1" customWidth="1"/>
    <col min="15329" max="15329" width="9" style="91" bestFit="1" customWidth="1"/>
    <col min="15330" max="15330" width="7.85546875" style="91" bestFit="1" customWidth="1"/>
    <col min="15331" max="15331" width="11.7109375" style="91" bestFit="1" customWidth="1"/>
    <col min="15332" max="15332" width="14.28515625" style="91" customWidth="1"/>
    <col min="15333" max="15333" width="11.7109375" style="91" bestFit="1" customWidth="1"/>
    <col min="15334" max="15334" width="14.140625" style="91" bestFit="1" customWidth="1"/>
    <col min="15335" max="15335" width="16.7109375" style="91" customWidth="1"/>
    <col min="15336" max="15336" width="16.5703125" style="91" customWidth="1"/>
    <col min="15337" max="15338" width="7.85546875" style="91" bestFit="1" customWidth="1"/>
    <col min="15339" max="15339" width="8" style="91" bestFit="1" customWidth="1"/>
    <col min="15340" max="15341" width="7.85546875" style="91" bestFit="1" customWidth="1"/>
    <col min="15342" max="15342" width="9.7109375" style="91" customWidth="1"/>
    <col min="15343" max="15343" width="12.85546875" style="91" customWidth="1"/>
    <col min="15344" max="15580" width="9.140625" style="91"/>
    <col min="15581" max="15581" width="9" style="91" bestFit="1" customWidth="1"/>
    <col min="15582" max="15582" width="9.85546875" style="91" bestFit="1" customWidth="1"/>
    <col min="15583" max="15583" width="9.140625" style="91" bestFit="1" customWidth="1"/>
    <col min="15584" max="15584" width="16" style="91" bestFit="1" customWidth="1"/>
    <col min="15585" max="15585" width="9" style="91" bestFit="1" customWidth="1"/>
    <col min="15586" max="15586" width="7.85546875" style="91" bestFit="1" customWidth="1"/>
    <col min="15587" max="15587" width="11.7109375" style="91" bestFit="1" customWidth="1"/>
    <col min="15588" max="15588" width="14.28515625" style="91" customWidth="1"/>
    <col min="15589" max="15589" width="11.7109375" style="91" bestFit="1" customWidth="1"/>
    <col min="15590" max="15590" width="14.140625" style="91" bestFit="1" customWidth="1"/>
    <col min="15591" max="15591" width="16.7109375" style="91" customWidth="1"/>
    <col min="15592" max="15592" width="16.5703125" style="91" customWidth="1"/>
    <col min="15593" max="15594" width="7.85546875" style="91" bestFit="1" customWidth="1"/>
    <col min="15595" max="15595" width="8" style="91" bestFit="1" customWidth="1"/>
    <col min="15596" max="15597" width="7.85546875" style="91" bestFit="1" customWidth="1"/>
    <col min="15598" max="15598" width="9.7109375" style="91" customWidth="1"/>
    <col min="15599" max="15599" width="12.85546875" style="91" customWidth="1"/>
    <col min="15600" max="15836" width="9.140625" style="91"/>
    <col min="15837" max="15837" width="9" style="91" bestFit="1" customWidth="1"/>
    <col min="15838" max="15838" width="9.85546875" style="91" bestFit="1" customWidth="1"/>
    <col min="15839" max="15839" width="9.140625" style="91" bestFit="1" customWidth="1"/>
    <col min="15840" max="15840" width="16" style="91" bestFit="1" customWidth="1"/>
    <col min="15841" max="15841" width="9" style="91" bestFit="1" customWidth="1"/>
    <col min="15842" max="15842" width="7.85546875" style="91" bestFit="1" customWidth="1"/>
    <col min="15843" max="15843" width="11.7109375" style="91" bestFit="1" customWidth="1"/>
    <col min="15844" max="15844" width="14.28515625" style="91" customWidth="1"/>
    <col min="15845" max="15845" width="11.7109375" style="91" bestFit="1" customWidth="1"/>
    <col min="15846" max="15846" width="14.140625" style="91" bestFit="1" customWidth="1"/>
    <col min="15847" max="15847" width="16.7109375" style="91" customWidth="1"/>
    <col min="15848" max="15848" width="16.5703125" style="91" customWidth="1"/>
    <col min="15849" max="15850" width="7.85546875" style="91" bestFit="1" customWidth="1"/>
    <col min="15851" max="15851" width="8" style="91" bestFit="1" customWidth="1"/>
    <col min="15852" max="15853" width="7.85546875" style="91" bestFit="1" customWidth="1"/>
    <col min="15854" max="15854" width="9.7109375" style="91" customWidth="1"/>
    <col min="15855" max="15855" width="12.85546875" style="91" customWidth="1"/>
    <col min="15856" max="16092" width="9.140625" style="91"/>
    <col min="16093" max="16093" width="9" style="91" bestFit="1" customWidth="1"/>
    <col min="16094" max="16094" width="9.85546875" style="91" bestFit="1" customWidth="1"/>
    <col min="16095" max="16095" width="9.140625" style="91" bestFit="1" customWidth="1"/>
    <col min="16096" max="16096" width="16" style="91" bestFit="1" customWidth="1"/>
    <col min="16097" max="16097" width="9" style="91" bestFit="1" customWidth="1"/>
    <col min="16098" max="16098" width="7.85546875" style="91" bestFit="1" customWidth="1"/>
    <col min="16099" max="16099" width="11.7109375" style="91" bestFit="1" customWidth="1"/>
    <col min="16100" max="16100" width="14.28515625" style="91" customWidth="1"/>
    <col min="16101" max="16101" width="11.7109375" style="91" bestFit="1" customWidth="1"/>
    <col min="16102" max="16102" width="14.140625" style="91" bestFit="1" customWidth="1"/>
    <col min="16103" max="16103" width="16.7109375" style="91" customWidth="1"/>
    <col min="16104" max="16104" width="16.5703125" style="91" customWidth="1"/>
    <col min="16105" max="16106" width="7.85546875" style="91" bestFit="1" customWidth="1"/>
    <col min="16107" max="16107" width="8" style="91" bestFit="1" customWidth="1"/>
    <col min="16108" max="16109" width="7.85546875" style="91" bestFit="1" customWidth="1"/>
    <col min="16110" max="16110" width="9.7109375" style="91" customWidth="1"/>
    <col min="16111" max="16111" width="12.85546875" style="91" customWidth="1"/>
    <col min="16112" max="16384" width="9.140625" style="91"/>
  </cols>
  <sheetData>
    <row r="1" spans="1:22" s="93" customFormat="1" ht="15.75" customHeight="1">
      <c r="A1" s="794" t="s">
        <v>1</v>
      </c>
      <c r="B1" s="927" t="s">
        <v>0</v>
      </c>
      <c r="C1" s="929" t="s">
        <v>130</v>
      </c>
      <c r="D1" s="929"/>
      <c r="E1" s="929"/>
      <c r="F1" s="930" t="s">
        <v>29</v>
      </c>
      <c r="G1" s="931"/>
      <c r="H1" s="931"/>
      <c r="I1" s="931"/>
      <c r="J1" s="931"/>
      <c r="K1" s="931"/>
      <c r="L1" s="931"/>
      <c r="M1" s="931"/>
      <c r="N1" s="931"/>
      <c r="O1" s="931"/>
      <c r="P1" s="931"/>
      <c r="Q1" s="931"/>
      <c r="R1" s="931"/>
      <c r="S1" s="931"/>
      <c r="T1" s="931"/>
      <c r="U1" s="931"/>
      <c r="V1" s="932"/>
    </row>
    <row r="2" spans="1:22" ht="16.5" thickBot="1">
      <c r="A2" s="795"/>
      <c r="B2" s="928"/>
      <c r="C2" s="94" t="s">
        <v>23</v>
      </c>
      <c r="D2" s="99" t="s">
        <v>9</v>
      </c>
      <c r="E2" s="101" t="s">
        <v>33</v>
      </c>
      <c r="F2" s="268">
        <v>61</v>
      </c>
      <c r="G2" s="268">
        <v>62</v>
      </c>
      <c r="H2" s="268">
        <v>63</v>
      </c>
      <c r="I2" s="269">
        <v>64</v>
      </c>
      <c r="J2" s="270" t="s">
        <v>428</v>
      </c>
      <c r="K2" s="270" t="s">
        <v>429</v>
      </c>
      <c r="L2" s="270" t="s">
        <v>430</v>
      </c>
      <c r="M2" s="271">
        <v>65</v>
      </c>
      <c r="N2" s="272" t="s">
        <v>431</v>
      </c>
      <c r="O2" s="272" t="s">
        <v>432</v>
      </c>
      <c r="P2" s="272" t="s">
        <v>433</v>
      </c>
      <c r="Q2" s="272" t="s">
        <v>434</v>
      </c>
      <c r="R2" s="272" t="s">
        <v>435</v>
      </c>
      <c r="S2" s="268">
        <v>67</v>
      </c>
      <c r="T2" s="170"/>
      <c r="U2" s="170"/>
      <c r="V2" s="267"/>
    </row>
    <row r="3" spans="1:22" s="131" customFormat="1">
      <c r="A3" s="379" t="str">
        <f>'1-συμβολαια'!A3</f>
        <v>93τραπ &amp; σημ</v>
      </c>
      <c r="B3" s="375" t="str">
        <f>'1-συμβολαια'!C3</f>
        <v>δάνειο</v>
      </c>
      <c r="C3" s="361">
        <f>'1-συμβολαια'!M3</f>
        <v>205369</v>
      </c>
      <c r="D3" s="376"/>
      <c r="E3" s="376">
        <f t="shared" ref="E3:E16" si="0">C3-D3</f>
        <v>205369</v>
      </c>
      <c r="F3" s="362">
        <v>61</v>
      </c>
      <c r="G3" s="362">
        <v>62</v>
      </c>
      <c r="H3" s="377"/>
      <c r="I3" s="378"/>
      <c r="J3" s="378"/>
      <c r="K3" s="378"/>
      <c r="L3" s="378"/>
      <c r="M3" s="378"/>
      <c r="N3" s="362"/>
      <c r="O3" s="362"/>
      <c r="P3" s="362"/>
      <c r="Q3" s="362"/>
      <c r="R3" s="362"/>
      <c r="S3" s="362"/>
      <c r="T3" s="362"/>
      <c r="U3" s="362"/>
      <c r="V3" s="362"/>
    </row>
    <row r="4" spans="1:22" s="131" customFormat="1">
      <c r="A4" s="379">
        <f>'1-συμβολαια'!A4</f>
        <v>0</v>
      </c>
      <c r="B4" s="375" t="str">
        <f>'1-συμβολαια'!C4</f>
        <v>υποθήκη δανείου</v>
      </c>
      <c r="C4" s="361">
        <f>'1-συμβολαια'!M4</f>
        <v>229235.66100000002</v>
      </c>
      <c r="D4" s="376">
        <f>'1-συμβολαια'!O4</f>
        <v>0</v>
      </c>
      <c r="E4" s="376">
        <f t="shared" si="0"/>
        <v>229235.66100000002</v>
      </c>
      <c r="F4" s="362">
        <v>61</v>
      </c>
      <c r="G4" s="362">
        <v>62</v>
      </c>
      <c r="H4" s="377"/>
      <c r="I4" s="378"/>
      <c r="J4" s="378"/>
      <c r="K4" s="378"/>
      <c r="L4" s="378"/>
      <c r="M4" s="378"/>
      <c r="N4" s="362"/>
      <c r="O4" s="362"/>
      <c r="P4" s="362"/>
      <c r="Q4" s="362"/>
      <c r="R4" s="362"/>
      <c r="S4" s="362"/>
      <c r="T4" s="362"/>
      <c r="U4" s="362"/>
      <c r="V4" s="362"/>
    </row>
    <row r="5" spans="1:22" s="131" customFormat="1">
      <c r="A5" s="379">
        <f>'1-συμβολαια'!A5</f>
        <v>0</v>
      </c>
      <c r="B5" s="375" t="str">
        <f>'1-συμβολαια'!C5</f>
        <v>τόκοι δανείου {εμπρόθεσμα πληρωθέντες}</v>
      </c>
      <c r="C5" s="361">
        <f>'1-συμβολαια'!M5</f>
        <v>435813.44349999999</v>
      </c>
      <c r="D5" s="361">
        <f>'1-συμβολαια'!O5</f>
        <v>0</v>
      </c>
      <c r="E5" s="361">
        <f t="shared" si="0"/>
        <v>435813.44349999999</v>
      </c>
      <c r="F5" s="362">
        <v>61</v>
      </c>
      <c r="G5" s="362">
        <v>62</v>
      </c>
      <c r="H5" s="377"/>
      <c r="I5" s="378"/>
      <c r="J5" s="378"/>
      <c r="K5" s="378"/>
      <c r="L5" s="378"/>
      <c r="M5" s="378"/>
      <c r="N5" s="362"/>
      <c r="O5" s="362"/>
      <c r="P5" s="362"/>
      <c r="Q5" s="362"/>
      <c r="R5" s="362"/>
      <c r="S5" s="362"/>
      <c r="T5" s="362"/>
      <c r="U5" s="362"/>
      <c r="V5" s="362"/>
    </row>
    <row r="6" spans="1:22" s="131" customFormat="1">
      <c r="A6" s="379" t="str">
        <f>'1-συμβολαια'!A6</f>
        <v>375τραπ</v>
      </c>
      <c r="B6" s="375" t="str">
        <f>'1-συμβολαια'!C6</f>
        <v>δάνειο</v>
      </c>
      <c r="C6" s="361">
        <f>'1-συμβολαια'!M6</f>
        <v>43869</v>
      </c>
      <c r="D6" s="361">
        <f>'1-συμβολαια'!O6</f>
        <v>0</v>
      </c>
      <c r="E6" s="361">
        <f t="shared" si="0"/>
        <v>43869</v>
      </c>
      <c r="F6" s="362">
        <v>61</v>
      </c>
      <c r="G6" s="362">
        <v>62</v>
      </c>
      <c r="H6" s="377"/>
      <c r="I6" s="378"/>
      <c r="J6" s="378"/>
      <c r="K6" s="378"/>
      <c r="L6" s="378"/>
      <c r="M6" s="378"/>
      <c r="N6" s="362"/>
      <c r="O6" s="362"/>
      <c r="P6" s="362"/>
      <c r="Q6" s="362"/>
      <c r="R6" s="362"/>
      <c r="S6" s="362"/>
      <c r="T6" s="362"/>
      <c r="U6" s="362"/>
      <c r="V6" s="362"/>
    </row>
    <row r="7" spans="1:22" s="131" customFormat="1">
      <c r="A7" s="379">
        <f>'1-συμβολαια'!A7</f>
        <v>0</v>
      </c>
      <c r="B7" s="375" t="str">
        <f>'1-συμβολαια'!C7</f>
        <v>υποθήκη δανείου</v>
      </c>
      <c r="C7" s="361">
        <f>'1-συμβολαια'!M7</f>
        <v>59235.661000000007</v>
      </c>
      <c r="D7" s="361">
        <f>'1-συμβολαια'!O7</f>
        <v>0</v>
      </c>
      <c r="E7" s="361">
        <f t="shared" si="0"/>
        <v>59235.661000000007</v>
      </c>
      <c r="F7" s="362">
        <v>61</v>
      </c>
      <c r="G7" s="362">
        <v>62</v>
      </c>
      <c r="H7" s="377"/>
      <c r="I7" s="378"/>
      <c r="J7" s="378"/>
      <c r="K7" s="378"/>
      <c r="L7" s="378"/>
      <c r="M7" s="378"/>
      <c r="N7" s="362"/>
      <c r="O7" s="362"/>
      <c r="P7" s="362"/>
      <c r="Q7" s="362"/>
      <c r="R7" s="362"/>
      <c r="S7" s="362"/>
      <c r="T7" s="362"/>
      <c r="U7" s="362"/>
      <c r="V7" s="362"/>
    </row>
    <row r="8" spans="1:22" s="131" customFormat="1">
      <c r="A8" s="379">
        <f>'1-συμβολαια'!A8</f>
        <v>0</v>
      </c>
      <c r="B8" s="375" t="str">
        <f>'1-συμβολαια'!C8</f>
        <v>τόκοι δανείου</v>
      </c>
      <c r="C8" s="361">
        <f>'1-συμβολαια'!M8</f>
        <v>95813.443499999994</v>
      </c>
      <c r="D8" s="376">
        <f>'1-συμβολαια'!O8</f>
        <v>0</v>
      </c>
      <c r="E8" s="376">
        <f t="shared" si="0"/>
        <v>95813.443499999994</v>
      </c>
      <c r="F8" s="362">
        <v>61</v>
      </c>
      <c r="G8" s="362">
        <v>62</v>
      </c>
      <c r="H8" s="377"/>
      <c r="I8" s="378"/>
      <c r="J8" s="378"/>
      <c r="K8" s="378"/>
      <c r="L8" s="378"/>
      <c r="M8" s="378"/>
      <c r="N8" s="362"/>
      <c r="O8" s="362"/>
      <c r="P8" s="362"/>
      <c r="Q8" s="362"/>
      <c r="R8" s="362"/>
      <c r="S8" s="362"/>
      <c r="T8" s="362"/>
      <c r="U8" s="362"/>
      <c r="V8" s="362"/>
    </row>
    <row r="9" spans="1:22" s="131" customFormat="1" ht="15.75" thickBot="1">
      <c r="A9" s="380" t="str">
        <f>'1-συμβολαια'!A9</f>
        <v>1ο</v>
      </c>
      <c r="B9" s="381" t="str">
        <f>'1-συμβολαια'!C9</f>
        <v>υποθήκη τυχόν αυξήσεως ΤΟΚΩΝ δανείου</v>
      </c>
      <c r="C9" s="363"/>
      <c r="D9" s="363"/>
      <c r="E9" s="363"/>
      <c r="F9" s="364"/>
      <c r="G9" s="364"/>
      <c r="H9" s="382"/>
      <c r="I9" s="383"/>
      <c r="J9" s="383"/>
      <c r="K9" s="383"/>
      <c r="L9" s="383"/>
      <c r="M9" s="383"/>
      <c r="N9" s="364"/>
      <c r="O9" s="364"/>
      <c r="P9" s="364"/>
      <c r="Q9" s="362"/>
      <c r="R9" s="362"/>
      <c r="S9" s="362"/>
      <c r="T9" s="362"/>
      <c r="U9" s="362"/>
      <c r="V9" s="362"/>
    </row>
    <row r="10" spans="1:22" s="131" customFormat="1">
      <c r="A10" s="703" t="str">
        <f>'1-συμβολαια'!A10</f>
        <v>2ο</v>
      </c>
      <c r="B10" s="704" t="str">
        <f>'1-συμβολαια'!C10</f>
        <v>αγοραπωλησία οικοπεδου τίμημα = 800.000 Δ.Ο.Υ. =</v>
      </c>
      <c r="C10" s="376"/>
      <c r="D10" s="376"/>
      <c r="E10" s="376"/>
      <c r="F10" s="584"/>
      <c r="G10" s="584"/>
      <c r="H10" s="705"/>
      <c r="I10" s="706"/>
      <c r="J10" s="706"/>
      <c r="K10" s="706"/>
      <c r="L10" s="706"/>
      <c r="M10" s="706"/>
      <c r="N10" s="584"/>
      <c r="O10" s="584"/>
      <c r="P10" s="584"/>
      <c r="Q10" s="362"/>
      <c r="R10" s="362"/>
      <c r="S10" s="362"/>
      <c r="T10" s="362"/>
      <c r="U10" s="362"/>
      <c r="V10" s="362"/>
    </row>
    <row r="11" spans="1:22" s="131" customFormat="1">
      <c r="A11" s="433">
        <f>'1-συμβολαια'!A11</f>
        <v>0</v>
      </c>
      <c r="B11" s="375" t="str">
        <f>'1-συμβολαια'!C11</f>
        <v>αγορά εργοστασίου ;;;??? μ2</v>
      </c>
      <c r="C11" s="361">
        <f>'1-συμβολαια'!M11</f>
        <v>96113.443499999994</v>
      </c>
      <c r="D11" s="376">
        <f>'1-συμβολαια'!O11</f>
        <v>0</v>
      </c>
      <c r="E11" s="376">
        <f t="shared" si="0"/>
        <v>96113.443499999994</v>
      </c>
      <c r="F11" s="362">
        <v>61</v>
      </c>
      <c r="G11" s="362">
        <v>62</v>
      </c>
      <c r="H11" s="377"/>
      <c r="I11" s="378"/>
      <c r="J11" s="378"/>
      <c r="K11" s="378"/>
      <c r="L11" s="378"/>
      <c r="M11" s="378"/>
      <c r="N11" s="362"/>
      <c r="O11" s="362"/>
      <c r="P11" s="362"/>
      <c r="Q11" s="362"/>
      <c r="R11" s="362"/>
      <c r="S11" s="362"/>
      <c r="T11" s="362"/>
      <c r="U11" s="362"/>
      <c r="V11" s="362"/>
    </row>
    <row r="12" spans="1:22" s="131" customFormat="1" ht="15.75" thickBot="1">
      <c r="A12" s="707">
        <f>'1-συμβολαια'!A12</f>
        <v>0</v>
      </c>
      <c r="B12" s="381" t="str">
        <f>'1-συμβολαια'!C12</f>
        <v>αγορά εργοστασίου ΕΞΟΠΛΙΣΜΟΣ</v>
      </c>
      <c r="C12" s="363">
        <f>'1-συμβολαια'!M12</f>
        <v>58335.661000000007</v>
      </c>
      <c r="D12" s="363">
        <f>'1-συμβολαια'!O12</f>
        <v>0</v>
      </c>
      <c r="E12" s="363">
        <f t="shared" si="0"/>
        <v>58335.661000000007</v>
      </c>
      <c r="F12" s="364">
        <v>61</v>
      </c>
      <c r="G12" s="364">
        <v>62</v>
      </c>
      <c r="H12" s="382"/>
      <c r="I12" s="383"/>
      <c r="J12" s="383"/>
      <c r="K12" s="383"/>
      <c r="L12" s="383"/>
      <c r="M12" s="383"/>
      <c r="N12" s="364"/>
      <c r="O12" s="364"/>
      <c r="P12" s="364"/>
      <c r="Q12" s="364"/>
      <c r="R12" s="362"/>
      <c r="S12" s="362"/>
      <c r="T12" s="362"/>
      <c r="U12" s="362"/>
      <c r="V12" s="362"/>
    </row>
    <row r="13" spans="1:22" s="131" customFormat="1" ht="15.75" thickBot="1">
      <c r="A13" s="709" t="str">
        <f>'1-συμβολαια'!A13</f>
        <v>3ο</v>
      </c>
      <c r="B13" s="710" t="str">
        <f>'1-συμβολαια'!C13</f>
        <v>πληρεξούσιο</v>
      </c>
      <c r="C13" s="501"/>
      <c r="D13" s="501"/>
      <c r="E13" s="501"/>
      <c r="F13" s="711"/>
      <c r="G13" s="711"/>
      <c r="H13" s="712"/>
      <c r="I13" s="713"/>
      <c r="J13" s="713"/>
      <c r="K13" s="713"/>
      <c r="L13" s="706"/>
      <c r="M13" s="706"/>
      <c r="N13" s="584"/>
      <c r="O13" s="584"/>
      <c r="P13" s="584"/>
      <c r="Q13" s="584"/>
      <c r="R13" s="362"/>
      <c r="S13" s="362"/>
      <c r="T13" s="362"/>
      <c r="U13" s="362"/>
      <c r="V13" s="362"/>
    </row>
    <row r="14" spans="1:22" s="131" customFormat="1">
      <c r="A14" s="708" t="str">
        <f>'1-συμβολαια'!A14</f>
        <v>4ο</v>
      </c>
      <c r="B14" s="704" t="str">
        <f>'1-συμβολαια'!C14</f>
        <v>υποθήκη [έναντι του δανείου 375-29/07/1982τραπ</v>
      </c>
      <c r="C14" s="376"/>
      <c r="D14" s="376"/>
      <c r="E14" s="376"/>
      <c r="F14" s="584"/>
      <c r="G14" s="584"/>
      <c r="H14" s="705"/>
      <c r="I14" s="706"/>
      <c r="J14" s="706"/>
      <c r="K14" s="706"/>
      <c r="L14" s="378"/>
      <c r="M14" s="378"/>
      <c r="N14" s="362"/>
      <c r="O14" s="362"/>
      <c r="P14" s="362"/>
      <c r="Q14" s="362"/>
      <c r="R14" s="362"/>
      <c r="S14" s="362"/>
      <c r="T14" s="362"/>
      <c r="U14" s="362"/>
      <c r="V14" s="362"/>
    </row>
    <row r="15" spans="1:22" s="131" customFormat="1">
      <c r="A15" s="379" t="str">
        <f>'1-συμβολαια'!A15</f>
        <v>389τραπ</v>
      </c>
      <c r="B15" s="375" t="str">
        <f>'1-συμβολαια'!C15</f>
        <v>δάνειο</v>
      </c>
      <c r="C15" s="361">
        <f>'1-συμβολαια'!M15</f>
        <v>98972.5</v>
      </c>
      <c r="D15" s="376">
        <f>'1-συμβολαια'!O15</f>
        <v>0</v>
      </c>
      <c r="E15" s="376">
        <f t="shared" si="0"/>
        <v>98972.5</v>
      </c>
      <c r="F15" s="362">
        <v>61</v>
      </c>
      <c r="G15" s="362">
        <v>62</v>
      </c>
      <c r="H15" s="377"/>
      <c r="I15" s="378"/>
      <c r="J15" s="378"/>
      <c r="K15" s="378"/>
      <c r="L15" s="378"/>
      <c r="M15" s="378"/>
      <c r="N15" s="362"/>
      <c r="O15" s="362"/>
      <c r="P15" s="362"/>
      <c r="Q15" s="362"/>
      <c r="R15" s="362"/>
      <c r="S15" s="362"/>
      <c r="T15" s="362"/>
      <c r="U15" s="362"/>
      <c r="V15" s="362"/>
    </row>
    <row r="16" spans="1:22" s="131" customFormat="1">
      <c r="A16" s="379">
        <f>'1-συμβολαια'!A16</f>
        <v>0</v>
      </c>
      <c r="B16" s="375" t="str">
        <f>'1-συμβολαια'!C16</f>
        <v>υποθήκη δανείου</v>
      </c>
      <c r="C16" s="361">
        <f>'1-συμβολαια'!M16</f>
        <v>121594.72004999999</v>
      </c>
      <c r="D16" s="376">
        <f>'1-συμβολαια'!O16</f>
        <v>0</v>
      </c>
      <c r="E16" s="376">
        <f t="shared" si="0"/>
        <v>121594.72004999999</v>
      </c>
      <c r="F16" s="362">
        <v>61</v>
      </c>
      <c r="G16" s="362">
        <v>62</v>
      </c>
      <c r="H16" s="377"/>
      <c r="I16" s="378"/>
      <c r="J16" s="378"/>
      <c r="K16" s="378"/>
      <c r="L16" s="378"/>
      <c r="M16" s="378"/>
      <c r="N16" s="362"/>
      <c r="O16" s="362"/>
      <c r="P16" s="362"/>
      <c r="Q16" s="362"/>
      <c r="R16" s="362"/>
      <c r="S16" s="362"/>
      <c r="T16" s="362"/>
      <c r="U16" s="362"/>
      <c r="V16" s="362"/>
    </row>
    <row r="17" spans="1:22" s="131" customFormat="1" ht="15.75" thickBot="1">
      <c r="A17" s="380">
        <f>'1-συμβολαια'!A17</f>
        <v>0</v>
      </c>
      <c r="B17" s="381" t="str">
        <f>'1-συμβολαια'!C17</f>
        <v>τόκοι δανείου</v>
      </c>
      <c r="C17" s="363">
        <f>'1-συμβολαια'!M17</f>
        <v>218444.72005</v>
      </c>
      <c r="D17" s="363">
        <f>'1-συμβολαια'!O17</f>
        <v>0</v>
      </c>
      <c r="E17" s="363">
        <f t="shared" ref="E17:E23" si="1">C17-D17</f>
        <v>218444.72005</v>
      </c>
      <c r="F17" s="364">
        <v>61</v>
      </c>
      <c r="G17" s="364">
        <v>62</v>
      </c>
      <c r="H17" s="382"/>
      <c r="I17" s="383"/>
      <c r="J17" s="383"/>
      <c r="K17" s="383"/>
      <c r="L17" s="383"/>
      <c r="M17" s="383"/>
      <c r="N17" s="364"/>
      <c r="O17" s="364"/>
      <c r="P17" s="362"/>
      <c r="Q17" s="362"/>
      <c r="R17" s="362"/>
      <c r="S17" s="362"/>
      <c r="T17" s="362"/>
      <c r="U17" s="362"/>
      <c r="V17" s="362"/>
    </row>
    <row r="18" spans="1:22" s="131" customFormat="1">
      <c r="A18" s="703" t="str">
        <f>'1-συμβολαια'!A18</f>
        <v>5ο</v>
      </c>
      <c r="B18" s="704" t="str">
        <f>'1-συμβολαια'!C18</f>
        <v>μίσθωσις νταμάρι  Παναγία -'';;;???'' 29στρ 3έτη [1000/έτος/στρ</v>
      </c>
      <c r="C18" s="376"/>
      <c r="D18" s="376"/>
      <c r="E18" s="376"/>
      <c r="F18" s="584"/>
      <c r="G18" s="584"/>
      <c r="H18" s="705"/>
      <c r="I18" s="706"/>
      <c r="J18" s="706"/>
      <c r="K18" s="706"/>
      <c r="L18" s="706"/>
      <c r="M18" s="706"/>
      <c r="N18" s="584"/>
      <c r="O18" s="584"/>
      <c r="P18" s="362"/>
      <c r="Q18" s="362"/>
      <c r="R18" s="362"/>
      <c r="S18" s="362"/>
      <c r="T18" s="362"/>
      <c r="U18" s="362"/>
      <c r="V18" s="362"/>
    </row>
    <row r="19" spans="1:22" s="131" customFormat="1">
      <c r="A19" s="433">
        <f>'1-συμβολαια'!A19</f>
        <v>0</v>
      </c>
      <c r="B19" s="375" t="str">
        <f>'1-συμβολαια'!C19</f>
        <v>μίσθωση … ΚΤΙΡΙΑΚΑ &amp; τεχνικές εγκαταστάσεις &amp; ΚΛΠ</v>
      </c>
      <c r="C19" s="361">
        <f>'1-συμβολαια'!M19</f>
        <v>106949.5</v>
      </c>
      <c r="D19" s="376">
        <f>'1-συμβολαια'!O19</f>
        <v>0</v>
      </c>
      <c r="E19" s="376">
        <f t="shared" si="1"/>
        <v>106949.5</v>
      </c>
      <c r="F19" s="362">
        <v>61</v>
      </c>
      <c r="G19" s="362">
        <v>62</v>
      </c>
      <c r="H19" s="377"/>
      <c r="I19" s="378"/>
      <c r="J19" s="378"/>
      <c r="K19" s="378"/>
      <c r="L19" s="378"/>
      <c r="M19" s="378"/>
      <c r="N19" s="362"/>
      <c r="O19" s="362"/>
      <c r="P19" s="362"/>
      <c r="Q19" s="362"/>
      <c r="R19" s="362"/>
      <c r="S19" s="362"/>
      <c r="T19" s="362"/>
      <c r="U19" s="362"/>
      <c r="V19" s="362"/>
    </row>
    <row r="20" spans="1:22" s="131" customFormat="1">
      <c r="A20" s="433">
        <f>'1-συμβολαια'!A20</f>
        <v>0</v>
      </c>
      <c r="B20" s="375" t="str">
        <f>'1-συμβολαια'!C20</f>
        <v>μίσθωση … ΕΡΕΥΝΗΤΙΚΕΣ εργασίες</v>
      </c>
      <c r="C20" s="361">
        <f>'1-συμβολαια'!M20</f>
        <v>37632.830074999998</v>
      </c>
      <c r="D20" s="376">
        <f>'1-συμβολαια'!O20</f>
        <v>0</v>
      </c>
      <c r="E20" s="376">
        <f t="shared" si="1"/>
        <v>37632.830074999998</v>
      </c>
      <c r="F20" s="362">
        <v>61</v>
      </c>
      <c r="G20" s="362">
        <v>62</v>
      </c>
      <c r="H20" s="377"/>
      <c r="I20" s="378"/>
      <c r="J20" s="378"/>
      <c r="K20" s="378"/>
      <c r="L20" s="378"/>
      <c r="M20" s="378"/>
      <c r="N20" s="362"/>
      <c r="O20" s="362"/>
      <c r="P20" s="362"/>
      <c r="Q20" s="362"/>
      <c r="R20" s="362"/>
      <c r="S20" s="362"/>
      <c r="T20" s="362"/>
      <c r="U20" s="362"/>
      <c r="V20" s="362"/>
    </row>
    <row r="21" spans="1:22" s="131" customFormat="1" ht="15.75" thickBot="1">
      <c r="A21" s="707">
        <f>'1-συμβολαια'!A21</f>
        <v>0</v>
      </c>
      <c r="B21" s="381" t="str">
        <f>'1-συμβολαια'!C21</f>
        <v>μίσθωση ….. κόστος έργων αποκατάστασης</v>
      </c>
      <c r="C21" s="363">
        <f>'1-συμβολαια'!M21</f>
        <v>63699.5</v>
      </c>
      <c r="D21" s="363">
        <f>'1-συμβολαια'!O21</f>
        <v>0</v>
      </c>
      <c r="E21" s="363">
        <f t="shared" si="1"/>
        <v>63699.5</v>
      </c>
      <c r="F21" s="364">
        <v>61</v>
      </c>
      <c r="G21" s="364">
        <v>62</v>
      </c>
      <c r="H21" s="382"/>
      <c r="I21" s="383"/>
      <c r="J21" s="383"/>
      <c r="K21" s="383"/>
      <c r="L21" s="383"/>
      <c r="M21" s="378"/>
      <c r="N21" s="362"/>
      <c r="O21" s="362"/>
      <c r="P21" s="362"/>
      <c r="Q21" s="362"/>
      <c r="R21" s="362"/>
      <c r="S21" s="362"/>
      <c r="T21" s="362"/>
      <c r="U21" s="362"/>
      <c r="V21" s="362"/>
    </row>
    <row r="22" spans="1:22" s="131" customFormat="1">
      <c r="A22" s="708" t="str">
        <f>'1-συμβολαια'!A22</f>
        <v>6ο</v>
      </c>
      <c r="B22" s="704" t="str">
        <f>'1-συμβολαια'!C22</f>
        <v>;;;???ΑΕ σύσταση από ΜΕΤΑΤΡΟΠΗ ατομικής [= 40.000.000δρχ</v>
      </c>
      <c r="C22" s="376"/>
      <c r="D22" s="376"/>
      <c r="E22" s="376"/>
      <c r="F22" s="584"/>
      <c r="G22" s="584"/>
      <c r="H22" s="705"/>
      <c r="I22" s="706"/>
      <c r="J22" s="706"/>
      <c r="K22" s="706"/>
      <c r="L22" s="706"/>
      <c r="M22" s="378"/>
      <c r="N22" s="362"/>
      <c r="O22" s="362"/>
      <c r="P22" s="362"/>
      <c r="Q22" s="362"/>
      <c r="R22" s="362"/>
      <c r="S22" s="362"/>
      <c r="T22" s="362"/>
      <c r="U22" s="362"/>
      <c r="V22" s="362"/>
    </row>
    <row r="23" spans="1:22" s="131" customFormat="1" ht="15.75" thickBot="1">
      <c r="A23" s="380">
        <f>'1-συμβολαια'!A23</f>
        <v>0</v>
      </c>
      <c r="B23" s="381" t="str">
        <f>'1-συμβολαια'!C23</f>
        <v>πληρεξουσιότητα</v>
      </c>
      <c r="C23" s="363">
        <f>'1-συμβολαια'!M23</f>
        <v>16705</v>
      </c>
      <c r="D23" s="363">
        <f>'1-συμβολαια'!O23</f>
        <v>0</v>
      </c>
      <c r="E23" s="363">
        <f t="shared" si="1"/>
        <v>16705</v>
      </c>
      <c r="F23" s="364">
        <v>61</v>
      </c>
      <c r="G23" s="364">
        <v>62</v>
      </c>
      <c r="H23" s="382"/>
      <c r="I23" s="383"/>
      <c r="J23" s="383"/>
      <c r="K23" s="383"/>
      <c r="L23" s="383"/>
      <c r="M23" s="383"/>
      <c r="N23" s="364"/>
      <c r="O23" s="362"/>
      <c r="P23" s="362"/>
      <c r="Q23" s="362"/>
      <c r="R23" s="362"/>
      <c r="S23" s="362"/>
      <c r="T23" s="362"/>
      <c r="U23" s="362"/>
      <c r="V23" s="362"/>
    </row>
    <row r="24" spans="1:22" s="131" customFormat="1">
      <c r="A24" s="703" t="str">
        <f>'1-συμβολαια'!A24</f>
        <v>7ο</v>
      </c>
      <c r="B24" s="704" t="str">
        <f>'1-συμβολαια'!C24</f>
        <v>;;;??? υποθήκης ΕΞΑΛΕΙΨΗ</v>
      </c>
      <c r="C24" s="376"/>
      <c r="D24" s="376"/>
      <c r="E24" s="376"/>
      <c r="F24" s="584"/>
      <c r="G24" s="584"/>
      <c r="H24" s="705"/>
      <c r="I24" s="706"/>
      <c r="J24" s="706"/>
      <c r="K24" s="706"/>
      <c r="L24" s="706"/>
      <c r="M24" s="706"/>
      <c r="N24" s="584"/>
      <c r="O24" s="362"/>
      <c r="P24" s="362"/>
      <c r="Q24" s="362"/>
      <c r="R24" s="362"/>
      <c r="S24" s="362"/>
      <c r="T24" s="362"/>
      <c r="U24" s="362"/>
      <c r="V24" s="362"/>
    </row>
    <row r="25" spans="1:22" s="131" customFormat="1">
      <c r="A25" s="433">
        <f>'1-συμβολαια'!A25</f>
        <v>0</v>
      </c>
      <c r="B25" s="375" t="str">
        <f>'1-συμβολαια'!C25</f>
        <v>υποθήκης 375τραπ29/7/82 ΕΞΑΛΕΙΨΗ</v>
      </c>
      <c r="C25" s="361">
        <f>'1-συμβολαια'!M25</f>
        <v>2090</v>
      </c>
      <c r="D25" s="376">
        <f>'1-συμβολαια'!O25</f>
        <v>0</v>
      </c>
      <c r="E25" s="376">
        <f t="shared" ref="E25:E46" si="2">C25-D25</f>
        <v>2090</v>
      </c>
      <c r="F25" s="362">
        <v>61</v>
      </c>
      <c r="G25" s="362">
        <v>62</v>
      </c>
      <c r="H25" s="377"/>
      <c r="I25" s="378"/>
      <c r="J25" s="378"/>
      <c r="K25" s="378"/>
      <c r="L25" s="378"/>
      <c r="M25" s="378"/>
      <c r="N25" s="362"/>
      <c r="O25" s="362"/>
      <c r="P25" s="362"/>
      <c r="Q25" s="362"/>
      <c r="R25" s="362"/>
      <c r="S25" s="362"/>
      <c r="T25" s="362"/>
      <c r="U25" s="362"/>
      <c r="V25" s="362"/>
    </row>
    <row r="26" spans="1:22" s="131" customFormat="1">
      <c r="A26" s="433">
        <f>'1-συμβολαια'!A26</f>
        <v>0</v>
      </c>
      <c r="B26" s="375" t="str">
        <f>'1-συμβολαια'!C26</f>
        <v>δάνειο 375τραπ 9/7/82 ΕΞΟΦΛΗΣΗ</v>
      </c>
      <c r="C26" s="361">
        <f>'1-συμβολαια'!M26</f>
        <v>1190</v>
      </c>
      <c r="D26" s="376">
        <f>'1-συμβολαια'!O26</f>
        <v>0</v>
      </c>
      <c r="E26" s="376">
        <f t="shared" si="2"/>
        <v>1190</v>
      </c>
      <c r="F26" s="362">
        <v>61</v>
      </c>
      <c r="G26" s="362">
        <v>62</v>
      </c>
      <c r="H26" s="377"/>
      <c r="I26" s="378"/>
      <c r="J26" s="378"/>
      <c r="K26" s="378"/>
      <c r="L26" s="378"/>
      <c r="M26" s="378"/>
      <c r="N26" s="362"/>
      <c r="O26" s="362"/>
      <c r="P26" s="362"/>
      <c r="Q26" s="362"/>
      <c r="R26" s="362"/>
      <c r="S26" s="362"/>
      <c r="T26" s="362"/>
      <c r="U26" s="362"/>
      <c r="V26" s="362"/>
    </row>
    <row r="27" spans="1:22" s="131" customFormat="1">
      <c r="A27" s="433">
        <f>'1-συμβολαια'!A27</f>
        <v>0</v>
      </c>
      <c r="B27" s="375" t="str">
        <f>'1-συμβολαια'!C27</f>
        <v>τόκοι δανείου 375τραπ {= προπληρωθέντες VS υπερΠληρωθέντες</v>
      </c>
      <c r="C27" s="361">
        <f>'1-συμβολαια'!M27</f>
        <v>12460.610025</v>
      </c>
      <c r="D27" s="376">
        <f>'1-συμβολαια'!O27</f>
        <v>0</v>
      </c>
      <c r="E27" s="376">
        <f t="shared" si="2"/>
        <v>12460.610025</v>
      </c>
      <c r="F27" s="362">
        <v>61</v>
      </c>
      <c r="G27" s="362">
        <v>62</v>
      </c>
      <c r="H27" s="377"/>
      <c r="I27" s="378"/>
      <c r="J27" s="378"/>
      <c r="K27" s="378"/>
      <c r="L27" s="378"/>
      <c r="M27" s="378"/>
      <c r="N27" s="362"/>
      <c r="O27" s="362"/>
      <c r="P27" s="362"/>
      <c r="Q27" s="362"/>
      <c r="R27" s="362"/>
      <c r="S27" s="362"/>
      <c r="T27" s="362"/>
      <c r="U27" s="362"/>
      <c r="V27" s="362"/>
    </row>
    <row r="28" spans="1:22" s="131" customFormat="1">
      <c r="A28" s="433">
        <f>'1-συμβολαια'!A28</f>
        <v>0</v>
      </c>
      <c r="B28" s="375" t="str">
        <f>'1-συμβολαια'!C28</f>
        <v>υποθήκης 389τραπ29/7/82 ΕΞΑΛΕΙΨΗ</v>
      </c>
      <c r="C28" s="361">
        <f>'1-συμβολαια'!M28</f>
        <v>2090</v>
      </c>
      <c r="D28" s="376">
        <f>'1-συμβολαια'!O28</f>
        <v>0</v>
      </c>
      <c r="E28" s="376">
        <f t="shared" si="2"/>
        <v>2090</v>
      </c>
      <c r="F28" s="362">
        <v>61</v>
      </c>
      <c r="G28" s="362">
        <v>62</v>
      </c>
      <c r="H28" s="377"/>
      <c r="I28" s="378"/>
      <c r="J28" s="378"/>
      <c r="K28" s="378"/>
      <c r="L28" s="378"/>
      <c r="M28" s="378"/>
      <c r="N28" s="362"/>
      <c r="O28" s="362"/>
      <c r="P28" s="362"/>
      <c r="Q28" s="362"/>
      <c r="R28" s="362"/>
      <c r="S28" s="362"/>
      <c r="T28" s="362"/>
      <c r="U28" s="362"/>
      <c r="V28" s="362"/>
    </row>
    <row r="29" spans="1:22" s="131" customFormat="1">
      <c r="A29" s="433">
        <f>'1-συμβολαια'!A29</f>
        <v>0</v>
      </c>
      <c r="B29" s="375" t="str">
        <f>'1-συμβολαια'!C29</f>
        <v>δάνειο 389τραπ29/7/82 ΕΞΟΦΛΗΣΗ</v>
      </c>
      <c r="C29" s="361">
        <f>'1-συμβολαια'!M29</f>
        <v>1190</v>
      </c>
      <c r="D29" s="376">
        <f>'1-συμβολαια'!O29</f>
        <v>0</v>
      </c>
      <c r="E29" s="376">
        <f t="shared" si="2"/>
        <v>1190</v>
      </c>
      <c r="F29" s="362">
        <v>61</v>
      </c>
      <c r="G29" s="362">
        <v>62</v>
      </c>
      <c r="H29" s="377"/>
      <c r="I29" s="378"/>
      <c r="J29" s="378"/>
      <c r="K29" s="378"/>
      <c r="L29" s="378"/>
      <c r="M29" s="378"/>
      <c r="N29" s="362"/>
      <c r="O29" s="362"/>
      <c r="P29" s="362"/>
      <c r="Q29" s="362"/>
      <c r="R29" s="362"/>
      <c r="S29" s="362"/>
      <c r="T29" s="362"/>
      <c r="U29" s="362"/>
      <c r="V29" s="362"/>
    </row>
    <row r="30" spans="1:22" s="131" customFormat="1" ht="15.75" thickBot="1">
      <c r="A30" s="707">
        <f>'1-συμβολαια'!A30</f>
        <v>0</v>
      </c>
      <c r="B30" s="381" t="str">
        <f>'1-συμβολαια'!C30</f>
        <v>τόκοι δανείου 389τραπ {= προπληρωθέντες VS υπερΠληρωθέντες</v>
      </c>
      <c r="C30" s="363">
        <f>'1-συμβολαια'!M30</f>
        <v>23321.72005</v>
      </c>
      <c r="D30" s="363">
        <f>'1-συμβολαια'!O30</f>
        <v>0</v>
      </c>
      <c r="E30" s="363">
        <f t="shared" si="2"/>
        <v>23321.72005</v>
      </c>
      <c r="F30" s="364">
        <v>61</v>
      </c>
      <c r="G30" s="364">
        <v>62</v>
      </c>
      <c r="H30" s="382"/>
      <c r="I30" s="383"/>
      <c r="J30" s="383"/>
      <c r="K30" s="383"/>
      <c r="L30" s="383"/>
      <c r="M30" s="383"/>
      <c r="N30" s="362"/>
      <c r="O30" s="362"/>
      <c r="P30" s="362"/>
      <c r="Q30" s="362"/>
      <c r="R30" s="362"/>
      <c r="S30" s="362"/>
      <c r="T30" s="362"/>
      <c r="U30" s="362"/>
      <c r="V30" s="362"/>
    </row>
    <row r="31" spans="1:22" s="131" customFormat="1">
      <c r="A31" s="708" t="str">
        <f>'1-συμβολαια'!A31</f>
        <v>8ο</v>
      </c>
      <c r="B31" s="704" t="str">
        <f>'1-συμβολαια'!C31</f>
        <v>μίσθωσης νταμάρι …. ΠΑΡΑΤΑΣΗ 3έτη</v>
      </c>
      <c r="C31" s="376"/>
      <c r="D31" s="376"/>
      <c r="E31" s="376"/>
      <c r="F31" s="584"/>
      <c r="G31" s="584"/>
      <c r="H31" s="705"/>
      <c r="I31" s="706"/>
      <c r="J31" s="706"/>
      <c r="K31" s="706"/>
      <c r="L31" s="706"/>
      <c r="M31" s="706"/>
      <c r="N31" s="362"/>
      <c r="O31" s="362"/>
      <c r="P31" s="362"/>
      <c r="Q31" s="362"/>
      <c r="R31" s="362"/>
      <c r="S31" s="362"/>
      <c r="T31" s="362"/>
      <c r="U31" s="362"/>
      <c r="V31" s="362"/>
    </row>
    <row r="32" spans="1:22" s="131" customFormat="1" ht="15.75" thickBot="1">
      <c r="A32" s="380">
        <f>'1-συμβολαια'!A32</f>
        <v>0</v>
      </c>
      <c r="B32" s="381" t="str">
        <f>'1-συμβολαια'!C32</f>
        <v>ΧΑΟΣ= κλείσιμο &amp; εκ ΝΕΟΥ</v>
      </c>
      <c r="C32" s="363">
        <f>'1-συμβολαια'!M32</f>
        <v>0</v>
      </c>
      <c r="D32" s="363">
        <f>'1-συμβολαια'!O32</f>
        <v>0</v>
      </c>
      <c r="E32" s="363">
        <f t="shared" si="2"/>
        <v>0</v>
      </c>
      <c r="F32" s="364">
        <v>61</v>
      </c>
      <c r="G32" s="364">
        <v>62</v>
      </c>
      <c r="H32" s="382"/>
      <c r="I32" s="383"/>
      <c r="J32" s="383"/>
      <c r="K32" s="383"/>
      <c r="L32" s="383"/>
      <c r="M32" s="378"/>
      <c r="N32" s="362"/>
      <c r="O32" s="362"/>
      <c r="P32" s="362"/>
      <c r="Q32" s="362"/>
      <c r="R32" s="362"/>
      <c r="S32" s="362"/>
      <c r="T32" s="362"/>
      <c r="U32" s="362"/>
      <c r="V32" s="362"/>
    </row>
    <row r="33" spans="1:22" s="131" customFormat="1">
      <c r="A33" s="703" t="str">
        <f>'1-συμβολαια'!A33</f>
        <v>9ο</v>
      </c>
      <c r="B33" s="704" t="str">
        <f>'1-συμβολαια'!C33</f>
        <v xml:space="preserve">υποθήκη </v>
      </c>
      <c r="C33" s="376"/>
      <c r="D33" s="376"/>
      <c r="E33" s="376"/>
      <c r="F33" s="584"/>
      <c r="G33" s="584"/>
      <c r="H33" s="705"/>
      <c r="I33" s="706"/>
      <c r="J33" s="706"/>
      <c r="K33" s="706"/>
      <c r="L33" s="706"/>
      <c r="M33" s="378"/>
      <c r="N33" s="362"/>
      <c r="O33" s="362"/>
      <c r="P33" s="362"/>
      <c r="Q33" s="362"/>
      <c r="R33" s="362"/>
      <c r="S33" s="362"/>
      <c r="T33" s="362"/>
      <c r="U33" s="362"/>
      <c r="V33" s="362"/>
    </row>
    <row r="34" spans="1:22" s="131" customFormat="1">
      <c r="A34" s="433" t="str">
        <f>'1-συμβολαια'!A34</f>
        <v>794-1-2-3τραπ</v>
      </c>
      <c r="B34" s="375" t="str">
        <f>'1-συμβολαια'!C34</f>
        <v>υποθήκες δανείων [7/8/89-25/1/1991-8/3/1991-22/11/1991</v>
      </c>
      <c r="C34" s="361">
        <f>'1-συμβολαια'!M34</f>
        <v>721732.83007499995</v>
      </c>
      <c r="D34" s="376">
        <f>'1-συμβολαια'!O34</f>
        <v>0</v>
      </c>
      <c r="E34" s="376">
        <f t="shared" si="2"/>
        <v>721732.83007499995</v>
      </c>
      <c r="F34" s="362">
        <v>61</v>
      </c>
      <c r="G34" s="362">
        <v>62</v>
      </c>
      <c r="H34" s="377"/>
      <c r="I34" s="378"/>
      <c r="J34" s="378"/>
      <c r="K34" s="378"/>
      <c r="L34" s="378"/>
      <c r="M34" s="378"/>
      <c r="N34" s="362"/>
      <c r="O34" s="362"/>
      <c r="P34" s="362"/>
      <c r="Q34" s="362"/>
      <c r="R34" s="362"/>
      <c r="S34" s="362"/>
      <c r="T34" s="362"/>
      <c r="U34" s="362"/>
      <c r="V34" s="362"/>
    </row>
    <row r="35" spans="1:22" s="131" customFormat="1">
      <c r="A35" s="433">
        <f>'1-συμβολαια'!A35</f>
        <v>0</v>
      </c>
      <c r="B35" s="375" t="str">
        <f>'1-συμβολαια'!C35</f>
        <v>δάνεια ανωτέρω υποθηκών</v>
      </c>
      <c r="C35" s="361">
        <f>'1-συμβολαια'!M35</f>
        <v>599974.5</v>
      </c>
      <c r="D35" s="376">
        <f>'1-συμβολαια'!O35</f>
        <v>0</v>
      </c>
      <c r="E35" s="376">
        <f t="shared" si="2"/>
        <v>599974.5</v>
      </c>
      <c r="F35" s="362">
        <v>61</v>
      </c>
      <c r="G35" s="362">
        <v>62</v>
      </c>
      <c r="H35" s="377"/>
      <c r="I35" s="378"/>
      <c r="J35" s="378"/>
      <c r="K35" s="378"/>
      <c r="L35" s="378"/>
      <c r="M35" s="378"/>
      <c r="N35" s="362"/>
      <c r="O35" s="362"/>
      <c r="P35" s="362"/>
      <c r="Q35" s="362"/>
      <c r="R35" s="362"/>
      <c r="S35" s="362"/>
      <c r="T35" s="362"/>
      <c r="U35" s="362"/>
      <c r="V35" s="362"/>
    </row>
    <row r="36" spans="1:22" s="131" customFormat="1" ht="15.75" thickBot="1">
      <c r="A36" s="707">
        <f>'1-συμβολαια'!A36</f>
        <v>0</v>
      </c>
      <c r="B36" s="381" t="str">
        <f>'1-συμβολαια'!C36</f>
        <v>τόκοι  ανωτέρω δανείων προπληρωθέντες</v>
      </c>
      <c r="C36" s="363">
        <f>'1-συμβολαια'!M36</f>
        <v>1307032.8300749999</v>
      </c>
      <c r="D36" s="363">
        <f>'1-συμβολαια'!O36</f>
        <v>0</v>
      </c>
      <c r="E36" s="363">
        <f t="shared" si="2"/>
        <v>1307032.8300749999</v>
      </c>
      <c r="F36" s="364">
        <v>61</v>
      </c>
      <c r="G36" s="364">
        <v>62</v>
      </c>
      <c r="H36" s="382"/>
      <c r="I36" s="383"/>
      <c r="J36" s="383"/>
      <c r="K36" s="383"/>
      <c r="L36" s="383"/>
      <c r="M36" s="383"/>
      <c r="N36" s="362"/>
      <c r="O36" s="362"/>
      <c r="P36" s="362"/>
      <c r="Q36" s="362"/>
      <c r="R36" s="362"/>
      <c r="S36" s="362"/>
      <c r="T36" s="362"/>
      <c r="U36" s="362"/>
      <c r="V36" s="362"/>
    </row>
    <row r="37" spans="1:22" s="131" customFormat="1">
      <c r="A37" s="708" t="str">
        <f>'1-συμβολαια'!A37</f>
        <v>10ο</v>
      </c>
      <c r="B37" s="704" t="str">
        <f>'1-συμβολαια'!C37</f>
        <v>υποθήκη  τοιχόν τόκων</v>
      </c>
      <c r="C37" s="376"/>
      <c r="D37" s="376"/>
      <c r="E37" s="376"/>
      <c r="F37" s="584"/>
      <c r="G37" s="584"/>
      <c r="H37" s="705"/>
      <c r="I37" s="706"/>
      <c r="J37" s="706"/>
      <c r="K37" s="706"/>
      <c r="L37" s="706"/>
      <c r="M37" s="706"/>
      <c r="N37" s="362"/>
      <c r="O37" s="362"/>
      <c r="P37" s="362"/>
      <c r="Q37" s="362"/>
      <c r="R37" s="362"/>
      <c r="S37" s="362"/>
      <c r="T37" s="362"/>
      <c r="U37" s="362"/>
      <c r="V37" s="362"/>
    </row>
    <row r="38" spans="1:22" s="131" customFormat="1">
      <c r="A38" s="379" t="str">
        <f>'1-συμβολαια'!A38</f>
        <v>794-4-5τραπ</v>
      </c>
      <c r="B38" s="375" t="str">
        <f>'1-συμβολαια'!C38</f>
        <v>υποθήκες δανείων [27/08/1992-30/10/1992</v>
      </c>
      <c r="C38" s="361">
        <f>'1-συμβολαια'!M38</f>
        <v>340326.66100000002</v>
      </c>
      <c r="D38" s="376">
        <f>'1-συμβολαια'!O38</f>
        <v>0</v>
      </c>
      <c r="E38" s="376">
        <f t="shared" si="2"/>
        <v>340326.66100000002</v>
      </c>
      <c r="F38" s="362">
        <v>61</v>
      </c>
      <c r="G38" s="362">
        <v>62</v>
      </c>
      <c r="H38" s="377"/>
      <c r="I38" s="378"/>
      <c r="J38" s="378"/>
      <c r="K38" s="378"/>
      <c r="L38" s="378"/>
      <c r="M38" s="378"/>
      <c r="N38" s="362"/>
      <c r="O38" s="362"/>
      <c r="P38" s="362"/>
      <c r="Q38" s="362"/>
      <c r="R38" s="362"/>
      <c r="S38" s="362"/>
      <c r="T38" s="362"/>
      <c r="U38" s="362"/>
      <c r="V38" s="362"/>
    </row>
    <row r="39" spans="1:22" s="131" customFormat="1">
      <c r="A39" s="379">
        <f>'1-συμβολαια'!A39</f>
        <v>0</v>
      </c>
      <c r="B39" s="375" t="str">
        <f>'1-συμβολαια'!C39</f>
        <v>δάνεια ανωτέρω υποθηκών</v>
      </c>
      <c r="C39" s="361">
        <f>'1-συμβολαια'!M39</f>
        <v>282760</v>
      </c>
      <c r="D39" s="376">
        <f>'1-συμβολαια'!O39</f>
        <v>0</v>
      </c>
      <c r="E39" s="376">
        <f t="shared" si="2"/>
        <v>282760</v>
      </c>
      <c r="F39" s="362">
        <v>61</v>
      </c>
      <c r="G39" s="362">
        <v>62</v>
      </c>
      <c r="H39" s="377"/>
      <c r="I39" s="378"/>
      <c r="J39" s="378"/>
      <c r="K39" s="378"/>
      <c r="L39" s="378"/>
      <c r="M39" s="378"/>
      <c r="N39" s="362"/>
      <c r="O39" s="362"/>
      <c r="P39" s="362"/>
      <c r="Q39" s="362"/>
      <c r="R39" s="362"/>
      <c r="S39" s="362"/>
      <c r="T39" s="362"/>
      <c r="U39" s="362"/>
      <c r="V39" s="362"/>
    </row>
    <row r="40" spans="1:22" s="131" customFormat="1" ht="15.75" thickBot="1">
      <c r="A40" s="380">
        <f>'1-συμβολαια'!A40</f>
        <v>0</v>
      </c>
      <c r="B40" s="381" t="str">
        <f>'1-συμβολαια'!C40</f>
        <v>τόκοι  ανωτέρω δανείων προπληρωθέντες</v>
      </c>
      <c r="C40" s="363">
        <f>'1-συμβολαια'!M40</f>
        <v>574026.66100000008</v>
      </c>
      <c r="D40" s="363">
        <f>'1-συμβολαια'!O40</f>
        <v>0</v>
      </c>
      <c r="E40" s="363">
        <f t="shared" si="2"/>
        <v>574026.66100000008</v>
      </c>
      <c r="F40" s="364">
        <v>61</v>
      </c>
      <c r="G40" s="364">
        <v>62</v>
      </c>
      <c r="H40" s="382"/>
      <c r="I40" s="383"/>
      <c r="J40" s="383"/>
      <c r="K40" s="383"/>
      <c r="L40" s="378"/>
      <c r="M40" s="378"/>
      <c r="N40" s="362"/>
      <c r="O40" s="362"/>
      <c r="P40" s="362"/>
      <c r="Q40" s="362"/>
      <c r="R40" s="362"/>
      <c r="S40" s="362"/>
      <c r="T40" s="362"/>
      <c r="U40" s="362"/>
      <c r="V40" s="362"/>
    </row>
    <row r="41" spans="1:22" s="131" customFormat="1">
      <c r="A41" s="703" t="str">
        <f>'1-συμβολαια'!A41</f>
        <v>11ο</v>
      </c>
      <c r="B41" s="704" t="str">
        <f>'1-συμβολαια'!C41</f>
        <v>μίσθωσις νταμάρι  Λιμένας -'';;;???'' 24,526στρ 3έτη [8000/έτος/στρ</v>
      </c>
      <c r="C41" s="376"/>
      <c r="D41" s="376"/>
      <c r="E41" s="376"/>
      <c r="F41" s="584"/>
      <c r="G41" s="584"/>
      <c r="H41" s="705"/>
      <c r="I41" s="706"/>
      <c r="J41" s="706"/>
      <c r="K41" s="706"/>
      <c r="L41" s="378"/>
      <c r="M41" s="378"/>
      <c r="N41" s="362"/>
      <c r="O41" s="362"/>
      <c r="P41" s="362"/>
      <c r="Q41" s="362"/>
      <c r="R41" s="362"/>
      <c r="S41" s="362"/>
      <c r="T41" s="362"/>
      <c r="U41" s="362"/>
      <c r="V41" s="362"/>
    </row>
    <row r="42" spans="1:22" s="131" customFormat="1">
      <c r="A42" s="433">
        <f>'1-συμβολαια'!A42</f>
        <v>0</v>
      </c>
      <c r="B42" s="375" t="str">
        <f>'1-συμβολαια'!C42</f>
        <v>μίσθωση … ΚΤΙΡΙΑΚΑ &amp; τεχνικές εγκαταστάσεις &amp; ΚΛΠ</v>
      </c>
      <c r="C42" s="361">
        <f>'1-συμβολαια'!M42</f>
        <v>529560</v>
      </c>
      <c r="D42" s="376">
        <f>'1-συμβολαια'!O42</f>
        <v>0</v>
      </c>
      <c r="E42" s="376">
        <f t="shared" si="2"/>
        <v>529560</v>
      </c>
      <c r="F42" s="362">
        <v>61</v>
      </c>
      <c r="G42" s="362">
        <v>62</v>
      </c>
      <c r="H42" s="377"/>
      <c r="I42" s="378"/>
      <c r="J42" s="378"/>
      <c r="K42" s="378"/>
      <c r="L42" s="378"/>
      <c r="M42" s="378"/>
      <c r="N42" s="362"/>
      <c r="O42" s="362"/>
      <c r="P42" s="362"/>
      <c r="Q42" s="362"/>
      <c r="R42" s="362"/>
      <c r="S42" s="362"/>
      <c r="T42" s="362"/>
      <c r="U42" s="362"/>
      <c r="V42" s="362"/>
    </row>
    <row r="43" spans="1:22" s="131" customFormat="1">
      <c r="A43" s="433">
        <f>'1-συμβολαια'!A43</f>
        <v>0</v>
      </c>
      <c r="B43" s="375" t="str">
        <f>'1-συμβολαια'!C43</f>
        <v>μίσθωση … ΕΡΕΥΝΗΤΙΚΕΣ εργασίες</v>
      </c>
      <c r="C43" s="361">
        <f>'1-συμβολαια'!M43</f>
        <v>53559.996599999999</v>
      </c>
      <c r="D43" s="376">
        <f>'1-συμβολαια'!O43</f>
        <v>0</v>
      </c>
      <c r="E43" s="376">
        <f t="shared" si="2"/>
        <v>53559.996599999999</v>
      </c>
      <c r="F43" s="362">
        <v>61</v>
      </c>
      <c r="G43" s="362">
        <v>62</v>
      </c>
      <c r="H43" s="377"/>
      <c r="I43" s="378"/>
      <c r="J43" s="378"/>
      <c r="K43" s="378"/>
      <c r="L43" s="378"/>
      <c r="M43" s="378"/>
      <c r="N43" s="362"/>
      <c r="O43" s="362"/>
      <c r="P43" s="362"/>
      <c r="Q43" s="362"/>
      <c r="R43" s="362"/>
      <c r="S43" s="362"/>
      <c r="T43" s="362"/>
      <c r="U43" s="362"/>
      <c r="V43" s="362"/>
    </row>
    <row r="44" spans="1:22" s="131" customFormat="1" ht="15.75" thickBot="1">
      <c r="A44" s="707">
        <f>'1-συμβολαια'!A44</f>
        <v>0</v>
      </c>
      <c r="B44" s="381" t="str">
        <f>'1-συμβολαια'!C44</f>
        <v>μίσθωση ….. κόστος έργων αποκατάστασης</v>
      </c>
      <c r="C44" s="363">
        <f>'1-συμβολαια'!M44</f>
        <v>80760</v>
      </c>
      <c r="D44" s="363">
        <f>'1-συμβολαια'!O44</f>
        <v>0</v>
      </c>
      <c r="E44" s="363">
        <f t="shared" si="2"/>
        <v>80760</v>
      </c>
      <c r="F44" s="364">
        <v>61</v>
      </c>
      <c r="G44" s="364">
        <v>62</v>
      </c>
      <c r="H44" s="382"/>
      <c r="I44" s="383"/>
      <c r="J44" s="378"/>
      <c r="K44" s="378"/>
      <c r="L44" s="378"/>
      <c r="M44" s="378"/>
      <c r="N44" s="362"/>
      <c r="O44" s="362"/>
      <c r="P44" s="362"/>
      <c r="Q44" s="362"/>
      <c r="R44" s="362"/>
      <c r="S44" s="362"/>
      <c r="T44" s="362"/>
      <c r="U44" s="362"/>
      <c r="V44" s="362"/>
    </row>
    <row r="45" spans="1:22" s="131" customFormat="1">
      <c r="A45" s="708" t="str">
        <f>'1-συμβολαια'!A45</f>
        <v>12ο</v>
      </c>
      <c r="B45" s="704" t="str">
        <f>'1-συμβολαια'!C45</f>
        <v>μίσθωσης νταμάρι ... &amp; ... ΠΑΡΑΤΑΣΗ 3έτη</v>
      </c>
      <c r="C45" s="376"/>
      <c r="D45" s="376"/>
      <c r="E45" s="376"/>
      <c r="F45" s="584"/>
      <c r="G45" s="584"/>
      <c r="H45" s="705"/>
      <c r="I45" s="706"/>
      <c r="J45" s="378"/>
      <c r="K45" s="378"/>
      <c r="L45" s="378"/>
      <c r="M45" s="378"/>
      <c r="N45" s="362"/>
      <c r="O45" s="362"/>
      <c r="P45" s="362"/>
      <c r="Q45" s="362"/>
      <c r="R45" s="362"/>
      <c r="S45" s="362"/>
      <c r="T45" s="362"/>
      <c r="U45" s="362"/>
      <c r="V45" s="362"/>
    </row>
    <row r="46" spans="1:22" s="131" customFormat="1">
      <c r="A46" s="379">
        <f>'1-συμβολαια'!A46</f>
        <v>0</v>
      </c>
      <c r="B46" s="375" t="str">
        <f>'1-συμβολαια'!C46</f>
        <v>ΧΑΟΣ= κλείσιμο &amp; εκ ΝΕΟΥ</v>
      </c>
      <c r="C46" s="361">
        <f>'1-συμβολαια'!M46</f>
        <v>0</v>
      </c>
      <c r="D46" s="376">
        <f>'1-συμβολαια'!O46</f>
        <v>0</v>
      </c>
      <c r="E46" s="376">
        <f t="shared" si="2"/>
        <v>0</v>
      </c>
      <c r="F46" s="362">
        <v>61</v>
      </c>
      <c r="G46" s="362">
        <v>62</v>
      </c>
      <c r="H46" s="377"/>
      <c r="I46" s="378"/>
      <c r="J46" s="378"/>
      <c r="K46" s="378"/>
      <c r="L46" s="378"/>
      <c r="M46" s="378"/>
      <c r="N46" s="362"/>
      <c r="O46" s="362"/>
      <c r="P46" s="362"/>
      <c r="Q46" s="362"/>
      <c r="R46" s="362"/>
      <c r="S46" s="362"/>
      <c r="T46" s="362"/>
      <c r="U46" s="362"/>
      <c r="V46" s="362"/>
    </row>
    <row r="47" spans="1:22" ht="15.75">
      <c r="A47" s="806" t="s">
        <v>45</v>
      </c>
      <c r="B47" s="807"/>
      <c r="C47" s="100">
        <f>SUM(C3:C46)</f>
        <v>6419859.8925000001</v>
      </c>
      <c r="D47" s="100">
        <f>SUM(D3:D46)</f>
        <v>0</v>
      </c>
      <c r="E47" s="100">
        <f>SUM(E3:E46)</f>
        <v>6419859.8925000001</v>
      </c>
      <c r="I47" s="62">
        <f t="shared" ref="I47:T47" si="3">SUM(I3:I46)</f>
        <v>0</v>
      </c>
      <c r="J47" s="62">
        <f t="shared" si="3"/>
        <v>0</v>
      </c>
      <c r="K47" s="62">
        <f t="shared" si="3"/>
        <v>0</v>
      </c>
      <c r="L47" s="62">
        <f t="shared" si="3"/>
        <v>0</v>
      </c>
      <c r="M47" s="62">
        <f t="shared" si="3"/>
        <v>0</v>
      </c>
      <c r="N47" s="62">
        <f t="shared" si="3"/>
        <v>0</v>
      </c>
      <c r="O47" s="62">
        <f t="shared" si="3"/>
        <v>0</v>
      </c>
      <c r="P47" s="62">
        <f t="shared" si="3"/>
        <v>0</v>
      </c>
      <c r="Q47" s="62">
        <f t="shared" si="3"/>
        <v>0</v>
      </c>
      <c r="R47" s="62">
        <f t="shared" si="3"/>
        <v>0</v>
      </c>
      <c r="S47" s="62">
        <f t="shared" si="3"/>
        <v>0</v>
      </c>
      <c r="T47" s="62">
        <f t="shared" si="3"/>
        <v>0</v>
      </c>
    </row>
    <row r="48" spans="1:22"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</row>
    <row r="49" spans="2:22" ht="15.75">
      <c r="F49" s="152" t="s">
        <v>226</v>
      </c>
      <c r="G49" s="119"/>
      <c r="H49" s="273"/>
      <c r="I49" s="273"/>
      <c r="J49" s="273"/>
      <c r="K49" s="273"/>
      <c r="L49" s="273"/>
      <c r="M49" s="273"/>
      <c r="N49" s="273"/>
      <c r="O49" s="273"/>
      <c r="P49" s="273"/>
      <c r="Q49" s="273"/>
      <c r="R49" s="273"/>
      <c r="S49" s="273"/>
      <c r="T49" s="273"/>
      <c r="U49" s="273"/>
      <c r="V49" s="274"/>
    </row>
    <row r="50" spans="2:22" ht="15.75">
      <c r="F50" s="275"/>
      <c r="G50" s="134" t="s">
        <v>227</v>
      </c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4"/>
    </row>
    <row r="51" spans="2:22" ht="15.75">
      <c r="F51" s="274"/>
      <c r="G51" s="274"/>
      <c r="H51" s="152" t="s">
        <v>228</v>
      </c>
      <c r="I51" s="119"/>
      <c r="J51" s="119"/>
      <c r="K51" s="119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4"/>
    </row>
    <row r="52" spans="2:22" ht="15.75">
      <c r="F52" s="274"/>
      <c r="G52" s="275"/>
      <c r="H52" s="274"/>
      <c r="I52" s="134" t="s">
        <v>248</v>
      </c>
      <c r="J52" s="134"/>
      <c r="K52" s="134"/>
      <c r="L52" s="276"/>
      <c r="M52" s="276"/>
      <c r="N52" s="276"/>
      <c r="O52" s="276"/>
      <c r="P52" s="276"/>
      <c r="Q52" s="276"/>
      <c r="R52" s="276"/>
      <c r="S52" s="276"/>
      <c r="T52" s="276"/>
      <c r="U52" s="273"/>
      <c r="V52" s="274"/>
    </row>
    <row r="53" spans="2:22" ht="15.75">
      <c r="F53" s="274"/>
      <c r="G53" s="275"/>
      <c r="H53" s="274"/>
      <c r="I53" s="134"/>
      <c r="J53" s="152" t="s">
        <v>436</v>
      </c>
      <c r="K53" s="134"/>
      <c r="L53" s="276"/>
      <c r="M53" s="276"/>
      <c r="N53" s="276"/>
      <c r="O53" s="276"/>
      <c r="P53" s="276"/>
      <c r="Q53" s="276"/>
      <c r="R53" s="276"/>
      <c r="S53" s="276"/>
      <c r="T53" s="276"/>
      <c r="U53" s="273"/>
      <c r="V53" s="274"/>
    </row>
    <row r="54" spans="2:22" ht="15.75">
      <c r="F54" s="274"/>
      <c r="G54" s="275"/>
      <c r="H54" s="274"/>
      <c r="I54" s="134"/>
      <c r="J54" s="134"/>
      <c r="K54" s="134" t="s">
        <v>437</v>
      </c>
      <c r="L54" s="276"/>
      <c r="M54" s="276"/>
      <c r="N54" s="276"/>
      <c r="O54" s="276"/>
      <c r="P54" s="276"/>
      <c r="Q54" s="276"/>
      <c r="R54" s="276"/>
      <c r="S54" s="276"/>
      <c r="T54" s="276"/>
      <c r="U54" s="273"/>
      <c r="V54" s="274"/>
    </row>
    <row r="55" spans="2:22" ht="15.75">
      <c r="F55" s="274"/>
      <c r="G55" s="274"/>
      <c r="H55" s="273"/>
      <c r="I55" s="276"/>
      <c r="J55" s="276"/>
      <c r="K55" s="276"/>
      <c r="L55" s="152" t="s">
        <v>438</v>
      </c>
      <c r="M55" s="276"/>
      <c r="N55" s="276"/>
      <c r="O55" s="276"/>
      <c r="P55" s="276"/>
      <c r="Q55" s="276"/>
      <c r="R55" s="276"/>
      <c r="S55" s="276"/>
      <c r="T55" s="276"/>
      <c r="U55" s="273"/>
      <c r="V55" s="274"/>
    </row>
    <row r="56" spans="2:22" ht="15.75">
      <c r="B56" s="125"/>
      <c r="C56" s="98">
        <f>SUM(C48:C49)</f>
        <v>0</v>
      </c>
      <c r="F56" s="273"/>
      <c r="G56" s="273"/>
      <c r="H56" s="273"/>
      <c r="I56" s="276"/>
      <c r="J56" s="276"/>
      <c r="K56" s="276"/>
      <c r="L56" s="276"/>
      <c r="M56" s="134" t="s">
        <v>249</v>
      </c>
      <c r="N56" s="276"/>
      <c r="O56" s="276"/>
      <c r="P56" s="276"/>
      <c r="Q56" s="276"/>
      <c r="R56" s="276"/>
      <c r="S56" s="276"/>
      <c r="T56" s="276"/>
      <c r="U56" s="273"/>
      <c r="V56" s="274"/>
    </row>
    <row r="57" spans="2:22" ht="15.75">
      <c r="B57" s="126"/>
      <c r="F57" s="274"/>
      <c r="G57" s="274"/>
      <c r="H57" s="273"/>
      <c r="I57" s="276"/>
      <c r="J57" s="276"/>
      <c r="K57" s="276"/>
      <c r="L57" s="276"/>
      <c r="M57" s="276"/>
      <c r="N57" s="152" t="s">
        <v>439</v>
      </c>
      <c r="O57" s="276"/>
      <c r="P57" s="276"/>
      <c r="Q57" s="276"/>
      <c r="R57" s="276"/>
      <c r="S57" s="276"/>
      <c r="T57" s="276"/>
      <c r="U57" s="273"/>
      <c r="V57" s="274"/>
    </row>
    <row r="58" spans="2:22" ht="15.75">
      <c r="F58" s="274"/>
      <c r="G58" s="274"/>
      <c r="H58" s="273"/>
      <c r="I58" s="276"/>
      <c r="J58" s="276"/>
      <c r="K58" s="276"/>
      <c r="L58" s="276"/>
      <c r="M58" s="276"/>
      <c r="N58" s="276"/>
      <c r="O58" s="134" t="s">
        <v>440</v>
      </c>
      <c r="P58" s="276"/>
      <c r="Q58" s="276"/>
      <c r="R58" s="276"/>
      <c r="S58" s="276"/>
      <c r="T58" s="276"/>
      <c r="U58" s="273"/>
      <c r="V58" s="274"/>
    </row>
    <row r="59" spans="2:22" ht="15.75">
      <c r="F59" s="274"/>
      <c r="G59" s="274"/>
      <c r="H59" s="273"/>
      <c r="I59" s="276"/>
      <c r="J59" s="276"/>
      <c r="K59" s="276"/>
      <c r="L59" s="276"/>
      <c r="M59" s="276"/>
      <c r="N59" s="276"/>
      <c r="O59" s="276"/>
      <c r="P59" s="152" t="s">
        <v>250</v>
      </c>
      <c r="Q59" s="276"/>
      <c r="R59" s="276"/>
      <c r="S59" s="276"/>
      <c r="T59" s="276"/>
      <c r="U59" s="273"/>
      <c r="V59" s="274"/>
    </row>
    <row r="60" spans="2:22" ht="15.75">
      <c r="F60" s="274"/>
      <c r="G60" s="274"/>
      <c r="H60" s="273"/>
      <c r="I60" s="276"/>
      <c r="J60" s="276"/>
      <c r="K60" s="276"/>
      <c r="L60" s="276"/>
      <c r="M60" s="276"/>
      <c r="N60" s="276"/>
      <c r="O60" s="276"/>
      <c r="P60" s="276"/>
      <c r="Q60" s="134" t="s">
        <v>251</v>
      </c>
      <c r="R60" s="134"/>
      <c r="S60" s="134"/>
      <c r="T60" s="276"/>
      <c r="U60" s="273"/>
      <c r="V60" s="274"/>
    </row>
    <row r="61" spans="2:22" ht="15.75">
      <c r="F61" s="274"/>
      <c r="G61" s="274"/>
      <c r="H61" s="273"/>
      <c r="I61" s="276"/>
      <c r="J61" s="276"/>
      <c r="K61" s="276"/>
      <c r="L61" s="276"/>
      <c r="M61" s="276"/>
      <c r="N61" s="276"/>
      <c r="O61" s="276"/>
      <c r="P61" s="276"/>
      <c r="Q61" s="276"/>
      <c r="R61" s="152" t="s">
        <v>252</v>
      </c>
      <c r="S61" s="276"/>
      <c r="T61" s="276"/>
      <c r="U61" s="273"/>
      <c r="V61" s="274"/>
    </row>
    <row r="62" spans="2:22" ht="15.75">
      <c r="F62" s="274"/>
      <c r="G62" s="274"/>
      <c r="H62" s="273"/>
      <c r="I62" s="276"/>
      <c r="J62" s="276"/>
      <c r="K62" s="276"/>
      <c r="L62" s="276"/>
      <c r="M62" s="276"/>
      <c r="N62" s="276"/>
      <c r="O62" s="276"/>
      <c r="P62" s="276"/>
      <c r="Q62" s="276"/>
      <c r="R62" s="276"/>
      <c r="S62" s="134" t="s">
        <v>253</v>
      </c>
      <c r="T62" s="276"/>
      <c r="U62" s="273"/>
      <c r="V62" s="274"/>
    </row>
    <row r="63" spans="2:22" ht="15.75">
      <c r="F63" s="274"/>
      <c r="G63" s="274"/>
      <c r="H63" s="273"/>
      <c r="I63" s="276"/>
      <c r="J63" s="276"/>
      <c r="K63" s="276"/>
      <c r="L63" s="276"/>
      <c r="M63" s="276"/>
      <c r="N63" s="276"/>
      <c r="O63" s="276"/>
      <c r="P63" s="276"/>
      <c r="Q63" s="276"/>
      <c r="R63" s="276"/>
      <c r="S63" s="276"/>
      <c r="T63" s="152" t="s">
        <v>462</v>
      </c>
      <c r="U63" s="273"/>
      <c r="V63" s="274"/>
    </row>
    <row r="64" spans="2:22">
      <c r="F64" s="274"/>
      <c r="G64" s="274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4"/>
    </row>
    <row r="65" spans="8:21"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</row>
    <row r="66" spans="8:21"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</row>
    <row r="67" spans="8:21"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</row>
    <row r="68" spans="8:21"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</row>
    <row r="69" spans="8:21"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</row>
    <row r="70" spans="8:21"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</row>
    <row r="71" spans="8:21"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</row>
    <row r="72" spans="8:21"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</row>
    <row r="73" spans="8:21"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</row>
    <row r="74" spans="8:21"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</row>
    <row r="75" spans="8:21"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</row>
    <row r="76" spans="8:21"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</row>
  </sheetData>
  <mergeCells count="5">
    <mergeCell ref="A1:A2"/>
    <mergeCell ref="B1:B2"/>
    <mergeCell ref="C1:E1"/>
    <mergeCell ref="A47:B4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X99"/>
  <sheetViews>
    <sheetView workbookViewId="0">
      <pane ySplit="2" topLeftCell="A51" activePane="bottomLeft" state="frozen"/>
      <selection pane="bottomLeft" activeCell="C49" sqref="C49:D96"/>
    </sheetView>
  </sheetViews>
  <sheetFormatPr defaultRowHeight="11.25"/>
  <cols>
    <col min="1" max="1" width="11.42578125" style="7" bestFit="1" customWidth="1"/>
    <col min="2" max="2" width="8.7109375" style="7" bestFit="1" customWidth="1"/>
    <col min="3" max="3" width="49.28515625" style="137" customWidth="1"/>
    <col min="4" max="4" width="9.42578125" style="2" customWidth="1"/>
    <col min="5" max="5" width="7.140625" style="2" customWidth="1"/>
    <col min="6" max="7" width="7.85546875" style="75" customWidth="1"/>
    <col min="8" max="8" width="10.7109375" style="75" customWidth="1"/>
    <col min="9" max="10" width="7.85546875" style="75" customWidth="1"/>
    <col min="11" max="11" width="9.42578125" style="75" customWidth="1"/>
    <col min="12" max="12" width="8.140625" style="75" customWidth="1"/>
    <col min="13" max="23" width="7.140625" style="75" customWidth="1"/>
    <col min="24" max="24" width="6.140625" style="75" customWidth="1"/>
    <col min="25" max="25" width="7.140625" style="75" customWidth="1"/>
    <col min="26" max="26" width="6.7109375" style="75" customWidth="1"/>
    <col min="27" max="27" width="6.140625" style="75" customWidth="1"/>
    <col min="28" max="28" width="7.140625" style="75" customWidth="1"/>
    <col min="29" max="29" width="8" style="75" customWidth="1"/>
    <col min="30" max="30" width="7.28515625" style="75" customWidth="1"/>
    <col min="31" max="31" width="16.28515625" style="75" customWidth="1"/>
    <col min="32" max="33" width="7.140625" style="75" customWidth="1"/>
    <col min="34" max="34" width="8.140625" style="75" customWidth="1"/>
    <col min="35" max="35" width="7.7109375" style="75" customWidth="1"/>
    <col min="36" max="36" width="7" style="75" customWidth="1"/>
    <col min="37" max="37" width="6.140625" style="75" customWidth="1"/>
    <col min="38" max="42" width="7.85546875" style="75" customWidth="1"/>
    <col min="43" max="44" width="6.140625" style="75" customWidth="1"/>
    <col min="45" max="45" width="8.28515625" style="75" customWidth="1"/>
    <col min="46" max="46" width="8.42578125" style="75" customWidth="1"/>
    <col min="47" max="47" width="6.140625" style="75" customWidth="1"/>
    <col min="48" max="48" width="7.7109375" style="75" customWidth="1"/>
    <col min="49" max="50" width="6.140625" style="75" customWidth="1"/>
    <col min="51" max="51" width="8" style="75" customWidth="1"/>
    <col min="52" max="53" width="6.140625" style="75" customWidth="1"/>
    <col min="54" max="54" width="8.140625" style="75" customWidth="1"/>
    <col min="55" max="55" width="8.5703125" style="75" customWidth="1"/>
    <col min="56" max="62" width="6.140625" style="75" customWidth="1"/>
    <col min="63" max="63" width="7" style="75" customWidth="1"/>
    <col min="64" max="65" width="6.140625" style="75" customWidth="1"/>
    <col min="66" max="66" width="5.5703125" style="75" customWidth="1"/>
    <col min="67" max="73" width="10.5703125" style="75" customWidth="1"/>
    <col min="74" max="74" width="10.42578125" style="76" customWidth="1"/>
    <col min="75" max="75" width="9.7109375" style="76" bestFit="1" customWidth="1"/>
    <col min="76" max="273" width="9.140625" style="3"/>
    <col min="274" max="274" width="9" style="3" bestFit="1" customWidth="1"/>
    <col min="275" max="275" width="9.85546875" style="3" bestFit="1" customWidth="1"/>
    <col min="276" max="276" width="9.140625" style="3" bestFit="1" customWidth="1"/>
    <col min="277" max="277" width="16" style="3" bestFit="1" customWidth="1"/>
    <col min="278" max="278" width="9" style="3" bestFit="1" customWidth="1"/>
    <col min="279" max="279" width="7.85546875" style="3" bestFit="1" customWidth="1"/>
    <col min="280" max="280" width="11.7109375" style="3" bestFit="1" customWidth="1"/>
    <col min="281" max="281" width="14.28515625" style="3" customWidth="1"/>
    <col min="282" max="282" width="11.7109375" style="3" bestFit="1" customWidth="1"/>
    <col min="283" max="283" width="14.140625" style="3" bestFit="1" customWidth="1"/>
    <col min="284" max="284" width="16.7109375" style="3" customWidth="1"/>
    <col min="285" max="285" width="16.5703125" style="3" customWidth="1"/>
    <col min="286" max="287" width="7.85546875" style="3" bestFit="1" customWidth="1"/>
    <col min="288" max="288" width="8" style="3" bestFit="1" customWidth="1"/>
    <col min="289" max="290" width="7.85546875" style="3" bestFit="1" customWidth="1"/>
    <col min="291" max="291" width="9.7109375" style="3" customWidth="1"/>
    <col min="292" max="292" width="12.85546875" style="3" customWidth="1"/>
    <col min="293" max="529" width="9.140625" style="3"/>
    <col min="530" max="530" width="9" style="3" bestFit="1" customWidth="1"/>
    <col min="531" max="531" width="9.85546875" style="3" bestFit="1" customWidth="1"/>
    <col min="532" max="532" width="9.140625" style="3" bestFit="1" customWidth="1"/>
    <col min="533" max="533" width="16" style="3" bestFit="1" customWidth="1"/>
    <col min="534" max="534" width="9" style="3" bestFit="1" customWidth="1"/>
    <col min="535" max="535" width="7.85546875" style="3" bestFit="1" customWidth="1"/>
    <col min="536" max="536" width="11.7109375" style="3" bestFit="1" customWidth="1"/>
    <col min="537" max="537" width="14.28515625" style="3" customWidth="1"/>
    <col min="538" max="538" width="11.7109375" style="3" bestFit="1" customWidth="1"/>
    <col min="539" max="539" width="14.140625" style="3" bestFit="1" customWidth="1"/>
    <col min="540" max="540" width="16.7109375" style="3" customWidth="1"/>
    <col min="541" max="541" width="16.5703125" style="3" customWidth="1"/>
    <col min="542" max="543" width="7.85546875" style="3" bestFit="1" customWidth="1"/>
    <col min="544" max="544" width="8" style="3" bestFit="1" customWidth="1"/>
    <col min="545" max="546" width="7.85546875" style="3" bestFit="1" customWidth="1"/>
    <col min="547" max="547" width="9.7109375" style="3" customWidth="1"/>
    <col min="548" max="548" width="12.85546875" style="3" customWidth="1"/>
    <col min="549" max="785" width="9.140625" style="3"/>
    <col min="786" max="786" width="9" style="3" bestFit="1" customWidth="1"/>
    <col min="787" max="787" width="9.85546875" style="3" bestFit="1" customWidth="1"/>
    <col min="788" max="788" width="9.140625" style="3" bestFit="1" customWidth="1"/>
    <col min="789" max="789" width="16" style="3" bestFit="1" customWidth="1"/>
    <col min="790" max="790" width="9" style="3" bestFit="1" customWidth="1"/>
    <col min="791" max="791" width="7.85546875" style="3" bestFit="1" customWidth="1"/>
    <col min="792" max="792" width="11.7109375" style="3" bestFit="1" customWidth="1"/>
    <col min="793" max="793" width="14.28515625" style="3" customWidth="1"/>
    <col min="794" max="794" width="11.7109375" style="3" bestFit="1" customWidth="1"/>
    <col min="795" max="795" width="14.140625" style="3" bestFit="1" customWidth="1"/>
    <col min="796" max="796" width="16.7109375" style="3" customWidth="1"/>
    <col min="797" max="797" width="16.5703125" style="3" customWidth="1"/>
    <col min="798" max="799" width="7.85546875" style="3" bestFit="1" customWidth="1"/>
    <col min="800" max="800" width="8" style="3" bestFit="1" customWidth="1"/>
    <col min="801" max="802" width="7.85546875" style="3" bestFit="1" customWidth="1"/>
    <col min="803" max="803" width="9.7109375" style="3" customWidth="1"/>
    <col min="804" max="804" width="12.85546875" style="3" customWidth="1"/>
    <col min="805" max="1041" width="9.140625" style="3"/>
    <col min="1042" max="1042" width="9" style="3" bestFit="1" customWidth="1"/>
    <col min="1043" max="1043" width="9.85546875" style="3" bestFit="1" customWidth="1"/>
    <col min="1044" max="1044" width="9.140625" style="3" bestFit="1" customWidth="1"/>
    <col min="1045" max="1045" width="16" style="3" bestFit="1" customWidth="1"/>
    <col min="1046" max="1046" width="9" style="3" bestFit="1" customWidth="1"/>
    <col min="1047" max="1047" width="7.85546875" style="3" bestFit="1" customWidth="1"/>
    <col min="1048" max="1048" width="11.7109375" style="3" bestFit="1" customWidth="1"/>
    <col min="1049" max="1049" width="14.28515625" style="3" customWidth="1"/>
    <col min="1050" max="1050" width="11.7109375" style="3" bestFit="1" customWidth="1"/>
    <col min="1051" max="1051" width="14.140625" style="3" bestFit="1" customWidth="1"/>
    <col min="1052" max="1052" width="16.7109375" style="3" customWidth="1"/>
    <col min="1053" max="1053" width="16.5703125" style="3" customWidth="1"/>
    <col min="1054" max="1055" width="7.85546875" style="3" bestFit="1" customWidth="1"/>
    <col min="1056" max="1056" width="8" style="3" bestFit="1" customWidth="1"/>
    <col min="1057" max="1058" width="7.85546875" style="3" bestFit="1" customWidth="1"/>
    <col min="1059" max="1059" width="9.7109375" style="3" customWidth="1"/>
    <col min="1060" max="1060" width="12.85546875" style="3" customWidth="1"/>
    <col min="1061" max="1297" width="9.140625" style="3"/>
    <col min="1298" max="1298" width="9" style="3" bestFit="1" customWidth="1"/>
    <col min="1299" max="1299" width="9.85546875" style="3" bestFit="1" customWidth="1"/>
    <col min="1300" max="1300" width="9.140625" style="3" bestFit="1" customWidth="1"/>
    <col min="1301" max="1301" width="16" style="3" bestFit="1" customWidth="1"/>
    <col min="1302" max="1302" width="9" style="3" bestFit="1" customWidth="1"/>
    <col min="1303" max="1303" width="7.85546875" style="3" bestFit="1" customWidth="1"/>
    <col min="1304" max="1304" width="11.7109375" style="3" bestFit="1" customWidth="1"/>
    <col min="1305" max="1305" width="14.28515625" style="3" customWidth="1"/>
    <col min="1306" max="1306" width="11.7109375" style="3" bestFit="1" customWidth="1"/>
    <col min="1307" max="1307" width="14.140625" style="3" bestFit="1" customWidth="1"/>
    <col min="1308" max="1308" width="16.7109375" style="3" customWidth="1"/>
    <col min="1309" max="1309" width="16.5703125" style="3" customWidth="1"/>
    <col min="1310" max="1311" width="7.85546875" style="3" bestFit="1" customWidth="1"/>
    <col min="1312" max="1312" width="8" style="3" bestFit="1" customWidth="1"/>
    <col min="1313" max="1314" width="7.85546875" style="3" bestFit="1" customWidth="1"/>
    <col min="1315" max="1315" width="9.7109375" style="3" customWidth="1"/>
    <col min="1316" max="1316" width="12.85546875" style="3" customWidth="1"/>
    <col min="1317" max="1553" width="9.140625" style="3"/>
    <col min="1554" max="1554" width="9" style="3" bestFit="1" customWidth="1"/>
    <col min="1555" max="1555" width="9.85546875" style="3" bestFit="1" customWidth="1"/>
    <col min="1556" max="1556" width="9.140625" style="3" bestFit="1" customWidth="1"/>
    <col min="1557" max="1557" width="16" style="3" bestFit="1" customWidth="1"/>
    <col min="1558" max="1558" width="9" style="3" bestFit="1" customWidth="1"/>
    <col min="1559" max="1559" width="7.85546875" style="3" bestFit="1" customWidth="1"/>
    <col min="1560" max="1560" width="11.7109375" style="3" bestFit="1" customWidth="1"/>
    <col min="1561" max="1561" width="14.28515625" style="3" customWidth="1"/>
    <col min="1562" max="1562" width="11.7109375" style="3" bestFit="1" customWidth="1"/>
    <col min="1563" max="1563" width="14.140625" style="3" bestFit="1" customWidth="1"/>
    <col min="1564" max="1564" width="16.7109375" style="3" customWidth="1"/>
    <col min="1565" max="1565" width="16.5703125" style="3" customWidth="1"/>
    <col min="1566" max="1567" width="7.85546875" style="3" bestFit="1" customWidth="1"/>
    <col min="1568" max="1568" width="8" style="3" bestFit="1" customWidth="1"/>
    <col min="1569" max="1570" width="7.85546875" style="3" bestFit="1" customWidth="1"/>
    <col min="1571" max="1571" width="9.7109375" style="3" customWidth="1"/>
    <col min="1572" max="1572" width="12.85546875" style="3" customWidth="1"/>
    <col min="1573" max="1809" width="9.140625" style="3"/>
    <col min="1810" max="1810" width="9" style="3" bestFit="1" customWidth="1"/>
    <col min="1811" max="1811" width="9.85546875" style="3" bestFit="1" customWidth="1"/>
    <col min="1812" max="1812" width="9.140625" style="3" bestFit="1" customWidth="1"/>
    <col min="1813" max="1813" width="16" style="3" bestFit="1" customWidth="1"/>
    <col min="1814" max="1814" width="9" style="3" bestFit="1" customWidth="1"/>
    <col min="1815" max="1815" width="7.85546875" style="3" bestFit="1" customWidth="1"/>
    <col min="1816" max="1816" width="11.7109375" style="3" bestFit="1" customWidth="1"/>
    <col min="1817" max="1817" width="14.28515625" style="3" customWidth="1"/>
    <col min="1818" max="1818" width="11.7109375" style="3" bestFit="1" customWidth="1"/>
    <col min="1819" max="1819" width="14.140625" style="3" bestFit="1" customWidth="1"/>
    <col min="1820" max="1820" width="16.7109375" style="3" customWidth="1"/>
    <col min="1821" max="1821" width="16.5703125" style="3" customWidth="1"/>
    <col min="1822" max="1823" width="7.85546875" style="3" bestFit="1" customWidth="1"/>
    <col min="1824" max="1824" width="8" style="3" bestFit="1" customWidth="1"/>
    <col min="1825" max="1826" width="7.85546875" style="3" bestFit="1" customWidth="1"/>
    <col min="1827" max="1827" width="9.7109375" style="3" customWidth="1"/>
    <col min="1828" max="1828" width="12.85546875" style="3" customWidth="1"/>
    <col min="1829" max="2065" width="9.140625" style="3"/>
    <col min="2066" max="2066" width="9" style="3" bestFit="1" customWidth="1"/>
    <col min="2067" max="2067" width="9.85546875" style="3" bestFit="1" customWidth="1"/>
    <col min="2068" max="2068" width="9.140625" style="3" bestFit="1" customWidth="1"/>
    <col min="2069" max="2069" width="16" style="3" bestFit="1" customWidth="1"/>
    <col min="2070" max="2070" width="9" style="3" bestFit="1" customWidth="1"/>
    <col min="2071" max="2071" width="7.85546875" style="3" bestFit="1" customWidth="1"/>
    <col min="2072" max="2072" width="11.7109375" style="3" bestFit="1" customWidth="1"/>
    <col min="2073" max="2073" width="14.28515625" style="3" customWidth="1"/>
    <col min="2074" max="2074" width="11.7109375" style="3" bestFit="1" customWidth="1"/>
    <col min="2075" max="2075" width="14.140625" style="3" bestFit="1" customWidth="1"/>
    <col min="2076" max="2076" width="16.7109375" style="3" customWidth="1"/>
    <col min="2077" max="2077" width="16.5703125" style="3" customWidth="1"/>
    <col min="2078" max="2079" width="7.85546875" style="3" bestFit="1" customWidth="1"/>
    <col min="2080" max="2080" width="8" style="3" bestFit="1" customWidth="1"/>
    <col min="2081" max="2082" width="7.85546875" style="3" bestFit="1" customWidth="1"/>
    <col min="2083" max="2083" width="9.7109375" style="3" customWidth="1"/>
    <col min="2084" max="2084" width="12.85546875" style="3" customWidth="1"/>
    <col min="2085" max="2321" width="9.140625" style="3"/>
    <col min="2322" max="2322" width="9" style="3" bestFit="1" customWidth="1"/>
    <col min="2323" max="2323" width="9.85546875" style="3" bestFit="1" customWidth="1"/>
    <col min="2324" max="2324" width="9.140625" style="3" bestFit="1" customWidth="1"/>
    <col min="2325" max="2325" width="16" style="3" bestFit="1" customWidth="1"/>
    <col min="2326" max="2326" width="9" style="3" bestFit="1" customWidth="1"/>
    <col min="2327" max="2327" width="7.85546875" style="3" bestFit="1" customWidth="1"/>
    <col min="2328" max="2328" width="11.7109375" style="3" bestFit="1" customWidth="1"/>
    <col min="2329" max="2329" width="14.28515625" style="3" customWidth="1"/>
    <col min="2330" max="2330" width="11.7109375" style="3" bestFit="1" customWidth="1"/>
    <col min="2331" max="2331" width="14.140625" style="3" bestFit="1" customWidth="1"/>
    <col min="2332" max="2332" width="16.7109375" style="3" customWidth="1"/>
    <col min="2333" max="2333" width="16.5703125" style="3" customWidth="1"/>
    <col min="2334" max="2335" width="7.85546875" style="3" bestFit="1" customWidth="1"/>
    <col min="2336" max="2336" width="8" style="3" bestFit="1" customWidth="1"/>
    <col min="2337" max="2338" width="7.85546875" style="3" bestFit="1" customWidth="1"/>
    <col min="2339" max="2339" width="9.7109375" style="3" customWidth="1"/>
    <col min="2340" max="2340" width="12.85546875" style="3" customWidth="1"/>
    <col min="2341" max="2577" width="9.140625" style="3"/>
    <col min="2578" max="2578" width="9" style="3" bestFit="1" customWidth="1"/>
    <col min="2579" max="2579" width="9.85546875" style="3" bestFit="1" customWidth="1"/>
    <col min="2580" max="2580" width="9.140625" style="3" bestFit="1" customWidth="1"/>
    <col min="2581" max="2581" width="16" style="3" bestFit="1" customWidth="1"/>
    <col min="2582" max="2582" width="9" style="3" bestFit="1" customWidth="1"/>
    <col min="2583" max="2583" width="7.85546875" style="3" bestFit="1" customWidth="1"/>
    <col min="2584" max="2584" width="11.7109375" style="3" bestFit="1" customWidth="1"/>
    <col min="2585" max="2585" width="14.28515625" style="3" customWidth="1"/>
    <col min="2586" max="2586" width="11.7109375" style="3" bestFit="1" customWidth="1"/>
    <col min="2587" max="2587" width="14.140625" style="3" bestFit="1" customWidth="1"/>
    <col min="2588" max="2588" width="16.7109375" style="3" customWidth="1"/>
    <col min="2589" max="2589" width="16.5703125" style="3" customWidth="1"/>
    <col min="2590" max="2591" width="7.85546875" style="3" bestFit="1" customWidth="1"/>
    <col min="2592" max="2592" width="8" style="3" bestFit="1" customWidth="1"/>
    <col min="2593" max="2594" width="7.85546875" style="3" bestFit="1" customWidth="1"/>
    <col min="2595" max="2595" width="9.7109375" style="3" customWidth="1"/>
    <col min="2596" max="2596" width="12.85546875" style="3" customWidth="1"/>
    <col min="2597" max="2833" width="9.140625" style="3"/>
    <col min="2834" max="2834" width="9" style="3" bestFit="1" customWidth="1"/>
    <col min="2835" max="2835" width="9.85546875" style="3" bestFit="1" customWidth="1"/>
    <col min="2836" max="2836" width="9.140625" style="3" bestFit="1" customWidth="1"/>
    <col min="2837" max="2837" width="16" style="3" bestFit="1" customWidth="1"/>
    <col min="2838" max="2838" width="9" style="3" bestFit="1" customWidth="1"/>
    <col min="2839" max="2839" width="7.85546875" style="3" bestFit="1" customWidth="1"/>
    <col min="2840" max="2840" width="11.7109375" style="3" bestFit="1" customWidth="1"/>
    <col min="2841" max="2841" width="14.28515625" style="3" customWidth="1"/>
    <col min="2842" max="2842" width="11.7109375" style="3" bestFit="1" customWidth="1"/>
    <col min="2843" max="2843" width="14.140625" style="3" bestFit="1" customWidth="1"/>
    <col min="2844" max="2844" width="16.7109375" style="3" customWidth="1"/>
    <col min="2845" max="2845" width="16.5703125" style="3" customWidth="1"/>
    <col min="2846" max="2847" width="7.85546875" style="3" bestFit="1" customWidth="1"/>
    <col min="2848" max="2848" width="8" style="3" bestFit="1" customWidth="1"/>
    <col min="2849" max="2850" width="7.85546875" style="3" bestFit="1" customWidth="1"/>
    <col min="2851" max="2851" width="9.7109375" style="3" customWidth="1"/>
    <col min="2852" max="2852" width="12.85546875" style="3" customWidth="1"/>
    <col min="2853" max="3089" width="9.140625" style="3"/>
    <col min="3090" max="3090" width="9" style="3" bestFit="1" customWidth="1"/>
    <col min="3091" max="3091" width="9.85546875" style="3" bestFit="1" customWidth="1"/>
    <col min="3092" max="3092" width="9.140625" style="3" bestFit="1" customWidth="1"/>
    <col min="3093" max="3093" width="16" style="3" bestFit="1" customWidth="1"/>
    <col min="3094" max="3094" width="9" style="3" bestFit="1" customWidth="1"/>
    <col min="3095" max="3095" width="7.85546875" style="3" bestFit="1" customWidth="1"/>
    <col min="3096" max="3096" width="11.7109375" style="3" bestFit="1" customWidth="1"/>
    <col min="3097" max="3097" width="14.28515625" style="3" customWidth="1"/>
    <col min="3098" max="3098" width="11.7109375" style="3" bestFit="1" customWidth="1"/>
    <col min="3099" max="3099" width="14.140625" style="3" bestFit="1" customWidth="1"/>
    <col min="3100" max="3100" width="16.7109375" style="3" customWidth="1"/>
    <col min="3101" max="3101" width="16.5703125" style="3" customWidth="1"/>
    <col min="3102" max="3103" width="7.85546875" style="3" bestFit="1" customWidth="1"/>
    <col min="3104" max="3104" width="8" style="3" bestFit="1" customWidth="1"/>
    <col min="3105" max="3106" width="7.85546875" style="3" bestFit="1" customWidth="1"/>
    <col min="3107" max="3107" width="9.7109375" style="3" customWidth="1"/>
    <col min="3108" max="3108" width="12.85546875" style="3" customWidth="1"/>
    <col min="3109" max="3345" width="9.140625" style="3"/>
    <col min="3346" max="3346" width="9" style="3" bestFit="1" customWidth="1"/>
    <col min="3347" max="3347" width="9.85546875" style="3" bestFit="1" customWidth="1"/>
    <col min="3348" max="3348" width="9.140625" style="3" bestFit="1" customWidth="1"/>
    <col min="3349" max="3349" width="16" style="3" bestFit="1" customWidth="1"/>
    <col min="3350" max="3350" width="9" style="3" bestFit="1" customWidth="1"/>
    <col min="3351" max="3351" width="7.85546875" style="3" bestFit="1" customWidth="1"/>
    <col min="3352" max="3352" width="11.7109375" style="3" bestFit="1" customWidth="1"/>
    <col min="3353" max="3353" width="14.28515625" style="3" customWidth="1"/>
    <col min="3354" max="3354" width="11.7109375" style="3" bestFit="1" customWidth="1"/>
    <col min="3355" max="3355" width="14.140625" style="3" bestFit="1" customWidth="1"/>
    <col min="3356" max="3356" width="16.7109375" style="3" customWidth="1"/>
    <col min="3357" max="3357" width="16.5703125" style="3" customWidth="1"/>
    <col min="3358" max="3359" width="7.85546875" style="3" bestFit="1" customWidth="1"/>
    <col min="3360" max="3360" width="8" style="3" bestFit="1" customWidth="1"/>
    <col min="3361" max="3362" width="7.85546875" style="3" bestFit="1" customWidth="1"/>
    <col min="3363" max="3363" width="9.7109375" style="3" customWidth="1"/>
    <col min="3364" max="3364" width="12.85546875" style="3" customWidth="1"/>
    <col min="3365" max="3601" width="9.140625" style="3"/>
    <col min="3602" max="3602" width="9" style="3" bestFit="1" customWidth="1"/>
    <col min="3603" max="3603" width="9.85546875" style="3" bestFit="1" customWidth="1"/>
    <col min="3604" max="3604" width="9.140625" style="3" bestFit="1" customWidth="1"/>
    <col min="3605" max="3605" width="16" style="3" bestFit="1" customWidth="1"/>
    <col min="3606" max="3606" width="9" style="3" bestFit="1" customWidth="1"/>
    <col min="3607" max="3607" width="7.85546875" style="3" bestFit="1" customWidth="1"/>
    <col min="3608" max="3608" width="11.7109375" style="3" bestFit="1" customWidth="1"/>
    <col min="3609" max="3609" width="14.28515625" style="3" customWidth="1"/>
    <col min="3610" max="3610" width="11.7109375" style="3" bestFit="1" customWidth="1"/>
    <col min="3611" max="3611" width="14.140625" style="3" bestFit="1" customWidth="1"/>
    <col min="3612" max="3612" width="16.7109375" style="3" customWidth="1"/>
    <col min="3613" max="3613" width="16.5703125" style="3" customWidth="1"/>
    <col min="3614" max="3615" width="7.85546875" style="3" bestFit="1" customWidth="1"/>
    <col min="3616" max="3616" width="8" style="3" bestFit="1" customWidth="1"/>
    <col min="3617" max="3618" width="7.85546875" style="3" bestFit="1" customWidth="1"/>
    <col min="3619" max="3619" width="9.7109375" style="3" customWidth="1"/>
    <col min="3620" max="3620" width="12.85546875" style="3" customWidth="1"/>
    <col min="3621" max="3857" width="9.140625" style="3"/>
    <col min="3858" max="3858" width="9" style="3" bestFit="1" customWidth="1"/>
    <col min="3859" max="3859" width="9.85546875" style="3" bestFit="1" customWidth="1"/>
    <col min="3860" max="3860" width="9.140625" style="3" bestFit="1" customWidth="1"/>
    <col min="3861" max="3861" width="16" style="3" bestFit="1" customWidth="1"/>
    <col min="3862" max="3862" width="9" style="3" bestFit="1" customWidth="1"/>
    <col min="3863" max="3863" width="7.85546875" style="3" bestFit="1" customWidth="1"/>
    <col min="3864" max="3864" width="11.7109375" style="3" bestFit="1" customWidth="1"/>
    <col min="3865" max="3865" width="14.28515625" style="3" customWidth="1"/>
    <col min="3866" max="3866" width="11.7109375" style="3" bestFit="1" customWidth="1"/>
    <col min="3867" max="3867" width="14.140625" style="3" bestFit="1" customWidth="1"/>
    <col min="3868" max="3868" width="16.7109375" style="3" customWidth="1"/>
    <col min="3869" max="3869" width="16.5703125" style="3" customWidth="1"/>
    <col min="3870" max="3871" width="7.85546875" style="3" bestFit="1" customWidth="1"/>
    <col min="3872" max="3872" width="8" style="3" bestFit="1" customWidth="1"/>
    <col min="3873" max="3874" width="7.85546875" style="3" bestFit="1" customWidth="1"/>
    <col min="3875" max="3875" width="9.7109375" style="3" customWidth="1"/>
    <col min="3876" max="3876" width="12.85546875" style="3" customWidth="1"/>
    <col min="3877" max="4113" width="9.140625" style="3"/>
    <col min="4114" max="4114" width="9" style="3" bestFit="1" customWidth="1"/>
    <col min="4115" max="4115" width="9.85546875" style="3" bestFit="1" customWidth="1"/>
    <col min="4116" max="4116" width="9.140625" style="3" bestFit="1" customWidth="1"/>
    <col min="4117" max="4117" width="16" style="3" bestFit="1" customWidth="1"/>
    <col min="4118" max="4118" width="9" style="3" bestFit="1" customWidth="1"/>
    <col min="4119" max="4119" width="7.85546875" style="3" bestFit="1" customWidth="1"/>
    <col min="4120" max="4120" width="11.7109375" style="3" bestFit="1" customWidth="1"/>
    <col min="4121" max="4121" width="14.28515625" style="3" customWidth="1"/>
    <col min="4122" max="4122" width="11.7109375" style="3" bestFit="1" customWidth="1"/>
    <col min="4123" max="4123" width="14.140625" style="3" bestFit="1" customWidth="1"/>
    <col min="4124" max="4124" width="16.7109375" style="3" customWidth="1"/>
    <col min="4125" max="4125" width="16.5703125" style="3" customWidth="1"/>
    <col min="4126" max="4127" width="7.85546875" style="3" bestFit="1" customWidth="1"/>
    <col min="4128" max="4128" width="8" style="3" bestFit="1" customWidth="1"/>
    <col min="4129" max="4130" width="7.85546875" style="3" bestFit="1" customWidth="1"/>
    <col min="4131" max="4131" width="9.7109375" style="3" customWidth="1"/>
    <col min="4132" max="4132" width="12.85546875" style="3" customWidth="1"/>
    <col min="4133" max="4369" width="9.140625" style="3"/>
    <col min="4370" max="4370" width="9" style="3" bestFit="1" customWidth="1"/>
    <col min="4371" max="4371" width="9.85546875" style="3" bestFit="1" customWidth="1"/>
    <col min="4372" max="4372" width="9.140625" style="3" bestFit="1" customWidth="1"/>
    <col min="4373" max="4373" width="16" style="3" bestFit="1" customWidth="1"/>
    <col min="4374" max="4374" width="9" style="3" bestFit="1" customWidth="1"/>
    <col min="4375" max="4375" width="7.85546875" style="3" bestFit="1" customWidth="1"/>
    <col min="4376" max="4376" width="11.7109375" style="3" bestFit="1" customWidth="1"/>
    <col min="4377" max="4377" width="14.28515625" style="3" customWidth="1"/>
    <col min="4378" max="4378" width="11.7109375" style="3" bestFit="1" customWidth="1"/>
    <col min="4379" max="4379" width="14.140625" style="3" bestFit="1" customWidth="1"/>
    <col min="4380" max="4380" width="16.7109375" style="3" customWidth="1"/>
    <col min="4381" max="4381" width="16.5703125" style="3" customWidth="1"/>
    <col min="4382" max="4383" width="7.85546875" style="3" bestFit="1" customWidth="1"/>
    <col min="4384" max="4384" width="8" style="3" bestFit="1" customWidth="1"/>
    <col min="4385" max="4386" width="7.85546875" style="3" bestFit="1" customWidth="1"/>
    <col min="4387" max="4387" width="9.7109375" style="3" customWidth="1"/>
    <col min="4388" max="4388" width="12.85546875" style="3" customWidth="1"/>
    <col min="4389" max="4625" width="9.140625" style="3"/>
    <col min="4626" max="4626" width="9" style="3" bestFit="1" customWidth="1"/>
    <col min="4627" max="4627" width="9.85546875" style="3" bestFit="1" customWidth="1"/>
    <col min="4628" max="4628" width="9.140625" style="3" bestFit="1" customWidth="1"/>
    <col min="4629" max="4629" width="16" style="3" bestFit="1" customWidth="1"/>
    <col min="4630" max="4630" width="9" style="3" bestFit="1" customWidth="1"/>
    <col min="4631" max="4631" width="7.85546875" style="3" bestFit="1" customWidth="1"/>
    <col min="4632" max="4632" width="11.7109375" style="3" bestFit="1" customWidth="1"/>
    <col min="4633" max="4633" width="14.28515625" style="3" customWidth="1"/>
    <col min="4634" max="4634" width="11.7109375" style="3" bestFit="1" customWidth="1"/>
    <col min="4635" max="4635" width="14.140625" style="3" bestFit="1" customWidth="1"/>
    <col min="4636" max="4636" width="16.7109375" style="3" customWidth="1"/>
    <col min="4637" max="4637" width="16.5703125" style="3" customWidth="1"/>
    <col min="4638" max="4639" width="7.85546875" style="3" bestFit="1" customWidth="1"/>
    <col min="4640" max="4640" width="8" style="3" bestFit="1" customWidth="1"/>
    <col min="4641" max="4642" width="7.85546875" style="3" bestFit="1" customWidth="1"/>
    <col min="4643" max="4643" width="9.7109375" style="3" customWidth="1"/>
    <col min="4644" max="4644" width="12.85546875" style="3" customWidth="1"/>
    <col min="4645" max="4881" width="9.140625" style="3"/>
    <col min="4882" max="4882" width="9" style="3" bestFit="1" customWidth="1"/>
    <col min="4883" max="4883" width="9.85546875" style="3" bestFit="1" customWidth="1"/>
    <col min="4884" max="4884" width="9.140625" style="3" bestFit="1" customWidth="1"/>
    <col min="4885" max="4885" width="16" style="3" bestFit="1" customWidth="1"/>
    <col min="4886" max="4886" width="9" style="3" bestFit="1" customWidth="1"/>
    <col min="4887" max="4887" width="7.85546875" style="3" bestFit="1" customWidth="1"/>
    <col min="4888" max="4888" width="11.7109375" style="3" bestFit="1" customWidth="1"/>
    <col min="4889" max="4889" width="14.28515625" style="3" customWidth="1"/>
    <col min="4890" max="4890" width="11.7109375" style="3" bestFit="1" customWidth="1"/>
    <col min="4891" max="4891" width="14.140625" style="3" bestFit="1" customWidth="1"/>
    <col min="4892" max="4892" width="16.7109375" style="3" customWidth="1"/>
    <col min="4893" max="4893" width="16.5703125" style="3" customWidth="1"/>
    <col min="4894" max="4895" width="7.85546875" style="3" bestFit="1" customWidth="1"/>
    <col min="4896" max="4896" width="8" style="3" bestFit="1" customWidth="1"/>
    <col min="4897" max="4898" width="7.85546875" style="3" bestFit="1" customWidth="1"/>
    <col min="4899" max="4899" width="9.7109375" style="3" customWidth="1"/>
    <col min="4900" max="4900" width="12.85546875" style="3" customWidth="1"/>
    <col min="4901" max="5137" width="9.140625" style="3"/>
    <col min="5138" max="5138" width="9" style="3" bestFit="1" customWidth="1"/>
    <col min="5139" max="5139" width="9.85546875" style="3" bestFit="1" customWidth="1"/>
    <col min="5140" max="5140" width="9.140625" style="3" bestFit="1" customWidth="1"/>
    <col min="5141" max="5141" width="16" style="3" bestFit="1" customWidth="1"/>
    <col min="5142" max="5142" width="9" style="3" bestFit="1" customWidth="1"/>
    <col min="5143" max="5143" width="7.85546875" style="3" bestFit="1" customWidth="1"/>
    <col min="5144" max="5144" width="11.7109375" style="3" bestFit="1" customWidth="1"/>
    <col min="5145" max="5145" width="14.28515625" style="3" customWidth="1"/>
    <col min="5146" max="5146" width="11.7109375" style="3" bestFit="1" customWidth="1"/>
    <col min="5147" max="5147" width="14.140625" style="3" bestFit="1" customWidth="1"/>
    <col min="5148" max="5148" width="16.7109375" style="3" customWidth="1"/>
    <col min="5149" max="5149" width="16.5703125" style="3" customWidth="1"/>
    <col min="5150" max="5151" width="7.85546875" style="3" bestFit="1" customWidth="1"/>
    <col min="5152" max="5152" width="8" style="3" bestFit="1" customWidth="1"/>
    <col min="5153" max="5154" width="7.85546875" style="3" bestFit="1" customWidth="1"/>
    <col min="5155" max="5155" width="9.7109375" style="3" customWidth="1"/>
    <col min="5156" max="5156" width="12.85546875" style="3" customWidth="1"/>
    <col min="5157" max="5393" width="9.140625" style="3"/>
    <col min="5394" max="5394" width="9" style="3" bestFit="1" customWidth="1"/>
    <col min="5395" max="5395" width="9.85546875" style="3" bestFit="1" customWidth="1"/>
    <col min="5396" max="5396" width="9.140625" style="3" bestFit="1" customWidth="1"/>
    <col min="5397" max="5397" width="16" style="3" bestFit="1" customWidth="1"/>
    <col min="5398" max="5398" width="9" style="3" bestFit="1" customWidth="1"/>
    <col min="5399" max="5399" width="7.85546875" style="3" bestFit="1" customWidth="1"/>
    <col min="5400" max="5400" width="11.7109375" style="3" bestFit="1" customWidth="1"/>
    <col min="5401" max="5401" width="14.28515625" style="3" customWidth="1"/>
    <col min="5402" max="5402" width="11.7109375" style="3" bestFit="1" customWidth="1"/>
    <col min="5403" max="5403" width="14.140625" style="3" bestFit="1" customWidth="1"/>
    <col min="5404" max="5404" width="16.7109375" style="3" customWidth="1"/>
    <col min="5405" max="5405" width="16.5703125" style="3" customWidth="1"/>
    <col min="5406" max="5407" width="7.85546875" style="3" bestFit="1" customWidth="1"/>
    <col min="5408" max="5408" width="8" style="3" bestFit="1" customWidth="1"/>
    <col min="5409" max="5410" width="7.85546875" style="3" bestFit="1" customWidth="1"/>
    <col min="5411" max="5411" width="9.7109375" style="3" customWidth="1"/>
    <col min="5412" max="5412" width="12.85546875" style="3" customWidth="1"/>
    <col min="5413" max="5649" width="9.140625" style="3"/>
    <col min="5650" max="5650" width="9" style="3" bestFit="1" customWidth="1"/>
    <col min="5651" max="5651" width="9.85546875" style="3" bestFit="1" customWidth="1"/>
    <col min="5652" max="5652" width="9.140625" style="3" bestFit="1" customWidth="1"/>
    <col min="5653" max="5653" width="16" style="3" bestFit="1" customWidth="1"/>
    <col min="5654" max="5654" width="9" style="3" bestFit="1" customWidth="1"/>
    <col min="5655" max="5655" width="7.85546875" style="3" bestFit="1" customWidth="1"/>
    <col min="5656" max="5656" width="11.7109375" style="3" bestFit="1" customWidth="1"/>
    <col min="5657" max="5657" width="14.28515625" style="3" customWidth="1"/>
    <col min="5658" max="5658" width="11.7109375" style="3" bestFit="1" customWidth="1"/>
    <col min="5659" max="5659" width="14.140625" style="3" bestFit="1" customWidth="1"/>
    <col min="5660" max="5660" width="16.7109375" style="3" customWidth="1"/>
    <col min="5661" max="5661" width="16.5703125" style="3" customWidth="1"/>
    <col min="5662" max="5663" width="7.85546875" style="3" bestFit="1" customWidth="1"/>
    <col min="5664" max="5664" width="8" style="3" bestFit="1" customWidth="1"/>
    <col min="5665" max="5666" width="7.85546875" style="3" bestFit="1" customWidth="1"/>
    <col min="5667" max="5667" width="9.7109375" style="3" customWidth="1"/>
    <col min="5668" max="5668" width="12.85546875" style="3" customWidth="1"/>
    <col min="5669" max="5905" width="9.140625" style="3"/>
    <col min="5906" max="5906" width="9" style="3" bestFit="1" customWidth="1"/>
    <col min="5907" max="5907" width="9.85546875" style="3" bestFit="1" customWidth="1"/>
    <col min="5908" max="5908" width="9.140625" style="3" bestFit="1" customWidth="1"/>
    <col min="5909" max="5909" width="16" style="3" bestFit="1" customWidth="1"/>
    <col min="5910" max="5910" width="9" style="3" bestFit="1" customWidth="1"/>
    <col min="5911" max="5911" width="7.85546875" style="3" bestFit="1" customWidth="1"/>
    <col min="5912" max="5912" width="11.7109375" style="3" bestFit="1" customWidth="1"/>
    <col min="5913" max="5913" width="14.28515625" style="3" customWidth="1"/>
    <col min="5914" max="5914" width="11.7109375" style="3" bestFit="1" customWidth="1"/>
    <col min="5915" max="5915" width="14.140625" style="3" bestFit="1" customWidth="1"/>
    <col min="5916" max="5916" width="16.7109375" style="3" customWidth="1"/>
    <col min="5917" max="5917" width="16.5703125" style="3" customWidth="1"/>
    <col min="5918" max="5919" width="7.85546875" style="3" bestFit="1" customWidth="1"/>
    <col min="5920" max="5920" width="8" style="3" bestFit="1" customWidth="1"/>
    <col min="5921" max="5922" width="7.85546875" style="3" bestFit="1" customWidth="1"/>
    <col min="5923" max="5923" width="9.7109375" style="3" customWidth="1"/>
    <col min="5924" max="5924" width="12.85546875" style="3" customWidth="1"/>
    <col min="5925" max="6161" width="9.140625" style="3"/>
    <col min="6162" max="6162" width="9" style="3" bestFit="1" customWidth="1"/>
    <col min="6163" max="6163" width="9.85546875" style="3" bestFit="1" customWidth="1"/>
    <col min="6164" max="6164" width="9.140625" style="3" bestFit="1" customWidth="1"/>
    <col min="6165" max="6165" width="16" style="3" bestFit="1" customWidth="1"/>
    <col min="6166" max="6166" width="9" style="3" bestFit="1" customWidth="1"/>
    <col min="6167" max="6167" width="7.85546875" style="3" bestFit="1" customWidth="1"/>
    <col min="6168" max="6168" width="11.7109375" style="3" bestFit="1" customWidth="1"/>
    <col min="6169" max="6169" width="14.28515625" style="3" customWidth="1"/>
    <col min="6170" max="6170" width="11.7109375" style="3" bestFit="1" customWidth="1"/>
    <col min="6171" max="6171" width="14.140625" style="3" bestFit="1" customWidth="1"/>
    <col min="6172" max="6172" width="16.7109375" style="3" customWidth="1"/>
    <col min="6173" max="6173" width="16.5703125" style="3" customWidth="1"/>
    <col min="6174" max="6175" width="7.85546875" style="3" bestFit="1" customWidth="1"/>
    <col min="6176" max="6176" width="8" style="3" bestFit="1" customWidth="1"/>
    <col min="6177" max="6178" width="7.85546875" style="3" bestFit="1" customWidth="1"/>
    <col min="6179" max="6179" width="9.7109375" style="3" customWidth="1"/>
    <col min="6180" max="6180" width="12.85546875" style="3" customWidth="1"/>
    <col min="6181" max="6417" width="9.140625" style="3"/>
    <col min="6418" max="6418" width="9" style="3" bestFit="1" customWidth="1"/>
    <col min="6419" max="6419" width="9.85546875" style="3" bestFit="1" customWidth="1"/>
    <col min="6420" max="6420" width="9.140625" style="3" bestFit="1" customWidth="1"/>
    <col min="6421" max="6421" width="16" style="3" bestFit="1" customWidth="1"/>
    <col min="6422" max="6422" width="9" style="3" bestFit="1" customWidth="1"/>
    <col min="6423" max="6423" width="7.85546875" style="3" bestFit="1" customWidth="1"/>
    <col min="6424" max="6424" width="11.7109375" style="3" bestFit="1" customWidth="1"/>
    <col min="6425" max="6425" width="14.28515625" style="3" customWidth="1"/>
    <col min="6426" max="6426" width="11.7109375" style="3" bestFit="1" customWidth="1"/>
    <col min="6427" max="6427" width="14.140625" style="3" bestFit="1" customWidth="1"/>
    <col min="6428" max="6428" width="16.7109375" style="3" customWidth="1"/>
    <col min="6429" max="6429" width="16.5703125" style="3" customWidth="1"/>
    <col min="6430" max="6431" width="7.85546875" style="3" bestFit="1" customWidth="1"/>
    <col min="6432" max="6432" width="8" style="3" bestFit="1" customWidth="1"/>
    <col min="6433" max="6434" width="7.85546875" style="3" bestFit="1" customWidth="1"/>
    <col min="6435" max="6435" width="9.7109375" style="3" customWidth="1"/>
    <col min="6436" max="6436" width="12.85546875" style="3" customWidth="1"/>
    <col min="6437" max="6673" width="9.140625" style="3"/>
    <col min="6674" max="6674" width="9" style="3" bestFit="1" customWidth="1"/>
    <col min="6675" max="6675" width="9.85546875" style="3" bestFit="1" customWidth="1"/>
    <col min="6676" max="6676" width="9.140625" style="3" bestFit="1" customWidth="1"/>
    <col min="6677" max="6677" width="16" style="3" bestFit="1" customWidth="1"/>
    <col min="6678" max="6678" width="9" style="3" bestFit="1" customWidth="1"/>
    <col min="6679" max="6679" width="7.85546875" style="3" bestFit="1" customWidth="1"/>
    <col min="6680" max="6680" width="11.7109375" style="3" bestFit="1" customWidth="1"/>
    <col min="6681" max="6681" width="14.28515625" style="3" customWidth="1"/>
    <col min="6682" max="6682" width="11.7109375" style="3" bestFit="1" customWidth="1"/>
    <col min="6683" max="6683" width="14.140625" style="3" bestFit="1" customWidth="1"/>
    <col min="6684" max="6684" width="16.7109375" style="3" customWidth="1"/>
    <col min="6685" max="6685" width="16.5703125" style="3" customWidth="1"/>
    <col min="6686" max="6687" width="7.85546875" style="3" bestFit="1" customWidth="1"/>
    <col min="6688" max="6688" width="8" style="3" bestFit="1" customWidth="1"/>
    <col min="6689" max="6690" width="7.85546875" style="3" bestFit="1" customWidth="1"/>
    <col min="6691" max="6691" width="9.7109375" style="3" customWidth="1"/>
    <col min="6692" max="6692" width="12.85546875" style="3" customWidth="1"/>
    <col min="6693" max="6929" width="9.140625" style="3"/>
    <col min="6930" max="6930" width="9" style="3" bestFit="1" customWidth="1"/>
    <col min="6931" max="6931" width="9.85546875" style="3" bestFit="1" customWidth="1"/>
    <col min="6932" max="6932" width="9.140625" style="3" bestFit="1" customWidth="1"/>
    <col min="6933" max="6933" width="16" style="3" bestFit="1" customWidth="1"/>
    <col min="6934" max="6934" width="9" style="3" bestFit="1" customWidth="1"/>
    <col min="6935" max="6935" width="7.85546875" style="3" bestFit="1" customWidth="1"/>
    <col min="6936" max="6936" width="11.7109375" style="3" bestFit="1" customWidth="1"/>
    <col min="6937" max="6937" width="14.28515625" style="3" customWidth="1"/>
    <col min="6938" max="6938" width="11.7109375" style="3" bestFit="1" customWidth="1"/>
    <col min="6939" max="6939" width="14.140625" style="3" bestFit="1" customWidth="1"/>
    <col min="6940" max="6940" width="16.7109375" style="3" customWidth="1"/>
    <col min="6941" max="6941" width="16.5703125" style="3" customWidth="1"/>
    <col min="6942" max="6943" width="7.85546875" style="3" bestFit="1" customWidth="1"/>
    <col min="6944" max="6944" width="8" style="3" bestFit="1" customWidth="1"/>
    <col min="6945" max="6946" width="7.85546875" style="3" bestFit="1" customWidth="1"/>
    <col min="6947" max="6947" width="9.7109375" style="3" customWidth="1"/>
    <col min="6948" max="6948" width="12.85546875" style="3" customWidth="1"/>
    <col min="6949" max="7185" width="9.140625" style="3"/>
    <col min="7186" max="7186" width="9" style="3" bestFit="1" customWidth="1"/>
    <col min="7187" max="7187" width="9.85546875" style="3" bestFit="1" customWidth="1"/>
    <col min="7188" max="7188" width="9.140625" style="3" bestFit="1" customWidth="1"/>
    <col min="7189" max="7189" width="16" style="3" bestFit="1" customWidth="1"/>
    <col min="7190" max="7190" width="9" style="3" bestFit="1" customWidth="1"/>
    <col min="7191" max="7191" width="7.85546875" style="3" bestFit="1" customWidth="1"/>
    <col min="7192" max="7192" width="11.7109375" style="3" bestFit="1" customWidth="1"/>
    <col min="7193" max="7193" width="14.28515625" style="3" customWidth="1"/>
    <col min="7194" max="7194" width="11.7109375" style="3" bestFit="1" customWidth="1"/>
    <col min="7195" max="7195" width="14.140625" style="3" bestFit="1" customWidth="1"/>
    <col min="7196" max="7196" width="16.7109375" style="3" customWidth="1"/>
    <col min="7197" max="7197" width="16.5703125" style="3" customWidth="1"/>
    <col min="7198" max="7199" width="7.85546875" style="3" bestFit="1" customWidth="1"/>
    <col min="7200" max="7200" width="8" style="3" bestFit="1" customWidth="1"/>
    <col min="7201" max="7202" width="7.85546875" style="3" bestFit="1" customWidth="1"/>
    <col min="7203" max="7203" width="9.7109375" style="3" customWidth="1"/>
    <col min="7204" max="7204" width="12.85546875" style="3" customWidth="1"/>
    <col min="7205" max="7441" width="9.140625" style="3"/>
    <col min="7442" max="7442" width="9" style="3" bestFit="1" customWidth="1"/>
    <col min="7443" max="7443" width="9.85546875" style="3" bestFit="1" customWidth="1"/>
    <col min="7444" max="7444" width="9.140625" style="3" bestFit="1" customWidth="1"/>
    <col min="7445" max="7445" width="16" style="3" bestFit="1" customWidth="1"/>
    <col min="7446" max="7446" width="9" style="3" bestFit="1" customWidth="1"/>
    <col min="7447" max="7447" width="7.85546875" style="3" bestFit="1" customWidth="1"/>
    <col min="7448" max="7448" width="11.7109375" style="3" bestFit="1" customWidth="1"/>
    <col min="7449" max="7449" width="14.28515625" style="3" customWidth="1"/>
    <col min="7450" max="7450" width="11.7109375" style="3" bestFit="1" customWidth="1"/>
    <col min="7451" max="7451" width="14.140625" style="3" bestFit="1" customWidth="1"/>
    <col min="7452" max="7452" width="16.7109375" style="3" customWidth="1"/>
    <col min="7453" max="7453" width="16.5703125" style="3" customWidth="1"/>
    <col min="7454" max="7455" width="7.85546875" style="3" bestFit="1" customWidth="1"/>
    <col min="7456" max="7456" width="8" style="3" bestFit="1" customWidth="1"/>
    <col min="7457" max="7458" width="7.85546875" style="3" bestFit="1" customWidth="1"/>
    <col min="7459" max="7459" width="9.7109375" style="3" customWidth="1"/>
    <col min="7460" max="7460" width="12.85546875" style="3" customWidth="1"/>
    <col min="7461" max="7697" width="9.140625" style="3"/>
    <col min="7698" max="7698" width="9" style="3" bestFit="1" customWidth="1"/>
    <col min="7699" max="7699" width="9.85546875" style="3" bestFit="1" customWidth="1"/>
    <col min="7700" max="7700" width="9.140625" style="3" bestFit="1" customWidth="1"/>
    <col min="7701" max="7701" width="16" style="3" bestFit="1" customWidth="1"/>
    <col min="7702" max="7702" width="9" style="3" bestFit="1" customWidth="1"/>
    <col min="7703" max="7703" width="7.85546875" style="3" bestFit="1" customWidth="1"/>
    <col min="7704" max="7704" width="11.7109375" style="3" bestFit="1" customWidth="1"/>
    <col min="7705" max="7705" width="14.28515625" style="3" customWidth="1"/>
    <col min="7706" max="7706" width="11.7109375" style="3" bestFit="1" customWidth="1"/>
    <col min="7707" max="7707" width="14.140625" style="3" bestFit="1" customWidth="1"/>
    <col min="7708" max="7708" width="16.7109375" style="3" customWidth="1"/>
    <col min="7709" max="7709" width="16.5703125" style="3" customWidth="1"/>
    <col min="7710" max="7711" width="7.85546875" style="3" bestFit="1" customWidth="1"/>
    <col min="7712" max="7712" width="8" style="3" bestFit="1" customWidth="1"/>
    <col min="7713" max="7714" width="7.85546875" style="3" bestFit="1" customWidth="1"/>
    <col min="7715" max="7715" width="9.7109375" style="3" customWidth="1"/>
    <col min="7716" max="7716" width="12.85546875" style="3" customWidth="1"/>
    <col min="7717" max="7953" width="9.140625" style="3"/>
    <col min="7954" max="7954" width="9" style="3" bestFit="1" customWidth="1"/>
    <col min="7955" max="7955" width="9.85546875" style="3" bestFit="1" customWidth="1"/>
    <col min="7956" max="7956" width="9.140625" style="3" bestFit="1" customWidth="1"/>
    <col min="7957" max="7957" width="16" style="3" bestFit="1" customWidth="1"/>
    <col min="7958" max="7958" width="9" style="3" bestFit="1" customWidth="1"/>
    <col min="7959" max="7959" width="7.85546875" style="3" bestFit="1" customWidth="1"/>
    <col min="7960" max="7960" width="11.7109375" style="3" bestFit="1" customWidth="1"/>
    <col min="7961" max="7961" width="14.28515625" style="3" customWidth="1"/>
    <col min="7962" max="7962" width="11.7109375" style="3" bestFit="1" customWidth="1"/>
    <col min="7963" max="7963" width="14.140625" style="3" bestFit="1" customWidth="1"/>
    <col min="7964" max="7964" width="16.7109375" style="3" customWidth="1"/>
    <col min="7965" max="7965" width="16.5703125" style="3" customWidth="1"/>
    <col min="7966" max="7967" width="7.85546875" style="3" bestFit="1" customWidth="1"/>
    <col min="7968" max="7968" width="8" style="3" bestFit="1" customWidth="1"/>
    <col min="7969" max="7970" width="7.85546875" style="3" bestFit="1" customWidth="1"/>
    <col min="7971" max="7971" width="9.7109375" style="3" customWidth="1"/>
    <col min="7972" max="7972" width="12.85546875" style="3" customWidth="1"/>
    <col min="7973" max="8209" width="9.140625" style="3"/>
    <col min="8210" max="8210" width="9" style="3" bestFit="1" customWidth="1"/>
    <col min="8211" max="8211" width="9.85546875" style="3" bestFit="1" customWidth="1"/>
    <col min="8212" max="8212" width="9.140625" style="3" bestFit="1" customWidth="1"/>
    <col min="8213" max="8213" width="16" style="3" bestFit="1" customWidth="1"/>
    <col min="8214" max="8214" width="9" style="3" bestFit="1" customWidth="1"/>
    <col min="8215" max="8215" width="7.85546875" style="3" bestFit="1" customWidth="1"/>
    <col min="8216" max="8216" width="11.7109375" style="3" bestFit="1" customWidth="1"/>
    <col min="8217" max="8217" width="14.28515625" style="3" customWidth="1"/>
    <col min="8218" max="8218" width="11.7109375" style="3" bestFit="1" customWidth="1"/>
    <col min="8219" max="8219" width="14.140625" style="3" bestFit="1" customWidth="1"/>
    <col min="8220" max="8220" width="16.7109375" style="3" customWidth="1"/>
    <col min="8221" max="8221" width="16.5703125" style="3" customWidth="1"/>
    <col min="8222" max="8223" width="7.85546875" style="3" bestFit="1" customWidth="1"/>
    <col min="8224" max="8224" width="8" style="3" bestFit="1" customWidth="1"/>
    <col min="8225" max="8226" width="7.85546875" style="3" bestFit="1" customWidth="1"/>
    <col min="8227" max="8227" width="9.7109375" style="3" customWidth="1"/>
    <col min="8228" max="8228" width="12.85546875" style="3" customWidth="1"/>
    <col min="8229" max="8465" width="9.140625" style="3"/>
    <col min="8466" max="8466" width="9" style="3" bestFit="1" customWidth="1"/>
    <col min="8467" max="8467" width="9.85546875" style="3" bestFit="1" customWidth="1"/>
    <col min="8468" max="8468" width="9.140625" style="3" bestFit="1" customWidth="1"/>
    <col min="8469" max="8469" width="16" style="3" bestFit="1" customWidth="1"/>
    <col min="8470" max="8470" width="9" style="3" bestFit="1" customWidth="1"/>
    <col min="8471" max="8471" width="7.85546875" style="3" bestFit="1" customWidth="1"/>
    <col min="8472" max="8472" width="11.7109375" style="3" bestFit="1" customWidth="1"/>
    <col min="8473" max="8473" width="14.28515625" style="3" customWidth="1"/>
    <col min="8474" max="8474" width="11.7109375" style="3" bestFit="1" customWidth="1"/>
    <col min="8475" max="8475" width="14.140625" style="3" bestFit="1" customWidth="1"/>
    <col min="8476" max="8476" width="16.7109375" style="3" customWidth="1"/>
    <col min="8477" max="8477" width="16.5703125" style="3" customWidth="1"/>
    <col min="8478" max="8479" width="7.85546875" style="3" bestFit="1" customWidth="1"/>
    <col min="8480" max="8480" width="8" style="3" bestFit="1" customWidth="1"/>
    <col min="8481" max="8482" width="7.85546875" style="3" bestFit="1" customWidth="1"/>
    <col min="8483" max="8483" width="9.7109375" style="3" customWidth="1"/>
    <col min="8484" max="8484" width="12.85546875" style="3" customWidth="1"/>
    <col min="8485" max="8721" width="9.140625" style="3"/>
    <col min="8722" max="8722" width="9" style="3" bestFit="1" customWidth="1"/>
    <col min="8723" max="8723" width="9.85546875" style="3" bestFit="1" customWidth="1"/>
    <col min="8724" max="8724" width="9.140625" style="3" bestFit="1" customWidth="1"/>
    <col min="8725" max="8725" width="16" style="3" bestFit="1" customWidth="1"/>
    <col min="8726" max="8726" width="9" style="3" bestFit="1" customWidth="1"/>
    <col min="8727" max="8727" width="7.85546875" style="3" bestFit="1" customWidth="1"/>
    <col min="8728" max="8728" width="11.7109375" style="3" bestFit="1" customWidth="1"/>
    <col min="8729" max="8729" width="14.28515625" style="3" customWidth="1"/>
    <col min="8730" max="8730" width="11.7109375" style="3" bestFit="1" customWidth="1"/>
    <col min="8731" max="8731" width="14.140625" style="3" bestFit="1" customWidth="1"/>
    <col min="8732" max="8732" width="16.7109375" style="3" customWidth="1"/>
    <col min="8733" max="8733" width="16.5703125" style="3" customWidth="1"/>
    <col min="8734" max="8735" width="7.85546875" style="3" bestFit="1" customWidth="1"/>
    <col min="8736" max="8736" width="8" style="3" bestFit="1" customWidth="1"/>
    <col min="8737" max="8738" width="7.85546875" style="3" bestFit="1" customWidth="1"/>
    <col min="8739" max="8739" width="9.7109375" style="3" customWidth="1"/>
    <col min="8740" max="8740" width="12.85546875" style="3" customWidth="1"/>
    <col min="8741" max="8977" width="9.140625" style="3"/>
    <col min="8978" max="8978" width="9" style="3" bestFit="1" customWidth="1"/>
    <col min="8979" max="8979" width="9.85546875" style="3" bestFit="1" customWidth="1"/>
    <col min="8980" max="8980" width="9.140625" style="3" bestFit="1" customWidth="1"/>
    <col min="8981" max="8981" width="16" style="3" bestFit="1" customWidth="1"/>
    <col min="8982" max="8982" width="9" style="3" bestFit="1" customWidth="1"/>
    <col min="8983" max="8983" width="7.85546875" style="3" bestFit="1" customWidth="1"/>
    <col min="8984" max="8984" width="11.7109375" style="3" bestFit="1" customWidth="1"/>
    <col min="8985" max="8985" width="14.28515625" style="3" customWidth="1"/>
    <col min="8986" max="8986" width="11.7109375" style="3" bestFit="1" customWidth="1"/>
    <col min="8987" max="8987" width="14.140625" style="3" bestFit="1" customWidth="1"/>
    <col min="8988" max="8988" width="16.7109375" style="3" customWidth="1"/>
    <col min="8989" max="8989" width="16.5703125" style="3" customWidth="1"/>
    <col min="8990" max="8991" width="7.85546875" style="3" bestFit="1" customWidth="1"/>
    <col min="8992" max="8992" width="8" style="3" bestFit="1" customWidth="1"/>
    <col min="8993" max="8994" width="7.85546875" style="3" bestFit="1" customWidth="1"/>
    <col min="8995" max="8995" width="9.7109375" style="3" customWidth="1"/>
    <col min="8996" max="8996" width="12.85546875" style="3" customWidth="1"/>
    <col min="8997" max="9233" width="9.140625" style="3"/>
    <col min="9234" max="9234" width="9" style="3" bestFit="1" customWidth="1"/>
    <col min="9235" max="9235" width="9.85546875" style="3" bestFit="1" customWidth="1"/>
    <col min="9236" max="9236" width="9.140625" style="3" bestFit="1" customWidth="1"/>
    <col min="9237" max="9237" width="16" style="3" bestFit="1" customWidth="1"/>
    <col min="9238" max="9238" width="9" style="3" bestFit="1" customWidth="1"/>
    <col min="9239" max="9239" width="7.85546875" style="3" bestFit="1" customWidth="1"/>
    <col min="9240" max="9240" width="11.7109375" style="3" bestFit="1" customWidth="1"/>
    <col min="9241" max="9241" width="14.28515625" style="3" customWidth="1"/>
    <col min="9242" max="9242" width="11.7109375" style="3" bestFit="1" customWidth="1"/>
    <col min="9243" max="9243" width="14.140625" style="3" bestFit="1" customWidth="1"/>
    <col min="9244" max="9244" width="16.7109375" style="3" customWidth="1"/>
    <col min="9245" max="9245" width="16.5703125" style="3" customWidth="1"/>
    <col min="9246" max="9247" width="7.85546875" style="3" bestFit="1" customWidth="1"/>
    <col min="9248" max="9248" width="8" style="3" bestFit="1" customWidth="1"/>
    <col min="9249" max="9250" width="7.85546875" style="3" bestFit="1" customWidth="1"/>
    <col min="9251" max="9251" width="9.7109375" style="3" customWidth="1"/>
    <col min="9252" max="9252" width="12.85546875" style="3" customWidth="1"/>
    <col min="9253" max="9489" width="9.140625" style="3"/>
    <col min="9490" max="9490" width="9" style="3" bestFit="1" customWidth="1"/>
    <col min="9491" max="9491" width="9.85546875" style="3" bestFit="1" customWidth="1"/>
    <col min="9492" max="9492" width="9.140625" style="3" bestFit="1" customWidth="1"/>
    <col min="9493" max="9493" width="16" style="3" bestFit="1" customWidth="1"/>
    <col min="9494" max="9494" width="9" style="3" bestFit="1" customWidth="1"/>
    <col min="9495" max="9495" width="7.85546875" style="3" bestFit="1" customWidth="1"/>
    <col min="9496" max="9496" width="11.7109375" style="3" bestFit="1" customWidth="1"/>
    <col min="9497" max="9497" width="14.28515625" style="3" customWidth="1"/>
    <col min="9498" max="9498" width="11.7109375" style="3" bestFit="1" customWidth="1"/>
    <col min="9499" max="9499" width="14.140625" style="3" bestFit="1" customWidth="1"/>
    <col min="9500" max="9500" width="16.7109375" style="3" customWidth="1"/>
    <col min="9501" max="9501" width="16.5703125" style="3" customWidth="1"/>
    <col min="9502" max="9503" width="7.85546875" style="3" bestFit="1" customWidth="1"/>
    <col min="9504" max="9504" width="8" style="3" bestFit="1" customWidth="1"/>
    <col min="9505" max="9506" width="7.85546875" style="3" bestFit="1" customWidth="1"/>
    <col min="9507" max="9507" width="9.7109375" style="3" customWidth="1"/>
    <col min="9508" max="9508" width="12.85546875" style="3" customWidth="1"/>
    <col min="9509" max="9745" width="9.140625" style="3"/>
    <col min="9746" max="9746" width="9" style="3" bestFit="1" customWidth="1"/>
    <col min="9747" max="9747" width="9.85546875" style="3" bestFit="1" customWidth="1"/>
    <col min="9748" max="9748" width="9.140625" style="3" bestFit="1" customWidth="1"/>
    <col min="9749" max="9749" width="16" style="3" bestFit="1" customWidth="1"/>
    <col min="9750" max="9750" width="9" style="3" bestFit="1" customWidth="1"/>
    <col min="9751" max="9751" width="7.85546875" style="3" bestFit="1" customWidth="1"/>
    <col min="9752" max="9752" width="11.7109375" style="3" bestFit="1" customWidth="1"/>
    <col min="9753" max="9753" width="14.28515625" style="3" customWidth="1"/>
    <col min="9754" max="9754" width="11.7109375" style="3" bestFit="1" customWidth="1"/>
    <col min="9755" max="9755" width="14.140625" style="3" bestFit="1" customWidth="1"/>
    <col min="9756" max="9756" width="16.7109375" style="3" customWidth="1"/>
    <col min="9757" max="9757" width="16.5703125" style="3" customWidth="1"/>
    <col min="9758" max="9759" width="7.85546875" style="3" bestFit="1" customWidth="1"/>
    <col min="9760" max="9760" width="8" style="3" bestFit="1" customWidth="1"/>
    <col min="9761" max="9762" width="7.85546875" style="3" bestFit="1" customWidth="1"/>
    <col min="9763" max="9763" width="9.7109375" style="3" customWidth="1"/>
    <col min="9764" max="9764" width="12.85546875" style="3" customWidth="1"/>
    <col min="9765" max="10001" width="9.140625" style="3"/>
    <col min="10002" max="10002" width="9" style="3" bestFit="1" customWidth="1"/>
    <col min="10003" max="10003" width="9.85546875" style="3" bestFit="1" customWidth="1"/>
    <col min="10004" max="10004" width="9.140625" style="3" bestFit="1" customWidth="1"/>
    <col min="10005" max="10005" width="16" style="3" bestFit="1" customWidth="1"/>
    <col min="10006" max="10006" width="9" style="3" bestFit="1" customWidth="1"/>
    <col min="10007" max="10007" width="7.85546875" style="3" bestFit="1" customWidth="1"/>
    <col min="10008" max="10008" width="11.7109375" style="3" bestFit="1" customWidth="1"/>
    <col min="10009" max="10009" width="14.28515625" style="3" customWidth="1"/>
    <col min="10010" max="10010" width="11.7109375" style="3" bestFit="1" customWidth="1"/>
    <col min="10011" max="10011" width="14.140625" style="3" bestFit="1" customWidth="1"/>
    <col min="10012" max="10012" width="16.7109375" style="3" customWidth="1"/>
    <col min="10013" max="10013" width="16.5703125" style="3" customWidth="1"/>
    <col min="10014" max="10015" width="7.85546875" style="3" bestFit="1" customWidth="1"/>
    <col min="10016" max="10016" width="8" style="3" bestFit="1" customWidth="1"/>
    <col min="10017" max="10018" width="7.85546875" style="3" bestFit="1" customWidth="1"/>
    <col min="10019" max="10019" width="9.7109375" style="3" customWidth="1"/>
    <col min="10020" max="10020" width="12.85546875" style="3" customWidth="1"/>
    <col min="10021" max="10257" width="9.140625" style="3"/>
    <col min="10258" max="10258" width="9" style="3" bestFit="1" customWidth="1"/>
    <col min="10259" max="10259" width="9.85546875" style="3" bestFit="1" customWidth="1"/>
    <col min="10260" max="10260" width="9.140625" style="3" bestFit="1" customWidth="1"/>
    <col min="10261" max="10261" width="16" style="3" bestFit="1" customWidth="1"/>
    <col min="10262" max="10262" width="9" style="3" bestFit="1" customWidth="1"/>
    <col min="10263" max="10263" width="7.85546875" style="3" bestFit="1" customWidth="1"/>
    <col min="10264" max="10264" width="11.7109375" style="3" bestFit="1" customWidth="1"/>
    <col min="10265" max="10265" width="14.28515625" style="3" customWidth="1"/>
    <col min="10266" max="10266" width="11.7109375" style="3" bestFit="1" customWidth="1"/>
    <col min="10267" max="10267" width="14.140625" style="3" bestFit="1" customWidth="1"/>
    <col min="10268" max="10268" width="16.7109375" style="3" customWidth="1"/>
    <col min="10269" max="10269" width="16.5703125" style="3" customWidth="1"/>
    <col min="10270" max="10271" width="7.85546875" style="3" bestFit="1" customWidth="1"/>
    <col min="10272" max="10272" width="8" style="3" bestFit="1" customWidth="1"/>
    <col min="10273" max="10274" width="7.85546875" style="3" bestFit="1" customWidth="1"/>
    <col min="10275" max="10275" width="9.7109375" style="3" customWidth="1"/>
    <col min="10276" max="10276" width="12.85546875" style="3" customWidth="1"/>
    <col min="10277" max="10513" width="9.140625" style="3"/>
    <col min="10514" max="10514" width="9" style="3" bestFit="1" customWidth="1"/>
    <col min="10515" max="10515" width="9.85546875" style="3" bestFit="1" customWidth="1"/>
    <col min="10516" max="10516" width="9.140625" style="3" bestFit="1" customWidth="1"/>
    <col min="10517" max="10517" width="16" style="3" bestFit="1" customWidth="1"/>
    <col min="10518" max="10518" width="9" style="3" bestFit="1" customWidth="1"/>
    <col min="10519" max="10519" width="7.85546875" style="3" bestFit="1" customWidth="1"/>
    <col min="10520" max="10520" width="11.7109375" style="3" bestFit="1" customWidth="1"/>
    <col min="10521" max="10521" width="14.28515625" style="3" customWidth="1"/>
    <col min="10522" max="10522" width="11.7109375" style="3" bestFit="1" customWidth="1"/>
    <col min="10523" max="10523" width="14.140625" style="3" bestFit="1" customWidth="1"/>
    <col min="10524" max="10524" width="16.7109375" style="3" customWidth="1"/>
    <col min="10525" max="10525" width="16.5703125" style="3" customWidth="1"/>
    <col min="10526" max="10527" width="7.85546875" style="3" bestFit="1" customWidth="1"/>
    <col min="10528" max="10528" width="8" style="3" bestFit="1" customWidth="1"/>
    <col min="10529" max="10530" width="7.85546875" style="3" bestFit="1" customWidth="1"/>
    <col min="10531" max="10531" width="9.7109375" style="3" customWidth="1"/>
    <col min="10532" max="10532" width="12.85546875" style="3" customWidth="1"/>
    <col min="10533" max="10769" width="9.140625" style="3"/>
    <col min="10770" max="10770" width="9" style="3" bestFit="1" customWidth="1"/>
    <col min="10771" max="10771" width="9.85546875" style="3" bestFit="1" customWidth="1"/>
    <col min="10772" max="10772" width="9.140625" style="3" bestFit="1" customWidth="1"/>
    <col min="10773" max="10773" width="16" style="3" bestFit="1" customWidth="1"/>
    <col min="10774" max="10774" width="9" style="3" bestFit="1" customWidth="1"/>
    <col min="10775" max="10775" width="7.85546875" style="3" bestFit="1" customWidth="1"/>
    <col min="10776" max="10776" width="11.7109375" style="3" bestFit="1" customWidth="1"/>
    <col min="10777" max="10777" width="14.28515625" style="3" customWidth="1"/>
    <col min="10778" max="10778" width="11.7109375" style="3" bestFit="1" customWidth="1"/>
    <col min="10779" max="10779" width="14.140625" style="3" bestFit="1" customWidth="1"/>
    <col min="10780" max="10780" width="16.7109375" style="3" customWidth="1"/>
    <col min="10781" max="10781" width="16.5703125" style="3" customWidth="1"/>
    <col min="10782" max="10783" width="7.85546875" style="3" bestFit="1" customWidth="1"/>
    <col min="10784" max="10784" width="8" style="3" bestFit="1" customWidth="1"/>
    <col min="10785" max="10786" width="7.85546875" style="3" bestFit="1" customWidth="1"/>
    <col min="10787" max="10787" width="9.7109375" style="3" customWidth="1"/>
    <col min="10788" max="10788" width="12.85546875" style="3" customWidth="1"/>
    <col min="10789" max="11025" width="9.140625" style="3"/>
    <col min="11026" max="11026" width="9" style="3" bestFit="1" customWidth="1"/>
    <col min="11027" max="11027" width="9.85546875" style="3" bestFit="1" customWidth="1"/>
    <col min="11028" max="11028" width="9.140625" style="3" bestFit="1" customWidth="1"/>
    <col min="11029" max="11029" width="16" style="3" bestFit="1" customWidth="1"/>
    <col min="11030" max="11030" width="9" style="3" bestFit="1" customWidth="1"/>
    <col min="11031" max="11031" width="7.85546875" style="3" bestFit="1" customWidth="1"/>
    <col min="11032" max="11032" width="11.7109375" style="3" bestFit="1" customWidth="1"/>
    <col min="11033" max="11033" width="14.28515625" style="3" customWidth="1"/>
    <col min="11034" max="11034" width="11.7109375" style="3" bestFit="1" customWidth="1"/>
    <col min="11035" max="11035" width="14.140625" style="3" bestFit="1" customWidth="1"/>
    <col min="11036" max="11036" width="16.7109375" style="3" customWidth="1"/>
    <col min="11037" max="11037" width="16.5703125" style="3" customWidth="1"/>
    <col min="11038" max="11039" width="7.85546875" style="3" bestFit="1" customWidth="1"/>
    <col min="11040" max="11040" width="8" style="3" bestFit="1" customWidth="1"/>
    <col min="11041" max="11042" width="7.85546875" style="3" bestFit="1" customWidth="1"/>
    <col min="11043" max="11043" width="9.7109375" style="3" customWidth="1"/>
    <col min="11044" max="11044" width="12.85546875" style="3" customWidth="1"/>
    <col min="11045" max="11281" width="9.140625" style="3"/>
    <col min="11282" max="11282" width="9" style="3" bestFit="1" customWidth="1"/>
    <col min="11283" max="11283" width="9.85546875" style="3" bestFit="1" customWidth="1"/>
    <col min="11284" max="11284" width="9.140625" style="3" bestFit="1" customWidth="1"/>
    <col min="11285" max="11285" width="16" style="3" bestFit="1" customWidth="1"/>
    <col min="11286" max="11286" width="9" style="3" bestFit="1" customWidth="1"/>
    <col min="11287" max="11287" width="7.85546875" style="3" bestFit="1" customWidth="1"/>
    <col min="11288" max="11288" width="11.7109375" style="3" bestFit="1" customWidth="1"/>
    <col min="11289" max="11289" width="14.28515625" style="3" customWidth="1"/>
    <col min="11290" max="11290" width="11.7109375" style="3" bestFit="1" customWidth="1"/>
    <col min="11291" max="11291" width="14.140625" style="3" bestFit="1" customWidth="1"/>
    <col min="11292" max="11292" width="16.7109375" style="3" customWidth="1"/>
    <col min="11293" max="11293" width="16.5703125" style="3" customWidth="1"/>
    <col min="11294" max="11295" width="7.85546875" style="3" bestFit="1" customWidth="1"/>
    <col min="11296" max="11296" width="8" style="3" bestFit="1" customWidth="1"/>
    <col min="11297" max="11298" width="7.85546875" style="3" bestFit="1" customWidth="1"/>
    <col min="11299" max="11299" width="9.7109375" style="3" customWidth="1"/>
    <col min="11300" max="11300" width="12.85546875" style="3" customWidth="1"/>
    <col min="11301" max="11537" width="9.140625" style="3"/>
    <col min="11538" max="11538" width="9" style="3" bestFit="1" customWidth="1"/>
    <col min="11539" max="11539" width="9.85546875" style="3" bestFit="1" customWidth="1"/>
    <col min="11540" max="11540" width="9.140625" style="3" bestFit="1" customWidth="1"/>
    <col min="11541" max="11541" width="16" style="3" bestFit="1" customWidth="1"/>
    <col min="11542" max="11542" width="9" style="3" bestFit="1" customWidth="1"/>
    <col min="11543" max="11543" width="7.85546875" style="3" bestFit="1" customWidth="1"/>
    <col min="11544" max="11544" width="11.7109375" style="3" bestFit="1" customWidth="1"/>
    <col min="11545" max="11545" width="14.28515625" style="3" customWidth="1"/>
    <col min="11546" max="11546" width="11.7109375" style="3" bestFit="1" customWidth="1"/>
    <col min="11547" max="11547" width="14.140625" style="3" bestFit="1" customWidth="1"/>
    <col min="11548" max="11548" width="16.7109375" style="3" customWidth="1"/>
    <col min="11549" max="11549" width="16.5703125" style="3" customWidth="1"/>
    <col min="11550" max="11551" width="7.85546875" style="3" bestFit="1" customWidth="1"/>
    <col min="11552" max="11552" width="8" style="3" bestFit="1" customWidth="1"/>
    <col min="11553" max="11554" width="7.85546875" style="3" bestFit="1" customWidth="1"/>
    <col min="11555" max="11555" width="9.7109375" style="3" customWidth="1"/>
    <col min="11556" max="11556" width="12.85546875" style="3" customWidth="1"/>
    <col min="11557" max="11793" width="9.140625" style="3"/>
    <col min="11794" max="11794" width="9" style="3" bestFit="1" customWidth="1"/>
    <col min="11795" max="11795" width="9.85546875" style="3" bestFit="1" customWidth="1"/>
    <col min="11796" max="11796" width="9.140625" style="3" bestFit="1" customWidth="1"/>
    <col min="11797" max="11797" width="16" style="3" bestFit="1" customWidth="1"/>
    <col min="11798" max="11798" width="9" style="3" bestFit="1" customWidth="1"/>
    <col min="11799" max="11799" width="7.85546875" style="3" bestFit="1" customWidth="1"/>
    <col min="11800" max="11800" width="11.7109375" style="3" bestFit="1" customWidth="1"/>
    <col min="11801" max="11801" width="14.28515625" style="3" customWidth="1"/>
    <col min="11802" max="11802" width="11.7109375" style="3" bestFit="1" customWidth="1"/>
    <col min="11803" max="11803" width="14.140625" style="3" bestFit="1" customWidth="1"/>
    <col min="11804" max="11804" width="16.7109375" style="3" customWidth="1"/>
    <col min="11805" max="11805" width="16.5703125" style="3" customWidth="1"/>
    <col min="11806" max="11807" width="7.85546875" style="3" bestFit="1" customWidth="1"/>
    <col min="11808" max="11808" width="8" style="3" bestFit="1" customWidth="1"/>
    <col min="11809" max="11810" width="7.85546875" style="3" bestFit="1" customWidth="1"/>
    <col min="11811" max="11811" width="9.7109375" style="3" customWidth="1"/>
    <col min="11812" max="11812" width="12.85546875" style="3" customWidth="1"/>
    <col min="11813" max="12049" width="9.140625" style="3"/>
    <col min="12050" max="12050" width="9" style="3" bestFit="1" customWidth="1"/>
    <col min="12051" max="12051" width="9.85546875" style="3" bestFit="1" customWidth="1"/>
    <col min="12052" max="12052" width="9.140625" style="3" bestFit="1" customWidth="1"/>
    <col min="12053" max="12053" width="16" style="3" bestFit="1" customWidth="1"/>
    <col min="12054" max="12054" width="9" style="3" bestFit="1" customWidth="1"/>
    <col min="12055" max="12055" width="7.85546875" style="3" bestFit="1" customWidth="1"/>
    <col min="12056" max="12056" width="11.7109375" style="3" bestFit="1" customWidth="1"/>
    <col min="12057" max="12057" width="14.28515625" style="3" customWidth="1"/>
    <col min="12058" max="12058" width="11.7109375" style="3" bestFit="1" customWidth="1"/>
    <col min="12059" max="12059" width="14.140625" style="3" bestFit="1" customWidth="1"/>
    <col min="12060" max="12060" width="16.7109375" style="3" customWidth="1"/>
    <col min="12061" max="12061" width="16.5703125" style="3" customWidth="1"/>
    <col min="12062" max="12063" width="7.85546875" style="3" bestFit="1" customWidth="1"/>
    <col min="12064" max="12064" width="8" style="3" bestFit="1" customWidth="1"/>
    <col min="12065" max="12066" width="7.85546875" style="3" bestFit="1" customWidth="1"/>
    <col min="12067" max="12067" width="9.7109375" style="3" customWidth="1"/>
    <col min="12068" max="12068" width="12.85546875" style="3" customWidth="1"/>
    <col min="12069" max="12305" width="9.140625" style="3"/>
    <col min="12306" max="12306" width="9" style="3" bestFit="1" customWidth="1"/>
    <col min="12307" max="12307" width="9.85546875" style="3" bestFit="1" customWidth="1"/>
    <col min="12308" max="12308" width="9.140625" style="3" bestFit="1" customWidth="1"/>
    <col min="12309" max="12309" width="16" style="3" bestFit="1" customWidth="1"/>
    <col min="12310" max="12310" width="9" style="3" bestFit="1" customWidth="1"/>
    <col min="12311" max="12311" width="7.85546875" style="3" bestFit="1" customWidth="1"/>
    <col min="12312" max="12312" width="11.7109375" style="3" bestFit="1" customWidth="1"/>
    <col min="12313" max="12313" width="14.28515625" style="3" customWidth="1"/>
    <col min="12314" max="12314" width="11.7109375" style="3" bestFit="1" customWidth="1"/>
    <col min="12315" max="12315" width="14.140625" style="3" bestFit="1" customWidth="1"/>
    <col min="12316" max="12316" width="16.7109375" style="3" customWidth="1"/>
    <col min="12317" max="12317" width="16.5703125" style="3" customWidth="1"/>
    <col min="12318" max="12319" width="7.85546875" style="3" bestFit="1" customWidth="1"/>
    <col min="12320" max="12320" width="8" style="3" bestFit="1" customWidth="1"/>
    <col min="12321" max="12322" width="7.85546875" style="3" bestFit="1" customWidth="1"/>
    <col min="12323" max="12323" width="9.7109375" style="3" customWidth="1"/>
    <col min="12324" max="12324" width="12.85546875" style="3" customWidth="1"/>
    <col min="12325" max="12561" width="9.140625" style="3"/>
    <col min="12562" max="12562" width="9" style="3" bestFit="1" customWidth="1"/>
    <col min="12563" max="12563" width="9.85546875" style="3" bestFit="1" customWidth="1"/>
    <col min="12564" max="12564" width="9.140625" style="3" bestFit="1" customWidth="1"/>
    <col min="12565" max="12565" width="16" style="3" bestFit="1" customWidth="1"/>
    <col min="12566" max="12566" width="9" style="3" bestFit="1" customWidth="1"/>
    <col min="12567" max="12567" width="7.85546875" style="3" bestFit="1" customWidth="1"/>
    <col min="12568" max="12568" width="11.7109375" style="3" bestFit="1" customWidth="1"/>
    <col min="12569" max="12569" width="14.28515625" style="3" customWidth="1"/>
    <col min="12570" max="12570" width="11.7109375" style="3" bestFit="1" customWidth="1"/>
    <col min="12571" max="12571" width="14.140625" style="3" bestFit="1" customWidth="1"/>
    <col min="12572" max="12572" width="16.7109375" style="3" customWidth="1"/>
    <col min="12573" max="12573" width="16.5703125" style="3" customWidth="1"/>
    <col min="12574" max="12575" width="7.85546875" style="3" bestFit="1" customWidth="1"/>
    <col min="12576" max="12576" width="8" style="3" bestFit="1" customWidth="1"/>
    <col min="12577" max="12578" width="7.85546875" style="3" bestFit="1" customWidth="1"/>
    <col min="12579" max="12579" width="9.7109375" style="3" customWidth="1"/>
    <col min="12580" max="12580" width="12.85546875" style="3" customWidth="1"/>
    <col min="12581" max="12817" width="9.140625" style="3"/>
    <col min="12818" max="12818" width="9" style="3" bestFit="1" customWidth="1"/>
    <col min="12819" max="12819" width="9.85546875" style="3" bestFit="1" customWidth="1"/>
    <col min="12820" max="12820" width="9.140625" style="3" bestFit="1" customWidth="1"/>
    <col min="12821" max="12821" width="16" style="3" bestFit="1" customWidth="1"/>
    <col min="12822" max="12822" width="9" style="3" bestFit="1" customWidth="1"/>
    <col min="12823" max="12823" width="7.85546875" style="3" bestFit="1" customWidth="1"/>
    <col min="12824" max="12824" width="11.7109375" style="3" bestFit="1" customWidth="1"/>
    <col min="12825" max="12825" width="14.28515625" style="3" customWidth="1"/>
    <col min="12826" max="12826" width="11.7109375" style="3" bestFit="1" customWidth="1"/>
    <col min="12827" max="12827" width="14.140625" style="3" bestFit="1" customWidth="1"/>
    <col min="12828" max="12828" width="16.7109375" style="3" customWidth="1"/>
    <col min="12829" max="12829" width="16.5703125" style="3" customWidth="1"/>
    <col min="12830" max="12831" width="7.85546875" style="3" bestFit="1" customWidth="1"/>
    <col min="12832" max="12832" width="8" style="3" bestFit="1" customWidth="1"/>
    <col min="12833" max="12834" width="7.85546875" style="3" bestFit="1" customWidth="1"/>
    <col min="12835" max="12835" width="9.7109375" style="3" customWidth="1"/>
    <col min="12836" max="12836" width="12.85546875" style="3" customWidth="1"/>
    <col min="12837" max="13073" width="9.140625" style="3"/>
    <col min="13074" max="13074" width="9" style="3" bestFit="1" customWidth="1"/>
    <col min="13075" max="13075" width="9.85546875" style="3" bestFit="1" customWidth="1"/>
    <col min="13076" max="13076" width="9.140625" style="3" bestFit="1" customWidth="1"/>
    <col min="13077" max="13077" width="16" style="3" bestFit="1" customWidth="1"/>
    <col min="13078" max="13078" width="9" style="3" bestFit="1" customWidth="1"/>
    <col min="13079" max="13079" width="7.85546875" style="3" bestFit="1" customWidth="1"/>
    <col min="13080" max="13080" width="11.7109375" style="3" bestFit="1" customWidth="1"/>
    <col min="13081" max="13081" width="14.28515625" style="3" customWidth="1"/>
    <col min="13082" max="13082" width="11.7109375" style="3" bestFit="1" customWidth="1"/>
    <col min="13083" max="13083" width="14.140625" style="3" bestFit="1" customWidth="1"/>
    <col min="13084" max="13084" width="16.7109375" style="3" customWidth="1"/>
    <col min="13085" max="13085" width="16.5703125" style="3" customWidth="1"/>
    <col min="13086" max="13087" width="7.85546875" style="3" bestFit="1" customWidth="1"/>
    <col min="13088" max="13088" width="8" style="3" bestFit="1" customWidth="1"/>
    <col min="13089" max="13090" width="7.85546875" style="3" bestFit="1" customWidth="1"/>
    <col min="13091" max="13091" width="9.7109375" style="3" customWidth="1"/>
    <col min="13092" max="13092" width="12.85546875" style="3" customWidth="1"/>
    <col min="13093" max="13329" width="9.140625" style="3"/>
    <col min="13330" max="13330" width="9" style="3" bestFit="1" customWidth="1"/>
    <col min="13331" max="13331" width="9.85546875" style="3" bestFit="1" customWidth="1"/>
    <col min="13332" max="13332" width="9.140625" style="3" bestFit="1" customWidth="1"/>
    <col min="13333" max="13333" width="16" style="3" bestFit="1" customWidth="1"/>
    <col min="13334" max="13334" width="9" style="3" bestFit="1" customWidth="1"/>
    <col min="13335" max="13335" width="7.85546875" style="3" bestFit="1" customWidth="1"/>
    <col min="13336" max="13336" width="11.7109375" style="3" bestFit="1" customWidth="1"/>
    <col min="13337" max="13337" width="14.28515625" style="3" customWidth="1"/>
    <col min="13338" max="13338" width="11.7109375" style="3" bestFit="1" customWidth="1"/>
    <col min="13339" max="13339" width="14.140625" style="3" bestFit="1" customWidth="1"/>
    <col min="13340" max="13340" width="16.7109375" style="3" customWidth="1"/>
    <col min="13341" max="13341" width="16.5703125" style="3" customWidth="1"/>
    <col min="13342" max="13343" width="7.85546875" style="3" bestFit="1" customWidth="1"/>
    <col min="13344" max="13344" width="8" style="3" bestFit="1" customWidth="1"/>
    <col min="13345" max="13346" width="7.85546875" style="3" bestFit="1" customWidth="1"/>
    <col min="13347" max="13347" width="9.7109375" style="3" customWidth="1"/>
    <col min="13348" max="13348" width="12.85546875" style="3" customWidth="1"/>
    <col min="13349" max="13585" width="9.140625" style="3"/>
    <col min="13586" max="13586" width="9" style="3" bestFit="1" customWidth="1"/>
    <col min="13587" max="13587" width="9.85546875" style="3" bestFit="1" customWidth="1"/>
    <col min="13588" max="13588" width="9.140625" style="3" bestFit="1" customWidth="1"/>
    <col min="13589" max="13589" width="16" style="3" bestFit="1" customWidth="1"/>
    <col min="13590" max="13590" width="9" style="3" bestFit="1" customWidth="1"/>
    <col min="13591" max="13591" width="7.85546875" style="3" bestFit="1" customWidth="1"/>
    <col min="13592" max="13592" width="11.7109375" style="3" bestFit="1" customWidth="1"/>
    <col min="13593" max="13593" width="14.28515625" style="3" customWidth="1"/>
    <col min="13594" max="13594" width="11.7109375" style="3" bestFit="1" customWidth="1"/>
    <col min="13595" max="13595" width="14.140625" style="3" bestFit="1" customWidth="1"/>
    <col min="13596" max="13596" width="16.7109375" style="3" customWidth="1"/>
    <col min="13597" max="13597" width="16.5703125" style="3" customWidth="1"/>
    <col min="13598" max="13599" width="7.85546875" style="3" bestFit="1" customWidth="1"/>
    <col min="13600" max="13600" width="8" style="3" bestFit="1" customWidth="1"/>
    <col min="13601" max="13602" width="7.85546875" style="3" bestFit="1" customWidth="1"/>
    <col min="13603" max="13603" width="9.7109375" style="3" customWidth="1"/>
    <col min="13604" max="13604" width="12.85546875" style="3" customWidth="1"/>
    <col min="13605" max="13841" width="9.140625" style="3"/>
    <col min="13842" max="13842" width="9" style="3" bestFit="1" customWidth="1"/>
    <col min="13843" max="13843" width="9.85546875" style="3" bestFit="1" customWidth="1"/>
    <col min="13844" max="13844" width="9.140625" style="3" bestFit="1" customWidth="1"/>
    <col min="13845" max="13845" width="16" style="3" bestFit="1" customWidth="1"/>
    <col min="13846" max="13846" width="9" style="3" bestFit="1" customWidth="1"/>
    <col min="13847" max="13847" width="7.85546875" style="3" bestFit="1" customWidth="1"/>
    <col min="13848" max="13848" width="11.7109375" style="3" bestFit="1" customWidth="1"/>
    <col min="13849" max="13849" width="14.28515625" style="3" customWidth="1"/>
    <col min="13850" max="13850" width="11.7109375" style="3" bestFit="1" customWidth="1"/>
    <col min="13851" max="13851" width="14.140625" style="3" bestFit="1" customWidth="1"/>
    <col min="13852" max="13852" width="16.7109375" style="3" customWidth="1"/>
    <col min="13853" max="13853" width="16.5703125" style="3" customWidth="1"/>
    <col min="13854" max="13855" width="7.85546875" style="3" bestFit="1" customWidth="1"/>
    <col min="13856" max="13856" width="8" style="3" bestFit="1" customWidth="1"/>
    <col min="13857" max="13858" width="7.85546875" style="3" bestFit="1" customWidth="1"/>
    <col min="13859" max="13859" width="9.7109375" style="3" customWidth="1"/>
    <col min="13860" max="13860" width="12.85546875" style="3" customWidth="1"/>
    <col min="13861" max="14097" width="9.140625" style="3"/>
    <col min="14098" max="14098" width="9" style="3" bestFit="1" customWidth="1"/>
    <col min="14099" max="14099" width="9.85546875" style="3" bestFit="1" customWidth="1"/>
    <col min="14100" max="14100" width="9.140625" style="3" bestFit="1" customWidth="1"/>
    <col min="14101" max="14101" width="16" style="3" bestFit="1" customWidth="1"/>
    <col min="14102" max="14102" width="9" style="3" bestFit="1" customWidth="1"/>
    <col min="14103" max="14103" width="7.85546875" style="3" bestFit="1" customWidth="1"/>
    <col min="14104" max="14104" width="11.7109375" style="3" bestFit="1" customWidth="1"/>
    <col min="14105" max="14105" width="14.28515625" style="3" customWidth="1"/>
    <col min="14106" max="14106" width="11.7109375" style="3" bestFit="1" customWidth="1"/>
    <col min="14107" max="14107" width="14.140625" style="3" bestFit="1" customWidth="1"/>
    <col min="14108" max="14108" width="16.7109375" style="3" customWidth="1"/>
    <col min="14109" max="14109" width="16.5703125" style="3" customWidth="1"/>
    <col min="14110" max="14111" width="7.85546875" style="3" bestFit="1" customWidth="1"/>
    <col min="14112" max="14112" width="8" style="3" bestFit="1" customWidth="1"/>
    <col min="14113" max="14114" width="7.85546875" style="3" bestFit="1" customWidth="1"/>
    <col min="14115" max="14115" width="9.7109375" style="3" customWidth="1"/>
    <col min="14116" max="14116" width="12.85546875" style="3" customWidth="1"/>
    <col min="14117" max="14353" width="9.140625" style="3"/>
    <col min="14354" max="14354" width="9" style="3" bestFit="1" customWidth="1"/>
    <col min="14355" max="14355" width="9.85546875" style="3" bestFit="1" customWidth="1"/>
    <col min="14356" max="14356" width="9.140625" style="3" bestFit="1" customWidth="1"/>
    <col min="14357" max="14357" width="16" style="3" bestFit="1" customWidth="1"/>
    <col min="14358" max="14358" width="9" style="3" bestFit="1" customWidth="1"/>
    <col min="14359" max="14359" width="7.85546875" style="3" bestFit="1" customWidth="1"/>
    <col min="14360" max="14360" width="11.7109375" style="3" bestFit="1" customWidth="1"/>
    <col min="14361" max="14361" width="14.28515625" style="3" customWidth="1"/>
    <col min="14362" max="14362" width="11.7109375" style="3" bestFit="1" customWidth="1"/>
    <col min="14363" max="14363" width="14.140625" style="3" bestFit="1" customWidth="1"/>
    <col min="14364" max="14364" width="16.7109375" style="3" customWidth="1"/>
    <col min="14365" max="14365" width="16.5703125" style="3" customWidth="1"/>
    <col min="14366" max="14367" width="7.85546875" style="3" bestFit="1" customWidth="1"/>
    <col min="14368" max="14368" width="8" style="3" bestFit="1" customWidth="1"/>
    <col min="14369" max="14370" width="7.85546875" style="3" bestFit="1" customWidth="1"/>
    <col min="14371" max="14371" width="9.7109375" style="3" customWidth="1"/>
    <col min="14372" max="14372" width="12.85546875" style="3" customWidth="1"/>
    <col min="14373" max="14609" width="9.140625" style="3"/>
    <col min="14610" max="14610" width="9" style="3" bestFit="1" customWidth="1"/>
    <col min="14611" max="14611" width="9.85546875" style="3" bestFit="1" customWidth="1"/>
    <col min="14612" max="14612" width="9.140625" style="3" bestFit="1" customWidth="1"/>
    <col min="14613" max="14613" width="16" style="3" bestFit="1" customWidth="1"/>
    <col min="14614" max="14614" width="9" style="3" bestFit="1" customWidth="1"/>
    <col min="14615" max="14615" width="7.85546875" style="3" bestFit="1" customWidth="1"/>
    <col min="14616" max="14616" width="11.7109375" style="3" bestFit="1" customWidth="1"/>
    <col min="14617" max="14617" width="14.28515625" style="3" customWidth="1"/>
    <col min="14618" max="14618" width="11.7109375" style="3" bestFit="1" customWidth="1"/>
    <col min="14619" max="14619" width="14.140625" style="3" bestFit="1" customWidth="1"/>
    <col min="14620" max="14620" width="16.7109375" style="3" customWidth="1"/>
    <col min="14621" max="14621" width="16.5703125" style="3" customWidth="1"/>
    <col min="14622" max="14623" width="7.85546875" style="3" bestFit="1" customWidth="1"/>
    <col min="14624" max="14624" width="8" style="3" bestFit="1" customWidth="1"/>
    <col min="14625" max="14626" width="7.85546875" style="3" bestFit="1" customWidth="1"/>
    <col min="14627" max="14627" width="9.7109375" style="3" customWidth="1"/>
    <col min="14628" max="14628" width="12.85546875" style="3" customWidth="1"/>
    <col min="14629" max="14865" width="9.140625" style="3"/>
    <col min="14866" max="14866" width="9" style="3" bestFit="1" customWidth="1"/>
    <col min="14867" max="14867" width="9.85546875" style="3" bestFit="1" customWidth="1"/>
    <col min="14868" max="14868" width="9.140625" style="3" bestFit="1" customWidth="1"/>
    <col min="14869" max="14869" width="16" style="3" bestFit="1" customWidth="1"/>
    <col min="14870" max="14870" width="9" style="3" bestFit="1" customWidth="1"/>
    <col min="14871" max="14871" width="7.85546875" style="3" bestFit="1" customWidth="1"/>
    <col min="14872" max="14872" width="11.7109375" style="3" bestFit="1" customWidth="1"/>
    <col min="14873" max="14873" width="14.28515625" style="3" customWidth="1"/>
    <col min="14874" max="14874" width="11.7109375" style="3" bestFit="1" customWidth="1"/>
    <col min="14875" max="14875" width="14.140625" style="3" bestFit="1" customWidth="1"/>
    <col min="14876" max="14876" width="16.7109375" style="3" customWidth="1"/>
    <col min="14877" max="14877" width="16.5703125" style="3" customWidth="1"/>
    <col min="14878" max="14879" width="7.85546875" style="3" bestFit="1" customWidth="1"/>
    <col min="14880" max="14880" width="8" style="3" bestFit="1" customWidth="1"/>
    <col min="14881" max="14882" width="7.85546875" style="3" bestFit="1" customWidth="1"/>
    <col min="14883" max="14883" width="9.7109375" style="3" customWidth="1"/>
    <col min="14884" max="14884" width="12.85546875" style="3" customWidth="1"/>
    <col min="14885" max="15121" width="9.140625" style="3"/>
    <col min="15122" max="15122" width="9" style="3" bestFit="1" customWidth="1"/>
    <col min="15123" max="15123" width="9.85546875" style="3" bestFit="1" customWidth="1"/>
    <col min="15124" max="15124" width="9.140625" style="3" bestFit="1" customWidth="1"/>
    <col min="15125" max="15125" width="16" style="3" bestFit="1" customWidth="1"/>
    <col min="15126" max="15126" width="9" style="3" bestFit="1" customWidth="1"/>
    <col min="15127" max="15127" width="7.85546875" style="3" bestFit="1" customWidth="1"/>
    <col min="15128" max="15128" width="11.7109375" style="3" bestFit="1" customWidth="1"/>
    <col min="15129" max="15129" width="14.28515625" style="3" customWidth="1"/>
    <col min="15130" max="15130" width="11.7109375" style="3" bestFit="1" customWidth="1"/>
    <col min="15131" max="15131" width="14.140625" style="3" bestFit="1" customWidth="1"/>
    <col min="15132" max="15132" width="16.7109375" style="3" customWidth="1"/>
    <col min="15133" max="15133" width="16.5703125" style="3" customWidth="1"/>
    <col min="15134" max="15135" width="7.85546875" style="3" bestFit="1" customWidth="1"/>
    <col min="15136" max="15136" width="8" style="3" bestFit="1" customWidth="1"/>
    <col min="15137" max="15138" width="7.85546875" style="3" bestFit="1" customWidth="1"/>
    <col min="15139" max="15139" width="9.7109375" style="3" customWidth="1"/>
    <col min="15140" max="15140" width="12.85546875" style="3" customWidth="1"/>
    <col min="15141" max="15377" width="9.140625" style="3"/>
    <col min="15378" max="15378" width="9" style="3" bestFit="1" customWidth="1"/>
    <col min="15379" max="15379" width="9.85546875" style="3" bestFit="1" customWidth="1"/>
    <col min="15380" max="15380" width="9.140625" style="3" bestFit="1" customWidth="1"/>
    <col min="15381" max="15381" width="16" style="3" bestFit="1" customWidth="1"/>
    <col min="15382" max="15382" width="9" style="3" bestFit="1" customWidth="1"/>
    <col min="15383" max="15383" width="7.85546875" style="3" bestFit="1" customWidth="1"/>
    <col min="15384" max="15384" width="11.7109375" style="3" bestFit="1" customWidth="1"/>
    <col min="15385" max="15385" width="14.28515625" style="3" customWidth="1"/>
    <col min="15386" max="15386" width="11.7109375" style="3" bestFit="1" customWidth="1"/>
    <col min="15387" max="15387" width="14.140625" style="3" bestFit="1" customWidth="1"/>
    <col min="15388" max="15388" width="16.7109375" style="3" customWidth="1"/>
    <col min="15389" max="15389" width="16.5703125" style="3" customWidth="1"/>
    <col min="15390" max="15391" width="7.85546875" style="3" bestFit="1" customWidth="1"/>
    <col min="15392" max="15392" width="8" style="3" bestFit="1" customWidth="1"/>
    <col min="15393" max="15394" width="7.85546875" style="3" bestFit="1" customWidth="1"/>
    <col min="15395" max="15395" width="9.7109375" style="3" customWidth="1"/>
    <col min="15396" max="15396" width="12.85546875" style="3" customWidth="1"/>
    <col min="15397" max="15633" width="9.140625" style="3"/>
    <col min="15634" max="15634" width="9" style="3" bestFit="1" customWidth="1"/>
    <col min="15635" max="15635" width="9.85546875" style="3" bestFit="1" customWidth="1"/>
    <col min="15636" max="15636" width="9.140625" style="3" bestFit="1" customWidth="1"/>
    <col min="15637" max="15637" width="16" style="3" bestFit="1" customWidth="1"/>
    <col min="15638" max="15638" width="9" style="3" bestFit="1" customWidth="1"/>
    <col min="15639" max="15639" width="7.85546875" style="3" bestFit="1" customWidth="1"/>
    <col min="15640" max="15640" width="11.7109375" style="3" bestFit="1" customWidth="1"/>
    <col min="15641" max="15641" width="14.28515625" style="3" customWidth="1"/>
    <col min="15642" max="15642" width="11.7109375" style="3" bestFit="1" customWidth="1"/>
    <col min="15643" max="15643" width="14.140625" style="3" bestFit="1" customWidth="1"/>
    <col min="15644" max="15644" width="16.7109375" style="3" customWidth="1"/>
    <col min="15645" max="15645" width="16.5703125" style="3" customWidth="1"/>
    <col min="15646" max="15647" width="7.85546875" style="3" bestFit="1" customWidth="1"/>
    <col min="15648" max="15648" width="8" style="3" bestFit="1" customWidth="1"/>
    <col min="15649" max="15650" width="7.85546875" style="3" bestFit="1" customWidth="1"/>
    <col min="15651" max="15651" width="9.7109375" style="3" customWidth="1"/>
    <col min="15652" max="15652" width="12.85546875" style="3" customWidth="1"/>
    <col min="15653" max="15889" width="9.140625" style="3"/>
    <col min="15890" max="15890" width="9" style="3" bestFit="1" customWidth="1"/>
    <col min="15891" max="15891" width="9.85546875" style="3" bestFit="1" customWidth="1"/>
    <col min="15892" max="15892" width="9.140625" style="3" bestFit="1" customWidth="1"/>
    <col min="15893" max="15893" width="16" style="3" bestFit="1" customWidth="1"/>
    <col min="15894" max="15894" width="9" style="3" bestFit="1" customWidth="1"/>
    <col min="15895" max="15895" width="7.85546875" style="3" bestFit="1" customWidth="1"/>
    <col min="15896" max="15896" width="11.7109375" style="3" bestFit="1" customWidth="1"/>
    <col min="15897" max="15897" width="14.28515625" style="3" customWidth="1"/>
    <col min="15898" max="15898" width="11.7109375" style="3" bestFit="1" customWidth="1"/>
    <col min="15899" max="15899" width="14.140625" style="3" bestFit="1" customWidth="1"/>
    <col min="15900" max="15900" width="16.7109375" style="3" customWidth="1"/>
    <col min="15901" max="15901" width="16.5703125" style="3" customWidth="1"/>
    <col min="15902" max="15903" width="7.85546875" style="3" bestFit="1" customWidth="1"/>
    <col min="15904" max="15904" width="8" style="3" bestFit="1" customWidth="1"/>
    <col min="15905" max="15906" width="7.85546875" style="3" bestFit="1" customWidth="1"/>
    <col min="15907" max="15907" width="9.7109375" style="3" customWidth="1"/>
    <col min="15908" max="15908" width="12.85546875" style="3" customWidth="1"/>
    <col min="15909" max="16145" width="9.140625" style="3"/>
    <col min="16146" max="16146" width="9" style="3" bestFit="1" customWidth="1"/>
    <col min="16147" max="16147" width="9.85546875" style="3" bestFit="1" customWidth="1"/>
    <col min="16148" max="16148" width="9.140625" style="3" bestFit="1" customWidth="1"/>
    <col min="16149" max="16149" width="16" style="3" bestFit="1" customWidth="1"/>
    <col min="16150" max="16150" width="9" style="3" bestFit="1" customWidth="1"/>
    <col min="16151" max="16151" width="7.85546875" style="3" bestFit="1" customWidth="1"/>
    <col min="16152" max="16152" width="11.7109375" style="3" bestFit="1" customWidth="1"/>
    <col min="16153" max="16153" width="14.28515625" style="3" customWidth="1"/>
    <col min="16154" max="16154" width="11.7109375" style="3" bestFit="1" customWidth="1"/>
    <col min="16155" max="16155" width="14.140625" style="3" bestFit="1" customWidth="1"/>
    <col min="16156" max="16156" width="16.7109375" style="3" customWidth="1"/>
    <col min="16157" max="16157" width="16.5703125" style="3" customWidth="1"/>
    <col min="16158" max="16159" width="7.85546875" style="3" bestFit="1" customWidth="1"/>
    <col min="16160" max="16160" width="8" style="3" bestFit="1" customWidth="1"/>
    <col min="16161" max="16162" width="7.85546875" style="3" bestFit="1" customWidth="1"/>
    <col min="16163" max="16163" width="9.7109375" style="3" customWidth="1"/>
    <col min="16164" max="16164" width="12.85546875" style="3" customWidth="1"/>
    <col min="16165" max="16384" width="9.140625" style="3"/>
  </cols>
  <sheetData>
    <row r="1" spans="1:76" s="6" customFormat="1" ht="15.75" customHeight="1">
      <c r="A1" s="755" t="s">
        <v>1</v>
      </c>
      <c r="B1" s="953" t="s">
        <v>572</v>
      </c>
      <c r="C1" s="945" t="s">
        <v>0</v>
      </c>
      <c r="D1" s="948" t="s">
        <v>91</v>
      </c>
      <c r="E1" s="949"/>
      <c r="F1" s="936" t="s">
        <v>92</v>
      </c>
      <c r="G1" s="936"/>
      <c r="H1" s="936"/>
      <c r="I1" s="937" t="s">
        <v>157</v>
      </c>
      <c r="J1" s="937"/>
      <c r="K1" s="936" t="s">
        <v>161</v>
      </c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936"/>
      <c r="AE1" s="936"/>
      <c r="AF1" s="947" t="s">
        <v>162</v>
      </c>
      <c r="AG1" s="947"/>
      <c r="AH1" s="947"/>
      <c r="AI1" s="947"/>
      <c r="AJ1" s="947"/>
      <c r="AK1" s="947"/>
      <c r="AL1" s="947"/>
      <c r="AM1" s="947"/>
      <c r="AN1" s="947"/>
      <c r="AO1" s="947"/>
      <c r="AP1" s="947"/>
      <c r="AQ1" s="947"/>
      <c r="AR1" s="947"/>
      <c r="AS1" s="947"/>
      <c r="AT1" s="938" t="s">
        <v>178</v>
      </c>
      <c r="AU1" s="939"/>
      <c r="AV1" s="939"/>
      <c r="AW1" s="939"/>
      <c r="AX1" s="939"/>
      <c r="AY1" s="940"/>
      <c r="AZ1" s="941" t="s">
        <v>182</v>
      </c>
      <c r="BA1" s="942"/>
      <c r="BB1" s="942"/>
      <c r="BC1" s="943"/>
      <c r="BD1" s="944" t="s">
        <v>170</v>
      </c>
      <c r="BE1" s="944"/>
      <c r="BF1" s="944"/>
      <c r="BG1" s="944"/>
      <c r="BH1" s="944"/>
      <c r="BI1" s="944"/>
      <c r="BJ1" s="944"/>
      <c r="BK1" s="944"/>
      <c r="BL1" s="944"/>
      <c r="BM1" s="944"/>
      <c r="BN1" s="944"/>
      <c r="BO1" s="944"/>
      <c r="BP1" s="950" t="s">
        <v>466</v>
      </c>
      <c r="BQ1" s="951"/>
      <c r="BR1" s="951"/>
      <c r="BS1" s="951"/>
      <c r="BT1" s="951"/>
      <c r="BU1" s="952"/>
      <c r="BV1" s="933" t="s">
        <v>275</v>
      </c>
      <c r="BW1" s="933"/>
      <c r="BX1" s="933"/>
    </row>
    <row r="2" spans="1:76" ht="23.25" thickBot="1">
      <c r="A2" s="756"/>
      <c r="B2" s="954"/>
      <c r="C2" s="946"/>
      <c r="D2" s="159"/>
      <c r="E2" s="178" t="s">
        <v>89</v>
      </c>
      <c r="F2" s="140"/>
      <c r="G2" s="179" t="s">
        <v>89</v>
      </c>
      <c r="H2" s="139" t="s">
        <v>156</v>
      </c>
      <c r="I2" s="140"/>
      <c r="J2" s="179" t="s">
        <v>89</v>
      </c>
      <c r="K2" s="140" t="s">
        <v>229</v>
      </c>
      <c r="L2" s="140" t="s">
        <v>230</v>
      </c>
      <c r="M2" s="140" t="s">
        <v>231</v>
      </c>
      <c r="N2" s="140" t="s">
        <v>232</v>
      </c>
      <c r="O2" s="140" t="s">
        <v>233</v>
      </c>
      <c r="P2" s="140" t="s">
        <v>457</v>
      </c>
      <c r="Q2" s="140" t="s">
        <v>234</v>
      </c>
      <c r="R2" s="140" t="s">
        <v>424</v>
      </c>
      <c r="S2" s="140" t="s">
        <v>425</v>
      </c>
      <c r="T2" s="140" t="s">
        <v>451</v>
      </c>
      <c r="U2" s="140" t="s">
        <v>460</v>
      </c>
      <c r="V2" s="140" t="s">
        <v>235</v>
      </c>
      <c r="W2" s="140" t="s">
        <v>236</v>
      </c>
      <c r="X2" s="140" t="s">
        <v>237</v>
      </c>
      <c r="Y2" s="140" t="s">
        <v>268</v>
      </c>
      <c r="Z2" s="140" t="s">
        <v>266</v>
      </c>
      <c r="AA2" s="140" t="s">
        <v>267</v>
      </c>
      <c r="AB2" s="140"/>
      <c r="AC2" s="140"/>
      <c r="AD2" s="140" t="s">
        <v>45</v>
      </c>
      <c r="AE2" s="138" t="s">
        <v>29</v>
      </c>
      <c r="AF2" s="140" t="s">
        <v>163</v>
      </c>
      <c r="AG2" s="140" t="s">
        <v>164</v>
      </c>
      <c r="AH2" s="140" t="s">
        <v>165</v>
      </c>
      <c r="AI2" s="140" t="s">
        <v>167</v>
      </c>
      <c r="AJ2" s="140" t="s">
        <v>168</v>
      </c>
      <c r="AK2" s="140" t="s">
        <v>169</v>
      </c>
      <c r="AL2" s="140" t="s">
        <v>254</v>
      </c>
      <c r="AM2" s="140" t="s">
        <v>255</v>
      </c>
      <c r="AN2" s="140" t="s">
        <v>256</v>
      </c>
      <c r="AO2" s="140" t="s">
        <v>453</v>
      </c>
      <c r="AP2" s="140" t="s">
        <v>454</v>
      </c>
      <c r="AQ2" s="140"/>
      <c r="AR2" s="140"/>
      <c r="AS2" s="143" t="s">
        <v>45</v>
      </c>
      <c r="AT2" s="140" t="s">
        <v>175</v>
      </c>
      <c r="AU2" s="722" t="s">
        <v>176</v>
      </c>
      <c r="AV2" s="722" t="s">
        <v>179</v>
      </c>
      <c r="AW2" s="722" t="s">
        <v>177</v>
      </c>
      <c r="AX2" s="722" t="s">
        <v>181</v>
      </c>
      <c r="AY2" s="138" t="s">
        <v>45</v>
      </c>
      <c r="AZ2" s="140" t="s">
        <v>186</v>
      </c>
      <c r="BA2" s="722" t="s">
        <v>187</v>
      </c>
      <c r="BB2" s="140" t="s">
        <v>188</v>
      </c>
      <c r="BC2" s="141" t="s">
        <v>45</v>
      </c>
      <c r="BD2" s="140" t="s">
        <v>197</v>
      </c>
      <c r="BE2" s="140" t="s">
        <v>198</v>
      </c>
      <c r="BF2" s="140" t="s">
        <v>201</v>
      </c>
      <c r="BG2" s="140" t="s">
        <v>206</v>
      </c>
      <c r="BH2" s="140" t="s">
        <v>207</v>
      </c>
      <c r="BI2" s="140" t="s">
        <v>208</v>
      </c>
      <c r="BJ2" s="140" t="s">
        <v>270</v>
      </c>
      <c r="BK2" s="140" t="s">
        <v>271</v>
      </c>
      <c r="BL2" s="140" t="s">
        <v>441</v>
      </c>
      <c r="BM2" s="140" t="s">
        <v>442</v>
      </c>
      <c r="BN2" s="140"/>
      <c r="BO2" s="138" t="s">
        <v>45</v>
      </c>
      <c r="BP2" s="140"/>
      <c r="BQ2" s="140"/>
      <c r="BR2" s="140"/>
      <c r="BS2" s="140"/>
      <c r="BT2" s="140"/>
      <c r="BU2" s="143" t="s">
        <v>467</v>
      </c>
      <c r="BV2" s="324" t="s">
        <v>125</v>
      </c>
      <c r="BW2" s="325" t="s">
        <v>473</v>
      </c>
      <c r="BX2" s="177" t="s">
        <v>274</v>
      </c>
    </row>
    <row r="3" spans="1:76" s="5" customFormat="1">
      <c r="A3" s="391" t="str">
        <f>'1-συμβολαια'!A3</f>
        <v>93τραπ &amp; σημ</v>
      </c>
      <c r="B3" s="447">
        <f>'1-συμβολαια'!B3</f>
        <v>27790</v>
      </c>
      <c r="C3" s="384" t="str">
        <f>'1-συμβολαια'!C3</f>
        <v>δάνειο</v>
      </c>
      <c r="D3" s="385">
        <f>'5-αντίγρ'!AO3</f>
        <v>0</v>
      </c>
      <c r="E3" s="385">
        <f>'5-αντίγρ'!V3+'5-αντίγρ'!Z3+'5-αντίγρ'!AB3+'5-αντίγρ'!AJ3</f>
        <v>0</v>
      </c>
      <c r="F3" s="386">
        <f>'6-μεταγρ'!P3</f>
        <v>0</v>
      </c>
      <c r="G3" s="386">
        <f>'6-μεταγρ'!N3+'6-μεταγρ'!O3</f>
        <v>0</v>
      </c>
      <c r="H3" s="387">
        <f>'6-μεταγρ'!Q3</f>
        <v>0</v>
      </c>
      <c r="I3" s="386">
        <f>'7-προςΔΟΥ'!X3</f>
        <v>0</v>
      </c>
      <c r="J3" s="386">
        <f>'7-προςΔΟΥ'!L3</f>
        <v>0</v>
      </c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>
        <f t="shared" ref="AD3:AD16" si="0">SUM(K3:AC3)</f>
        <v>0</v>
      </c>
      <c r="AE3" s="388"/>
      <c r="AF3" s="388"/>
      <c r="AG3" s="388"/>
      <c r="AH3" s="388"/>
      <c r="AI3" s="388"/>
      <c r="AJ3" s="388"/>
      <c r="AK3" s="388"/>
      <c r="AL3" s="388"/>
      <c r="AM3" s="388"/>
      <c r="AN3" s="388"/>
      <c r="AO3" s="388"/>
      <c r="AP3" s="388"/>
      <c r="AQ3" s="388"/>
      <c r="AR3" s="388"/>
      <c r="AS3" s="388">
        <f t="shared" ref="AS3:AS16" si="1">SUM(AF3:AK3)</f>
        <v>0</v>
      </c>
      <c r="AT3" s="388">
        <f>120+2*300</f>
        <v>720</v>
      </c>
      <c r="AU3" s="721"/>
      <c r="AV3" s="721"/>
      <c r="AW3" s="721"/>
      <c r="AX3" s="721"/>
      <c r="AY3" s="388">
        <f t="shared" ref="AY3:AY16" si="2">SUM(AT3:AX3)</f>
        <v>720</v>
      </c>
      <c r="AZ3" s="388"/>
      <c r="BA3" s="721"/>
      <c r="BB3" s="388">
        <f>120+2*300</f>
        <v>720</v>
      </c>
      <c r="BC3" s="388">
        <f t="shared" ref="BC3:BC16" si="3">SUM(AZ3:BB3)</f>
        <v>720</v>
      </c>
      <c r="BD3" s="388"/>
      <c r="BE3" s="388"/>
      <c r="BF3" s="388"/>
      <c r="BG3" s="388"/>
      <c r="BH3" s="388"/>
      <c r="BI3" s="388"/>
      <c r="BJ3" s="388"/>
      <c r="BK3" s="388"/>
      <c r="BL3" s="388"/>
      <c r="BM3" s="388"/>
      <c r="BN3" s="263"/>
      <c r="BO3" s="389">
        <f t="shared" ref="BO3:BO16" si="4">SUM(BD3:BN3)</f>
        <v>0</v>
      </c>
      <c r="BP3" s="390"/>
      <c r="BQ3" s="390"/>
      <c r="BR3" s="390"/>
      <c r="BS3" s="390"/>
      <c r="BT3" s="390"/>
      <c r="BU3" s="390">
        <f t="shared" ref="BU3:BU16" si="5">BP3+BQ3+BR3+BS3</f>
        <v>0</v>
      </c>
      <c r="BV3" s="387">
        <f t="shared" ref="BV3:BV16" si="6">D3+F3+H3+I3+AD3-X3-Z3+AS3+AY3+BC3+BO3-BK3+BU3-BT3</f>
        <v>1440</v>
      </c>
      <c r="BW3" s="387">
        <f t="shared" ref="BW3:BW16" si="7">E3+G3+J3+X3+BK3+BT3</f>
        <v>0</v>
      </c>
      <c r="BX3" s="372"/>
    </row>
    <row r="4" spans="1:76" s="5" customFormat="1">
      <c r="A4" s="391">
        <f>'1-συμβολαια'!A4</f>
        <v>0</v>
      </c>
      <c r="B4" s="447"/>
      <c r="C4" s="384" t="str">
        <f>'1-συμβολαια'!C4</f>
        <v>υποθήκη δανείου</v>
      </c>
      <c r="D4" s="385">
        <f>'5-αντίγρ'!AO4</f>
        <v>0</v>
      </c>
      <c r="E4" s="385">
        <f>'5-αντίγρ'!V4+'5-αντίγρ'!Z4+'5-αντίγρ'!AB4+'5-αντίγρ'!AJ4</f>
        <v>0</v>
      </c>
      <c r="F4" s="386">
        <f>'6-μεταγρ'!P4</f>
        <v>240</v>
      </c>
      <c r="G4" s="386">
        <f>'6-μεταγρ'!N4+'6-μεταγρ'!O4</f>
        <v>30</v>
      </c>
      <c r="H4" s="387">
        <f>'6-μεταγρ'!Q4</f>
        <v>0</v>
      </c>
      <c r="I4" s="386">
        <f>'7-προςΔΟΥ'!X4</f>
        <v>0</v>
      </c>
      <c r="J4" s="386">
        <f>'7-προςΔΟΥ'!L4</f>
        <v>0</v>
      </c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>
        <f t="shared" si="0"/>
        <v>0</v>
      </c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>
        <f t="shared" si="1"/>
        <v>0</v>
      </c>
      <c r="AT4" s="388"/>
      <c r="AU4" s="721"/>
      <c r="AV4" s="721"/>
      <c r="AW4" s="721"/>
      <c r="AX4" s="721"/>
      <c r="AY4" s="388">
        <f t="shared" si="2"/>
        <v>0</v>
      </c>
      <c r="AZ4" s="388"/>
      <c r="BA4" s="721"/>
      <c r="BB4" s="388"/>
      <c r="BC4" s="388">
        <f t="shared" si="3"/>
        <v>0</v>
      </c>
      <c r="BD4" s="388"/>
      <c r="BE4" s="388"/>
      <c r="BF4" s="388"/>
      <c r="BG4" s="388"/>
      <c r="BH4" s="388"/>
      <c r="BI4" s="388"/>
      <c r="BJ4" s="388"/>
      <c r="BK4" s="388"/>
      <c r="BL4" s="388">
        <v>10</v>
      </c>
      <c r="BM4" s="388"/>
      <c r="BN4" s="263"/>
      <c r="BO4" s="389">
        <f t="shared" si="4"/>
        <v>10</v>
      </c>
      <c r="BP4" s="390"/>
      <c r="BQ4" s="390"/>
      <c r="BR4" s="390"/>
      <c r="BS4" s="390"/>
      <c r="BT4" s="390"/>
      <c r="BU4" s="390">
        <f t="shared" si="5"/>
        <v>0</v>
      </c>
      <c r="BV4" s="387">
        <f t="shared" si="6"/>
        <v>250</v>
      </c>
      <c r="BW4" s="387">
        <f t="shared" si="7"/>
        <v>30</v>
      </c>
      <c r="BX4" s="372"/>
    </row>
    <row r="5" spans="1:76" s="5" customFormat="1">
      <c r="A5" s="391">
        <f>'1-συμβολαια'!A5</f>
        <v>0</v>
      </c>
      <c r="B5" s="447"/>
      <c r="C5" s="384" t="str">
        <f>'1-συμβολαια'!C5</f>
        <v>τόκοι δανείου {εμπρόθεσμα πληρωθέντες}</v>
      </c>
      <c r="D5" s="445">
        <f>'5-αντίγρ'!AO5</f>
        <v>0</v>
      </c>
      <c r="E5" s="445">
        <f>'5-αντίγρ'!V5+'5-αντίγρ'!Z5+'5-αντίγρ'!AB5+'5-αντίγρ'!AJ5</f>
        <v>0</v>
      </c>
      <c r="F5" s="446">
        <f>'6-μεταγρ'!P5</f>
        <v>0</v>
      </c>
      <c r="G5" s="446">
        <f>'6-μεταγρ'!N5+'6-μεταγρ'!O5</f>
        <v>0</v>
      </c>
      <c r="H5" s="388">
        <f>'6-μεταγρ'!Q5</f>
        <v>0</v>
      </c>
      <c r="I5" s="446">
        <f>'7-προςΔΟΥ'!X5</f>
        <v>0</v>
      </c>
      <c r="J5" s="446">
        <f>'7-προςΔΟΥ'!L5</f>
        <v>0</v>
      </c>
      <c r="K5" s="388"/>
      <c r="L5" s="388"/>
      <c r="M5" s="388"/>
      <c r="N5" s="388"/>
      <c r="O5" s="388"/>
      <c r="P5" s="388"/>
      <c r="Q5" s="388"/>
      <c r="R5" s="388"/>
      <c r="S5" s="388"/>
      <c r="T5" s="388"/>
      <c r="U5" s="388"/>
      <c r="V5" s="388"/>
      <c r="W5" s="388"/>
      <c r="X5" s="388"/>
      <c r="Y5" s="388"/>
      <c r="Z5" s="388"/>
      <c r="AA5" s="388"/>
      <c r="AB5" s="388"/>
      <c r="AC5" s="388"/>
      <c r="AD5" s="388">
        <f t="shared" si="0"/>
        <v>0</v>
      </c>
      <c r="AE5" s="388"/>
      <c r="AF5" s="388"/>
      <c r="AG5" s="388"/>
      <c r="AH5" s="388"/>
      <c r="AI5" s="388"/>
      <c r="AJ5" s="388"/>
      <c r="AK5" s="388"/>
      <c r="AL5" s="388"/>
      <c r="AM5" s="388"/>
      <c r="AN5" s="388"/>
      <c r="AO5" s="388"/>
      <c r="AP5" s="388"/>
      <c r="AQ5" s="388"/>
      <c r="AR5" s="388"/>
      <c r="AS5" s="388">
        <f t="shared" si="1"/>
        <v>0</v>
      </c>
      <c r="AT5" s="388"/>
      <c r="AU5" s="721"/>
      <c r="AV5" s="721"/>
      <c r="AW5" s="721"/>
      <c r="AX5" s="721"/>
      <c r="AY5" s="388">
        <f t="shared" si="2"/>
        <v>0</v>
      </c>
      <c r="AZ5" s="388"/>
      <c r="BA5" s="721"/>
      <c r="BB5" s="388"/>
      <c r="BC5" s="388">
        <f t="shared" si="3"/>
        <v>0</v>
      </c>
      <c r="BD5" s="388"/>
      <c r="BE5" s="388"/>
      <c r="BF5" s="388"/>
      <c r="BG5" s="388"/>
      <c r="BH5" s="388"/>
      <c r="BI5" s="388"/>
      <c r="BJ5" s="388"/>
      <c r="BK5" s="388"/>
      <c r="BL5" s="388"/>
      <c r="BM5" s="388"/>
      <c r="BN5" s="263"/>
      <c r="BO5" s="389">
        <f t="shared" si="4"/>
        <v>0</v>
      </c>
      <c r="BP5" s="389"/>
      <c r="BQ5" s="389"/>
      <c r="BR5" s="389"/>
      <c r="BS5" s="389"/>
      <c r="BT5" s="389"/>
      <c r="BU5" s="389">
        <f t="shared" si="5"/>
        <v>0</v>
      </c>
      <c r="BV5" s="388">
        <f t="shared" si="6"/>
        <v>0</v>
      </c>
      <c r="BW5" s="388">
        <f t="shared" si="7"/>
        <v>0</v>
      </c>
      <c r="BX5" s="372"/>
    </row>
    <row r="6" spans="1:76" s="5" customFormat="1">
      <c r="A6" s="391" t="str">
        <f>'1-συμβολαια'!A6</f>
        <v>375τραπ</v>
      </c>
      <c r="B6" s="447">
        <f>'1-συμβολαια'!B6</f>
        <v>30161</v>
      </c>
      <c r="C6" s="384" t="str">
        <f>'1-συμβολαια'!C6</f>
        <v>δάνειο</v>
      </c>
      <c r="D6" s="445">
        <f>'5-αντίγρ'!AO6</f>
        <v>0</v>
      </c>
      <c r="E6" s="445">
        <f>'5-αντίγρ'!V6+'5-αντίγρ'!Z6+'5-αντίγρ'!AB6+'5-αντίγρ'!AJ6</f>
        <v>0</v>
      </c>
      <c r="F6" s="446">
        <f>'6-μεταγρ'!P6</f>
        <v>0</v>
      </c>
      <c r="G6" s="446">
        <f>'6-μεταγρ'!N6+'6-μεταγρ'!O6</f>
        <v>0</v>
      </c>
      <c r="H6" s="388">
        <f>'6-μεταγρ'!Q6</f>
        <v>0</v>
      </c>
      <c r="I6" s="446">
        <f>'7-προςΔΟΥ'!X6</f>
        <v>0</v>
      </c>
      <c r="J6" s="446">
        <f>'7-προςΔΟΥ'!L6</f>
        <v>0</v>
      </c>
      <c r="K6" s="388"/>
      <c r="L6" s="388"/>
      <c r="M6" s="388"/>
      <c r="N6" s="388"/>
      <c r="O6" s="388"/>
      <c r="P6" s="388"/>
      <c r="Q6" s="388"/>
      <c r="R6" s="388"/>
      <c r="S6" s="388"/>
      <c r="T6" s="388"/>
      <c r="U6" s="388"/>
      <c r="V6" s="388"/>
      <c r="W6" s="388"/>
      <c r="X6" s="388"/>
      <c r="Y6" s="388"/>
      <c r="Z6" s="388"/>
      <c r="AA6" s="388"/>
      <c r="AB6" s="388"/>
      <c r="AC6" s="388"/>
      <c r="AD6" s="388">
        <f t="shared" si="0"/>
        <v>0</v>
      </c>
      <c r="AE6" s="388"/>
      <c r="AF6" s="388"/>
      <c r="AG6" s="388"/>
      <c r="AH6" s="388"/>
      <c r="AI6" s="388"/>
      <c r="AJ6" s="388"/>
      <c r="AK6" s="388"/>
      <c r="AL6" s="388"/>
      <c r="AM6" s="388"/>
      <c r="AN6" s="388"/>
      <c r="AO6" s="388"/>
      <c r="AP6" s="388"/>
      <c r="AQ6" s="388"/>
      <c r="AR6" s="388"/>
      <c r="AS6" s="388">
        <f t="shared" si="1"/>
        <v>0</v>
      </c>
      <c r="AT6" s="388"/>
      <c r="AU6" s="721"/>
      <c r="AV6" s="721"/>
      <c r="AW6" s="721"/>
      <c r="AX6" s="721"/>
      <c r="AY6" s="388">
        <f t="shared" si="2"/>
        <v>0</v>
      </c>
      <c r="AZ6" s="388"/>
      <c r="BA6" s="721"/>
      <c r="BB6" s="388"/>
      <c r="BC6" s="388">
        <f t="shared" si="3"/>
        <v>0</v>
      </c>
      <c r="BD6" s="388"/>
      <c r="BE6" s="388"/>
      <c r="BF6" s="388"/>
      <c r="BG6" s="388"/>
      <c r="BH6" s="388"/>
      <c r="BI6" s="388"/>
      <c r="BJ6" s="388"/>
      <c r="BK6" s="388"/>
      <c r="BL6" s="388"/>
      <c r="BM6" s="388"/>
      <c r="BN6" s="263"/>
      <c r="BO6" s="389">
        <f t="shared" si="4"/>
        <v>0</v>
      </c>
      <c r="BP6" s="389"/>
      <c r="BQ6" s="389"/>
      <c r="BR6" s="389"/>
      <c r="BS6" s="389"/>
      <c r="BT6" s="389"/>
      <c r="BU6" s="389">
        <f t="shared" si="5"/>
        <v>0</v>
      </c>
      <c r="BV6" s="388">
        <f t="shared" si="6"/>
        <v>0</v>
      </c>
      <c r="BW6" s="388">
        <f t="shared" si="7"/>
        <v>0</v>
      </c>
      <c r="BX6" s="372"/>
    </row>
    <row r="7" spans="1:76" s="5" customFormat="1">
      <c r="A7" s="391">
        <f>'1-συμβολαια'!A7</f>
        <v>0</v>
      </c>
      <c r="B7" s="447"/>
      <c r="C7" s="384" t="str">
        <f>'1-συμβολαια'!C7</f>
        <v>υποθήκη δανείου</v>
      </c>
      <c r="D7" s="445">
        <f>'5-αντίγρ'!AO7</f>
        <v>0</v>
      </c>
      <c r="E7" s="445">
        <f>'5-αντίγρ'!V7+'5-αντίγρ'!Z7+'5-αντίγρ'!AB7+'5-αντίγρ'!AJ7</f>
        <v>0</v>
      </c>
      <c r="F7" s="446">
        <f>'6-μεταγρ'!P7</f>
        <v>240</v>
      </c>
      <c r="G7" s="446">
        <f>'6-μεταγρ'!N7+'6-μεταγρ'!O7</f>
        <v>30</v>
      </c>
      <c r="H7" s="388">
        <f>'6-μεταγρ'!Q7</f>
        <v>0</v>
      </c>
      <c r="I7" s="446">
        <f>'7-προςΔΟΥ'!X7</f>
        <v>0</v>
      </c>
      <c r="J7" s="446">
        <f>'7-προςΔΟΥ'!L7</f>
        <v>0</v>
      </c>
      <c r="K7" s="388"/>
      <c r="L7" s="388"/>
      <c r="M7" s="388"/>
      <c r="N7" s="388"/>
      <c r="O7" s="388"/>
      <c r="P7" s="388"/>
      <c r="Q7" s="388"/>
      <c r="R7" s="388"/>
      <c r="S7" s="388"/>
      <c r="T7" s="388"/>
      <c r="U7" s="388"/>
      <c r="V7" s="388"/>
      <c r="W7" s="388"/>
      <c r="X7" s="388"/>
      <c r="Y7" s="388"/>
      <c r="Z7" s="388"/>
      <c r="AA7" s="388"/>
      <c r="AB7" s="388"/>
      <c r="AC7" s="388"/>
      <c r="AD7" s="388">
        <f t="shared" si="0"/>
        <v>0</v>
      </c>
      <c r="AE7" s="388"/>
      <c r="AF7" s="388"/>
      <c r="AG7" s="388"/>
      <c r="AH7" s="388"/>
      <c r="AI7" s="388"/>
      <c r="AJ7" s="388"/>
      <c r="AK7" s="388"/>
      <c r="AL7" s="388"/>
      <c r="AM7" s="388"/>
      <c r="AN7" s="388"/>
      <c r="AO7" s="388"/>
      <c r="AP7" s="388"/>
      <c r="AQ7" s="388"/>
      <c r="AR7" s="388"/>
      <c r="AS7" s="388">
        <f t="shared" si="1"/>
        <v>0</v>
      </c>
      <c r="AT7" s="388"/>
      <c r="AU7" s="721"/>
      <c r="AV7" s="721"/>
      <c r="AW7" s="721"/>
      <c r="AX7" s="721"/>
      <c r="AY7" s="388">
        <f t="shared" si="2"/>
        <v>0</v>
      </c>
      <c r="AZ7" s="388"/>
      <c r="BA7" s="721"/>
      <c r="BB7" s="388">
        <f>120+2*300</f>
        <v>720</v>
      </c>
      <c r="BC7" s="388">
        <f t="shared" si="3"/>
        <v>720</v>
      </c>
      <c r="BD7" s="388"/>
      <c r="BE7" s="388"/>
      <c r="BF7" s="388"/>
      <c r="BG7" s="388"/>
      <c r="BH7" s="388"/>
      <c r="BI7" s="388"/>
      <c r="BJ7" s="388"/>
      <c r="BK7" s="388"/>
      <c r="BL7" s="388">
        <v>10</v>
      </c>
      <c r="BM7" s="388"/>
      <c r="BN7" s="263"/>
      <c r="BO7" s="389">
        <f t="shared" si="4"/>
        <v>10</v>
      </c>
      <c r="BP7" s="389"/>
      <c r="BQ7" s="389"/>
      <c r="BR7" s="389"/>
      <c r="BS7" s="389"/>
      <c r="BT7" s="389"/>
      <c r="BU7" s="389">
        <f t="shared" si="5"/>
        <v>0</v>
      </c>
      <c r="BV7" s="388">
        <f t="shared" si="6"/>
        <v>970</v>
      </c>
      <c r="BW7" s="388">
        <f t="shared" si="7"/>
        <v>30</v>
      </c>
      <c r="BX7" s="372"/>
    </row>
    <row r="8" spans="1:76" s="5" customFormat="1">
      <c r="A8" s="391">
        <f>'1-συμβολαια'!A8</f>
        <v>0</v>
      </c>
      <c r="B8" s="447"/>
      <c r="C8" s="384" t="str">
        <f>'1-συμβολαια'!C8</f>
        <v>τόκοι δανείου</v>
      </c>
      <c r="D8" s="445">
        <f>'5-αντίγρ'!AO8</f>
        <v>0</v>
      </c>
      <c r="E8" s="445">
        <f>'5-αντίγρ'!V8+'5-αντίγρ'!Z8+'5-αντίγρ'!AB8+'5-αντίγρ'!AJ8</f>
        <v>0</v>
      </c>
      <c r="F8" s="446">
        <f>'6-μεταγρ'!P8</f>
        <v>0</v>
      </c>
      <c r="G8" s="446">
        <f>'6-μεταγρ'!N8+'6-μεταγρ'!O8</f>
        <v>0</v>
      </c>
      <c r="H8" s="388">
        <f>'6-μεταγρ'!Q8</f>
        <v>0</v>
      </c>
      <c r="I8" s="446">
        <f>'7-προςΔΟΥ'!X8</f>
        <v>0</v>
      </c>
      <c r="J8" s="446">
        <f>'7-προςΔΟΥ'!L8</f>
        <v>0</v>
      </c>
      <c r="K8" s="388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88"/>
      <c r="AC8" s="388"/>
      <c r="AD8" s="388">
        <f t="shared" si="0"/>
        <v>0</v>
      </c>
      <c r="AE8" s="388"/>
      <c r="AF8" s="388"/>
      <c r="AG8" s="388"/>
      <c r="AH8" s="388"/>
      <c r="AI8" s="388"/>
      <c r="AJ8" s="388"/>
      <c r="AK8" s="388"/>
      <c r="AL8" s="388"/>
      <c r="AM8" s="388"/>
      <c r="AN8" s="388"/>
      <c r="AO8" s="388"/>
      <c r="AP8" s="388"/>
      <c r="AQ8" s="388"/>
      <c r="AR8" s="388"/>
      <c r="AS8" s="388">
        <f t="shared" si="1"/>
        <v>0</v>
      </c>
      <c r="AT8" s="388"/>
      <c r="AU8" s="721"/>
      <c r="AV8" s="721"/>
      <c r="AW8" s="721"/>
      <c r="AX8" s="721"/>
      <c r="AY8" s="388">
        <f t="shared" si="2"/>
        <v>0</v>
      </c>
      <c r="AZ8" s="388"/>
      <c r="BA8" s="721"/>
      <c r="BB8" s="388"/>
      <c r="BC8" s="388">
        <f t="shared" si="3"/>
        <v>0</v>
      </c>
      <c r="BD8" s="388"/>
      <c r="BE8" s="388"/>
      <c r="BF8" s="388"/>
      <c r="BG8" s="388"/>
      <c r="BH8" s="388"/>
      <c r="BI8" s="388"/>
      <c r="BJ8" s="388"/>
      <c r="BK8" s="388"/>
      <c r="BL8" s="388"/>
      <c r="BM8" s="388"/>
      <c r="BN8" s="263"/>
      <c r="BO8" s="389">
        <f t="shared" si="4"/>
        <v>0</v>
      </c>
      <c r="BP8" s="389"/>
      <c r="BQ8" s="389"/>
      <c r="BR8" s="389"/>
      <c r="BS8" s="389"/>
      <c r="BT8" s="389"/>
      <c r="BU8" s="389">
        <f t="shared" si="5"/>
        <v>0</v>
      </c>
      <c r="BV8" s="388">
        <f t="shared" si="6"/>
        <v>0</v>
      </c>
      <c r="BW8" s="388">
        <f t="shared" si="7"/>
        <v>0</v>
      </c>
      <c r="BX8" s="372"/>
    </row>
    <row r="9" spans="1:76" s="5" customFormat="1" ht="12" thickBot="1">
      <c r="A9" s="392" t="str">
        <f>'1-συμβολαια'!A9</f>
        <v>1ο</v>
      </c>
      <c r="B9" s="403">
        <f>'1-συμβολαια'!B9</f>
        <v>30265</v>
      </c>
      <c r="C9" s="393" t="str">
        <f>'1-συμβολαια'!C9</f>
        <v>υποθήκη τυχόν αυξήσεως ΤΟΚΩΝ δανείου</v>
      </c>
      <c r="D9" s="394">
        <f>'5-αντίγρ'!AO9</f>
        <v>1300</v>
      </c>
      <c r="E9" s="394">
        <f>'5-αντίγρ'!V9+'5-αντίγρ'!Z9+'5-αντίγρ'!AB9+'5-αντίγρ'!AJ9</f>
        <v>55</v>
      </c>
      <c r="F9" s="395">
        <f>'6-μεταγρ'!P9</f>
        <v>240</v>
      </c>
      <c r="G9" s="395">
        <f>'6-μεταγρ'!N9+'6-μεταγρ'!O9</f>
        <v>30</v>
      </c>
      <c r="H9" s="396">
        <f>'6-μεταγρ'!Q9</f>
        <v>0</v>
      </c>
      <c r="I9" s="395">
        <f>'7-προςΔΟΥ'!X9</f>
        <v>0</v>
      </c>
      <c r="J9" s="395">
        <f>'7-προςΔΟΥ'!L9</f>
        <v>0</v>
      </c>
      <c r="K9" s="396"/>
      <c r="L9" s="396"/>
      <c r="M9" s="396"/>
      <c r="N9" s="396"/>
      <c r="O9" s="396"/>
      <c r="P9" s="396"/>
      <c r="Q9" s="396"/>
      <c r="R9" s="396"/>
      <c r="S9" s="396"/>
      <c r="T9" s="396"/>
      <c r="U9" s="396"/>
      <c r="V9" s="396"/>
      <c r="W9" s="396"/>
      <c r="X9" s="396"/>
      <c r="Y9" s="396"/>
      <c r="Z9" s="396"/>
      <c r="AA9" s="396"/>
      <c r="AB9" s="396"/>
      <c r="AC9" s="396"/>
      <c r="AD9" s="396">
        <f t="shared" si="0"/>
        <v>0</v>
      </c>
      <c r="AE9" s="396"/>
      <c r="AF9" s="396"/>
      <c r="AG9" s="396"/>
      <c r="AH9" s="396">
        <f>2*300</f>
        <v>600</v>
      </c>
      <c r="AI9" s="396"/>
      <c r="AJ9" s="396"/>
      <c r="AK9" s="396"/>
      <c r="AL9" s="396"/>
      <c r="AM9" s="396"/>
      <c r="AN9" s="396"/>
      <c r="AO9" s="396"/>
      <c r="AP9" s="396"/>
      <c r="AQ9" s="396"/>
      <c r="AR9" s="396"/>
      <c r="AS9" s="396">
        <f t="shared" si="1"/>
        <v>600</v>
      </c>
      <c r="AT9" s="396"/>
      <c r="AU9" s="724"/>
      <c r="AV9" s="724"/>
      <c r="AW9" s="724"/>
      <c r="AX9" s="724"/>
      <c r="AY9" s="396">
        <f t="shared" si="2"/>
        <v>0</v>
      </c>
      <c r="AZ9" s="396"/>
      <c r="BA9" s="724"/>
      <c r="BB9" s="396">
        <f>120+2*300</f>
        <v>720</v>
      </c>
      <c r="BC9" s="396">
        <f t="shared" si="3"/>
        <v>720</v>
      </c>
      <c r="BD9" s="396"/>
      <c r="BE9" s="396"/>
      <c r="BF9" s="396"/>
      <c r="BG9" s="396"/>
      <c r="BH9" s="396"/>
      <c r="BI9" s="396"/>
      <c r="BJ9" s="396"/>
      <c r="BK9" s="396"/>
      <c r="BL9" s="396">
        <v>10</v>
      </c>
      <c r="BM9" s="396">
        <v>40</v>
      </c>
      <c r="BN9" s="357"/>
      <c r="BO9" s="397">
        <f t="shared" si="4"/>
        <v>50</v>
      </c>
      <c r="BP9" s="397"/>
      <c r="BQ9" s="397"/>
      <c r="BR9" s="397"/>
      <c r="BS9" s="397"/>
      <c r="BT9" s="397"/>
      <c r="BU9" s="397">
        <f t="shared" si="5"/>
        <v>0</v>
      </c>
      <c r="BV9" s="396">
        <f t="shared" si="6"/>
        <v>2910</v>
      </c>
      <c r="BW9" s="396">
        <f t="shared" si="7"/>
        <v>85</v>
      </c>
      <c r="BX9" s="398"/>
    </row>
    <row r="10" spans="1:76" s="5" customFormat="1">
      <c r="A10" s="485" t="str">
        <f>'1-συμβολαια'!A10</f>
        <v>2ο</v>
      </c>
      <c r="B10" s="399">
        <f>'1-συμβολαια'!B10</f>
        <v>30160</v>
      </c>
      <c r="C10" s="475" t="str">
        <f>'1-συμβολαια'!C10</f>
        <v>αγοραπωλησία οικοπεδου τίμημα = 800.000 Δ.Ο.Υ. =</v>
      </c>
      <c r="D10" s="385">
        <f>'5-αντίγρ'!AO10</f>
        <v>2215</v>
      </c>
      <c r="E10" s="385">
        <f>'5-αντίγρ'!V10+'5-αντίγρ'!Z10+'5-αντίγρ'!AB10+'5-αντίγρ'!AJ10</f>
        <v>55</v>
      </c>
      <c r="F10" s="386">
        <f>'6-μεταγρ'!P10</f>
        <v>240</v>
      </c>
      <c r="G10" s="386">
        <f>'6-μεταγρ'!N10+'6-μεταγρ'!O10</f>
        <v>30</v>
      </c>
      <c r="H10" s="387">
        <f>'6-μεταγρ'!Q10</f>
        <v>0</v>
      </c>
      <c r="I10" s="386">
        <f>'7-προςΔΟΥ'!X10</f>
        <v>3230</v>
      </c>
      <c r="J10" s="386">
        <f>'7-προςΔΟΥ'!L10</f>
        <v>30</v>
      </c>
      <c r="K10" s="387"/>
      <c r="L10" s="387">
        <f>120+120+300</f>
        <v>540</v>
      </c>
      <c r="M10" s="387">
        <v>300</v>
      </c>
      <c r="N10" s="387"/>
      <c r="O10" s="387"/>
      <c r="P10" s="387"/>
      <c r="Q10" s="387">
        <f>120+120+300</f>
        <v>540</v>
      </c>
      <c r="R10" s="387"/>
      <c r="S10" s="387"/>
      <c r="T10" s="387">
        <v>300</v>
      </c>
      <c r="U10" s="387"/>
      <c r="V10" s="387"/>
      <c r="W10" s="387"/>
      <c r="X10" s="387"/>
      <c r="Y10" s="387"/>
      <c r="Z10" s="387"/>
      <c r="AA10" s="387"/>
      <c r="AB10" s="387"/>
      <c r="AC10" s="387"/>
      <c r="AD10" s="387">
        <f t="shared" si="0"/>
        <v>1680</v>
      </c>
      <c r="AE10" s="387"/>
      <c r="AF10" s="387">
        <f>2*300</f>
        <v>600</v>
      </c>
      <c r="AG10" s="387"/>
      <c r="AH10" s="387">
        <f>2*300</f>
        <v>600</v>
      </c>
      <c r="AI10" s="387"/>
      <c r="AJ10" s="387"/>
      <c r="AK10" s="387"/>
      <c r="AL10" s="387">
        <f>2*300</f>
        <v>600</v>
      </c>
      <c r="AM10" s="387"/>
      <c r="AN10" s="387"/>
      <c r="AO10" s="387"/>
      <c r="AP10" s="387"/>
      <c r="AQ10" s="387"/>
      <c r="AR10" s="387"/>
      <c r="AS10" s="387">
        <f t="shared" si="1"/>
        <v>1200</v>
      </c>
      <c r="AT10" s="387">
        <f>120+2*300</f>
        <v>720</v>
      </c>
      <c r="AU10" s="725"/>
      <c r="AV10" s="725"/>
      <c r="AW10" s="725"/>
      <c r="AX10" s="725"/>
      <c r="AY10" s="387">
        <f t="shared" si="2"/>
        <v>720</v>
      </c>
      <c r="AZ10" s="387"/>
      <c r="BA10" s="725"/>
      <c r="BB10" s="387">
        <f t="shared" ref="BB10" si="8">120+300</f>
        <v>420</v>
      </c>
      <c r="BC10" s="387">
        <f t="shared" si="3"/>
        <v>420</v>
      </c>
      <c r="BD10" s="387"/>
      <c r="BE10" s="387"/>
      <c r="BF10" s="387"/>
      <c r="BG10" s="387"/>
      <c r="BH10" s="387"/>
      <c r="BI10" s="387"/>
      <c r="BJ10" s="387"/>
      <c r="BK10" s="387">
        <v>30</v>
      </c>
      <c r="BL10" s="387">
        <v>10</v>
      </c>
      <c r="BM10" s="387">
        <v>40</v>
      </c>
      <c r="BN10" s="427"/>
      <c r="BO10" s="390">
        <f t="shared" si="4"/>
        <v>80</v>
      </c>
      <c r="BP10" s="390"/>
      <c r="BQ10" s="390"/>
      <c r="BR10" s="390"/>
      <c r="BS10" s="390"/>
      <c r="BT10" s="390"/>
      <c r="BU10" s="390">
        <f t="shared" si="5"/>
        <v>0</v>
      </c>
      <c r="BV10" s="387">
        <f t="shared" si="6"/>
        <v>9755</v>
      </c>
      <c r="BW10" s="387">
        <f t="shared" si="7"/>
        <v>145</v>
      </c>
      <c r="BX10" s="406"/>
    </row>
    <row r="11" spans="1:76" s="5" customFormat="1">
      <c r="A11" s="429">
        <f>'1-συμβολαια'!A11</f>
        <v>0</v>
      </c>
      <c r="B11" s="447"/>
      <c r="C11" s="384" t="str">
        <f>'1-συμβολαια'!C11</f>
        <v>αγορά εργοστασίου ;;;??? μ2</v>
      </c>
      <c r="D11" s="385">
        <f>'5-αντίγρ'!AO11</f>
        <v>0</v>
      </c>
      <c r="E11" s="385">
        <f>'5-αντίγρ'!V11+'5-αντίγρ'!Z11+'5-αντίγρ'!AB11+'5-αντίγρ'!AJ11</f>
        <v>0</v>
      </c>
      <c r="F11" s="386">
        <f>'6-μεταγρ'!P11</f>
        <v>0</v>
      </c>
      <c r="G11" s="386">
        <f>'6-μεταγρ'!N11+'6-μεταγρ'!O11</f>
        <v>0</v>
      </c>
      <c r="H11" s="387">
        <f>'6-μεταγρ'!Q11</f>
        <v>0</v>
      </c>
      <c r="I11" s="386">
        <f>'7-προςΔΟΥ'!X11</f>
        <v>2990</v>
      </c>
      <c r="J11" s="386">
        <f>'7-προςΔΟΥ'!L11</f>
        <v>30</v>
      </c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8"/>
      <c r="V11" s="388"/>
      <c r="W11" s="388"/>
      <c r="X11" s="388"/>
      <c r="Y11" s="388"/>
      <c r="Z11" s="388"/>
      <c r="AA11" s="388"/>
      <c r="AB11" s="388"/>
      <c r="AC11" s="388"/>
      <c r="AD11" s="388">
        <f t="shared" si="0"/>
        <v>0</v>
      </c>
      <c r="AE11" s="388"/>
      <c r="AF11" s="388"/>
      <c r="AG11" s="388"/>
      <c r="AH11" s="388"/>
      <c r="AI11" s="388"/>
      <c r="AJ11" s="388"/>
      <c r="AK11" s="388"/>
      <c r="AL11" s="388"/>
      <c r="AM11" s="388"/>
      <c r="AN11" s="388"/>
      <c r="AO11" s="388"/>
      <c r="AP11" s="388"/>
      <c r="AQ11" s="388"/>
      <c r="AR11" s="388"/>
      <c r="AS11" s="388">
        <f t="shared" si="1"/>
        <v>0</v>
      </c>
      <c r="AT11" s="388"/>
      <c r="AU11" s="721"/>
      <c r="AV11" s="721"/>
      <c r="AW11" s="721"/>
      <c r="AX11" s="721"/>
      <c r="AY11" s="388">
        <f t="shared" si="2"/>
        <v>0</v>
      </c>
      <c r="AZ11" s="388"/>
      <c r="BA11" s="721"/>
      <c r="BB11" s="388">
        <v>300</v>
      </c>
      <c r="BC11" s="388">
        <f t="shared" si="3"/>
        <v>300</v>
      </c>
      <c r="BD11" s="388"/>
      <c r="BE11" s="388"/>
      <c r="BF11" s="388"/>
      <c r="BG11" s="388"/>
      <c r="BH11" s="388"/>
      <c r="BI11" s="388"/>
      <c r="BJ11" s="388"/>
      <c r="BK11" s="388"/>
      <c r="BL11" s="388"/>
      <c r="BM11" s="388"/>
      <c r="BN11" s="263"/>
      <c r="BO11" s="389">
        <f t="shared" si="4"/>
        <v>0</v>
      </c>
      <c r="BP11" s="390"/>
      <c r="BQ11" s="390"/>
      <c r="BR11" s="390"/>
      <c r="BS11" s="390"/>
      <c r="BT11" s="390"/>
      <c r="BU11" s="390">
        <f t="shared" si="5"/>
        <v>0</v>
      </c>
      <c r="BV11" s="387">
        <f t="shared" si="6"/>
        <v>3290</v>
      </c>
      <c r="BW11" s="387">
        <f t="shared" si="7"/>
        <v>30</v>
      </c>
      <c r="BX11" s="372"/>
    </row>
    <row r="12" spans="1:76" s="5" customFormat="1" ht="12" thickBot="1">
      <c r="A12" s="487">
        <f>'1-συμβολαια'!A12</f>
        <v>0</v>
      </c>
      <c r="B12" s="403"/>
      <c r="C12" s="393" t="str">
        <f>'1-συμβολαια'!C12</f>
        <v>αγορά εργοστασίου ΕΞΟΠΛΙΣΜΟΣ</v>
      </c>
      <c r="D12" s="394">
        <f>'5-αντίγρ'!AO12</f>
        <v>0</v>
      </c>
      <c r="E12" s="394">
        <f>'5-αντίγρ'!V12+'5-αντίγρ'!Z12+'5-αντίγρ'!AB12+'5-αντίγρ'!AJ12</f>
        <v>0</v>
      </c>
      <c r="F12" s="395">
        <f>'6-μεταγρ'!P12</f>
        <v>0</v>
      </c>
      <c r="G12" s="395">
        <f>'6-μεταγρ'!N12+'6-μεταγρ'!O12</f>
        <v>0</v>
      </c>
      <c r="H12" s="396">
        <f>'6-μεταγρ'!Q12</f>
        <v>0</v>
      </c>
      <c r="I12" s="395">
        <f>'7-προςΔΟΥ'!X12</f>
        <v>460</v>
      </c>
      <c r="J12" s="395">
        <f>'7-προςΔΟΥ'!L12</f>
        <v>30</v>
      </c>
      <c r="K12" s="396"/>
      <c r="L12" s="396"/>
      <c r="M12" s="396"/>
      <c r="N12" s="396"/>
      <c r="O12" s="396"/>
      <c r="P12" s="396"/>
      <c r="Q12" s="396"/>
      <c r="R12" s="396"/>
      <c r="S12" s="396"/>
      <c r="T12" s="396"/>
      <c r="U12" s="396"/>
      <c r="V12" s="396"/>
      <c r="W12" s="396"/>
      <c r="X12" s="396"/>
      <c r="Y12" s="396"/>
      <c r="Z12" s="396"/>
      <c r="AA12" s="396"/>
      <c r="AB12" s="396"/>
      <c r="AC12" s="396"/>
      <c r="AD12" s="396">
        <f t="shared" si="0"/>
        <v>0</v>
      </c>
      <c r="AE12" s="396"/>
      <c r="AF12" s="396"/>
      <c r="AG12" s="396"/>
      <c r="AH12" s="396"/>
      <c r="AI12" s="396"/>
      <c r="AJ12" s="396"/>
      <c r="AK12" s="396"/>
      <c r="AL12" s="396"/>
      <c r="AM12" s="396"/>
      <c r="AN12" s="396"/>
      <c r="AO12" s="396"/>
      <c r="AP12" s="396"/>
      <c r="AQ12" s="396"/>
      <c r="AR12" s="396"/>
      <c r="AS12" s="396">
        <f t="shared" si="1"/>
        <v>0</v>
      </c>
      <c r="AT12" s="396"/>
      <c r="AU12" s="724"/>
      <c r="AV12" s="724"/>
      <c r="AW12" s="724"/>
      <c r="AX12" s="724"/>
      <c r="AY12" s="396">
        <f t="shared" si="2"/>
        <v>0</v>
      </c>
      <c r="AZ12" s="396"/>
      <c r="BA12" s="724"/>
      <c r="BB12" s="396">
        <v>300</v>
      </c>
      <c r="BC12" s="396">
        <f t="shared" si="3"/>
        <v>300</v>
      </c>
      <c r="BD12" s="396"/>
      <c r="BE12" s="396"/>
      <c r="BF12" s="396"/>
      <c r="BG12" s="396"/>
      <c r="BH12" s="396"/>
      <c r="BI12" s="396"/>
      <c r="BJ12" s="396"/>
      <c r="BK12" s="396"/>
      <c r="BL12" s="396"/>
      <c r="BM12" s="396"/>
      <c r="BN12" s="357"/>
      <c r="BO12" s="397">
        <f t="shared" si="4"/>
        <v>0</v>
      </c>
      <c r="BP12" s="397"/>
      <c r="BQ12" s="397"/>
      <c r="BR12" s="397"/>
      <c r="BS12" s="397"/>
      <c r="BT12" s="397"/>
      <c r="BU12" s="397">
        <f t="shared" si="5"/>
        <v>0</v>
      </c>
      <c r="BV12" s="396">
        <f t="shared" si="6"/>
        <v>760</v>
      </c>
      <c r="BW12" s="396">
        <f t="shared" si="7"/>
        <v>30</v>
      </c>
      <c r="BX12" s="398"/>
    </row>
    <row r="13" spans="1:76" s="5" customFormat="1" ht="12" thickBot="1">
      <c r="A13" s="505" t="str">
        <f>'1-συμβολαια'!A13</f>
        <v>3ο</v>
      </c>
      <c r="B13" s="509">
        <f>'1-συμβολαια'!B13</f>
        <v>30149</v>
      </c>
      <c r="C13" s="510" t="str">
        <f>'1-συμβολαια'!C13</f>
        <v>πληρεξούσιο</v>
      </c>
      <c r="D13" s="718">
        <f>'5-αντίγρ'!AO13</f>
        <v>0</v>
      </c>
      <c r="E13" s="718">
        <f>'5-αντίγρ'!V13+'5-αντίγρ'!Z13+'5-αντίγρ'!AB13+'5-αντίγρ'!AJ13</f>
        <v>0</v>
      </c>
      <c r="F13" s="719">
        <f>'6-μεταγρ'!P13</f>
        <v>0</v>
      </c>
      <c r="G13" s="719">
        <f>'6-μεταγρ'!N13+'6-μεταγρ'!O13</f>
        <v>0</v>
      </c>
      <c r="H13" s="720">
        <f>'6-μεταγρ'!Q13</f>
        <v>0</v>
      </c>
      <c r="I13" s="719">
        <f>'7-προςΔΟΥ'!X13</f>
        <v>0</v>
      </c>
      <c r="J13" s="728">
        <f>'7-προςΔΟΥ'!L13</f>
        <v>0</v>
      </c>
      <c r="K13" s="727"/>
      <c r="L13" s="727"/>
      <c r="M13" s="727"/>
      <c r="N13" s="727"/>
      <c r="O13" s="727"/>
      <c r="P13" s="727"/>
      <c r="Q13" s="727"/>
      <c r="R13" s="727"/>
      <c r="S13" s="727"/>
      <c r="T13" s="727"/>
      <c r="U13" s="727"/>
      <c r="V13" s="727"/>
      <c r="W13" s="727"/>
      <c r="X13" s="727"/>
      <c r="Y13" s="727"/>
      <c r="Z13" s="727"/>
      <c r="AA13" s="727"/>
      <c r="AB13" s="727"/>
      <c r="AC13" s="727"/>
      <c r="AD13" s="727">
        <f t="shared" si="0"/>
        <v>0</v>
      </c>
      <c r="AE13" s="727"/>
      <c r="AF13" s="727"/>
      <c r="AG13" s="727"/>
      <c r="AH13" s="727">
        <f>2*300</f>
        <v>600</v>
      </c>
      <c r="AI13" s="727"/>
      <c r="AJ13" s="727"/>
      <c r="AK13" s="727"/>
      <c r="AL13" s="727"/>
      <c r="AM13" s="727"/>
      <c r="AN13" s="727"/>
      <c r="AO13" s="727"/>
      <c r="AP13" s="727"/>
      <c r="AQ13" s="727"/>
      <c r="AR13" s="727"/>
      <c r="AS13" s="727">
        <f t="shared" si="1"/>
        <v>600</v>
      </c>
      <c r="AT13" s="727"/>
      <c r="AU13" s="729"/>
      <c r="AV13" s="729"/>
      <c r="AW13" s="729"/>
      <c r="AX13" s="729"/>
      <c r="AY13" s="727">
        <f t="shared" si="2"/>
        <v>0</v>
      </c>
      <c r="AZ13" s="727"/>
      <c r="BA13" s="729"/>
      <c r="BB13" s="727"/>
      <c r="BC13" s="727">
        <f t="shared" si="3"/>
        <v>0</v>
      </c>
      <c r="BD13" s="727"/>
      <c r="BE13" s="727"/>
      <c r="BF13" s="727"/>
      <c r="BG13" s="727"/>
      <c r="BH13" s="727"/>
      <c r="BI13" s="727"/>
      <c r="BJ13" s="727"/>
      <c r="BK13" s="727"/>
      <c r="BL13" s="727"/>
      <c r="BM13" s="727">
        <v>20</v>
      </c>
      <c r="BN13" s="730"/>
      <c r="BO13" s="726">
        <f t="shared" si="4"/>
        <v>20</v>
      </c>
      <c r="BP13" s="726"/>
      <c r="BQ13" s="726"/>
      <c r="BR13" s="726"/>
      <c r="BS13" s="726"/>
      <c r="BT13" s="726"/>
      <c r="BU13" s="726">
        <f t="shared" si="5"/>
        <v>0</v>
      </c>
      <c r="BV13" s="727">
        <f t="shared" si="6"/>
        <v>620</v>
      </c>
      <c r="BW13" s="727">
        <f t="shared" si="7"/>
        <v>0</v>
      </c>
      <c r="BX13" s="731"/>
    </row>
    <row r="14" spans="1:76" s="5" customFormat="1">
      <c r="A14" s="526" t="str">
        <f>'1-συμβολαια'!A14</f>
        <v>4ο</v>
      </c>
      <c r="B14" s="399">
        <f>'1-συμβολαια'!B14</f>
        <v>30412</v>
      </c>
      <c r="C14" s="475" t="str">
        <f>'1-συμβολαια'!C14</f>
        <v>υποθήκη [έναντι του δανείου 375-29/07/1982τραπ</v>
      </c>
      <c r="D14" s="385">
        <f>'5-αντίγρ'!AO14</f>
        <v>2550</v>
      </c>
      <c r="E14" s="385">
        <f>'5-αντίγρ'!V14+'5-αντίγρ'!Z14+'5-αντίγρ'!AB14+'5-αντίγρ'!AJ14</f>
        <v>55</v>
      </c>
      <c r="F14" s="386">
        <f>'6-μεταγρ'!P14</f>
        <v>240</v>
      </c>
      <c r="G14" s="386">
        <f>'6-μεταγρ'!N14+'6-μεταγρ'!O14</f>
        <v>30</v>
      </c>
      <c r="H14" s="387">
        <f>'6-μεταγρ'!Q14</f>
        <v>0</v>
      </c>
      <c r="I14" s="386">
        <f>'7-προςΔΟΥ'!X14</f>
        <v>0</v>
      </c>
      <c r="J14" s="386">
        <f>'7-προςΔΟΥ'!L14</f>
        <v>0</v>
      </c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7"/>
      <c r="AC14" s="387"/>
      <c r="AD14" s="387">
        <f t="shared" si="0"/>
        <v>0</v>
      </c>
      <c r="AE14" s="387"/>
      <c r="AF14" s="387"/>
      <c r="AG14" s="387"/>
      <c r="AH14" s="387">
        <f>2*300</f>
        <v>600</v>
      </c>
      <c r="AI14" s="387"/>
      <c r="AJ14" s="387"/>
      <c r="AK14" s="387"/>
      <c r="AL14" s="387"/>
      <c r="AM14" s="387"/>
      <c r="AN14" s="387"/>
      <c r="AO14" s="387"/>
      <c r="AP14" s="387"/>
      <c r="AQ14" s="387"/>
      <c r="AR14" s="387"/>
      <c r="AS14" s="387">
        <f t="shared" si="1"/>
        <v>600</v>
      </c>
      <c r="AT14" s="387"/>
      <c r="AU14" s="725"/>
      <c r="AV14" s="725"/>
      <c r="AW14" s="725"/>
      <c r="AX14" s="725"/>
      <c r="AY14" s="387">
        <f t="shared" si="2"/>
        <v>0</v>
      </c>
      <c r="AZ14" s="387"/>
      <c r="BA14" s="725"/>
      <c r="BB14" s="387">
        <f>120+2*300</f>
        <v>720</v>
      </c>
      <c r="BC14" s="387">
        <f t="shared" si="3"/>
        <v>720</v>
      </c>
      <c r="BD14" s="387"/>
      <c r="BE14" s="387"/>
      <c r="BF14" s="387"/>
      <c r="BG14" s="387"/>
      <c r="BH14" s="387"/>
      <c r="BI14" s="387"/>
      <c r="BJ14" s="387"/>
      <c r="BK14" s="387"/>
      <c r="BL14" s="387">
        <v>20</v>
      </c>
      <c r="BM14" s="387">
        <v>40</v>
      </c>
      <c r="BN14" s="427"/>
      <c r="BO14" s="390">
        <f t="shared" si="4"/>
        <v>60</v>
      </c>
      <c r="BP14" s="390"/>
      <c r="BQ14" s="390"/>
      <c r="BR14" s="390"/>
      <c r="BS14" s="390"/>
      <c r="BT14" s="390"/>
      <c r="BU14" s="390">
        <f t="shared" si="5"/>
        <v>0</v>
      </c>
      <c r="BV14" s="387">
        <f t="shared" si="6"/>
        <v>4170</v>
      </c>
      <c r="BW14" s="387">
        <f t="shared" si="7"/>
        <v>85</v>
      </c>
      <c r="BX14" s="406"/>
    </row>
    <row r="15" spans="1:76" s="5" customFormat="1">
      <c r="A15" s="391" t="str">
        <f>'1-συμβολαια'!A15</f>
        <v>389τραπ</v>
      </c>
      <c r="B15" s="447">
        <f>'1-συμβολαια'!B15</f>
        <v>30228</v>
      </c>
      <c r="C15" s="384" t="str">
        <f>'1-συμβολαια'!C15</f>
        <v>δάνειο</v>
      </c>
      <c r="D15" s="385">
        <f>'5-αντίγρ'!AO15</f>
        <v>300</v>
      </c>
      <c r="E15" s="385">
        <f>'5-αντίγρ'!V15+'5-αντίγρ'!Z15+'5-αντίγρ'!AB15+'5-αντίγρ'!AJ15</f>
        <v>0</v>
      </c>
      <c r="F15" s="386">
        <f>'6-μεταγρ'!P15</f>
        <v>0</v>
      </c>
      <c r="G15" s="386">
        <f>'6-μεταγρ'!N15+'6-μεταγρ'!O15</f>
        <v>0</v>
      </c>
      <c r="H15" s="387">
        <f>'6-μεταγρ'!Q15</f>
        <v>0</v>
      </c>
      <c r="I15" s="386">
        <f>'7-προςΔΟΥ'!X15</f>
        <v>0</v>
      </c>
      <c r="J15" s="386">
        <f>'7-προςΔΟΥ'!L15</f>
        <v>0</v>
      </c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8"/>
      <c r="AC15" s="388"/>
      <c r="AD15" s="388">
        <f t="shared" si="0"/>
        <v>0</v>
      </c>
      <c r="AE15" s="388"/>
      <c r="AF15" s="388"/>
      <c r="AG15" s="388"/>
      <c r="AH15" s="388"/>
      <c r="AI15" s="388"/>
      <c r="AJ15" s="388"/>
      <c r="AK15" s="388"/>
      <c r="AL15" s="388"/>
      <c r="AM15" s="388"/>
      <c r="AN15" s="388"/>
      <c r="AO15" s="388"/>
      <c r="AP15" s="388"/>
      <c r="AQ15" s="388"/>
      <c r="AR15" s="388"/>
      <c r="AS15" s="388">
        <f t="shared" si="1"/>
        <v>0</v>
      </c>
      <c r="AT15" s="388"/>
      <c r="AU15" s="721"/>
      <c r="AV15" s="721"/>
      <c r="AW15" s="721"/>
      <c r="AX15" s="721"/>
      <c r="AY15" s="388">
        <f t="shared" si="2"/>
        <v>0</v>
      </c>
      <c r="AZ15" s="388"/>
      <c r="BA15" s="721"/>
      <c r="BB15" s="388"/>
      <c r="BC15" s="388">
        <f t="shared" si="3"/>
        <v>0</v>
      </c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263"/>
      <c r="BO15" s="389">
        <f t="shared" si="4"/>
        <v>0</v>
      </c>
      <c r="BP15" s="390"/>
      <c r="BQ15" s="390"/>
      <c r="BR15" s="390"/>
      <c r="BS15" s="390"/>
      <c r="BT15" s="390"/>
      <c r="BU15" s="390">
        <f t="shared" si="5"/>
        <v>0</v>
      </c>
      <c r="BV15" s="387">
        <f t="shared" si="6"/>
        <v>300</v>
      </c>
      <c r="BW15" s="387">
        <f t="shared" si="7"/>
        <v>0</v>
      </c>
      <c r="BX15" s="372"/>
    </row>
    <row r="16" spans="1:76" s="5" customFormat="1">
      <c r="A16" s="391">
        <f>'1-συμβολαια'!A16</f>
        <v>0</v>
      </c>
      <c r="B16" s="447"/>
      <c r="C16" s="384" t="str">
        <f>'1-συμβολαια'!C16</f>
        <v>υποθήκη δανείου</v>
      </c>
      <c r="D16" s="385">
        <f>'5-αντίγρ'!AO16</f>
        <v>0</v>
      </c>
      <c r="E16" s="385">
        <f>'5-αντίγρ'!V16+'5-αντίγρ'!Z16+'5-αντίγρ'!AB16+'5-αντίγρ'!AJ16</f>
        <v>0</v>
      </c>
      <c r="F16" s="386">
        <f>'6-μεταγρ'!P16</f>
        <v>240</v>
      </c>
      <c r="G16" s="386">
        <f>'6-μεταγρ'!N16+'6-μεταγρ'!O16</f>
        <v>30</v>
      </c>
      <c r="H16" s="387">
        <f>'6-μεταγρ'!Q16</f>
        <v>0</v>
      </c>
      <c r="I16" s="386">
        <f>'7-προςΔΟΥ'!X16</f>
        <v>0</v>
      </c>
      <c r="J16" s="386">
        <f>'7-προςΔΟΥ'!L16</f>
        <v>0</v>
      </c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8"/>
      <c r="Z16" s="388"/>
      <c r="AA16" s="388"/>
      <c r="AB16" s="388"/>
      <c r="AC16" s="388"/>
      <c r="AD16" s="388">
        <f t="shared" si="0"/>
        <v>0</v>
      </c>
      <c r="AE16" s="388"/>
      <c r="AF16" s="388"/>
      <c r="AG16" s="388"/>
      <c r="AH16" s="388"/>
      <c r="AI16" s="388"/>
      <c r="AJ16" s="388"/>
      <c r="AK16" s="388"/>
      <c r="AL16" s="388"/>
      <c r="AM16" s="388"/>
      <c r="AN16" s="388"/>
      <c r="AO16" s="388"/>
      <c r="AP16" s="388"/>
      <c r="AQ16" s="388"/>
      <c r="AR16" s="388"/>
      <c r="AS16" s="388">
        <f t="shared" si="1"/>
        <v>0</v>
      </c>
      <c r="AT16" s="388"/>
      <c r="AU16" s="721"/>
      <c r="AV16" s="721"/>
      <c r="AW16" s="721"/>
      <c r="AX16" s="721"/>
      <c r="AY16" s="388">
        <f t="shared" si="2"/>
        <v>0</v>
      </c>
      <c r="AZ16" s="388"/>
      <c r="BA16" s="721"/>
      <c r="BB16" s="388">
        <f>2*300</f>
        <v>600</v>
      </c>
      <c r="BC16" s="388">
        <f t="shared" si="3"/>
        <v>600</v>
      </c>
      <c r="BD16" s="388"/>
      <c r="BE16" s="388"/>
      <c r="BF16" s="388"/>
      <c r="BG16" s="388"/>
      <c r="BH16" s="388"/>
      <c r="BI16" s="388"/>
      <c r="BJ16" s="388"/>
      <c r="BK16" s="388"/>
      <c r="BL16" s="388"/>
      <c r="BM16" s="388"/>
      <c r="BN16" s="263"/>
      <c r="BO16" s="389">
        <f t="shared" si="4"/>
        <v>0</v>
      </c>
      <c r="BP16" s="390"/>
      <c r="BQ16" s="390"/>
      <c r="BR16" s="390"/>
      <c r="BS16" s="390"/>
      <c r="BT16" s="390"/>
      <c r="BU16" s="390">
        <f t="shared" si="5"/>
        <v>0</v>
      </c>
      <c r="BV16" s="387">
        <f t="shared" si="6"/>
        <v>840</v>
      </c>
      <c r="BW16" s="387">
        <f t="shared" si="7"/>
        <v>30</v>
      </c>
      <c r="BX16" s="372"/>
    </row>
    <row r="17" spans="1:76" s="5" customFormat="1" ht="12" thickBot="1">
      <c r="A17" s="392">
        <f>'1-συμβολαια'!A17</f>
        <v>0</v>
      </c>
      <c r="B17" s="403"/>
      <c r="C17" s="393" t="str">
        <f>'1-συμβολαια'!C17</f>
        <v>τόκοι δανείου</v>
      </c>
      <c r="D17" s="394">
        <f>'5-αντίγρ'!AO17</f>
        <v>0</v>
      </c>
      <c r="E17" s="394">
        <f>'5-αντίγρ'!V17+'5-αντίγρ'!Z17+'5-αντίγρ'!AB17+'5-αντίγρ'!AJ17</f>
        <v>0</v>
      </c>
      <c r="F17" s="395">
        <f>'6-μεταγρ'!P17</f>
        <v>0</v>
      </c>
      <c r="G17" s="395">
        <f>'6-μεταγρ'!N17+'6-μεταγρ'!O17</f>
        <v>0</v>
      </c>
      <c r="H17" s="396">
        <f>'6-μεταγρ'!Q17</f>
        <v>0</v>
      </c>
      <c r="I17" s="395">
        <f>'7-προςΔΟΥ'!X17</f>
        <v>0</v>
      </c>
      <c r="J17" s="395">
        <f>'7-προςΔΟΥ'!L17</f>
        <v>0</v>
      </c>
      <c r="K17" s="396"/>
      <c r="L17" s="396"/>
      <c r="M17" s="396"/>
      <c r="N17" s="396"/>
      <c r="O17" s="396"/>
      <c r="P17" s="396"/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>
        <f t="shared" ref="AD17:AD22" si="9">SUM(K17:AC17)</f>
        <v>0</v>
      </c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  <c r="AP17" s="396"/>
      <c r="AQ17" s="396"/>
      <c r="AR17" s="396"/>
      <c r="AS17" s="396">
        <f t="shared" ref="AS17:AS22" si="10">SUM(AF17:AK17)</f>
        <v>0</v>
      </c>
      <c r="AT17" s="396"/>
      <c r="AU17" s="724"/>
      <c r="AV17" s="724"/>
      <c r="AW17" s="724"/>
      <c r="AX17" s="724"/>
      <c r="AY17" s="396">
        <f t="shared" ref="AY17:AY22" si="11">SUM(AT17:AX17)</f>
        <v>0</v>
      </c>
      <c r="AZ17" s="396"/>
      <c r="BA17" s="724"/>
      <c r="BB17" s="396"/>
      <c r="BC17" s="396">
        <f t="shared" ref="BC17:BC22" si="12">SUM(AZ17:BB17)</f>
        <v>0</v>
      </c>
      <c r="BD17" s="396"/>
      <c r="BE17" s="396"/>
      <c r="BF17" s="396"/>
      <c r="BG17" s="396"/>
      <c r="BH17" s="396"/>
      <c r="BI17" s="396"/>
      <c r="BJ17" s="396"/>
      <c r="BK17" s="396"/>
      <c r="BL17" s="396"/>
      <c r="BM17" s="396"/>
      <c r="BN17" s="357"/>
      <c r="BO17" s="397">
        <f t="shared" ref="BO17:BO22" si="13">SUM(BD17:BN17)</f>
        <v>0</v>
      </c>
      <c r="BP17" s="397"/>
      <c r="BQ17" s="397"/>
      <c r="BR17" s="397"/>
      <c r="BS17" s="397"/>
      <c r="BT17" s="397"/>
      <c r="BU17" s="397">
        <f t="shared" ref="BU17:BU22" si="14">BP17+BQ17+BR17+BS17</f>
        <v>0</v>
      </c>
      <c r="BV17" s="396">
        <f t="shared" ref="BV17:BV22" si="15">D17+F17+H17+I17+AD17-X17-Z17+AS17+AY17+BC17+BO17-BK17+BU17-BT17</f>
        <v>0</v>
      </c>
      <c r="BW17" s="396">
        <f t="shared" ref="BW17:BW22" si="16">E17+G17+J17+X17+BK17+BT17</f>
        <v>0</v>
      </c>
      <c r="BX17" s="398"/>
    </row>
    <row r="18" spans="1:76" s="5" customFormat="1">
      <c r="A18" s="485" t="str">
        <f>'1-συμβολαια'!A18</f>
        <v>5ο</v>
      </c>
      <c r="B18" s="399">
        <f>'1-συμβολαια'!B18</f>
        <v>32394</v>
      </c>
      <c r="C18" s="475" t="str">
        <f>'1-συμβολαια'!C18</f>
        <v>μίσθωσις νταμάρι  Παναγία -'';;;???'' 29στρ 3έτη [1000/έτος/στρ</v>
      </c>
      <c r="D18" s="385">
        <f>'5-αντίγρ'!AO18</f>
        <v>3900</v>
      </c>
      <c r="E18" s="385">
        <f>'5-αντίγρ'!V18+'5-αντίγρ'!Z18+'5-αντίγρ'!AB18+'5-αντίγρ'!AJ18</f>
        <v>66</v>
      </c>
      <c r="F18" s="386">
        <f>'6-μεταγρ'!P18</f>
        <v>0</v>
      </c>
      <c r="G18" s="386">
        <f>'6-μεταγρ'!N18+'6-μεταγρ'!O18</f>
        <v>0</v>
      </c>
      <c r="H18" s="387">
        <f>'6-μεταγρ'!Q18</f>
        <v>0</v>
      </c>
      <c r="I18" s="386">
        <f>'7-προςΔΟΥ'!X18</f>
        <v>0</v>
      </c>
      <c r="J18" s="386">
        <f>'7-προςΔΟΥ'!L18</f>
        <v>0</v>
      </c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7"/>
      <c r="AC18" s="387"/>
      <c r="AD18" s="387">
        <f t="shared" si="9"/>
        <v>0</v>
      </c>
      <c r="AE18" s="387"/>
      <c r="AF18" s="387"/>
      <c r="AG18" s="387"/>
      <c r="AH18" s="387">
        <f>2*1100</f>
        <v>2200</v>
      </c>
      <c r="AI18" s="387"/>
      <c r="AJ18" s="387"/>
      <c r="AK18" s="387"/>
      <c r="AL18" s="387"/>
      <c r="AM18" s="387"/>
      <c r="AN18" s="387"/>
      <c r="AO18" s="387"/>
      <c r="AP18" s="387"/>
      <c r="AQ18" s="387"/>
      <c r="AR18" s="387"/>
      <c r="AS18" s="387">
        <f t="shared" si="10"/>
        <v>2200</v>
      </c>
      <c r="AT18" s="387">
        <f>500+2*1100</f>
        <v>2700</v>
      </c>
      <c r="AU18" s="725"/>
      <c r="AV18" s="725"/>
      <c r="AW18" s="725"/>
      <c r="AX18" s="725"/>
      <c r="AY18" s="387">
        <f t="shared" si="11"/>
        <v>2700</v>
      </c>
      <c r="AZ18" s="387"/>
      <c r="BA18" s="725"/>
      <c r="BB18" s="387">
        <f>500+1100</f>
        <v>1600</v>
      </c>
      <c r="BC18" s="387">
        <f t="shared" si="12"/>
        <v>1600</v>
      </c>
      <c r="BD18" s="387"/>
      <c r="BE18" s="387"/>
      <c r="BF18" s="387"/>
      <c r="BG18" s="387"/>
      <c r="BH18" s="387"/>
      <c r="BI18" s="387"/>
      <c r="BJ18" s="387"/>
      <c r="BK18" s="387">
        <v>40</v>
      </c>
      <c r="BL18" s="387"/>
      <c r="BM18" s="387">
        <v>20</v>
      </c>
      <c r="BN18" s="427"/>
      <c r="BO18" s="390">
        <f t="shared" si="13"/>
        <v>60</v>
      </c>
      <c r="BP18" s="390"/>
      <c r="BQ18" s="390"/>
      <c r="BR18" s="390"/>
      <c r="BS18" s="390"/>
      <c r="BT18" s="390"/>
      <c r="BU18" s="390">
        <f t="shared" si="14"/>
        <v>0</v>
      </c>
      <c r="BV18" s="387">
        <f t="shared" si="15"/>
        <v>10420</v>
      </c>
      <c r="BW18" s="387">
        <f t="shared" si="16"/>
        <v>106</v>
      </c>
      <c r="BX18" s="406"/>
    </row>
    <row r="19" spans="1:76" s="5" customFormat="1">
      <c r="A19" s="429">
        <f>'1-συμβολαια'!A19</f>
        <v>0</v>
      </c>
      <c r="B19" s="447"/>
      <c r="C19" s="384" t="str">
        <f>'1-συμβολαια'!C19</f>
        <v>μίσθωση … ΚΤΙΡΙΑΚΑ &amp; τεχνικές εγκαταστάσεις &amp; ΚΛΠ</v>
      </c>
      <c r="D19" s="385">
        <f>'5-αντίγρ'!AO19</f>
        <v>0</v>
      </c>
      <c r="E19" s="385">
        <f>'5-αντίγρ'!V19+'5-αντίγρ'!Z19+'5-αντίγρ'!AB19+'5-αντίγρ'!AJ19</f>
        <v>0</v>
      </c>
      <c r="F19" s="386">
        <f>'6-μεταγρ'!P19</f>
        <v>0</v>
      </c>
      <c r="G19" s="386">
        <f>'6-μεταγρ'!N19+'6-μεταγρ'!O19</f>
        <v>0</v>
      </c>
      <c r="H19" s="387">
        <f>'6-μεταγρ'!Q19</f>
        <v>0</v>
      </c>
      <c r="I19" s="386">
        <f>'7-προςΔΟΥ'!X19</f>
        <v>0</v>
      </c>
      <c r="J19" s="386">
        <f>'7-προςΔΟΥ'!L19</f>
        <v>0</v>
      </c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/>
      <c r="V19" s="388"/>
      <c r="W19" s="388"/>
      <c r="X19" s="388"/>
      <c r="Y19" s="388"/>
      <c r="Z19" s="388"/>
      <c r="AA19" s="388"/>
      <c r="AB19" s="388"/>
      <c r="AC19" s="388"/>
      <c r="AD19" s="388">
        <f t="shared" si="9"/>
        <v>0</v>
      </c>
      <c r="AE19" s="388"/>
      <c r="AF19" s="388"/>
      <c r="AG19" s="388"/>
      <c r="AH19" s="388"/>
      <c r="AI19" s="388"/>
      <c r="AJ19" s="388"/>
      <c r="AK19" s="388"/>
      <c r="AL19" s="388"/>
      <c r="AM19" s="388"/>
      <c r="AN19" s="388"/>
      <c r="AO19" s="388"/>
      <c r="AP19" s="388"/>
      <c r="AQ19" s="388"/>
      <c r="AR19" s="388"/>
      <c r="AS19" s="388">
        <f t="shared" si="10"/>
        <v>0</v>
      </c>
      <c r="AT19" s="388"/>
      <c r="AU19" s="721"/>
      <c r="AV19" s="721"/>
      <c r="AW19" s="721"/>
      <c r="AX19" s="721"/>
      <c r="AY19" s="388">
        <f t="shared" si="11"/>
        <v>0</v>
      </c>
      <c r="AZ19" s="388"/>
      <c r="BA19" s="721"/>
      <c r="BB19" s="388">
        <v>1100</v>
      </c>
      <c r="BC19" s="388">
        <f t="shared" si="12"/>
        <v>1100</v>
      </c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263"/>
      <c r="BO19" s="389">
        <f t="shared" si="13"/>
        <v>0</v>
      </c>
      <c r="BP19" s="390"/>
      <c r="BQ19" s="390"/>
      <c r="BR19" s="390"/>
      <c r="BS19" s="390"/>
      <c r="BT19" s="390"/>
      <c r="BU19" s="390">
        <f t="shared" si="14"/>
        <v>0</v>
      </c>
      <c r="BV19" s="387">
        <f t="shared" si="15"/>
        <v>1100</v>
      </c>
      <c r="BW19" s="387">
        <f t="shared" si="16"/>
        <v>0</v>
      </c>
      <c r="BX19" s="372"/>
    </row>
    <row r="20" spans="1:76" s="5" customFormat="1">
      <c r="A20" s="429">
        <f>'1-συμβολαια'!A20</f>
        <v>0</v>
      </c>
      <c r="B20" s="447"/>
      <c r="C20" s="384" t="str">
        <f>'1-συμβολαια'!C20</f>
        <v>μίσθωση … ΕΡΕΥΝΗΤΙΚΕΣ εργασίες</v>
      </c>
      <c r="D20" s="385">
        <f>'5-αντίγρ'!AO20</f>
        <v>0</v>
      </c>
      <c r="E20" s="385">
        <f>'5-αντίγρ'!V20+'5-αντίγρ'!Z20+'5-αντίγρ'!AB20+'5-αντίγρ'!AJ20</f>
        <v>0</v>
      </c>
      <c r="F20" s="386">
        <f>'6-μεταγρ'!P20</f>
        <v>0</v>
      </c>
      <c r="G20" s="386">
        <f>'6-μεταγρ'!N20+'6-μεταγρ'!O20</f>
        <v>0</v>
      </c>
      <c r="H20" s="387">
        <f>'6-μεταγρ'!Q20</f>
        <v>0</v>
      </c>
      <c r="I20" s="386">
        <f>'7-προςΔΟΥ'!X20</f>
        <v>0</v>
      </c>
      <c r="J20" s="386">
        <f>'7-προςΔΟΥ'!L20</f>
        <v>0</v>
      </c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8"/>
      <c r="Y20" s="388"/>
      <c r="Z20" s="388"/>
      <c r="AA20" s="388"/>
      <c r="AB20" s="388"/>
      <c r="AC20" s="388"/>
      <c r="AD20" s="388">
        <f t="shared" si="9"/>
        <v>0</v>
      </c>
      <c r="AE20" s="388"/>
      <c r="AF20" s="388"/>
      <c r="AG20" s="388"/>
      <c r="AH20" s="388"/>
      <c r="AI20" s="388"/>
      <c r="AJ20" s="388"/>
      <c r="AK20" s="388"/>
      <c r="AL20" s="388"/>
      <c r="AM20" s="388"/>
      <c r="AN20" s="388"/>
      <c r="AO20" s="388"/>
      <c r="AP20" s="388"/>
      <c r="AQ20" s="388"/>
      <c r="AR20" s="388"/>
      <c r="AS20" s="388">
        <f t="shared" si="10"/>
        <v>0</v>
      </c>
      <c r="AT20" s="388"/>
      <c r="AU20" s="721"/>
      <c r="AV20" s="721"/>
      <c r="AW20" s="721"/>
      <c r="AX20" s="721"/>
      <c r="AY20" s="388">
        <f t="shared" si="11"/>
        <v>0</v>
      </c>
      <c r="AZ20" s="388"/>
      <c r="BA20" s="721"/>
      <c r="BB20" s="388">
        <v>1100</v>
      </c>
      <c r="BC20" s="388">
        <f t="shared" si="12"/>
        <v>1100</v>
      </c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263"/>
      <c r="BO20" s="389">
        <f t="shared" si="13"/>
        <v>0</v>
      </c>
      <c r="BP20" s="390"/>
      <c r="BQ20" s="390"/>
      <c r="BR20" s="390"/>
      <c r="BS20" s="390"/>
      <c r="BT20" s="390"/>
      <c r="BU20" s="390">
        <f t="shared" si="14"/>
        <v>0</v>
      </c>
      <c r="BV20" s="387">
        <f t="shared" si="15"/>
        <v>1100</v>
      </c>
      <c r="BW20" s="387">
        <f t="shared" si="16"/>
        <v>0</v>
      </c>
      <c r="BX20" s="372"/>
    </row>
    <row r="21" spans="1:76" s="5" customFormat="1" ht="12" thickBot="1">
      <c r="A21" s="487">
        <f>'1-συμβολαια'!A21</f>
        <v>0</v>
      </c>
      <c r="B21" s="403"/>
      <c r="C21" s="393" t="str">
        <f>'1-συμβολαια'!C21</f>
        <v>μίσθωση ….. κόστος έργων αποκατάστασης</v>
      </c>
      <c r="D21" s="394">
        <f>'5-αντίγρ'!AO21</f>
        <v>0</v>
      </c>
      <c r="E21" s="394">
        <f>'5-αντίγρ'!V21+'5-αντίγρ'!Z21+'5-αντίγρ'!AB21+'5-αντίγρ'!AJ21</f>
        <v>0</v>
      </c>
      <c r="F21" s="395">
        <f>'6-μεταγρ'!P21</f>
        <v>0</v>
      </c>
      <c r="G21" s="395">
        <f>'6-μεταγρ'!N21+'6-μεταγρ'!O21</f>
        <v>0</v>
      </c>
      <c r="H21" s="396">
        <f>'6-μεταγρ'!Q21</f>
        <v>0</v>
      </c>
      <c r="I21" s="395">
        <f>'7-προςΔΟΥ'!X21</f>
        <v>0</v>
      </c>
      <c r="J21" s="395">
        <f>'7-προςΔΟΥ'!L21</f>
        <v>0</v>
      </c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6"/>
      <c r="X21" s="396"/>
      <c r="Y21" s="396"/>
      <c r="Z21" s="396"/>
      <c r="AA21" s="396"/>
      <c r="AB21" s="396"/>
      <c r="AC21" s="396"/>
      <c r="AD21" s="396">
        <f t="shared" si="9"/>
        <v>0</v>
      </c>
      <c r="AE21" s="396"/>
      <c r="AF21" s="396"/>
      <c r="AG21" s="396"/>
      <c r="AH21" s="396"/>
      <c r="AI21" s="396"/>
      <c r="AJ21" s="396"/>
      <c r="AK21" s="396"/>
      <c r="AL21" s="396"/>
      <c r="AM21" s="396"/>
      <c r="AN21" s="396"/>
      <c r="AO21" s="396"/>
      <c r="AP21" s="396"/>
      <c r="AQ21" s="396"/>
      <c r="AR21" s="396"/>
      <c r="AS21" s="396">
        <f t="shared" si="10"/>
        <v>0</v>
      </c>
      <c r="AT21" s="396"/>
      <c r="AU21" s="724"/>
      <c r="AV21" s="724"/>
      <c r="AW21" s="724"/>
      <c r="AX21" s="724"/>
      <c r="AY21" s="396">
        <f t="shared" si="11"/>
        <v>0</v>
      </c>
      <c r="AZ21" s="396"/>
      <c r="BA21" s="724"/>
      <c r="BB21" s="396">
        <v>1100</v>
      </c>
      <c r="BC21" s="396">
        <f t="shared" si="12"/>
        <v>1100</v>
      </c>
      <c r="BD21" s="396"/>
      <c r="BE21" s="396"/>
      <c r="BF21" s="396"/>
      <c r="BG21" s="396"/>
      <c r="BH21" s="396"/>
      <c r="BI21" s="396"/>
      <c r="BJ21" s="396"/>
      <c r="BK21" s="396"/>
      <c r="BL21" s="396"/>
      <c r="BM21" s="396"/>
      <c r="BN21" s="357"/>
      <c r="BO21" s="397">
        <f t="shared" si="13"/>
        <v>0</v>
      </c>
      <c r="BP21" s="397"/>
      <c r="BQ21" s="397"/>
      <c r="BR21" s="397"/>
      <c r="BS21" s="397"/>
      <c r="BT21" s="397"/>
      <c r="BU21" s="397">
        <f t="shared" si="14"/>
        <v>0</v>
      </c>
      <c r="BV21" s="396">
        <f t="shared" si="15"/>
        <v>1100</v>
      </c>
      <c r="BW21" s="396">
        <f t="shared" si="16"/>
        <v>0</v>
      </c>
      <c r="BX21" s="398"/>
    </row>
    <row r="22" spans="1:76" s="5" customFormat="1">
      <c r="A22" s="526" t="str">
        <f>'1-συμβολαια'!A22</f>
        <v>6ο</v>
      </c>
      <c r="B22" s="399">
        <f>'1-συμβολαια'!B22</f>
        <v>33008</v>
      </c>
      <c r="C22" s="475" t="str">
        <f>'1-συμβολαια'!C22</f>
        <v>;;;???ΑΕ σύσταση από ΜΕΤΑΤΡΟΠΗ ατομικής [= 40.000.000δρχ</v>
      </c>
      <c r="D22" s="385">
        <f>'5-αντίγρ'!AO22</f>
        <v>18631</v>
      </c>
      <c r="E22" s="385">
        <f>'5-αντίγρ'!V22+'5-αντίγρ'!Z22+'5-αντίγρ'!AB22+'5-αντίγρ'!AJ22</f>
        <v>77</v>
      </c>
      <c r="F22" s="386">
        <f>'6-μεταγρ'!P22</f>
        <v>1000</v>
      </c>
      <c r="G22" s="386">
        <f>'6-μεταγρ'!N22+'6-μεταγρ'!O22</f>
        <v>60</v>
      </c>
      <c r="H22" s="387">
        <f>'6-μεταγρ'!Q22</f>
        <v>0</v>
      </c>
      <c r="I22" s="386">
        <f>'7-προςΔΟΥ'!X22</f>
        <v>11440</v>
      </c>
      <c r="J22" s="386">
        <f>'7-προςΔΟΥ'!L22</f>
        <v>60</v>
      </c>
      <c r="K22" s="387"/>
      <c r="L22" s="387">
        <f>500+500+1100</f>
        <v>2100</v>
      </c>
      <c r="M22" s="387">
        <v>1100</v>
      </c>
      <c r="N22" s="387"/>
      <c r="O22" s="387"/>
      <c r="P22" s="387"/>
      <c r="Q22" s="387">
        <f>500+500+1100</f>
        <v>2100</v>
      </c>
      <c r="R22" s="387"/>
      <c r="S22" s="387"/>
      <c r="T22" s="387">
        <v>1100</v>
      </c>
      <c r="U22" s="387"/>
      <c r="V22" s="387"/>
      <c r="W22" s="387"/>
      <c r="X22" s="387"/>
      <c r="Y22" s="387"/>
      <c r="Z22" s="387"/>
      <c r="AA22" s="387"/>
      <c r="AB22" s="387"/>
      <c r="AC22" s="387"/>
      <c r="AD22" s="387">
        <f t="shared" si="9"/>
        <v>6400</v>
      </c>
      <c r="AE22" s="387"/>
      <c r="AF22" s="387">
        <f>3*1100</f>
        <v>3300</v>
      </c>
      <c r="AG22" s="387"/>
      <c r="AH22" s="387">
        <f>3*1100</f>
        <v>3300</v>
      </c>
      <c r="AI22" s="387"/>
      <c r="AJ22" s="387"/>
      <c r="AK22" s="387"/>
      <c r="AL22" s="387"/>
      <c r="AM22" s="387"/>
      <c r="AN22" s="387"/>
      <c r="AO22" s="387"/>
      <c r="AP22" s="387"/>
      <c r="AQ22" s="387"/>
      <c r="AR22" s="387"/>
      <c r="AS22" s="387">
        <f t="shared" si="10"/>
        <v>6600</v>
      </c>
      <c r="AT22" s="387">
        <f>500+3*1100</f>
        <v>3800</v>
      </c>
      <c r="AU22" s="725"/>
      <c r="AV22" s="725"/>
      <c r="AW22" s="725"/>
      <c r="AX22" s="725"/>
      <c r="AY22" s="387">
        <f t="shared" si="11"/>
        <v>3800</v>
      </c>
      <c r="AZ22" s="387"/>
      <c r="BA22" s="725"/>
      <c r="BB22" s="387">
        <f>500+1100</f>
        <v>1600</v>
      </c>
      <c r="BC22" s="387">
        <f t="shared" si="12"/>
        <v>1600</v>
      </c>
      <c r="BD22" s="387"/>
      <c r="BE22" s="387"/>
      <c r="BF22" s="387"/>
      <c r="BG22" s="387"/>
      <c r="BH22" s="387"/>
      <c r="BI22" s="387"/>
      <c r="BJ22" s="387"/>
      <c r="BK22" s="387">
        <v>50</v>
      </c>
      <c r="BL22" s="387">
        <v>30</v>
      </c>
      <c r="BM22" s="387">
        <v>60</v>
      </c>
      <c r="BN22" s="427"/>
      <c r="BO22" s="390">
        <f t="shared" si="13"/>
        <v>140</v>
      </c>
      <c r="BP22" s="390"/>
      <c r="BQ22" s="390"/>
      <c r="BR22" s="390"/>
      <c r="BS22" s="390"/>
      <c r="BT22" s="390"/>
      <c r="BU22" s="390">
        <f t="shared" si="14"/>
        <v>0</v>
      </c>
      <c r="BV22" s="387">
        <f t="shared" si="15"/>
        <v>49561</v>
      </c>
      <c r="BW22" s="387">
        <f t="shared" si="16"/>
        <v>247</v>
      </c>
      <c r="BX22" s="406"/>
    </row>
    <row r="23" spans="1:76" s="5" customFormat="1" ht="12" thickBot="1">
      <c r="A23" s="392">
        <f>'1-συμβολαια'!A23</f>
        <v>0</v>
      </c>
      <c r="B23" s="403"/>
      <c r="C23" s="393" t="str">
        <f>'1-συμβολαια'!C23</f>
        <v>πληρεξουσιότητα</v>
      </c>
      <c r="D23" s="394">
        <f>'5-αντίγρ'!AO23</f>
        <v>0</v>
      </c>
      <c r="E23" s="394">
        <f>'5-αντίγρ'!V23+'5-αντίγρ'!Z23+'5-αντίγρ'!AB23+'5-αντίγρ'!AJ23</f>
        <v>0</v>
      </c>
      <c r="F23" s="395">
        <f>'6-μεταγρ'!P23</f>
        <v>0</v>
      </c>
      <c r="G23" s="395">
        <f>'6-μεταγρ'!N23+'6-μεταγρ'!O23</f>
        <v>0</v>
      </c>
      <c r="H23" s="396">
        <f>'6-μεταγρ'!Q23</f>
        <v>0</v>
      </c>
      <c r="I23" s="395">
        <f>'7-προςΔΟΥ'!X23</f>
        <v>0</v>
      </c>
      <c r="J23" s="395">
        <f>'7-προςΔΟΥ'!L23</f>
        <v>0</v>
      </c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6"/>
      <c r="X23" s="396"/>
      <c r="Y23" s="396"/>
      <c r="Z23" s="396"/>
      <c r="AA23" s="396"/>
      <c r="AB23" s="396"/>
      <c r="AC23" s="396"/>
      <c r="AD23" s="396">
        <f t="shared" ref="AD23:AD46" si="17">SUM(K23:AC23)</f>
        <v>0</v>
      </c>
      <c r="AE23" s="396"/>
      <c r="AF23" s="396"/>
      <c r="AG23" s="396"/>
      <c r="AH23" s="396"/>
      <c r="AI23" s="396"/>
      <c r="AJ23" s="396"/>
      <c r="AK23" s="396"/>
      <c r="AL23" s="396"/>
      <c r="AM23" s="396"/>
      <c r="AN23" s="396"/>
      <c r="AO23" s="396"/>
      <c r="AP23" s="396"/>
      <c r="AQ23" s="396"/>
      <c r="AR23" s="396"/>
      <c r="AS23" s="396">
        <f t="shared" ref="AS23:AS46" si="18">SUM(AF23:AK23)</f>
        <v>0</v>
      </c>
      <c r="AT23" s="396"/>
      <c r="AU23" s="724"/>
      <c r="AV23" s="724"/>
      <c r="AW23" s="724"/>
      <c r="AX23" s="724"/>
      <c r="AY23" s="396">
        <f t="shared" ref="AY23:AY46" si="19">SUM(AT23:AX23)</f>
        <v>0</v>
      </c>
      <c r="AZ23" s="396"/>
      <c r="BA23" s="724"/>
      <c r="BB23" s="396"/>
      <c r="BC23" s="396">
        <f t="shared" ref="BC23:BC46" si="20">SUM(AZ23:BB23)</f>
        <v>0</v>
      </c>
      <c r="BD23" s="396"/>
      <c r="BE23" s="396"/>
      <c r="BF23" s="396"/>
      <c r="BG23" s="396"/>
      <c r="BH23" s="396"/>
      <c r="BI23" s="396"/>
      <c r="BJ23" s="396"/>
      <c r="BK23" s="396"/>
      <c r="BL23" s="396"/>
      <c r="BM23" s="396"/>
      <c r="BN23" s="357"/>
      <c r="BO23" s="397">
        <f t="shared" ref="BO23:BO46" si="21">SUM(BD23:BN23)</f>
        <v>0</v>
      </c>
      <c r="BP23" s="397"/>
      <c r="BQ23" s="397"/>
      <c r="BR23" s="397"/>
      <c r="BS23" s="397"/>
      <c r="BT23" s="397"/>
      <c r="BU23" s="397">
        <f t="shared" ref="BU23:BU46" si="22">BP23+BQ23+BR23+BS23</f>
        <v>0</v>
      </c>
      <c r="BV23" s="396">
        <f t="shared" ref="BV23:BV46" si="23">D23+F23+H23+I23+AD23-X23-Z23+AS23+AY23+BC23+BO23-BK23+BU23-BT23</f>
        <v>0</v>
      </c>
      <c r="BW23" s="396">
        <f t="shared" ref="BW23:BW46" si="24">E23+G23+J23+X23+BK23+BT23</f>
        <v>0</v>
      </c>
      <c r="BX23" s="398"/>
    </row>
    <row r="24" spans="1:76" s="5" customFormat="1">
      <c r="A24" s="485" t="str">
        <f>'1-συμβολαια'!A24</f>
        <v>7ο</v>
      </c>
      <c r="B24" s="399">
        <f>'1-συμβολαια'!B24</f>
        <v>33401</v>
      </c>
      <c r="C24" s="475" t="str">
        <f>'1-συμβολαια'!C24</f>
        <v>;;;??? υποθήκης ΕΞΑΛΕΙΨΗ</v>
      </c>
      <c r="D24" s="385">
        <f>'5-αντίγρ'!AO24</f>
        <v>2600</v>
      </c>
      <c r="E24" s="385">
        <f>'5-αντίγρ'!V24+'5-αντίγρ'!Z24+'5-αντίγρ'!AB24+'5-αντίγρ'!AJ24</f>
        <v>77</v>
      </c>
      <c r="F24" s="386">
        <f>'6-μεταγρ'!P24</f>
        <v>1000</v>
      </c>
      <c r="G24" s="386">
        <f>'6-μεταγρ'!N24+'6-μεταγρ'!O24</f>
        <v>60</v>
      </c>
      <c r="H24" s="387">
        <f>'6-μεταγρ'!Q24</f>
        <v>0</v>
      </c>
      <c r="I24" s="386">
        <f>'7-προςΔΟΥ'!X24</f>
        <v>0</v>
      </c>
      <c r="J24" s="386">
        <f>'7-προςΔΟΥ'!L24</f>
        <v>0</v>
      </c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7"/>
      <c r="AC24" s="387"/>
      <c r="AD24" s="387">
        <f t="shared" si="17"/>
        <v>0</v>
      </c>
      <c r="AE24" s="387"/>
      <c r="AF24" s="387"/>
      <c r="AG24" s="387"/>
      <c r="AH24" s="387">
        <f>3*1100</f>
        <v>3300</v>
      </c>
      <c r="AI24" s="387"/>
      <c r="AJ24" s="387"/>
      <c r="AK24" s="387"/>
      <c r="AL24" s="387"/>
      <c r="AM24" s="387"/>
      <c r="AN24" s="387"/>
      <c r="AO24" s="387"/>
      <c r="AP24" s="387"/>
      <c r="AQ24" s="387"/>
      <c r="AR24" s="387"/>
      <c r="AS24" s="387">
        <f t="shared" si="18"/>
        <v>3300</v>
      </c>
      <c r="AT24" s="387"/>
      <c r="AU24" s="725"/>
      <c r="AV24" s="725"/>
      <c r="AW24" s="725"/>
      <c r="AX24" s="725"/>
      <c r="AY24" s="387">
        <f t="shared" si="19"/>
        <v>0</v>
      </c>
      <c r="AZ24" s="387"/>
      <c r="BA24" s="725"/>
      <c r="BB24" s="387">
        <f>500+1100</f>
        <v>1600</v>
      </c>
      <c r="BC24" s="387">
        <f t="shared" si="20"/>
        <v>1600</v>
      </c>
      <c r="BD24" s="387"/>
      <c r="BE24" s="387"/>
      <c r="BF24" s="387"/>
      <c r="BG24" s="387"/>
      <c r="BH24" s="387"/>
      <c r="BI24" s="387"/>
      <c r="BJ24" s="387"/>
      <c r="BK24" s="387"/>
      <c r="BL24" s="387">
        <v>30</v>
      </c>
      <c r="BM24" s="387">
        <v>60</v>
      </c>
      <c r="BN24" s="427"/>
      <c r="BO24" s="390">
        <f t="shared" si="21"/>
        <v>90</v>
      </c>
      <c r="BP24" s="390"/>
      <c r="BQ24" s="390"/>
      <c r="BR24" s="390"/>
      <c r="BS24" s="390"/>
      <c r="BT24" s="390"/>
      <c r="BU24" s="390">
        <f t="shared" si="22"/>
        <v>0</v>
      </c>
      <c r="BV24" s="387">
        <f t="shared" si="23"/>
        <v>8590</v>
      </c>
      <c r="BW24" s="387">
        <f t="shared" si="24"/>
        <v>137</v>
      </c>
      <c r="BX24" s="406"/>
    </row>
    <row r="25" spans="1:76" s="5" customFormat="1">
      <c r="A25" s="429">
        <f>'1-συμβολαια'!A25</f>
        <v>0</v>
      </c>
      <c r="B25" s="447"/>
      <c r="C25" s="384" t="str">
        <f>'1-συμβολαια'!C25</f>
        <v>υποθήκης 375τραπ29/7/82 ΕΞΑΛΕΙΨΗ</v>
      </c>
      <c r="D25" s="385">
        <f>'5-αντίγρ'!AO25</f>
        <v>0</v>
      </c>
      <c r="E25" s="385">
        <f>'5-αντίγρ'!V25+'5-αντίγρ'!Z25+'5-αντίγρ'!AB25+'5-αντίγρ'!AJ25</f>
        <v>0</v>
      </c>
      <c r="F25" s="386">
        <f>'6-μεταγρ'!P25</f>
        <v>1000</v>
      </c>
      <c r="G25" s="386">
        <f>'6-μεταγρ'!N25+'6-μεταγρ'!O25</f>
        <v>60</v>
      </c>
      <c r="H25" s="387">
        <f>'6-μεταγρ'!Q25</f>
        <v>0</v>
      </c>
      <c r="I25" s="386">
        <f>'7-προςΔΟΥ'!X25</f>
        <v>0</v>
      </c>
      <c r="J25" s="386">
        <f>'7-προςΔΟΥ'!L25</f>
        <v>0</v>
      </c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>
        <f t="shared" si="17"/>
        <v>0</v>
      </c>
      <c r="AE25" s="388"/>
      <c r="AF25" s="388"/>
      <c r="AG25" s="388"/>
      <c r="AH25" s="388"/>
      <c r="AI25" s="388"/>
      <c r="AJ25" s="388"/>
      <c r="AK25" s="388"/>
      <c r="AL25" s="388"/>
      <c r="AM25" s="388"/>
      <c r="AN25" s="388"/>
      <c r="AO25" s="388"/>
      <c r="AP25" s="388"/>
      <c r="AQ25" s="388"/>
      <c r="AR25" s="388"/>
      <c r="AS25" s="388">
        <f t="shared" si="18"/>
        <v>0</v>
      </c>
      <c r="AT25" s="388"/>
      <c r="AU25" s="721"/>
      <c r="AV25" s="721"/>
      <c r="AW25" s="721"/>
      <c r="AX25" s="721"/>
      <c r="AY25" s="388">
        <f t="shared" si="19"/>
        <v>0</v>
      </c>
      <c r="AZ25" s="388"/>
      <c r="BA25" s="721"/>
      <c r="BB25" s="388">
        <v>1100</v>
      </c>
      <c r="BC25" s="388">
        <f t="shared" si="20"/>
        <v>1100</v>
      </c>
      <c r="BD25" s="388"/>
      <c r="BE25" s="388"/>
      <c r="BF25" s="388"/>
      <c r="BG25" s="388"/>
      <c r="BH25" s="388"/>
      <c r="BI25" s="388"/>
      <c r="BJ25" s="388"/>
      <c r="BK25" s="388"/>
      <c r="BL25" s="388">
        <v>30</v>
      </c>
      <c r="BM25" s="388"/>
      <c r="BN25" s="263"/>
      <c r="BO25" s="389">
        <f t="shared" si="21"/>
        <v>30</v>
      </c>
      <c r="BP25" s="390"/>
      <c r="BQ25" s="390"/>
      <c r="BR25" s="390"/>
      <c r="BS25" s="390"/>
      <c r="BT25" s="390"/>
      <c r="BU25" s="390">
        <f t="shared" si="22"/>
        <v>0</v>
      </c>
      <c r="BV25" s="387">
        <f t="shared" si="23"/>
        <v>2130</v>
      </c>
      <c r="BW25" s="387">
        <f t="shared" si="24"/>
        <v>60</v>
      </c>
      <c r="BX25" s="372"/>
    </row>
    <row r="26" spans="1:76" s="5" customFormat="1">
      <c r="A26" s="429">
        <f>'1-συμβολαια'!A26</f>
        <v>0</v>
      </c>
      <c r="B26" s="447"/>
      <c r="C26" s="384" t="str">
        <f>'1-συμβολαια'!C26</f>
        <v>δάνειο 375τραπ 9/7/82 ΕΞΟΦΛΗΣΗ</v>
      </c>
      <c r="D26" s="385">
        <f>'5-αντίγρ'!AO26</f>
        <v>0</v>
      </c>
      <c r="E26" s="385">
        <f>'5-αντίγρ'!V26+'5-αντίγρ'!Z26+'5-αντίγρ'!AB26+'5-αντίγρ'!AJ26</f>
        <v>0</v>
      </c>
      <c r="F26" s="386">
        <f>'6-μεταγρ'!P26</f>
        <v>0</v>
      </c>
      <c r="G26" s="386">
        <f>'6-μεταγρ'!N26+'6-μεταγρ'!O26</f>
        <v>0</v>
      </c>
      <c r="H26" s="387">
        <f>'6-μεταγρ'!Q26</f>
        <v>0</v>
      </c>
      <c r="I26" s="386">
        <f>'7-προςΔΟΥ'!X26</f>
        <v>0</v>
      </c>
      <c r="J26" s="386">
        <f>'7-προςΔΟΥ'!L26</f>
        <v>0</v>
      </c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>
        <f t="shared" si="17"/>
        <v>0</v>
      </c>
      <c r="AE26" s="388"/>
      <c r="AF26" s="388"/>
      <c r="AG26" s="388"/>
      <c r="AH26" s="388"/>
      <c r="AI26" s="388"/>
      <c r="AJ26" s="388"/>
      <c r="AK26" s="388"/>
      <c r="AL26" s="388"/>
      <c r="AM26" s="388"/>
      <c r="AN26" s="388"/>
      <c r="AO26" s="388"/>
      <c r="AP26" s="388"/>
      <c r="AQ26" s="388"/>
      <c r="AR26" s="388"/>
      <c r="AS26" s="388">
        <f t="shared" si="18"/>
        <v>0</v>
      </c>
      <c r="AT26" s="388"/>
      <c r="AU26" s="721"/>
      <c r="AV26" s="721"/>
      <c r="AW26" s="721"/>
      <c r="AX26" s="721"/>
      <c r="AY26" s="388">
        <f t="shared" si="19"/>
        <v>0</v>
      </c>
      <c r="AZ26" s="388"/>
      <c r="BA26" s="721"/>
      <c r="BB26" s="388"/>
      <c r="BC26" s="388">
        <f t="shared" si="20"/>
        <v>0</v>
      </c>
      <c r="BD26" s="388"/>
      <c r="BE26" s="388"/>
      <c r="BF26" s="388"/>
      <c r="BG26" s="388"/>
      <c r="BH26" s="388"/>
      <c r="BI26" s="388"/>
      <c r="BJ26" s="388"/>
      <c r="BK26" s="388"/>
      <c r="BL26" s="388"/>
      <c r="BM26" s="388"/>
      <c r="BN26" s="263"/>
      <c r="BO26" s="389">
        <f t="shared" si="21"/>
        <v>0</v>
      </c>
      <c r="BP26" s="390"/>
      <c r="BQ26" s="390"/>
      <c r="BR26" s="390"/>
      <c r="BS26" s="390"/>
      <c r="BT26" s="390"/>
      <c r="BU26" s="390">
        <f t="shared" si="22"/>
        <v>0</v>
      </c>
      <c r="BV26" s="387">
        <f t="shared" si="23"/>
        <v>0</v>
      </c>
      <c r="BW26" s="387">
        <f t="shared" si="24"/>
        <v>0</v>
      </c>
      <c r="BX26" s="372"/>
    </row>
    <row r="27" spans="1:76" s="5" customFormat="1">
      <c r="A27" s="429">
        <f>'1-συμβολαια'!A27</f>
        <v>0</v>
      </c>
      <c r="B27" s="447"/>
      <c r="C27" s="384" t="str">
        <f>'1-συμβολαια'!C27</f>
        <v>τόκοι δανείου 375τραπ {= προπληρωθέντες VS υπερΠληρωθέντες</v>
      </c>
      <c r="D27" s="385">
        <f>'5-αντίγρ'!AO27</f>
        <v>0</v>
      </c>
      <c r="E27" s="385">
        <f>'5-αντίγρ'!V27+'5-αντίγρ'!Z27+'5-αντίγρ'!AB27+'5-αντίγρ'!AJ27</f>
        <v>0</v>
      </c>
      <c r="F27" s="386">
        <f>'6-μεταγρ'!P27</f>
        <v>0</v>
      </c>
      <c r="G27" s="386">
        <f>'6-μεταγρ'!N27+'6-μεταγρ'!O27</f>
        <v>0</v>
      </c>
      <c r="H27" s="387">
        <f>'6-μεταγρ'!Q27</f>
        <v>0</v>
      </c>
      <c r="I27" s="386">
        <f>'7-προςΔΟΥ'!X27</f>
        <v>0</v>
      </c>
      <c r="J27" s="386">
        <f>'7-προςΔΟΥ'!L27</f>
        <v>0</v>
      </c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>
        <f t="shared" si="17"/>
        <v>0</v>
      </c>
      <c r="AE27" s="388"/>
      <c r="AF27" s="388"/>
      <c r="AG27" s="388"/>
      <c r="AH27" s="388"/>
      <c r="AI27" s="388"/>
      <c r="AJ27" s="388"/>
      <c r="AK27" s="388"/>
      <c r="AL27" s="388"/>
      <c r="AM27" s="388"/>
      <c r="AN27" s="388"/>
      <c r="AO27" s="388"/>
      <c r="AP27" s="388"/>
      <c r="AQ27" s="388"/>
      <c r="AR27" s="388"/>
      <c r="AS27" s="388">
        <f t="shared" si="18"/>
        <v>0</v>
      </c>
      <c r="AT27" s="388"/>
      <c r="AU27" s="721"/>
      <c r="AV27" s="721"/>
      <c r="AW27" s="721"/>
      <c r="AX27" s="721"/>
      <c r="AY27" s="388">
        <f t="shared" si="19"/>
        <v>0</v>
      </c>
      <c r="AZ27" s="388"/>
      <c r="BA27" s="721"/>
      <c r="BB27" s="388"/>
      <c r="BC27" s="388">
        <f t="shared" si="20"/>
        <v>0</v>
      </c>
      <c r="BD27" s="388"/>
      <c r="BE27" s="388"/>
      <c r="BF27" s="388"/>
      <c r="BG27" s="388"/>
      <c r="BH27" s="388"/>
      <c r="BI27" s="388"/>
      <c r="BJ27" s="388"/>
      <c r="BK27" s="388"/>
      <c r="BL27" s="388"/>
      <c r="BM27" s="388"/>
      <c r="BN27" s="263"/>
      <c r="BO27" s="389">
        <f t="shared" si="21"/>
        <v>0</v>
      </c>
      <c r="BP27" s="390"/>
      <c r="BQ27" s="390"/>
      <c r="BR27" s="390"/>
      <c r="BS27" s="390"/>
      <c r="BT27" s="390"/>
      <c r="BU27" s="390">
        <f t="shared" si="22"/>
        <v>0</v>
      </c>
      <c r="BV27" s="387">
        <f t="shared" si="23"/>
        <v>0</v>
      </c>
      <c r="BW27" s="387">
        <f t="shared" si="24"/>
        <v>0</v>
      </c>
      <c r="BX27" s="372"/>
    </row>
    <row r="28" spans="1:76" s="5" customFormat="1">
      <c r="A28" s="429">
        <f>'1-συμβολαια'!A28</f>
        <v>0</v>
      </c>
      <c r="B28" s="447"/>
      <c r="C28" s="384" t="str">
        <f>'1-συμβολαια'!C28</f>
        <v>υποθήκης 389τραπ29/7/82 ΕΞΑΛΕΙΨΗ</v>
      </c>
      <c r="D28" s="385">
        <f>'5-αντίγρ'!AO28</f>
        <v>0</v>
      </c>
      <c r="E28" s="385">
        <f>'5-αντίγρ'!V28+'5-αντίγρ'!Z28+'5-αντίγρ'!AB28+'5-αντίγρ'!AJ28</f>
        <v>0</v>
      </c>
      <c r="F28" s="386">
        <f>'6-μεταγρ'!P28</f>
        <v>1000</v>
      </c>
      <c r="G28" s="386">
        <f>'6-μεταγρ'!N28+'6-μεταγρ'!O28</f>
        <v>60</v>
      </c>
      <c r="H28" s="387">
        <f>'6-μεταγρ'!Q28</f>
        <v>0</v>
      </c>
      <c r="I28" s="386">
        <f>'7-προςΔΟΥ'!X28</f>
        <v>0</v>
      </c>
      <c r="J28" s="386">
        <f>'7-προςΔΟΥ'!L28</f>
        <v>0</v>
      </c>
      <c r="K28" s="388"/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>
        <f t="shared" si="17"/>
        <v>0</v>
      </c>
      <c r="AE28" s="388"/>
      <c r="AF28" s="388"/>
      <c r="AG28" s="388"/>
      <c r="AH28" s="388"/>
      <c r="AI28" s="388"/>
      <c r="AJ28" s="388"/>
      <c r="AK28" s="388"/>
      <c r="AL28" s="388"/>
      <c r="AM28" s="388"/>
      <c r="AN28" s="388"/>
      <c r="AO28" s="388"/>
      <c r="AP28" s="388"/>
      <c r="AQ28" s="388"/>
      <c r="AR28" s="388"/>
      <c r="AS28" s="388">
        <f t="shared" si="18"/>
        <v>0</v>
      </c>
      <c r="AT28" s="388"/>
      <c r="AU28" s="721"/>
      <c r="AV28" s="721"/>
      <c r="AW28" s="721"/>
      <c r="AX28" s="721"/>
      <c r="AY28" s="388">
        <f t="shared" si="19"/>
        <v>0</v>
      </c>
      <c r="AZ28" s="388"/>
      <c r="BA28" s="721"/>
      <c r="BB28" s="388">
        <v>1100</v>
      </c>
      <c r="BC28" s="388">
        <f t="shared" si="20"/>
        <v>1100</v>
      </c>
      <c r="BD28" s="388"/>
      <c r="BE28" s="388"/>
      <c r="BF28" s="388"/>
      <c r="BG28" s="388"/>
      <c r="BH28" s="388"/>
      <c r="BI28" s="388"/>
      <c r="BJ28" s="388"/>
      <c r="BK28" s="388"/>
      <c r="BL28" s="388">
        <v>30</v>
      </c>
      <c r="BM28" s="388"/>
      <c r="BN28" s="263"/>
      <c r="BO28" s="389">
        <f t="shared" si="21"/>
        <v>30</v>
      </c>
      <c r="BP28" s="390"/>
      <c r="BQ28" s="390"/>
      <c r="BR28" s="390"/>
      <c r="BS28" s="390"/>
      <c r="BT28" s="390"/>
      <c r="BU28" s="390">
        <f t="shared" si="22"/>
        <v>0</v>
      </c>
      <c r="BV28" s="387">
        <f t="shared" si="23"/>
        <v>2130</v>
      </c>
      <c r="BW28" s="387">
        <f t="shared" si="24"/>
        <v>60</v>
      </c>
      <c r="BX28" s="372"/>
    </row>
    <row r="29" spans="1:76" s="5" customFormat="1">
      <c r="A29" s="429">
        <f>'1-συμβολαια'!A29</f>
        <v>0</v>
      </c>
      <c r="B29" s="447"/>
      <c r="C29" s="384" t="str">
        <f>'1-συμβολαια'!C29</f>
        <v>δάνειο 389τραπ29/7/82 ΕΞΟΦΛΗΣΗ</v>
      </c>
      <c r="D29" s="385">
        <f>'5-αντίγρ'!AO29</f>
        <v>0</v>
      </c>
      <c r="E29" s="385">
        <f>'5-αντίγρ'!V29+'5-αντίγρ'!Z29+'5-αντίγρ'!AB29+'5-αντίγρ'!AJ29</f>
        <v>0</v>
      </c>
      <c r="F29" s="386">
        <f>'6-μεταγρ'!P29</f>
        <v>0</v>
      </c>
      <c r="G29" s="386">
        <f>'6-μεταγρ'!N29+'6-μεταγρ'!O29</f>
        <v>0</v>
      </c>
      <c r="H29" s="387">
        <f>'6-μεταγρ'!Q29</f>
        <v>0</v>
      </c>
      <c r="I29" s="386">
        <f>'7-προςΔΟΥ'!X29</f>
        <v>0</v>
      </c>
      <c r="J29" s="386">
        <f>'7-προςΔΟΥ'!L29</f>
        <v>0</v>
      </c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388"/>
      <c r="AA29" s="388"/>
      <c r="AB29" s="388"/>
      <c r="AC29" s="388"/>
      <c r="AD29" s="388">
        <f t="shared" si="17"/>
        <v>0</v>
      </c>
      <c r="AE29" s="388"/>
      <c r="AF29" s="388"/>
      <c r="AG29" s="388"/>
      <c r="AH29" s="388"/>
      <c r="AI29" s="388"/>
      <c r="AJ29" s="388"/>
      <c r="AK29" s="388"/>
      <c r="AL29" s="388"/>
      <c r="AM29" s="388"/>
      <c r="AN29" s="388"/>
      <c r="AO29" s="388"/>
      <c r="AP29" s="388"/>
      <c r="AQ29" s="388"/>
      <c r="AR29" s="388"/>
      <c r="AS29" s="388">
        <f t="shared" si="18"/>
        <v>0</v>
      </c>
      <c r="AT29" s="388"/>
      <c r="AU29" s="721"/>
      <c r="AV29" s="721"/>
      <c r="AW29" s="721"/>
      <c r="AX29" s="721"/>
      <c r="AY29" s="388">
        <f t="shared" si="19"/>
        <v>0</v>
      </c>
      <c r="AZ29" s="388"/>
      <c r="BA29" s="721"/>
      <c r="BB29" s="388"/>
      <c r="BC29" s="388">
        <f t="shared" si="20"/>
        <v>0</v>
      </c>
      <c r="BD29" s="388"/>
      <c r="BE29" s="388"/>
      <c r="BF29" s="388"/>
      <c r="BG29" s="388"/>
      <c r="BH29" s="388"/>
      <c r="BI29" s="388"/>
      <c r="BJ29" s="388"/>
      <c r="BK29" s="388"/>
      <c r="BL29" s="388"/>
      <c r="BM29" s="388"/>
      <c r="BN29" s="263"/>
      <c r="BO29" s="389">
        <f t="shared" si="21"/>
        <v>0</v>
      </c>
      <c r="BP29" s="390"/>
      <c r="BQ29" s="390"/>
      <c r="BR29" s="390"/>
      <c r="BS29" s="390"/>
      <c r="BT29" s="390"/>
      <c r="BU29" s="390">
        <f t="shared" si="22"/>
        <v>0</v>
      </c>
      <c r="BV29" s="387">
        <f t="shared" si="23"/>
        <v>0</v>
      </c>
      <c r="BW29" s="387">
        <f t="shared" si="24"/>
        <v>0</v>
      </c>
      <c r="BX29" s="372"/>
    </row>
    <row r="30" spans="1:76" s="5" customFormat="1" ht="12" thickBot="1">
      <c r="A30" s="487">
        <f>'1-συμβολαια'!A30</f>
        <v>0</v>
      </c>
      <c r="B30" s="403"/>
      <c r="C30" s="393" t="str">
        <f>'1-συμβολαια'!C30</f>
        <v>τόκοι δανείου 389τραπ {= προπληρωθέντες VS υπερΠληρωθέντες</v>
      </c>
      <c r="D30" s="394">
        <f>'5-αντίγρ'!AO30</f>
        <v>0</v>
      </c>
      <c r="E30" s="394">
        <f>'5-αντίγρ'!V30+'5-αντίγρ'!Z30+'5-αντίγρ'!AB30+'5-αντίγρ'!AJ30</f>
        <v>0</v>
      </c>
      <c r="F30" s="395">
        <f>'6-μεταγρ'!P30</f>
        <v>0</v>
      </c>
      <c r="G30" s="395">
        <f>'6-μεταγρ'!N30+'6-μεταγρ'!O30</f>
        <v>0</v>
      </c>
      <c r="H30" s="396">
        <f>'6-μεταγρ'!Q30</f>
        <v>0</v>
      </c>
      <c r="I30" s="395">
        <f>'7-προςΔΟΥ'!X30</f>
        <v>0</v>
      </c>
      <c r="J30" s="395">
        <f>'7-προςΔΟΥ'!L30</f>
        <v>0</v>
      </c>
      <c r="K30" s="396"/>
      <c r="L30" s="396"/>
      <c r="M30" s="396"/>
      <c r="N30" s="396"/>
      <c r="O30" s="396"/>
      <c r="P30" s="396"/>
      <c r="Q30" s="396"/>
      <c r="R30" s="396"/>
      <c r="S30" s="396"/>
      <c r="T30" s="396"/>
      <c r="U30" s="396"/>
      <c r="V30" s="396"/>
      <c r="W30" s="396"/>
      <c r="X30" s="396"/>
      <c r="Y30" s="396"/>
      <c r="Z30" s="396"/>
      <c r="AA30" s="396"/>
      <c r="AB30" s="396"/>
      <c r="AC30" s="396"/>
      <c r="AD30" s="396">
        <f t="shared" si="17"/>
        <v>0</v>
      </c>
      <c r="AE30" s="396"/>
      <c r="AF30" s="396"/>
      <c r="AG30" s="396"/>
      <c r="AH30" s="396"/>
      <c r="AI30" s="396"/>
      <c r="AJ30" s="396"/>
      <c r="AK30" s="396"/>
      <c r="AL30" s="396"/>
      <c r="AM30" s="396"/>
      <c r="AN30" s="396"/>
      <c r="AO30" s="396"/>
      <c r="AP30" s="396"/>
      <c r="AQ30" s="396"/>
      <c r="AR30" s="396"/>
      <c r="AS30" s="396">
        <f t="shared" si="18"/>
        <v>0</v>
      </c>
      <c r="AT30" s="396"/>
      <c r="AU30" s="724"/>
      <c r="AV30" s="724"/>
      <c r="AW30" s="724"/>
      <c r="AX30" s="724"/>
      <c r="AY30" s="396">
        <f t="shared" si="19"/>
        <v>0</v>
      </c>
      <c r="AZ30" s="396"/>
      <c r="BA30" s="724"/>
      <c r="BB30" s="396"/>
      <c r="BC30" s="396">
        <f t="shared" si="20"/>
        <v>0</v>
      </c>
      <c r="BD30" s="396"/>
      <c r="BE30" s="396"/>
      <c r="BF30" s="396"/>
      <c r="BG30" s="396"/>
      <c r="BH30" s="396"/>
      <c r="BI30" s="396"/>
      <c r="BJ30" s="396"/>
      <c r="BK30" s="396"/>
      <c r="BL30" s="396"/>
      <c r="BM30" s="396"/>
      <c r="BN30" s="357"/>
      <c r="BO30" s="397">
        <f t="shared" si="21"/>
        <v>0</v>
      </c>
      <c r="BP30" s="397"/>
      <c r="BQ30" s="397"/>
      <c r="BR30" s="397"/>
      <c r="BS30" s="397"/>
      <c r="BT30" s="397"/>
      <c r="BU30" s="397">
        <f t="shared" si="22"/>
        <v>0</v>
      </c>
      <c r="BV30" s="396">
        <f t="shared" si="23"/>
        <v>0</v>
      </c>
      <c r="BW30" s="396">
        <f t="shared" si="24"/>
        <v>0</v>
      </c>
      <c r="BX30" s="398"/>
    </row>
    <row r="31" spans="1:76" s="5" customFormat="1">
      <c r="A31" s="526" t="str">
        <f>'1-συμβολαια'!A31</f>
        <v>8ο</v>
      </c>
      <c r="B31" s="399">
        <f>'1-συμβολαια'!B31</f>
        <v>33515</v>
      </c>
      <c r="C31" s="475" t="str">
        <f>'1-συμβολαια'!C31</f>
        <v>μίσθωσης νταμάρι …. ΠΑΡΑΤΑΣΗ 3έτη</v>
      </c>
      <c r="D31" s="385">
        <f>'5-αντίγρ'!AO31</f>
        <v>3950</v>
      </c>
      <c r="E31" s="385">
        <f>'5-αντίγρ'!V31+'5-αντίγρ'!Z31+'5-αντίγρ'!AB31+'5-αντίγρ'!AJ31</f>
        <v>0</v>
      </c>
      <c r="F31" s="386">
        <f>'6-μεταγρ'!P31</f>
        <v>0</v>
      </c>
      <c r="G31" s="386">
        <f>'6-μεταγρ'!N31+'6-μεταγρ'!O31</f>
        <v>0</v>
      </c>
      <c r="H31" s="387">
        <f>'6-μεταγρ'!Q31</f>
        <v>0</v>
      </c>
      <c r="I31" s="386">
        <f>'7-προςΔΟΥ'!X31</f>
        <v>0</v>
      </c>
      <c r="J31" s="386">
        <f>'7-προςΔΟΥ'!L31</f>
        <v>0</v>
      </c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  <c r="AA31" s="387"/>
      <c r="AB31" s="387"/>
      <c r="AC31" s="387"/>
      <c r="AD31" s="387">
        <f t="shared" si="17"/>
        <v>0</v>
      </c>
      <c r="AE31" s="387"/>
      <c r="AF31" s="387"/>
      <c r="AG31" s="387"/>
      <c r="AH31" s="387">
        <v>1100</v>
      </c>
      <c r="AI31" s="387"/>
      <c r="AJ31" s="387"/>
      <c r="AK31" s="387"/>
      <c r="AL31" s="387"/>
      <c r="AM31" s="387"/>
      <c r="AN31" s="387"/>
      <c r="AO31" s="387"/>
      <c r="AP31" s="387"/>
      <c r="AQ31" s="387"/>
      <c r="AR31" s="387"/>
      <c r="AS31" s="387">
        <f t="shared" si="18"/>
        <v>1100</v>
      </c>
      <c r="AT31" s="387">
        <f>500+1100</f>
        <v>1600</v>
      </c>
      <c r="AU31" s="725"/>
      <c r="AV31" s="725"/>
      <c r="AW31" s="725"/>
      <c r="AX31" s="725"/>
      <c r="AY31" s="387">
        <f t="shared" si="19"/>
        <v>1600</v>
      </c>
      <c r="AZ31" s="387"/>
      <c r="BA31" s="725"/>
      <c r="BB31" s="387">
        <f>500+1100</f>
        <v>1600</v>
      </c>
      <c r="BC31" s="387">
        <f t="shared" si="20"/>
        <v>1600</v>
      </c>
      <c r="BD31" s="387"/>
      <c r="BE31" s="387"/>
      <c r="BF31" s="387"/>
      <c r="BG31" s="387"/>
      <c r="BH31" s="387"/>
      <c r="BI31" s="387"/>
      <c r="BJ31" s="387"/>
      <c r="BK31" s="387"/>
      <c r="BL31" s="387"/>
      <c r="BM31" s="387">
        <v>20</v>
      </c>
      <c r="BN31" s="427"/>
      <c r="BO31" s="390">
        <f t="shared" si="21"/>
        <v>20</v>
      </c>
      <c r="BP31" s="390"/>
      <c r="BQ31" s="390"/>
      <c r="BR31" s="390"/>
      <c r="BS31" s="390"/>
      <c r="BT31" s="390"/>
      <c r="BU31" s="390">
        <f t="shared" si="22"/>
        <v>0</v>
      </c>
      <c r="BV31" s="387">
        <f t="shared" si="23"/>
        <v>8270</v>
      </c>
      <c r="BW31" s="387">
        <f t="shared" si="24"/>
        <v>0</v>
      </c>
      <c r="BX31" s="406"/>
    </row>
    <row r="32" spans="1:76" s="5" customFormat="1" ht="12" thickBot="1">
      <c r="A32" s="392">
        <f>'1-συμβολαια'!A32</f>
        <v>0</v>
      </c>
      <c r="B32" s="403"/>
      <c r="C32" s="393" t="str">
        <f>'1-συμβολαια'!C32</f>
        <v>ΧΑΟΣ= κλείσιμο &amp; εκ ΝΕΟΥ</v>
      </c>
      <c r="D32" s="394">
        <f>'5-αντίγρ'!AO32</f>
        <v>0</v>
      </c>
      <c r="E32" s="394">
        <f>'5-αντίγρ'!V32+'5-αντίγρ'!Z32+'5-αντίγρ'!AB32+'5-αντίγρ'!AJ32</f>
        <v>0</v>
      </c>
      <c r="F32" s="395">
        <f>'6-μεταγρ'!P32</f>
        <v>0</v>
      </c>
      <c r="G32" s="395">
        <f>'6-μεταγρ'!N32+'6-μεταγρ'!O32</f>
        <v>0</v>
      </c>
      <c r="H32" s="396">
        <f>'6-μεταγρ'!Q32</f>
        <v>0</v>
      </c>
      <c r="I32" s="395">
        <f>'7-προςΔΟΥ'!X32</f>
        <v>0</v>
      </c>
      <c r="J32" s="395">
        <f>'7-προςΔΟΥ'!L32</f>
        <v>0</v>
      </c>
      <c r="K32" s="396"/>
      <c r="L32" s="396"/>
      <c r="M32" s="396"/>
      <c r="N32" s="396"/>
      <c r="O32" s="396"/>
      <c r="P32" s="396"/>
      <c r="Q32" s="396"/>
      <c r="R32" s="396"/>
      <c r="S32" s="396"/>
      <c r="T32" s="396"/>
      <c r="U32" s="396"/>
      <c r="V32" s="396"/>
      <c r="W32" s="396"/>
      <c r="X32" s="396"/>
      <c r="Y32" s="396"/>
      <c r="Z32" s="396"/>
      <c r="AA32" s="396"/>
      <c r="AB32" s="396"/>
      <c r="AC32" s="396"/>
      <c r="AD32" s="396">
        <f t="shared" si="17"/>
        <v>0</v>
      </c>
      <c r="AE32" s="396"/>
      <c r="AF32" s="396"/>
      <c r="AG32" s="396"/>
      <c r="AH32" s="396"/>
      <c r="AI32" s="396"/>
      <c r="AJ32" s="396"/>
      <c r="AK32" s="396"/>
      <c r="AL32" s="396"/>
      <c r="AM32" s="396"/>
      <c r="AN32" s="396"/>
      <c r="AO32" s="396"/>
      <c r="AP32" s="396"/>
      <c r="AQ32" s="396"/>
      <c r="AR32" s="396"/>
      <c r="AS32" s="396">
        <f t="shared" si="18"/>
        <v>0</v>
      </c>
      <c r="AT32" s="396"/>
      <c r="AU32" s="724"/>
      <c r="AV32" s="724"/>
      <c r="AW32" s="724"/>
      <c r="AX32" s="724"/>
      <c r="AY32" s="396">
        <f t="shared" si="19"/>
        <v>0</v>
      </c>
      <c r="AZ32" s="396"/>
      <c r="BA32" s="724"/>
      <c r="BB32" s="396"/>
      <c r="BC32" s="396">
        <f t="shared" si="20"/>
        <v>0</v>
      </c>
      <c r="BD32" s="396"/>
      <c r="BE32" s="396"/>
      <c r="BF32" s="396"/>
      <c r="BG32" s="396"/>
      <c r="BH32" s="396"/>
      <c r="BI32" s="396"/>
      <c r="BJ32" s="396"/>
      <c r="BK32" s="396"/>
      <c r="BL32" s="396"/>
      <c r="BM32" s="396"/>
      <c r="BN32" s="357"/>
      <c r="BO32" s="397">
        <f t="shared" si="21"/>
        <v>0</v>
      </c>
      <c r="BP32" s="397"/>
      <c r="BQ32" s="397"/>
      <c r="BR32" s="397"/>
      <c r="BS32" s="397"/>
      <c r="BT32" s="397"/>
      <c r="BU32" s="397">
        <f t="shared" si="22"/>
        <v>0</v>
      </c>
      <c r="BV32" s="396">
        <f t="shared" si="23"/>
        <v>0</v>
      </c>
      <c r="BW32" s="396">
        <f t="shared" si="24"/>
        <v>0</v>
      </c>
      <c r="BX32" s="398"/>
    </row>
    <row r="33" spans="1:76" s="5" customFormat="1">
      <c r="A33" s="485" t="str">
        <f>'1-συμβολαια'!A33</f>
        <v>9ο</v>
      </c>
      <c r="B33" s="399">
        <f>'1-συμβολαια'!B33</f>
        <v>33675</v>
      </c>
      <c r="C33" s="475" t="str">
        <f>'1-συμβολαια'!C33</f>
        <v xml:space="preserve">υποθήκη </v>
      </c>
      <c r="D33" s="385">
        <f>'5-αντίγρ'!AO33</f>
        <v>2700</v>
      </c>
      <c r="E33" s="385">
        <f>'5-αντίγρ'!V33+'5-αντίγρ'!Z33+'5-αντίγρ'!AB33+'5-αντίγρ'!AJ33</f>
        <v>88</v>
      </c>
      <c r="F33" s="386">
        <f>'6-μεταγρ'!P33</f>
        <v>1000</v>
      </c>
      <c r="G33" s="386">
        <f>'6-μεταγρ'!N33+'6-μεταγρ'!O33</f>
        <v>60</v>
      </c>
      <c r="H33" s="387">
        <f>'6-μεταγρ'!Q33</f>
        <v>0</v>
      </c>
      <c r="I33" s="386">
        <f>'7-προςΔΟΥ'!X33</f>
        <v>0</v>
      </c>
      <c r="J33" s="386">
        <f>'7-προςΔΟΥ'!L33</f>
        <v>0</v>
      </c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7"/>
      <c r="AC33" s="387"/>
      <c r="AD33" s="387">
        <f t="shared" si="17"/>
        <v>0</v>
      </c>
      <c r="AE33" s="387"/>
      <c r="AF33" s="387"/>
      <c r="AG33" s="387"/>
      <c r="AH33" s="387">
        <v>1100</v>
      </c>
      <c r="AI33" s="387"/>
      <c r="AJ33" s="387"/>
      <c r="AK33" s="387"/>
      <c r="AL33" s="387"/>
      <c r="AM33" s="387"/>
      <c r="AN33" s="387"/>
      <c r="AO33" s="387"/>
      <c r="AP33" s="387"/>
      <c r="AQ33" s="387"/>
      <c r="AR33" s="387"/>
      <c r="AS33" s="387">
        <f t="shared" si="18"/>
        <v>1100</v>
      </c>
      <c r="AT33" s="387"/>
      <c r="AU33" s="725"/>
      <c r="AV33" s="725"/>
      <c r="AW33" s="725"/>
      <c r="AX33" s="725"/>
      <c r="AY33" s="387">
        <f t="shared" si="19"/>
        <v>0</v>
      </c>
      <c r="AZ33" s="387"/>
      <c r="BA33" s="725"/>
      <c r="BB33" s="387">
        <f>500+3*1100</f>
        <v>3800</v>
      </c>
      <c r="BC33" s="387">
        <f t="shared" si="20"/>
        <v>3800</v>
      </c>
      <c r="BD33" s="387"/>
      <c r="BE33" s="387"/>
      <c r="BF33" s="387"/>
      <c r="BG33" s="387"/>
      <c r="BH33" s="387"/>
      <c r="BI33" s="387"/>
      <c r="BJ33" s="387"/>
      <c r="BK33" s="387"/>
      <c r="BL33" s="387">
        <v>40</v>
      </c>
      <c r="BM33" s="387">
        <v>60</v>
      </c>
      <c r="BN33" s="427"/>
      <c r="BO33" s="390">
        <f t="shared" si="21"/>
        <v>100</v>
      </c>
      <c r="BP33" s="390"/>
      <c r="BQ33" s="390"/>
      <c r="BR33" s="390"/>
      <c r="BS33" s="390"/>
      <c r="BT33" s="390"/>
      <c r="BU33" s="390">
        <f t="shared" si="22"/>
        <v>0</v>
      </c>
      <c r="BV33" s="387">
        <f t="shared" si="23"/>
        <v>8700</v>
      </c>
      <c r="BW33" s="387">
        <f t="shared" si="24"/>
        <v>148</v>
      </c>
      <c r="BX33" s="406"/>
    </row>
    <row r="34" spans="1:76" s="5" customFormat="1">
      <c r="A34" s="429" t="str">
        <f>'1-συμβολαια'!A34</f>
        <v>794-1-2-3τραπ</v>
      </c>
      <c r="B34" s="447">
        <f>'1-συμβολαια'!B34</f>
        <v>32727</v>
      </c>
      <c r="C34" s="384" t="str">
        <f>'1-συμβολαια'!C34</f>
        <v>υποθήκες δανείων [7/8/89-25/1/1991-8/3/1991-22/11/1991</v>
      </c>
      <c r="D34" s="385">
        <f>'5-αντίγρ'!AO34</f>
        <v>0</v>
      </c>
      <c r="E34" s="385">
        <f>'5-αντίγρ'!V34+'5-αντίγρ'!Z34+'5-αντίγρ'!AB34+'5-αντίγρ'!AJ34</f>
        <v>0</v>
      </c>
      <c r="F34" s="386">
        <f>'6-μεταγρ'!P34</f>
        <v>1000</v>
      </c>
      <c r="G34" s="386">
        <f>'6-μεταγρ'!N34+'6-μεταγρ'!O34</f>
        <v>60</v>
      </c>
      <c r="H34" s="387">
        <f>'6-μεταγρ'!Q34</f>
        <v>0</v>
      </c>
      <c r="I34" s="386">
        <f>'7-προςΔΟΥ'!X34</f>
        <v>0</v>
      </c>
      <c r="J34" s="386">
        <f>'7-προςΔΟΥ'!L34</f>
        <v>0</v>
      </c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8"/>
      <c r="X34" s="388"/>
      <c r="Y34" s="388"/>
      <c r="Z34" s="388"/>
      <c r="AA34" s="388"/>
      <c r="AB34" s="388"/>
      <c r="AC34" s="388"/>
      <c r="AD34" s="388">
        <f t="shared" si="17"/>
        <v>0</v>
      </c>
      <c r="AE34" s="388"/>
      <c r="AF34" s="388"/>
      <c r="AG34" s="388"/>
      <c r="AH34" s="388"/>
      <c r="AI34" s="388"/>
      <c r="AJ34" s="388"/>
      <c r="AK34" s="388"/>
      <c r="AL34" s="388"/>
      <c r="AM34" s="388"/>
      <c r="AN34" s="388"/>
      <c r="AO34" s="388"/>
      <c r="AP34" s="388"/>
      <c r="AQ34" s="388"/>
      <c r="AR34" s="388"/>
      <c r="AS34" s="388">
        <f t="shared" si="18"/>
        <v>0</v>
      </c>
      <c r="AT34" s="388"/>
      <c r="AU34" s="721"/>
      <c r="AV34" s="721"/>
      <c r="AW34" s="721"/>
      <c r="AX34" s="721"/>
      <c r="AY34" s="388">
        <f t="shared" si="19"/>
        <v>0</v>
      </c>
      <c r="AZ34" s="388"/>
      <c r="BA34" s="721"/>
      <c r="BB34" s="388">
        <f>3*1100</f>
        <v>3300</v>
      </c>
      <c r="BC34" s="388">
        <f t="shared" si="20"/>
        <v>3300</v>
      </c>
      <c r="BD34" s="388"/>
      <c r="BE34" s="388"/>
      <c r="BF34" s="388"/>
      <c r="BG34" s="388"/>
      <c r="BH34" s="388"/>
      <c r="BI34" s="388"/>
      <c r="BJ34" s="388"/>
      <c r="BK34" s="388"/>
      <c r="BL34" s="388">
        <v>40</v>
      </c>
      <c r="BM34" s="388"/>
      <c r="BN34" s="263"/>
      <c r="BO34" s="389">
        <f t="shared" si="21"/>
        <v>40</v>
      </c>
      <c r="BP34" s="390"/>
      <c r="BQ34" s="390"/>
      <c r="BR34" s="390"/>
      <c r="BS34" s="390"/>
      <c r="BT34" s="390"/>
      <c r="BU34" s="390">
        <f t="shared" si="22"/>
        <v>0</v>
      </c>
      <c r="BV34" s="387">
        <f t="shared" si="23"/>
        <v>4340</v>
      </c>
      <c r="BW34" s="387">
        <f t="shared" si="24"/>
        <v>60</v>
      </c>
      <c r="BX34" s="372"/>
    </row>
    <row r="35" spans="1:76" s="5" customFormat="1">
      <c r="A35" s="429">
        <f>'1-συμβολαια'!A35</f>
        <v>0</v>
      </c>
      <c r="B35" s="447"/>
      <c r="C35" s="384" t="str">
        <f>'1-συμβολαια'!C35</f>
        <v>δάνεια ανωτέρω υποθηκών</v>
      </c>
      <c r="D35" s="385">
        <f>'5-αντίγρ'!AO35</f>
        <v>0</v>
      </c>
      <c r="E35" s="385">
        <f>'5-αντίγρ'!V35+'5-αντίγρ'!Z35+'5-αντίγρ'!AB35+'5-αντίγρ'!AJ35</f>
        <v>0</v>
      </c>
      <c r="F35" s="386">
        <f>'6-μεταγρ'!P35</f>
        <v>0</v>
      </c>
      <c r="G35" s="386">
        <f>'6-μεταγρ'!N35+'6-μεταγρ'!O35</f>
        <v>0</v>
      </c>
      <c r="H35" s="387">
        <f>'6-μεταγρ'!Q35</f>
        <v>0</v>
      </c>
      <c r="I35" s="386">
        <f>'7-προςΔΟΥ'!X35</f>
        <v>0</v>
      </c>
      <c r="J35" s="386">
        <f>'7-προςΔΟΥ'!L35</f>
        <v>0</v>
      </c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>
        <f t="shared" si="17"/>
        <v>0</v>
      </c>
      <c r="AE35" s="388"/>
      <c r="AF35" s="388"/>
      <c r="AG35" s="388"/>
      <c r="AH35" s="388"/>
      <c r="AI35" s="388"/>
      <c r="AJ35" s="388"/>
      <c r="AK35" s="388"/>
      <c r="AL35" s="388"/>
      <c r="AM35" s="388"/>
      <c r="AN35" s="388"/>
      <c r="AO35" s="388"/>
      <c r="AP35" s="388"/>
      <c r="AQ35" s="388"/>
      <c r="AR35" s="388"/>
      <c r="AS35" s="388">
        <f t="shared" si="18"/>
        <v>0</v>
      </c>
      <c r="AT35" s="388"/>
      <c r="AU35" s="721"/>
      <c r="AV35" s="721"/>
      <c r="AW35" s="721"/>
      <c r="AX35" s="721"/>
      <c r="AY35" s="388">
        <f t="shared" si="19"/>
        <v>0</v>
      </c>
      <c r="AZ35" s="388"/>
      <c r="BA35" s="721"/>
      <c r="BB35" s="388"/>
      <c r="BC35" s="388">
        <f t="shared" si="20"/>
        <v>0</v>
      </c>
      <c r="BD35" s="388"/>
      <c r="BE35" s="388"/>
      <c r="BF35" s="388"/>
      <c r="BG35" s="388"/>
      <c r="BH35" s="388"/>
      <c r="BI35" s="388"/>
      <c r="BJ35" s="388"/>
      <c r="BK35" s="388"/>
      <c r="BL35" s="388"/>
      <c r="BM35" s="388"/>
      <c r="BN35" s="263"/>
      <c r="BO35" s="389">
        <f t="shared" si="21"/>
        <v>0</v>
      </c>
      <c r="BP35" s="390"/>
      <c r="BQ35" s="390"/>
      <c r="BR35" s="390"/>
      <c r="BS35" s="390"/>
      <c r="BT35" s="390"/>
      <c r="BU35" s="390">
        <f t="shared" si="22"/>
        <v>0</v>
      </c>
      <c r="BV35" s="387">
        <f t="shared" si="23"/>
        <v>0</v>
      </c>
      <c r="BW35" s="387">
        <f t="shared" si="24"/>
        <v>0</v>
      </c>
      <c r="BX35" s="372"/>
    </row>
    <row r="36" spans="1:76" s="5" customFormat="1" ht="12" thickBot="1">
      <c r="A36" s="487">
        <f>'1-συμβολαια'!A36</f>
        <v>0</v>
      </c>
      <c r="B36" s="403"/>
      <c r="C36" s="393" t="str">
        <f>'1-συμβολαια'!C36</f>
        <v>τόκοι  ανωτέρω δανείων προπληρωθέντες</v>
      </c>
      <c r="D36" s="394">
        <f>'5-αντίγρ'!AO36</f>
        <v>0</v>
      </c>
      <c r="E36" s="394">
        <f>'5-αντίγρ'!V36+'5-αντίγρ'!Z36+'5-αντίγρ'!AB36+'5-αντίγρ'!AJ36</f>
        <v>0</v>
      </c>
      <c r="F36" s="395">
        <f>'6-μεταγρ'!P36</f>
        <v>0</v>
      </c>
      <c r="G36" s="395">
        <f>'6-μεταγρ'!N36+'6-μεταγρ'!O36</f>
        <v>0</v>
      </c>
      <c r="H36" s="396">
        <f>'6-μεταγρ'!Q36</f>
        <v>0</v>
      </c>
      <c r="I36" s="395">
        <f>'7-προςΔΟΥ'!X36</f>
        <v>0</v>
      </c>
      <c r="J36" s="395">
        <f>'7-προςΔΟΥ'!L36</f>
        <v>0</v>
      </c>
      <c r="K36" s="396"/>
      <c r="L36" s="396"/>
      <c r="M36" s="396"/>
      <c r="N36" s="396"/>
      <c r="O36" s="396"/>
      <c r="P36" s="396"/>
      <c r="Q36" s="396"/>
      <c r="R36" s="396"/>
      <c r="S36" s="396"/>
      <c r="T36" s="396"/>
      <c r="U36" s="396"/>
      <c r="V36" s="396"/>
      <c r="W36" s="396"/>
      <c r="X36" s="396"/>
      <c r="Y36" s="396"/>
      <c r="Z36" s="396"/>
      <c r="AA36" s="396"/>
      <c r="AB36" s="396"/>
      <c r="AC36" s="396"/>
      <c r="AD36" s="396">
        <f t="shared" si="17"/>
        <v>0</v>
      </c>
      <c r="AE36" s="396"/>
      <c r="AF36" s="396"/>
      <c r="AG36" s="396"/>
      <c r="AH36" s="396"/>
      <c r="AI36" s="396"/>
      <c r="AJ36" s="396"/>
      <c r="AK36" s="396"/>
      <c r="AL36" s="396"/>
      <c r="AM36" s="396"/>
      <c r="AN36" s="396"/>
      <c r="AO36" s="396"/>
      <c r="AP36" s="396"/>
      <c r="AQ36" s="396"/>
      <c r="AR36" s="396"/>
      <c r="AS36" s="396">
        <f t="shared" si="18"/>
        <v>0</v>
      </c>
      <c r="AT36" s="396"/>
      <c r="AU36" s="724"/>
      <c r="AV36" s="724"/>
      <c r="AW36" s="724"/>
      <c r="AX36" s="724"/>
      <c r="AY36" s="396">
        <f t="shared" si="19"/>
        <v>0</v>
      </c>
      <c r="AZ36" s="396"/>
      <c r="BA36" s="724"/>
      <c r="BB36" s="396"/>
      <c r="BC36" s="396">
        <f t="shared" si="20"/>
        <v>0</v>
      </c>
      <c r="BD36" s="396"/>
      <c r="BE36" s="396"/>
      <c r="BF36" s="396"/>
      <c r="BG36" s="396"/>
      <c r="BH36" s="396"/>
      <c r="BI36" s="396"/>
      <c r="BJ36" s="396"/>
      <c r="BK36" s="396"/>
      <c r="BL36" s="396"/>
      <c r="BM36" s="396"/>
      <c r="BN36" s="357"/>
      <c r="BO36" s="397">
        <f t="shared" si="21"/>
        <v>0</v>
      </c>
      <c r="BP36" s="397"/>
      <c r="BQ36" s="397"/>
      <c r="BR36" s="397"/>
      <c r="BS36" s="397"/>
      <c r="BT36" s="397"/>
      <c r="BU36" s="397">
        <f t="shared" si="22"/>
        <v>0</v>
      </c>
      <c r="BV36" s="396">
        <f t="shared" si="23"/>
        <v>0</v>
      </c>
      <c r="BW36" s="396">
        <f t="shared" si="24"/>
        <v>0</v>
      </c>
      <c r="BX36" s="398"/>
    </row>
    <row r="37" spans="1:76" s="5" customFormat="1">
      <c r="A37" s="526" t="str">
        <f>'1-συμβολαια'!A37</f>
        <v>10ο</v>
      </c>
      <c r="B37" s="399">
        <f>'1-συμβολαια'!B37</f>
        <v>34890</v>
      </c>
      <c r="C37" s="475" t="str">
        <f>'1-συμβολαια'!C37</f>
        <v>υποθήκη  τοιχόν τόκων</v>
      </c>
      <c r="D37" s="385">
        <f>'5-αντίγρ'!AO37</f>
        <v>4800</v>
      </c>
      <c r="E37" s="385">
        <f>'5-αντίγρ'!V37+'5-αντίγρ'!Z37+'5-αντίγρ'!AB37+'5-αντίγρ'!AJ37</f>
        <v>99</v>
      </c>
      <c r="F37" s="386">
        <f>'6-μεταγρ'!P37</f>
        <v>2000</v>
      </c>
      <c r="G37" s="386">
        <f>'6-μεταγρ'!N37+'6-μεταγρ'!O37</f>
        <v>80</v>
      </c>
      <c r="H37" s="387">
        <f>'6-μεταγρ'!Q37</f>
        <v>0</v>
      </c>
      <c r="I37" s="386">
        <f>'7-προςΔΟΥ'!X37</f>
        <v>0</v>
      </c>
      <c r="J37" s="386">
        <f>'7-προςΔΟΥ'!L37</f>
        <v>0</v>
      </c>
      <c r="K37" s="387"/>
      <c r="L37" s="387"/>
      <c r="M37" s="387"/>
      <c r="N37" s="387"/>
      <c r="O37" s="387"/>
      <c r="P37" s="387"/>
      <c r="Q37" s="387"/>
      <c r="R37" s="387"/>
      <c r="S37" s="387"/>
      <c r="T37" s="387"/>
      <c r="U37" s="387"/>
      <c r="V37" s="387"/>
      <c r="W37" s="387"/>
      <c r="X37" s="387"/>
      <c r="Y37" s="387"/>
      <c r="Z37" s="387"/>
      <c r="AA37" s="387"/>
      <c r="AB37" s="387"/>
      <c r="AC37" s="387"/>
      <c r="AD37" s="387">
        <f t="shared" si="17"/>
        <v>0</v>
      </c>
      <c r="AE37" s="387"/>
      <c r="AF37" s="387"/>
      <c r="AG37" s="387"/>
      <c r="AH37" s="387">
        <v>1100</v>
      </c>
      <c r="AI37" s="387"/>
      <c r="AJ37" s="387"/>
      <c r="AK37" s="387"/>
      <c r="AL37" s="387"/>
      <c r="AM37" s="387"/>
      <c r="AN37" s="387"/>
      <c r="AO37" s="387"/>
      <c r="AP37" s="387"/>
      <c r="AQ37" s="387"/>
      <c r="AR37" s="387"/>
      <c r="AS37" s="387">
        <f t="shared" si="18"/>
        <v>1100</v>
      </c>
      <c r="AT37" s="387"/>
      <c r="AU37" s="725"/>
      <c r="AV37" s="725"/>
      <c r="AW37" s="725"/>
      <c r="AX37" s="725"/>
      <c r="AY37" s="387">
        <f t="shared" si="19"/>
        <v>0</v>
      </c>
      <c r="AZ37" s="387"/>
      <c r="BA37" s="725"/>
      <c r="BB37" s="387">
        <f>500+1100</f>
        <v>1600</v>
      </c>
      <c r="BC37" s="387">
        <f t="shared" si="20"/>
        <v>1600</v>
      </c>
      <c r="BD37" s="387"/>
      <c r="BE37" s="387"/>
      <c r="BF37" s="387"/>
      <c r="BG37" s="387"/>
      <c r="BH37" s="387"/>
      <c r="BI37" s="387"/>
      <c r="BJ37" s="387"/>
      <c r="BK37" s="387"/>
      <c r="BL37" s="387">
        <v>40</v>
      </c>
      <c r="BM37" s="387">
        <v>80</v>
      </c>
      <c r="BN37" s="427"/>
      <c r="BO37" s="390">
        <f t="shared" si="21"/>
        <v>120</v>
      </c>
      <c r="BP37" s="390"/>
      <c r="BQ37" s="390"/>
      <c r="BR37" s="390"/>
      <c r="BS37" s="390"/>
      <c r="BT37" s="390"/>
      <c r="BU37" s="390">
        <f t="shared" si="22"/>
        <v>0</v>
      </c>
      <c r="BV37" s="387">
        <f t="shared" si="23"/>
        <v>9620</v>
      </c>
      <c r="BW37" s="387">
        <f t="shared" si="24"/>
        <v>179</v>
      </c>
      <c r="BX37" s="406"/>
    </row>
    <row r="38" spans="1:76" s="5" customFormat="1">
      <c r="A38" s="391" t="str">
        <f>'1-συμβολαια'!A38</f>
        <v>794-4-5τραπ</v>
      </c>
      <c r="B38" s="447">
        <f>'1-συμβολαια'!B38</f>
        <v>33843</v>
      </c>
      <c r="C38" s="384" t="str">
        <f>'1-συμβολαια'!C38</f>
        <v>υποθήκες δανείων [27/08/1992-30/10/1992</v>
      </c>
      <c r="D38" s="385">
        <f>'5-αντίγρ'!AO38</f>
        <v>0</v>
      </c>
      <c r="E38" s="385">
        <f>'5-αντίγρ'!V38+'5-αντίγρ'!Z38+'5-αντίγρ'!AB38+'5-αντίγρ'!AJ38</f>
        <v>0</v>
      </c>
      <c r="F38" s="386">
        <f>'6-μεταγρ'!P38</f>
        <v>2000</v>
      </c>
      <c r="G38" s="386">
        <f>'6-μεταγρ'!N38+'6-μεταγρ'!O38</f>
        <v>80</v>
      </c>
      <c r="H38" s="387">
        <f>'6-μεταγρ'!Q38</f>
        <v>0</v>
      </c>
      <c r="I38" s="386">
        <f>'7-προςΔΟΥ'!X38</f>
        <v>0</v>
      </c>
      <c r="J38" s="386">
        <f>'7-προςΔΟΥ'!L38</f>
        <v>0</v>
      </c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>
        <f t="shared" si="17"/>
        <v>0</v>
      </c>
      <c r="AE38" s="388"/>
      <c r="AF38" s="388"/>
      <c r="AG38" s="388"/>
      <c r="AH38" s="388"/>
      <c r="AI38" s="388"/>
      <c r="AJ38" s="388"/>
      <c r="AK38" s="388"/>
      <c r="AL38" s="388"/>
      <c r="AM38" s="388"/>
      <c r="AN38" s="388"/>
      <c r="AO38" s="388"/>
      <c r="AP38" s="388"/>
      <c r="AQ38" s="388"/>
      <c r="AR38" s="388"/>
      <c r="AS38" s="388">
        <f t="shared" si="18"/>
        <v>0</v>
      </c>
      <c r="AT38" s="388"/>
      <c r="AU38" s="721"/>
      <c r="AV38" s="721"/>
      <c r="AW38" s="721"/>
      <c r="AX38" s="721"/>
      <c r="AY38" s="388">
        <f t="shared" si="19"/>
        <v>0</v>
      </c>
      <c r="AZ38" s="388"/>
      <c r="BA38" s="721"/>
      <c r="BB38" s="388">
        <v>1100</v>
      </c>
      <c r="BC38" s="388">
        <f t="shared" si="20"/>
        <v>1100</v>
      </c>
      <c r="BD38" s="388"/>
      <c r="BE38" s="388"/>
      <c r="BF38" s="388"/>
      <c r="BG38" s="388"/>
      <c r="BH38" s="388"/>
      <c r="BI38" s="388"/>
      <c r="BJ38" s="388"/>
      <c r="BK38" s="388"/>
      <c r="BL38" s="388">
        <v>40</v>
      </c>
      <c r="BM38" s="388"/>
      <c r="BN38" s="263"/>
      <c r="BO38" s="389">
        <f t="shared" si="21"/>
        <v>40</v>
      </c>
      <c r="BP38" s="390"/>
      <c r="BQ38" s="390"/>
      <c r="BR38" s="390"/>
      <c r="BS38" s="390"/>
      <c r="BT38" s="390"/>
      <c r="BU38" s="390">
        <f t="shared" si="22"/>
        <v>0</v>
      </c>
      <c r="BV38" s="387">
        <f t="shared" si="23"/>
        <v>3140</v>
      </c>
      <c r="BW38" s="387">
        <f t="shared" si="24"/>
        <v>80</v>
      </c>
      <c r="BX38" s="372"/>
    </row>
    <row r="39" spans="1:76" s="5" customFormat="1">
      <c r="A39" s="391">
        <f>'1-συμβολαια'!A39</f>
        <v>0</v>
      </c>
      <c r="B39" s="447"/>
      <c r="C39" s="384" t="str">
        <f>'1-συμβολαια'!C39</f>
        <v>δάνεια ανωτέρω υποθηκών</v>
      </c>
      <c r="D39" s="385">
        <f>'5-αντίγρ'!AO39</f>
        <v>0</v>
      </c>
      <c r="E39" s="385">
        <f>'5-αντίγρ'!V39+'5-αντίγρ'!Z39+'5-αντίγρ'!AB39+'5-αντίγρ'!AJ39</f>
        <v>0</v>
      </c>
      <c r="F39" s="386">
        <f>'6-μεταγρ'!P39</f>
        <v>0</v>
      </c>
      <c r="G39" s="386">
        <f>'6-μεταγρ'!N39+'6-μεταγρ'!O39</f>
        <v>0</v>
      </c>
      <c r="H39" s="387">
        <f>'6-μεταγρ'!Q39</f>
        <v>0</v>
      </c>
      <c r="I39" s="386">
        <f>'7-προςΔΟΥ'!X39</f>
        <v>0</v>
      </c>
      <c r="J39" s="386">
        <f>'7-προςΔΟΥ'!L39</f>
        <v>0</v>
      </c>
      <c r="K39" s="388"/>
      <c r="L39" s="388"/>
      <c r="M39" s="388"/>
      <c r="N39" s="388"/>
      <c r="O39" s="388"/>
      <c r="P39" s="388"/>
      <c r="Q39" s="388"/>
      <c r="R39" s="388"/>
      <c r="S39" s="388"/>
      <c r="T39" s="388"/>
      <c r="U39" s="388"/>
      <c r="V39" s="388"/>
      <c r="W39" s="388"/>
      <c r="X39" s="388"/>
      <c r="Y39" s="388"/>
      <c r="Z39" s="388"/>
      <c r="AA39" s="388"/>
      <c r="AB39" s="388"/>
      <c r="AC39" s="388"/>
      <c r="AD39" s="388">
        <f t="shared" si="17"/>
        <v>0</v>
      </c>
      <c r="AE39" s="388"/>
      <c r="AF39" s="388"/>
      <c r="AG39" s="388"/>
      <c r="AH39" s="388"/>
      <c r="AI39" s="388"/>
      <c r="AJ39" s="388"/>
      <c r="AK39" s="388"/>
      <c r="AL39" s="388"/>
      <c r="AM39" s="388"/>
      <c r="AN39" s="388"/>
      <c r="AO39" s="388"/>
      <c r="AP39" s="388"/>
      <c r="AQ39" s="388"/>
      <c r="AR39" s="388"/>
      <c r="AS39" s="388">
        <f t="shared" si="18"/>
        <v>0</v>
      </c>
      <c r="AT39" s="388"/>
      <c r="AU39" s="721"/>
      <c r="AV39" s="721"/>
      <c r="AW39" s="721"/>
      <c r="AX39" s="721"/>
      <c r="AY39" s="388">
        <f t="shared" si="19"/>
        <v>0</v>
      </c>
      <c r="AZ39" s="388"/>
      <c r="BA39" s="721"/>
      <c r="BB39" s="388"/>
      <c r="BC39" s="388">
        <f t="shared" si="20"/>
        <v>0</v>
      </c>
      <c r="BD39" s="388"/>
      <c r="BE39" s="388"/>
      <c r="BF39" s="388"/>
      <c r="BG39" s="388"/>
      <c r="BH39" s="388"/>
      <c r="BI39" s="388"/>
      <c r="BJ39" s="388"/>
      <c r="BK39" s="388"/>
      <c r="BL39" s="388"/>
      <c r="BM39" s="388"/>
      <c r="BN39" s="263"/>
      <c r="BO39" s="389">
        <f t="shared" si="21"/>
        <v>0</v>
      </c>
      <c r="BP39" s="390"/>
      <c r="BQ39" s="390"/>
      <c r="BR39" s="390"/>
      <c r="BS39" s="390"/>
      <c r="BT39" s="390"/>
      <c r="BU39" s="390">
        <f t="shared" si="22"/>
        <v>0</v>
      </c>
      <c r="BV39" s="387">
        <f t="shared" si="23"/>
        <v>0</v>
      </c>
      <c r="BW39" s="387">
        <f t="shared" si="24"/>
        <v>0</v>
      </c>
      <c r="BX39" s="372"/>
    </row>
    <row r="40" spans="1:76" s="5" customFormat="1" ht="12" thickBot="1">
      <c r="A40" s="392">
        <f>'1-συμβολαια'!A40</f>
        <v>0</v>
      </c>
      <c r="B40" s="403"/>
      <c r="C40" s="393" t="str">
        <f>'1-συμβολαια'!C40</f>
        <v>τόκοι  ανωτέρω δανείων προπληρωθέντες</v>
      </c>
      <c r="D40" s="394">
        <f>'5-αντίγρ'!AO40</f>
        <v>0</v>
      </c>
      <c r="E40" s="394">
        <f>'5-αντίγρ'!V40+'5-αντίγρ'!Z40+'5-αντίγρ'!AB40+'5-αντίγρ'!AJ40</f>
        <v>0</v>
      </c>
      <c r="F40" s="395">
        <f>'6-μεταγρ'!P40</f>
        <v>0</v>
      </c>
      <c r="G40" s="395">
        <f>'6-μεταγρ'!N40+'6-μεταγρ'!O40</f>
        <v>0</v>
      </c>
      <c r="H40" s="396">
        <f>'6-μεταγρ'!Q40</f>
        <v>0</v>
      </c>
      <c r="I40" s="395">
        <f>'7-προςΔΟΥ'!X40</f>
        <v>0</v>
      </c>
      <c r="J40" s="395">
        <f>'7-προςΔΟΥ'!L40</f>
        <v>0</v>
      </c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Z40" s="396"/>
      <c r="AA40" s="396"/>
      <c r="AB40" s="396"/>
      <c r="AC40" s="396"/>
      <c r="AD40" s="396">
        <f t="shared" si="17"/>
        <v>0</v>
      </c>
      <c r="AE40" s="396"/>
      <c r="AF40" s="396"/>
      <c r="AG40" s="396"/>
      <c r="AH40" s="396"/>
      <c r="AI40" s="396"/>
      <c r="AJ40" s="396"/>
      <c r="AK40" s="396"/>
      <c r="AL40" s="396"/>
      <c r="AM40" s="396"/>
      <c r="AN40" s="396"/>
      <c r="AO40" s="396"/>
      <c r="AP40" s="396"/>
      <c r="AQ40" s="396"/>
      <c r="AR40" s="396"/>
      <c r="AS40" s="396">
        <f t="shared" si="18"/>
        <v>0</v>
      </c>
      <c r="AT40" s="396"/>
      <c r="AU40" s="724"/>
      <c r="AV40" s="724"/>
      <c r="AW40" s="724"/>
      <c r="AX40" s="724"/>
      <c r="AY40" s="396">
        <f t="shared" si="19"/>
        <v>0</v>
      </c>
      <c r="AZ40" s="396"/>
      <c r="BA40" s="724"/>
      <c r="BB40" s="396"/>
      <c r="BC40" s="396">
        <f t="shared" si="20"/>
        <v>0</v>
      </c>
      <c r="BD40" s="396"/>
      <c r="BE40" s="396"/>
      <c r="BF40" s="396"/>
      <c r="BG40" s="396"/>
      <c r="BH40" s="396"/>
      <c r="BI40" s="396"/>
      <c r="BJ40" s="396"/>
      <c r="BK40" s="396"/>
      <c r="BL40" s="396"/>
      <c r="BM40" s="396"/>
      <c r="BN40" s="357"/>
      <c r="BO40" s="397">
        <f t="shared" si="21"/>
        <v>0</v>
      </c>
      <c r="BP40" s="397"/>
      <c r="BQ40" s="397"/>
      <c r="BR40" s="397"/>
      <c r="BS40" s="397"/>
      <c r="BT40" s="397"/>
      <c r="BU40" s="397">
        <f t="shared" si="22"/>
        <v>0</v>
      </c>
      <c r="BV40" s="396">
        <f t="shared" si="23"/>
        <v>0</v>
      </c>
      <c r="BW40" s="396">
        <f t="shared" si="24"/>
        <v>0</v>
      </c>
      <c r="BX40" s="398"/>
    </row>
    <row r="41" spans="1:76" s="5" customFormat="1">
      <c r="A41" s="485" t="str">
        <f>'1-συμβολαια'!A41</f>
        <v>11ο</v>
      </c>
      <c r="B41" s="399">
        <f>'1-συμβολαια'!B41</f>
        <v>34962</v>
      </c>
      <c r="C41" s="475" t="str">
        <f>'1-συμβολαια'!C41</f>
        <v>μίσθωσις νταμάρι  Λιμένας -'';;;???'' 24,526στρ 3έτη [8000/έτος/στρ</v>
      </c>
      <c r="D41" s="385">
        <f>'5-αντίγρ'!AO41</f>
        <v>8400</v>
      </c>
      <c r="E41" s="385">
        <f>'5-αντίγρ'!V41+'5-αντίγρ'!Z41+'5-αντίγρ'!AB41+'5-αντίγρ'!AJ41</f>
        <v>99</v>
      </c>
      <c r="F41" s="386">
        <f>'6-μεταγρ'!P41</f>
        <v>0</v>
      </c>
      <c r="G41" s="386">
        <f>'6-μεταγρ'!N41+'6-μεταγρ'!O41</f>
        <v>0</v>
      </c>
      <c r="H41" s="387">
        <f>'6-μεταγρ'!Q41</f>
        <v>0</v>
      </c>
      <c r="I41" s="386">
        <f>'7-προςΔΟΥ'!X41</f>
        <v>0</v>
      </c>
      <c r="J41" s="386">
        <f>'7-προςΔΟΥ'!L41</f>
        <v>0</v>
      </c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7"/>
      <c r="AC41" s="387"/>
      <c r="AD41" s="387">
        <f t="shared" si="17"/>
        <v>0</v>
      </c>
      <c r="AE41" s="387"/>
      <c r="AF41" s="387"/>
      <c r="AG41" s="387"/>
      <c r="AH41" s="387">
        <v>1100</v>
      </c>
      <c r="AI41" s="387"/>
      <c r="AJ41" s="387"/>
      <c r="AK41" s="387"/>
      <c r="AL41" s="387"/>
      <c r="AM41" s="387"/>
      <c r="AN41" s="387"/>
      <c r="AO41" s="387"/>
      <c r="AP41" s="387"/>
      <c r="AQ41" s="387"/>
      <c r="AR41" s="387"/>
      <c r="AS41" s="387">
        <f t="shared" si="18"/>
        <v>1100</v>
      </c>
      <c r="AT41" s="387">
        <f>1000+1100</f>
        <v>2100</v>
      </c>
      <c r="AU41" s="725"/>
      <c r="AV41" s="725"/>
      <c r="AW41" s="725"/>
      <c r="AX41" s="725"/>
      <c r="AY41" s="387">
        <f t="shared" si="19"/>
        <v>2100</v>
      </c>
      <c r="AZ41" s="387"/>
      <c r="BA41" s="725"/>
      <c r="BB41" s="387">
        <f>1000+1100</f>
        <v>2100</v>
      </c>
      <c r="BC41" s="387">
        <f t="shared" si="20"/>
        <v>2100</v>
      </c>
      <c r="BD41" s="387"/>
      <c r="BE41" s="387"/>
      <c r="BF41" s="387"/>
      <c r="BG41" s="387"/>
      <c r="BH41" s="387"/>
      <c r="BI41" s="387"/>
      <c r="BJ41" s="387"/>
      <c r="BK41" s="387">
        <v>90</v>
      </c>
      <c r="BL41" s="387"/>
      <c r="BM41" s="387">
        <v>60</v>
      </c>
      <c r="BN41" s="427"/>
      <c r="BO41" s="390">
        <f t="shared" si="21"/>
        <v>150</v>
      </c>
      <c r="BP41" s="390"/>
      <c r="BQ41" s="390"/>
      <c r="BR41" s="390"/>
      <c r="BS41" s="390"/>
      <c r="BT41" s="390"/>
      <c r="BU41" s="390">
        <f t="shared" si="22"/>
        <v>0</v>
      </c>
      <c r="BV41" s="387">
        <f t="shared" si="23"/>
        <v>13760</v>
      </c>
      <c r="BW41" s="387">
        <f t="shared" si="24"/>
        <v>189</v>
      </c>
      <c r="BX41" s="406"/>
    </row>
    <row r="42" spans="1:76" s="5" customFormat="1">
      <c r="A42" s="429">
        <f>'1-συμβολαια'!A42</f>
        <v>0</v>
      </c>
      <c r="B42" s="447"/>
      <c r="C42" s="384" t="str">
        <f>'1-συμβολαια'!C42</f>
        <v>μίσθωση … ΚΤΙΡΙΑΚΑ &amp; τεχνικές εγκαταστάσεις &amp; ΚΛΠ</v>
      </c>
      <c r="D42" s="385">
        <f>'5-αντίγρ'!AO42</f>
        <v>0</v>
      </c>
      <c r="E42" s="385">
        <f>'5-αντίγρ'!V42+'5-αντίγρ'!Z42+'5-αντίγρ'!AB42+'5-αντίγρ'!AJ42</f>
        <v>0</v>
      </c>
      <c r="F42" s="386">
        <f>'6-μεταγρ'!P42</f>
        <v>0</v>
      </c>
      <c r="G42" s="386">
        <f>'6-μεταγρ'!N42+'6-μεταγρ'!O42</f>
        <v>0</v>
      </c>
      <c r="H42" s="387">
        <f>'6-μεταγρ'!Q42</f>
        <v>0</v>
      </c>
      <c r="I42" s="386">
        <f>'7-προςΔΟΥ'!X42</f>
        <v>0</v>
      </c>
      <c r="J42" s="386">
        <f>'7-προςΔΟΥ'!L42</f>
        <v>0</v>
      </c>
      <c r="K42" s="388"/>
      <c r="L42" s="388"/>
      <c r="M42" s="388"/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  <c r="AA42" s="388"/>
      <c r="AB42" s="388"/>
      <c r="AC42" s="388"/>
      <c r="AD42" s="388">
        <f t="shared" si="17"/>
        <v>0</v>
      </c>
      <c r="AE42" s="388"/>
      <c r="AF42" s="388"/>
      <c r="AG42" s="388"/>
      <c r="AH42" s="388"/>
      <c r="AI42" s="388"/>
      <c r="AJ42" s="388"/>
      <c r="AK42" s="388"/>
      <c r="AL42" s="388"/>
      <c r="AM42" s="388"/>
      <c r="AN42" s="388"/>
      <c r="AO42" s="388"/>
      <c r="AP42" s="388"/>
      <c r="AQ42" s="388"/>
      <c r="AR42" s="388"/>
      <c r="AS42" s="388">
        <f t="shared" si="18"/>
        <v>0</v>
      </c>
      <c r="AT42" s="388"/>
      <c r="AU42" s="721"/>
      <c r="AV42" s="721"/>
      <c r="AW42" s="721"/>
      <c r="AX42" s="721"/>
      <c r="AY42" s="388">
        <f t="shared" si="19"/>
        <v>0</v>
      </c>
      <c r="AZ42" s="388"/>
      <c r="BA42" s="721"/>
      <c r="BB42" s="388"/>
      <c r="BC42" s="388">
        <f t="shared" si="20"/>
        <v>0</v>
      </c>
      <c r="BD42" s="388"/>
      <c r="BE42" s="388"/>
      <c r="BF42" s="388"/>
      <c r="BG42" s="388"/>
      <c r="BH42" s="388"/>
      <c r="BI42" s="388"/>
      <c r="BJ42" s="388"/>
      <c r="BK42" s="388"/>
      <c r="BL42" s="388">
        <v>20</v>
      </c>
      <c r="BM42" s="388"/>
      <c r="BN42" s="263"/>
      <c r="BO42" s="389">
        <f t="shared" si="21"/>
        <v>20</v>
      </c>
      <c r="BP42" s="390"/>
      <c r="BQ42" s="390"/>
      <c r="BR42" s="390"/>
      <c r="BS42" s="390"/>
      <c r="BT42" s="390"/>
      <c r="BU42" s="390">
        <f t="shared" si="22"/>
        <v>0</v>
      </c>
      <c r="BV42" s="387">
        <f t="shared" si="23"/>
        <v>20</v>
      </c>
      <c r="BW42" s="387">
        <f t="shared" si="24"/>
        <v>0</v>
      </c>
      <c r="BX42" s="372"/>
    </row>
    <row r="43" spans="1:76" s="5" customFormat="1">
      <c r="A43" s="429">
        <f>'1-συμβολαια'!A43</f>
        <v>0</v>
      </c>
      <c r="B43" s="447"/>
      <c r="C43" s="384" t="str">
        <f>'1-συμβολαια'!C43</f>
        <v>μίσθωση … ΕΡΕΥΝΗΤΙΚΕΣ εργασίες</v>
      </c>
      <c r="D43" s="385">
        <f>'5-αντίγρ'!AO43</f>
        <v>0</v>
      </c>
      <c r="E43" s="385">
        <f>'5-αντίγρ'!V43+'5-αντίγρ'!Z43+'5-αντίγρ'!AB43+'5-αντίγρ'!AJ43</f>
        <v>0</v>
      </c>
      <c r="F43" s="386">
        <f>'6-μεταγρ'!P43</f>
        <v>0</v>
      </c>
      <c r="G43" s="386">
        <f>'6-μεταγρ'!N43+'6-μεταγρ'!O43</f>
        <v>0</v>
      </c>
      <c r="H43" s="387">
        <f>'6-μεταγρ'!Q43</f>
        <v>0</v>
      </c>
      <c r="I43" s="386">
        <f>'7-προςΔΟΥ'!X43</f>
        <v>0</v>
      </c>
      <c r="J43" s="386">
        <f>'7-προςΔΟΥ'!L43</f>
        <v>0</v>
      </c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8"/>
      <c r="AC43" s="388"/>
      <c r="AD43" s="388">
        <f t="shared" si="17"/>
        <v>0</v>
      </c>
      <c r="AE43" s="388"/>
      <c r="AF43" s="388"/>
      <c r="AG43" s="388"/>
      <c r="AH43" s="388"/>
      <c r="AI43" s="388"/>
      <c r="AJ43" s="388"/>
      <c r="AK43" s="388"/>
      <c r="AL43" s="388"/>
      <c r="AM43" s="388"/>
      <c r="AN43" s="388"/>
      <c r="AO43" s="388"/>
      <c r="AP43" s="388"/>
      <c r="AQ43" s="388"/>
      <c r="AR43" s="388"/>
      <c r="AS43" s="388">
        <f t="shared" si="18"/>
        <v>0</v>
      </c>
      <c r="AT43" s="388"/>
      <c r="AU43" s="721"/>
      <c r="AV43" s="721"/>
      <c r="AW43" s="721"/>
      <c r="AX43" s="721"/>
      <c r="AY43" s="388">
        <f t="shared" si="19"/>
        <v>0</v>
      </c>
      <c r="AZ43" s="388"/>
      <c r="BA43" s="721"/>
      <c r="BB43" s="388"/>
      <c r="BC43" s="388">
        <f t="shared" si="20"/>
        <v>0</v>
      </c>
      <c r="BD43" s="388"/>
      <c r="BE43" s="388"/>
      <c r="BF43" s="388"/>
      <c r="BG43" s="388"/>
      <c r="BH43" s="388"/>
      <c r="BI43" s="388"/>
      <c r="BJ43" s="388"/>
      <c r="BK43" s="388"/>
      <c r="BL43" s="388">
        <v>20</v>
      </c>
      <c r="BM43" s="388"/>
      <c r="BN43" s="263"/>
      <c r="BO43" s="389">
        <f t="shared" si="21"/>
        <v>20</v>
      </c>
      <c r="BP43" s="390"/>
      <c r="BQ43" s="390"/>
      <c r="BR43" s="390"/>
      <c r="BS43" s="390"/>
      <c r="BT43" s="390"/>
      <c r="BU43" s="390">
        <f t="shared" si="22"/>
        <v>0</v>
      </c>
      <c r="BV43" s="387">
        <f t="shared" si="23"/>
        <v>20</v>
      </c>
      <c r="BW43" s="387">
        <f t="shared" si="24"/>
        <v>0</v>
      </c>
      <c r="BX43" s="372"/>
    </row>
    <row r="44" spans="1:76" s="5" customFormat="1" ht="12" thickBot="1">
      <c r="A44" s="487">
        <f>'1-συμβολαια'!A44</f>
        <v>0</v>
      </c>
      <c r="B44" s="403"/>
      <c r="C44" s="393" t="str">
        <f>'1-συμβολαια'!C44</f>
        <v>μίσθωση ….. κόστος έργων αποκατάστασης</v>
      </c>
      <c r="D44" s="394">
        <f>'5-αντίγρ'!AO44</f>
        <v>0</v>
      </c>
      <c r="E44" s="394">
        <f>'5-αντίγρ'!V44+'5-αντίγρ'!Z44+'5-αντίγρ'!AB44+'5-αντίγρ'!AJ44</f>
        <v>0</v>
      </c>
      <c r="F44" s="395">
        <f>'6-μεταγρ'!P44</f>
        <v>0</v>
      </c>
      <c r="G44" s="395">
        <f>'6-μεταγρ'!N44+'6-μεταγρ'!O44</f>
        <v>0</v>
      </c>
      <c r="H44" s="396">
        <f>'6-μεταγρ'!Q44</f>
        <v>0</v>
      </c>
      <c r="I44" s="395">
        <f>'7-προςΔΟΥ'!X44</f>
        <v>0</v>
      </c>
      <c r="J44" s="395">
        <f>'7-προςΔΟΥ'!L44</f>
        <v>0</v>
      </c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396"/>
      <c r="Y44" s="396"/>
      <c r="Z44" s="396"/>
      <c r="AA44" s="396"/>
      <c r="AB44" s="396"/>
      <c r="AC44" s="396"/>
      <c r="AD44" s="396">
        <f t="shared" si="17"/>
        <v>0</v>
      </c>
      <c r="AE44" s="396"/>
      <c r="AF44" s="396"/>
      <c r="AG44" s="396"/>
      <c r="AH44" s="396"/>
      <c r="AI44" s="396"/>
      <c r="AJ44" s="396"/>
      <c r="AK44" s="396"/>
      <c r="AL44" s="396"/>
      <c r="AM44" s="396"/>
      <c r="AN44" s="396"/>
      <c r="AO44" s="396"/>
      <c r="AP44" s="396"/>
      <c r="AQ44" s="396"/>
      <c r="AR44" s="396"/>
      <c r="AS44" s="396">
        <f t="shared" si="18"/>
        <v>0</v>
      </c>
      <c r="AT44" s="396"/>
      <c r="AU44" s="724"/>
      <c r="AV44" s="724"/>
      <c r="AW44" s="724"/>
      <c r="AX44" s="724"/>
      <c r="AY44" s="396">
        <f t="shared" si="19"/>
        <v>0</v>
      </c>
      <c r="AZ44" s="396"/>
      <c r="BA44" s="724"/>
      <c r="BB44" s="396"/>
      <c r="BC44" s="396">
        <f t="shared" si="20"/>
        <v>0</v>
      </c>
      <c r="BD44" s="396"/>
      <c r="BE44" s="396"/>
      <c r="BF44" s="396"/>
      <c r="BG44" s="396"/>
      <c r="BH44" s="396"/>
      <c r="BI44" s="396"/>
      <c r="BJ44" s="396"/>
      <c r="BK44" s="396"/>
      <c r="BL44" s="396">
        <v>20</v>
      </c>
      <c r="BM44" s="396"/>
      <c r="BN44" s="357"/>
      <c r="BO44" s="397">
        <f t="shared" si="21"/>
        <v>20</v>
      </c>
      <c r="BP44" s="397"/>
      <c r="BQ44" s="397"/>
      <c r="BR44" s="397"/>
      <c r="BS44" s="397"/>
      <c r="BT44" s="397"/>
      <c r="BU44" s="397">
        <f t="shared" si="22"/>
        <v>0</v>
      </c>
      <c r="BV44" s="396">
        <f t="shared" si="23"/>
        <v>20</v>
      </c>
      <c r="BW44" s="396">
        <f t="shared" si="24"/>
        <v>0</v>
      </c>
      <c r="BX44" s="398"/>
    </row>
    <row r="45" spans="1:76" s="5" customFormat="1">
      <c r="A45" s="526" t="str">
        <f>'1-συμβολαια'!A45</f>
        <v>12ο</v>
      </c>
      <c r="B45" s="399">
        <f>'1-συμβολαια'!B45</f>
        <v>35185</v>
      </c>
      <c r="C45" s="475" t="str">
        <f>'1-συμβολαια'!C45</f>
        <v>μίσθωσης νταμάρι ... &amp; ... ΠΑΡΑΤΑΣΗ 3έτη</v>
      </c>
      <c r="D45" s="385">
        <f>'5-αντίγρ'!AO45</f>
        <v>4600</v>
      </c>
      <c r="E45" s="385">
        <f>'5-αντίγρ'!V45+'5-αντίγρ'!Z45+'5-αντίγρ'!AB45+'5-αντίγρ'!AJ45</f>
        <v>0</v>
      </c>
      <c r="F45" s="386">
        <f>'6-μεταγρ'!P45</f>
        <v>0</v>
      </c>
      <c r="G45" s="386">
        <f>'6-μεταγρ'!N45+'6-μεταγρ'!O45</f>
        <v>0</v>
      </c>
      <c r="H45" s="387">
        <f>'6-μεταγρ'!Q45</f>
        <v>0</v>
      </c>
      <c r="I45" s="386">
        <f>'7-προςΔΟΥ'!X45</f>
        <v>0</v>
      </c>
      <c r="J45" s="386">
        <f>'7-προςΔΟΥ'!L45</f>
        <v>0</v>
      </c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7"/>
      <c r="AC45" s="387"/>
      <c r="AD45" s="387">
        <f t="shared" si="17"/>
        <v>0</v>
      </c>
      <c r="AE45" s="387"/>
      <c r="AF45" s="387"/>
      <c r="AG45" s="387"/>
      <c r="AH45" s="387">
        <v>1100</v>
      </c>
      <c r="AI45" s="387"/>
      <c r="AJ45" s="387"/>
      <c r="AK45" s="387"/>
      <c r="AL45" s="387"/>
      <c r="AM45" s="387"/>
      <c r="AN45" s="387"/>
      <c r="AO45" s="387"/>
      <c r="AP45" s="387"/>
      <c r="AQ45" s="387"/>
      <c r="AR45" s="387"/>
      <c r="AS45" s="387">
        <f t="shared" si="18"/>
        <v>1100</v>
      </c>
      <c r="AT45" s="387">
        <f>1000+1100</f>
        <v>2100</v>
      </c>
      <c r="AU45" s="725"/>
      <c r="AV45" s="725"/>
      <c r="AW45" s="725"/>
      <c r="AX45" s="725"/>
      <c r="AY45" s="387">
        <f t="shared" si="19"/>
        <v>2100</v>
      </c>
      <c r="AZ45" s="387"/>
      <c r="BA45" s="725"/>
      <c r="BB45" s="387">
        <f>1000+1100</f>
        <v>2100</v>
      </c>
      <c r="BC45" s="387">
        <f t="shared" si="20"/>
        <v>2100</v>
      </c>
      <c r="BD45" s="387"/>
      <c r="BE45" s="387"/>
      <c r="BF45" s="387"/>
      <c r="BG45" s="387"/>
      <c r="BH45" s="387"/>
      <c r="BI45" s="387"/>
      <c r="BJ45" s="387"/>
      <c r="BK45" s="387"/>
      <c r="BL45" s="387">
        <v>20</v>
      </c>
      <c r="BM45" s="387">
        <v>30</v>
      </c>
      <c r="BN45" s="427"/>
      <c r="BO45" s="390">
        <f t="shared" si="21"/>
        <v>50</v>
      </c>
      <c r="BP45" s="390"/>
      <c r="BQ45" s="390"/>
      <c r="BR45" s="390"/>
      <c r="BS45" s="390"/>
      <c r="BT45" s="390"/>
      <c r="BU45" s="390">
        <f t="shared" si="22"/>
        <v>0</v>
      </c>
      <c r="BV45" s="387">
        <f t="shared" si="23"/>
        <v>9950</v>
      </c>
      <c r="BW45" s="387">
        <f t="shared" si="24"/>
        <v>0</v>
      </c>
      <c r="BX45" s="406"/>
    </row>
    <row r="46" spans="1:76" s="5" customFormat="1" ht="12" thickBot="1">
      <c r="A46" s="392">
        <f>'1-συμβολαια'!A46</f>
        <v>0</v>
      </c>
      <c r="B46" s="403"/>
      <c r="C46" s="393" t="str">
        <f>'1-συμβολαια'!C46</f>
        <v>ΧΑΟΣ= κλείσιμο &amp; εκ ΝΕΟΥ</v>
      </c>
      <c r="D46" s="394">
        <f>'5-αντίγρ'!AO46</f>
        <v>0</v>
      </c>
      <c r="E46" s="394">
        <f>'5-αντίγρ'!V46+'5-αντίγρ'!Z46+'5-αντίγρ'!AB46+'5-αντίγρ'!AJ46</f>
        <v>0</v>
      </c>
      <c r="F46" s="395">
        <f>'6-μεταγρ'!P46</f>
        <v>0</v>
      </c>
      <c r="G46" s="395">
        <f>'6-μεταγρ'!N46+'6-μεταγρ'!O46</f>
        <v>0</v>
      </c>
      <c r="H46" s="396">
        <f>'6-μεταγρ'!Q46</f>
        <v>0</v>
      </c>
      <c r="I46" s="395">
        <f>'7-προςΔΟΥ'!X46</f>
        <v>0</v>
      </c>
      <c r="J46" s="395">
        <f>'7-προςΔΟΥ'!L46</f>
        <v>0</v>
      </c>
      <c r="K46" s="396"/>
      <c r="L46" s="396"/>
      <c r="M46" s="396"/>
      <c r="N46" s="396"/>
      <c r="O46" s="396"/>
      <c r="P46" s="396"/>
      <c r="Q46" s="396"/>
      <c r="R46" s="396"/>
      <c r="S46" s="396"/>
      <c r="T46" s="396"/>
      <c r="U46" s="396"/>
      <c r="V46" s="396"/>
      <c r="W46" s="396"/>
      <c r="X46" s="396"/>
      <c r="Y46" s="396"/>
      <c r="Z46" s="396"/>
      <c r="AA46" s="396"/>
      <c r="AB46" s="396"/>
      <c r="AC46" s="396"/>
      <c r="AD46" s="396">
        <f t="shared" si="17"/>
        <v>0</v>
      </c>
      <c r="AE46" s="396"/>
      <c r="AF46" s="396"/>
      <c r="AG46" s="396"/>
      <c r="AH46" s="396"/>
      <c r="AI46" s="396"/>
      <c r="AJ46" s="396"/>
      <c r="AK46" s="396"/>
      <c r="AL46" s="396"/>
      <c r="AM46" s="396"/>
      <c r="AN46" s="396"/>
      <c r="AO46" s="396"/>
      <c r="AP46" s="396"/>
      <c r="AQ46" s="396"/>
      <c r="AR46" s="396"/>
      <c r="AS46" s="396">
        <f t="shared" si="18"/>
        <v>0</v>
      </c>
      <c r="AT46" s="396"/>
      <c r="AU46" s="724"/>
      <c r="AV46" s="724"/>
      <c r="AW46" s="724"/>
      <c r="AX46" s="724"/>
      <c r="AY46" s="396">
        <f t="shared" si="19"/>
        <v>0</v>
      </c>
      <c r="AZ46" s="396"/>
      <c r="BA46" s="724"/>
      <c r="BB46" s="396"/>
      <c r="BC46" s="396">
        <f t="shared" si="20"/>
        <v>0</v>
      </c>
      <c r="BD46" s="396"/>
      <c r="BE46" s="396"/>
      <c r="BF46" s="396"/>
      <c r="BG46" s="396"/>
      <c r="BH46" s="396"/>
      <c r="BI46" s="396"/>
      <c r="BJ46" s="396"/>
      <c r="BK46" s="396"/>
      <c r="BL46" s="396">
        <v>20</v>
      </c>
      <c r="BM46" s="396"/>
      <c r="BN46" s="357"/>
      <c r="BO46" s="397">
        <f t="shared" si="21"/>
        <v>20</v>
      </c>
      <c r="BP46" s="397"/>
      <c r="BQ46" s="397"/>
      <c r="BR46" s="397"/>
      <c r="BS46" s="397"/>
      <c r="BT46" s="397"/>
      <c r="BU46" s="397">
        <f t="shared" si="22"/>
        <v>0</v>
      </c>
      <c r="BV46" s="396">
        <f t="shared" si="23"/>
        <v>20</v>
      </c>
      <c r="BW46" s="396">
        <f t="shared" si="24"/>
        <v>0</v>
      </c>
      <c r="BX46" s="372"/>
    </row>
    <row r="47" spans="1:76" s="7" customFormat="1">
      <c r="A47" s="934" t="s">
        <v>45</v>
      </c>
      <c r="B47" s="935"/>
      <c r="C47" s="935"/>
      <c r="D47" s="612">
        <f t="shared" ref="D47:AD47" si="25">SUM(D3:D46)</f>
        <v>55946</v>
      </c>
      <c r="E47" s="612">
        <f t="shared" si="25"/>
        <v>671</v>
      </c>
      <c r="F47" s="612">
        <f t="shared" si="25"/>
        <v>11440</v>
      </c>
      <c r="G47" s="612">
        <f t="shared" si="25"/>
        <v>700</v>
      </c>
      <c r="H47" s="612">
        <f t="shared" si="25"/>
        <v>0</v>
      </c>
      <c r="I47" s="612">
        <f t="shared" si="25"/>
        <v>18120</v>
      </c>
      <c r="J47" s="612">
        <f t="shared" si="25"/>
        <v>150</v>
      </c>
      <c r="K47" s="612">
        <f t="shared" si="25"/>
        <v>0</v>
      </c>
      <c r="L47" s="612">
        <f t="shared" si="25"/>
        <v>2640</v>
      </c>
      <c r="M47" s="612">
        <f t="shared" si="25"/>
        <v>1400</v>
      </c>
      <c r="N47" s="612">
        <f t="shared" si="25"/>
        <v>0</v>
      </c>
      <c r="O47" s="612">
        <f t="shared" si="25"/>
        <v>0</v>
      </c>
      <c r="P47" s="612">
        <f t="shared" si="25"/>
        <v>0</v>
      </c>
      <c r="Q47" s="612">
        <f t="shared" si="25"/>
        <v>2640</v>
      </c>
      <c r="R47" s="612">
        <f t="shared" si="25"/>
        <v>0</v>
      </c>
      <c r="S47" s="612">
        <f t="shared" si="25"/>
        <v>0</v>
      </c>
      <c r="T47" s="612">
        <f t="shared" si="25"/>
        <v>1400</v>
      </c>
      <c r="U47" s="612">
        <f t="shared" si="25"/>
        <v>0</v>
      </c>
      <c r="V47" s="612">
        <f t="shared" si="25"/>
        <v>0</v>
      </c>
      <c r="W47" s="612">
        <f t="shared" si="25"/>
        <v>0</v>
      </c>
      <c r="X47" s="612">
        <f t="shared" si="25"/>
        <v>0</v>
      </c>
      <c r="Y47" s="612">
        <f t="shared" si="25"/>
        <v>0</v>
      </c>
      <c r="Z47" s="612">
        <f t="shared" si="25"/>
        <v>0</v>
      </c>
      <c r="AA47" s="612">
        <f t="shared" si="25"/>
        <v>0</v>
      </c>
      <c r="AB47" s="612">
        <f t="shared" si="25"/>
        <v>0</v>
      </c>
      <c r="AC47" s="612">
        <f t="shared" si="25"/>
        <v>0</v>
      </c>
      <c r="AD47" s="612">
        <f t="shared" si="25"/>
        <v>8080</v>
      </c>
      <c r="AE47" s="612"/>
      <c r="AF47" s="612">
        <f t="shared" ref="AF47:BW47" si="26">SUM(AF3:AF46)</f>
        <v>3900</v>
      </c>
      <c r="AG47" s="612">
        <f t="shared" si="26"/>
        <v>0</v>
      </c>
      <c r="AH47" s="612">
        <f t="shared" si="26"/>
        <v>16700</v>
      </c>
      <c r="AI47" s="612">
        <f t="shared" si="26"/>
        <v>0</v>
      </c>
      <c r="AJ47" s="612">
        <f t="shared" si="26"/>
        <v>0</v>
      </c>
      <c r="AK47" s="645">
        <f t="shared" si="26"/>
        <v>0</v>
      </c>
      <c r="AL47" s="612">
        <f t="shared" si="26"/>
        <v>600</v>
      </c>
      <c r="AM47" s="612">
        <f t="shared" si="26"/>
        <v>0</v>
      </c>
      <c r="AN47" s="612">
        <f t="shared" si="26"/>
        <v>0</v>
      </c>
      <c r="AO47" s="612">
        <f t="shared" si="26"/>
        <v>0</v>
      </c>
      <c r="AP47" s="612">
        <f t="shared" si="26"/>
        <v>0</v>
      </c>
      <c r="AQ47" s="612">
        <f t="shared" si="26"/>
        <v>0</v>
      </c>
      <c r="AR47" s="612">
        <f t="shared" si="26"/>
        <v>0</v>
      </c>
      <c r="AS47" s="612">
        <f t="shared" si="26"/>
        <v>20600</v>
      </c>
      <c r="AT47" s="612">
        <f t="shared" si="26"/>
        <v>13740</v>
      </c>
      <c r="AU47" s="723">
        <f t="shared" si="26"/>
        <v>0</v>
      </c>
      <c r="AV47" s="645">
        <f t="shared" si="26"/>
        <v>0</v>
      </c>
      <c r="AW47" s="723">
        <f t="shared" si="26"/>
        <v>0</v>
      </c>
      <c r="AX47" s="723">
        <f t="shared" si="26"/>
        <v>0</v>
      </c>
      <c r="AY47" s="612">
        <f t="shared" si="26"/>
        <v>13740</v>
      </c>
      <c r="AZ47" s="612">
        <f t="shared" si="26"/>
        <v>0</v>
      </c>
      <c r="BA47" s="723">
        <f t="shared" si="26"/>
        <v>0</v>
      </c>
      <c r="BB47" s="612">
        <f t="shared" si="26"/>
        <v>30400</v>
      </c>
      <c r="BC47" s="612">
        <f t="shared" si="26"/>
        <v>30400</v>
      </c>
      <c r="BD47" s="612">
        <f t="shared" si="26"/>
        <v>0</v>
      </c>
      <c r="BE47" s="612">
        <f t="shared" si="26"/>
        <v>0</v>
      </c>
      <c r="BF47" s="612">
        <f t="shared" si="26"/>
        <v>0</v>
      </c>
      <c r="BG47" s="612">
        <f t="shared" si="26"/>
        <v>0</v>
      </c>
      <c r="BH47" s="612">
        <f t="shared" si="26"/>
        <v>0</v>
      </c>
      <c r="BI47" s="612">
        <f t="shared" si="26"/>
        <v>0</v>
      </c>
      <c r="BJ47" s="612">
        <f t="shared" si="26"/>
        <v>0</v>
      </c>
      <c r="BK47" s="612">
        <f t="shared" si="26"/>
        <v>210</v>
      </c>
      <c r="BL47" s="612">
        <f t="shared" si="26"/>
        <v>440</v>
      </c>
      <c r="BM47" s="612">
        <f t="shared" si="26"/>
        <v>530</v>
      </c>
      <c r="BN47" s="612">
        <f t="shared" si="26"/>
        <v>0</v>
      </c>
      <c r="BO47" s="612">
        <f t="shared" si="26"/>
        <v>1180</v>
      </c>
      <c r="BP47" s="612">
        <f t="shared" si="26"/>
        <v>0</v>
      </c>
      <c r="BQ47" s="612">
        <f t="shared" si="26"/>
        <v>0</v>
      </c>
      <c r="BR47" s="612">
        <f t="shared" si="26"/>
        <v>0</v>
      </c>
      <c r="BS47" s="612">
        <f t="shared" si="26"/>
        <v>0</v>
      </c>
      <c r="BT47" s="612">
        <f t="shared" si="26"/>
        <v>0</v>
      </c>
      <c r="BU47" s="612">
        <f t="shared" si="26"/>
        <v>0</v>
      </c>
      <c r="BV47" s="612">
        <f t="shared" si="26"/>
        <v>159296</v>
      </c>
      <c r="BW47" s="612">
        <f t="shared" si="26"/>
        <v>1731</v>
      </c>
      <c r="BX47" s="331"/>
    </row>
    <row r="48" spans="1:76" ht="11.25" customHeight="1"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7"/>
      <c r="BW48" s="7"/>
      <c r="BX48" s="2"/>
    </row>
    <row r="49" spans="3:76" ht="11.25" customHeight="1">
      <c r="C49" s="327"/>
      <c r="D49" s="71" t="s">
        <v>683</v>
      </c>
      <c r="E49" s="122"/>
      <c r="F49" s="7">
        <v>300</v>
      </c>
      <c r="G49" s="558" t="s">
        <v>502</v>
      </c>
      <c r="H49" s="4"/>
      <c r="I49" s="2"/>
      <c r="J49" s="2"/>
      <c r="K49" s="156" t="s">
        <v>401</v>
      </c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2"/>
      <c r="AE49" s="2"/>
      <c r="AF49" s="17" t="s">
        <v>412</v>
      </c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147" t="s">
        <v>171</v>
      </c>
      <c r="AU49" s="2"/>
      <c r="AV49" s="2"/>
      <c r="AW49" s="2"/>
      <c r="AX49" s="2"/>
      <c r="AY49" s="2"/>
      <c r="AZ49" s="147" t="s">
        <v>183</v>
      </c>
      <c r="BA49" s="2"/>
      <c r="BB49" s="2"/>
      <c r="BC49" s="2"/>
      <c r="BD49" s="147" t="s">
        <v>196</v>
      </c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 t="s">
        <v>463</v>
      </c>
      <c r="BQ49" s="2"/>
      <c r="BR49" s="2"/>
      <c r="BS49" s="2"/>
      <c r="BT49" s="2"/>
      <c r="BU49" s="2"/>
      <c r="BV49" s="7"/>
      <c r="BW49" s="7"/>
      <c r="BX49" s="2"/>
    </row>
    <row r="50" spans="3:76" ht="11.25" customHeight="1">
      <c r="C50" s="327"/>
      <c r="D50" s="464" t="s">
        <v>511</v>
      </c>
      <c r="E50" s="122"/>
      <c r="F50" s="7">
        <v>300</v>
      </c>
      <c r="G50" s="558" t="s">
        <v>591</v>
      </c>
      <c r="H50" s="4"/>
      <c r="I50" s="2"/>
      <c r="J50" s="2"/>
      <c r="K50" s="4"/>
      <c r="L50" s="156" t="s">
        <v>402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2"/>
      <c r="AE50" s="2"/>
      <c r="AF50" s="2"/>
      <c r="AG50" s="156" t="s">
        <v>166</v>
      </c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35" t="s">
        <v>174</v>
      </c>
      <c r="AV50" s="2"/>
      <c r="AW50" s="2"/>
      <c r="AX50" s="2"/>
      <c r="AY50" s="2"/>
      <c r="AZ50" s="2"/>
      <c r="BA50" s="234" t="s">
        <v>184</v>
      </c>
      <c r="BB50" s="2"/>
      <c r="BC50" s="2"/>
      <c r="BD50" s="2"/>
      <c r="BE50" s="167" t="s">
        <v>199</v>
      </c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 t="s">
        <v>464</v>
      </c>
      <c r="BR50" s="2"/>
      <c r="BS50" s="2"/>
      <c r="BT50" s="2"/>
      <c r="BU50" s="2"/>
      <c r="BV50" s="7"/>
      <c r="BW50" s="7"/>
      <c r="BX50" s="2"/>
    </row>
    <row r="51" spans="3:76" ht="11.25" customHeight="1">
      <c r="C51" s="327"/>
      <c r="D51" s="464" t="s">
        <v>512</v>
      </c>
      <c r="E51" s="122"/>
      <c r="F51" s="7">
        <v>300</v>
      </c>
      <c r="G51" s="559" t="s">
        <v>592</v>
      </c>
      <c r="H51" s="4"/>
      <c r="I51" s="2"/>
      <c r="J51" s="2"/>
      <c r="K51" s="4"/>
      <c r="L51" s="4"/>
      <c r="M51" s="156" t="s">
        <v>403</v>
      </c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2"/>
      <c r="AE51" s="2"/>
      <c r="AF51" s="2"/>
      <c r="AG51" s="2"/>
      <c r="AH51" s="17" t="s">
        <v>413</v>
      </c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4" t="s">
        <v>172</v>
      </c>
      <c r="AW51" s="2"/>
      <c r="AX51" s="2"/>
      <c r="AY51" s="2"/>
      <c r="AZ51" s="2"/>
      <c r="BA51" s="2"/>
      <c r="BB51" s="147" t="s">
        <v>185</v>
      </c>
      <c r="BC51" s="2"/>
      <c r="BD51" s="2"/>
      <c r="BE51" s="2"/>
      <c r="BF51" s="147" t="s">
        <v>200</v>
      </c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 t="s">
        <v>31</v>
      </c>
      <c r="BS51" s="2"/>
      <c r="BT51" s="2"/>
      <c r="BU51" s="2"/>
      <c r="BV51" s="7"/>
      <c r="BW51" s="7"/>
      <c r="BX51" s="2"/>
    </row>
    <row r="52" spans="3:76" ht="11.25" customHeight="1">
      <c r="C52" s="327"/>
      <c r="D52" s="464"/>
      <c r="E52" s="122"/>
      <c r="F52" s="7">
        <v>600</v>
      </c>
      <c r="G52" s="558" t="s">
        <v>569</v>
      </c>
      <c r="H52" s="4"/>
      <c r="I52" s="2"/>
      <c r="J52" s="2"/>
      <c r="K52" s="4"/>
      <c r="L52" s="4"/>
      <c r="M52" s="4"/>
      <c r="N52" s="169" t="s">
        <v>404</v>
      </c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2"/>
      <c r="AE52" s="2"/>
      <c r="AF52" s="2"/>
      <c r="AG52" s="2"/>
      <c r="AH52" s="2"/>
      <c r="AI52" s="107" t="s">
        <v>414</v>
      </c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35" t="s">
        <v>173</v>
      </c>
      <c r="AX52" s="2"/>
      <c r="AY52" s="2"/>
      <c r="AZ52" s="2"/>
      <c r="BA52" s="2"/>
      <c r="BB52" s="2"/>
      <c r="BC52" s="2"/>
      <c r="BD52" s="2"/>
      <c r="BE52" s="2"/>
      <c r="BF52" s="2"/>
      <c r="BG52" s="167" t="s">
        <v>202</v>
      </c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 t="s">
        <v>465</v>
      </c>
      <c r="BT52" s="2"/>
      <c r="BU52" s="2"/>
      <c r="BV52" s="7"/>
      <c r="BW52" s="7"/>
      <c r="BX52" s="2"/>
    </row>
    <row r="53" spans="3:76" ht="11.25" customHeight="1">
      <c r="C53" s="336" t="s">
        <v>521</v>
      </c>
      <c r="D53" s="71" t="s">
        <v>684</v>
      </c>
      <c r="E53" s="122"/>
      <c r="F53" s="7">
        <v>1100</v>
      </c>
      <c r="G53" s="558" t="s">
        <v>568</v>
      </c>
      <c r="H53" s="4"/>
      <c r="I53" s="2"/>
      <c r="J53" s="2"/>
      <c r="K53" s="4"/>
      <c r="L53" s="4"/>
      <c r="M53" s="4"/>
      <c r="N53" s="4"/>
      <c r="O53" s="147" t="s">
        <v>405</v>
      </c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2"/>
      <c r="AE53" s="2"/>
      <c r="AF53" s="2"/>
      <c r="AG53" s="2"/>
      <c r="AH53" s="2"/>
      <c r="AI53" s="2"/>
      <c r="AJ53" s="17" t="s">
        <v>415</v>
      </c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34" t="s">
        <v>180</v>
      </c>
      <c r="AY53" s="2"/>
      <c r="AZ53" s="2"/>
      <c r="BA53" s="2"/>
      <c r="BB53" s="2"/>
      <c r="BC53" s="2"/>
      <c r="BD53" s="2"/>
      <c r="BE53" s="2"/>
      <c r="BF53" s="2"/>
      <c r="BG53" s="2"/>
      <c r="BH53" s="147" t="s">
        <v>203</v>
      </c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 t="s">
        <v>57</v>
      </c>
      <c r="BU53" s="2"/>
      <c r="BV53" s="7"/>
      <c r="BW53" s="7"/>
    </row>
    <row r="54" spans="3:76" ht="11.25" customHeight="1">
      <c r="C54" s="479" t="s">
        <v>695</v>
      </c>
      <c r="D54" s="464" t="s">
        <v>536</v>
      </c>
      <c r="E54" s="122"/>
      <c r="F54" s="52">
        <v>1100</v>
      </c>
      <c r="G54" s="124" t="s">
        <v>582</v>
      </c>
      <c r="H54" s="2"/>
      <c r="I54" s="2"/>
      <c r="J54" s="2"/>
      <c r="K54" s="4"/>
      <c r="L54" s="4"/>
      <c r="M54" s="4"/>
      <c r="N54" s="4"/>
      <c r="O54" s="4"/>
      <c r="P54" s="147" t="s">
        <v>458</v>
      </c>
      <c r="Q54" s="4"/>
      <c r="R54" s="169"/>
      <c r="S54" s="169"/>
      <c r="T54" s="169"/>
      <c r="U54" s="4"/>
      <c r="V54" s="4"/>
      <c r="W54" s="4"/>
      <c r="X54" s="4"/>
      <c r="Y54" s="4"/>
      <c r="Z54" s="4"/>
      <c r="AA54" s="4"/>
      <c r="AB54" s="4"/>
      <c r="AC54" s="4"/>
      <c r="AD54" s="2"/>
      <c r="AE54" s="2"/>
      <c r="AF54" s="2"/>
      <c r="AG54" s="2"/>
      <c r="AH54" s="2"/>
      <c r="AI54" s="2"/>
      <c r="AJ54" s="2"/>
      <c r="AK54" s="233" t="s">
        <v>416</v>
      </c>
      <c r="AL54" s="107"/>
      <c r="AM54" s="107"/>
      <c r="AN54" s="107"/>
      <c r="AO54" s="107"/>
      <c r="AP54" s="107"/>
      <c r="AQ54" s="107"/>
      <c r="AR54" s="107"/>
      <c r="AS54" s="2"/>
      <c r="AT54" s="2"/>
      <c r="AU54" s="2"/>
      <c r="AV54" s="2"/>
      <c r="AW54" s="2"/>
      <c r="AX54" s="2"/>
      <c r="AY54" s="2"/>
      <c r="AZ54" s="2"/>
      <c r="BA54" s="2"/>
      <c r="BB54" s="147" t="s">
        <v>191</v>
      </c>
      <c r="BC54" s="2"/>
      <c r="BD54" s="2"/>
      <c r="BE54" s="2"/>
      <c r="BF54" s="2"/>
      <c r="BG54" s="2"/>
      <c r="BH54" s="2"/>
      <c r="BI54" s="167" t="s">
        <v>204</v>
      </c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7"/>
      <c r="BW54" s="7"/>
    </row>
    <row r="55" spans="3:76">
      <c r="C55" s="84"/>
      <c r="D55" s="464" t="s">
        <v>512</v>
      </c>
      <c r="E55" s="75"/>
      <c r="F55" s="7">
        <v>1100</v>
      </c>
      <c r="G55" s="124" t="s">
        <v>621</v>
      </c>
      <c r="H55" s="2"/>
      <c r="I55" s="2"/>
      <c r="J55" s="2"/>
      <c r="K55" s="4"/>
      <c r="L55" s="4"/>
      <c r="M55" s="4"/>
      <c r="N55" s="4"/>
      <c r="O55" s="4"/>
      <c r="P55" s="4"/>
      <c r="Q55" s="169" t="s">
        <v>406</v>
      </c>
      <c r="R55" s="169"/>
      <c r="S55" s="169"/>
      <c r="T55" s="169"/>
      <c r="U55" s="4"/>
      <c r="V55" s="4"/>
      <c r="W55" s="4"/>
      <c r="X55" s="4"/>
      <c r="Y55" s="4"/>
      <c r="Z55" s="4"/>
      <c r="AA55" s="4"/>
      <c r="AB55" s="4"/>
      <c r="AC55" s="4"/>
      <c r="AD55" s="2"/>
      <c r="AE55" s="2"/>
      <c r="AF55" s="2"/>
      <c r="AG55" s="2"/>
      <c r="AH55" s="2"/>
      <c r="AI55" s="2"/>
      <c r="AJ55" s="2"/>
      <c r="AK55" s="2"/>
      <c r="AL55" s="155" t="s">
        <v>417</v>
      </c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35" t="s">
        <v>189</v>
      </c>
      <c r="BC55" s="2"/>
      <c r="BD55" s="2"/>
      <c r="BE55" s="2"/>
      <c r="BF55" s="2"/>
      <c r="BG55" s="2"/>
      <c r="BH55" s="2"/>
      <c r="BI55" s="2"/>
      <c r="BJ55" s="147" t="s">
        <v>205</v>
      </c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7"/>
      <c r="BW55" s="7"/>
    </row>
    <row r="56" spans="3:76">
      <c r="C56" s="84"/>
      <c r="D56" s="464"/>
      <c r="E56" s="75"/>
      <c r="F56" s="2"/>
      <c r="G56" s="2"/>
      <c r="H56" s="2"/>
      <c r="I56" s="2"/>
      <c r="J56" s="2"/>
      <c r="K56" s="4"/>
      <c r="L56" s="4"/>
      <c r="M56" s="4"/>
      <c r="N56" s="4"/>
      <c r="O56" s="4"/>
      <c r="P56" s="4"/>
      <c r="Q56" s="4"/>
      <c r="R56" s="147" t="s">
        <v>426</v>
      </c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2"/>
      <c r="AE56" s="2"/>
      <c r="AF56" s="2"/>
      <c r="AG56" s="2"/>
      <c r="AH56" s="2"/>
      <c r="AI56" s="2"/>
      <c r="AJ56" s="2"/>
      <c r="AK56" s="2"/>
      <c r="AL56" s="2"/>
      <c r="AM56" s="107" t="s">
        <v>455</v>
      </c>
      <c r="AN56" s="107"/>
      <c r="AO56" s="107"/>
      <c r="AP56" s="107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147" t="s">
        <v>190</v>
      </c>
      <c r="BC56" s="2"/>
      <c r="BD56" s="2"/>
      <c r="BE56" s="2"/>
      <c r="BF56" s="2"/>
      <c r="BG56" s="2"/>
      <c r="BH56" s="2"/>
      <c r="BI56" s="2"/>
      <c r="BJ56" s="2"/>
      <c r="BK56" s="167" t="s">
        <v>272</v>
      </c>
      <c r="BL56" s="167"/>
      <c r="BM56" s="167"/>
      <c r="BN56" s="2"/>
      <c r="BO56" s="2"/>
      <c r="BP56" s="2"/>
      <c r="BQ56" s="2"/>
      <c r="BR56" s="2"/>
      <c r="BS56" s="2"/>
      <c r="BT56" s="2"/>
      <c r="BU56" s="2"/>
      <c r="BV56" s="7"/>
      <c r="BW56" s="7"/>
    </row>
    <row r="57" spans="3:76">
      <c r="C57" s="84"/>
      <c r="D57" s="71" t="s">
        <v>685</v>
      </c>
      <c r="E57" s="75"/>
      <c r="F57" s="2"/>
      <c r="G57" s="2"/>
      <c r="H57" s="2"/>
      <c r="I57" s="2"/>
      <c r="J57" s="2"/>
      <c r="K57" s="4"/>
      <c r="L57" s="4"/>
      <c r="M57" s="4"/>
      <c r="N57" s="4"/>
      <c r="O57" s="4"/>
      <c r="P57" s="4"/>
      <c r="Q57" s="4"/>
      <c r="R57" s="4"/>
      <c r="S57" s="168" t="s">
        <v>427</v>
      </c>
      <c r="T57" s="169"/>
      <c r="U57" s="4"/>
      <c r="V57" s="4"/>
      <c r="W57" s="4"/>
      <c r="X57" s="4"/>
      <c r="Y57" s="4"/>
      <c r="Z57" s="4"/>
      <c r="AA57" s="4"/>
      <c r="AB57" s="4"/>
      <c r="AC57" s="4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155" t="s">
        <v>456</v>
      </c>
      <c r="AO57" s="2"/>
      <c r="AP57" s="155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167" t="s">
        <v>192</v>
      </c>
      <c r="BC57" s="2"/>
      <c r="BD57" s="2"/>
      <c r="BE57" s="2"/>
      <c r="BF57" s="2"/>
      <c r="BG57" s="2"/>
      <c r="BH57" s="2"/>
      <c r="BI57" s="2"/>
      <c r="BJ57" s="2"/>
      <c r="BK57" s="2"/>
      <c r="BL57" s="147" t="s">
        <v>444</v>
      </c>
      <c r="BM57" s="147"/>
      <c r="BN57" s="2"/>
      <c r="BO57" s="2"/>
      <c r="BP57" s="2"/>
      <c r="BQ57" s="2"/>
      <c r="BR57" s="2"/>
      <c r="BS57" s="2"/>
      <c r="BT57" s="2"/>
      <c r="BU57" s="2"/>
      <c r="BV57" s="7"/>
      <c r="BW57" s="7"/>
    </row>
    <row r="58" spans="3:76">
      <c r="C58" s="84"/>
      <c r="D58" s="464" t="s">
        <v>535</v>
      </c>
      <c r="E58" s="75"/>
      <c r="F58" s="79"/>
      <c r="G58" s="79"/>
      <c r="H58" s="79"/>
      <c r="I58" s="79"/>
      <c r="J58" s="2"/>
      <c r="K58" s="79"/>
      <c r="L58" s="79"/>
      <c r="M58" s="79"/>
      <c r="N58" s="79"/>
      <c r="O58" s="4"/>
      <c r="P58" s="4"/>
      <c r="Q58" s="4"/>
      <c r="R58" s="4"/>
      <c r="S58" s="4"/>
      <c r="T58" s="147" t="s">
        <v>452</v>
      </c>
      <c r="U58" s="4"/>
      <c r="V58" s="4"/>
      <c r="W58" s="4"/>
      <c r="X58" s="4"/>
      <c r="Y58" s="4"/>
      <c r="Z58" s="4"/>
      <c r="AA58" s="4"/>
      <c r="AB58" s="4"/>
      <c r="AC58" s="4"/>
      <c r="AD58" s="2"/>
      <c r="AE58" s="2"/>
      <c r="AF58" s="2"/>
      <c r="AG58" s="2"/>
      <c r="AH58" s="79"/>
      <c r="AI58" s="79"/>
      <c r="AJ58" s="79"/>
      <c r="AK58" s="79"/>
      <c r="AL58" s="79"/>
      <c r="AM58" s="79"/>
      <c r="AN58" s="79"/>
      <c r="AO58" s="107" t="s">
        <v>418</v>
      </c>
      <c r="AP58" s="107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172" t="s">
        <v>238</v>
      </c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169" t="s">
        <v>443</v>
      </c>
      <c r="BN58" s="79"/>
      <c r="BO58" s="79"/>
      <c r="BP58" s="79"/>
      <c r="BQ58" s="79"/>
      <c r="BR58" s="79"/>
      <c r="BS58" s="79"/>
      <c r="BT58" s="79"/>
      <c r="BU58" s="79"/>
      <c r="BV58" s="7"/>
      <c r="BW58" s="7"/>
    </row>
    <row r="59" spans="3:76">
      <c r="C59" s="84"/>
      <c r="D59" s="464" t="s">
        <v>512</v>
      </c>
      <c r="E59" s="75"/>
      <c r="G59" s="716" t="s">
        <v>502</v>
      </c>
      <c r="H59" s="2" t="s">
        <v>501</v>
      </c>
      <c r="K59" s="79"/>
      <c r="L59" s="79"/>
      <c r="M59" s="79"/>
      <c r="N59" s="79"/>
      <c r="O59" s="79"/>
      <c r="P59" s="79"/>
      <c r="Q59" s="4"/>
      <c r="R59" s="4"/>
      <c r="S59" s="4"/>
      <c r="T59" s="4"/>
      <c r="U59" s="169" t="s">
        <v>459</v>
      </c>
      <c r="V59" s="4"/>
      <c r="W59" s="4"/>
      <c r="X59" s="4"/>
      <c r="Y59" s="4"/>
      <c r="Z59" s="4"/>
      <c r="AA59" s="4"/>
      <c r="AB59" s="4"/>
      <c r="AC59" s="4"/>
      <c r="AD59" s="2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2"/>
      <c r="AP59" s="155" t="s">
        <v>419</v>
      </c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173" t="s">
        <v>239</v>
      </c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"/>
      <c r="BW59" s="7"/>
    </row>
    <row r="60" spans="3:76">
      <c r="C60" s="84"/>
      <c r="E60" s="75"/>
      <c r="G60" s="716" t="s">
        <v>605</v>
      </c>
      <c r="H60" s="2" t="s">
        <v>501</v>
      </c>
      <c r="M60" s="79"/>
      <c r="N60" s="79"/>
      <c r="O60" s="79"/>
      <c r="P60" s="79"/>
      <c r="Q60" s="4"/>
      <c r="R60" s="4"/>
      <c r="S60" s="4"/>
      <c r="T60" s="4"/>
      <c r="U60" s="4"/>
      <c r="V60" s="169" t="s">
        <v>407</v>
      </c>
      <c r="W60" s="4"/>
      <c r="X60" s="4"/>
      <c r="Y60" s="4"/>
      <c r="Z60" s="4"/>
      <c r="AA60" s="4"/>
      <c r="AB60" s="4"/>
      <c r="AC60" s="4"/>
      <c r="AD60" s="2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172" t="s">
        <v>240</v>
      </c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"/>
      <c r="BW60" s="7"/>
    </row>
    <row r="61" spans="3:76" ht="20.25">
      <c r="C61" s="84"/>
      <c r="D61" s="71" t="s">
        <v>686</v>
      </c>
      <c r="E61" s="75"/>
      <c r="G61" s="717" t="s">
        <v>606</v>
      </c>
      <c r="H61" s="2" t="s">
        <v>501</v>
      </c>
      <c r="M61" s="79"/>
      <c r="N61" s="79"/>
      <c r="O61" s="79"/>
      <c r="P61" s="79"/>
      <c r="Q61" s="79"/>
      <c r="R61" s="79"/>
      <c r="S61" s="79"/>
      <c r="T61" s="79"/>
      <c r="U61" s="4"/>
      <c r="V61" s="4"/>
      <c r="W61" s="147" t="s">
        <v>408</v>
      </c>
      <c r="X61" s="4"/>
      <c r="Y61" s="4"/>
      <c r="Z61" s="4"/>
      <c r="AA61" s="4"/>
      <c r="AB61" s="4"/>
      <c r="AC61" s="4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323" t="s">
        <v>481</v>
      </c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"/>
      <c r="BW61" s="7"/>
    </row>
    <row r="62" spans="3:76">
      <c r="C62" s="84"/>
      <c r="D62" s="464" t="s">
        <v>535</v>
      </c>
      <c r="E62" s="75"/>
      <c r="G62" s="717" t="s">
        <v>558</v>
      </c>
      <c r="H62" s="529" t="s">
        <v>489</v>
      </c>
      <c r="K62" s="557"/>
      <c r="M62" s="79"/>
      <c r="N62" s="79"/>
      <c r="O62" s="79"/>
      <c r="P62" s="79"/>
      <c r="Q62" s="79"/>
      <c r="R62" s="79"/>
      <c r="S62" s="79"/>
      <c r="T62" s="79"/>
      <c r="U62" s="4"/>
      <c r="V62" s="4"/>
      <c r="W62" s="4"/>
      <c r="X62" s="168" t="s">
        <v>409</v>
      </c>
      <c r="Y62" s="4"/>
      <c r="Z62" s="4"/>
      <c r="AA62" s="4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"/>
      <c r="BW62" s="7"/>
    </row>
    <row r="63" spans="3:76">
      <c r="C63" s="84"/>
      <c r="D63" s="464" t="s">
        <v>512</v>
      </c>
      <c r="G63" s="716" t="s">
        <v>559</v>
      </c>
      <c r="H63" s="529" t="s">
        <v>489</v>
      </c>
      <c r="M63" s="79"/>
      <c r="N63" s="79"/>
      <c r="O63" s="79"/>
      <c r="P63" s="79"/>
      <c r="Q63" s="79"/>
      <c r="R63" s="79"/>
      <c r="S63" s="79"/>
      <c r="T63" s="79"/>
      <c r="U63" s="4"/>
      <c r="V63" s="4"/>
      <c r="W63" s="4"/>
      <c r="X63" s="4"/>
      <c r="Y63" s="169" t="s">
        <v>410</v>
      </c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</row>
    <row r="64" spans="3:76">
      <c r="C64" s="84"/>
      <c r="D64" s="464"/>
      <c r="G64" s="128" t="s">
        <v>582</v>
      </c>
      <c r="H64" s="2" t="s">
        <v>583</v>
      </c>
      <c r="L64" s="3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147" t="s">
        <v>269</v>
      </c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</row>
    <row r="65" spans="3:73">
      <c r="C65" s="84"/>
      <c r="D65" s="71" t="s">
        <v>687</v>
      </c>
      <c r="G65" s="306" t="s">
        <v>612</v>
      </c>
      <c r="H65" s="2" t="s">
        <v>581</v>
      </c>
      <c r="L65" s="3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69" t="s">
        <v>411</v>
      </c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</row>
    <row r="66" spans="3:73">
      <c r="C66" s="84"/>
      <c r="D66" s="464" t="s">
        <v>573</v>
      </c>
      <c r="L66" s="3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</row>
    <row r="67" spans="3:73">
      <c r="C67" s="84"/>
      <c r="D67" s="464" t="s">
        <v>512</v>
      </c>
      <c r="H67" s="75" t="s">
        <v>91</v>
      </c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</row>
    <row r="68" spans="3:73">
      <c r="C68" s="84"/>
      <c r="D68" s="464"/>
      <c r="F68" s="312" t="s">
        <v>589</v>
      </c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</row>
    <row r="69" spans="3:73">
      <c r="C69" s="3" t="s">
        <v>696</v>
      </c>
      <c r="D69" s="71" t="s">
        <v>688</v>
      </c>
      <c r="F69" s="312" t="s">
        <v>595</v>
      </c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</row>
    <row r="70" spans="3:73">
      <c r="C70" s="8" t="s">
        <v>575</v>
      </c>
      <c r="D70" s="464" t="s">
        <v>623</v>
      </c>
      <c r="F70" s="312" t="s">
        <v>596</v>
      </c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</row>
    <row r="71" spans="3:73">
      <c r="C71" s="8" t="s">
        <v>576</v>
      </c>
      <c r="D71" s="464" t="s">
        <v>624</v>
      </c>
      <c r="F71" s="312" t="s">
        <v>566</v>
      </c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</row>
    <row r="72" spans="3:73">
      <c r="C72" s="320" t="s">
        <v>579</v>
      </c>
      <c r="D72" s="464"/>
      <c r="F72" s="312" t="s">
        <v>567</v>
      </c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</row>
    <row r="73" spans="3:73">
      <c r="C73" s="84"/>
      <c r="D73" s="71" t="s">
        <v>689</v>
      </c>
      <c r="F73" s="312" t="s">
        <v>614</v>
      </c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</row>
    <row r="74" spans="3:73">
      <c r="C74" s="84"/>
      <c r="D74" s="464" t="s">
        <v>623</v>
      </c>
      <c r="F74" s="312" t="s">
        <v>620</v>
      </c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</row>
    <row r="75" spans="3:73">
      <c r="C75" s="84"/>
      <c r="D75" s="464" t="s">
        <v>624</v>
      </c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</row>
    <row r="76" spans="3:73">
      <c r="C76" s="84"/>
      <c r="D76" s="464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</row>
    <row r="77" spans="3:73">
      <c r="C77" s="84"/>
      <c r="D77" s="71" t="s">
        <v>690</v>
      </c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</row>
    <row r="78" spans="3:73">
      <c r="C78" s="84"/>
      <c r="D78" s="464" t="s">
        <v>640</v>
      </c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</row>
    <row r="79" spans="3:73">
      <c r="C79" s="84"/>
      <c r="D79" s="464" t="s">
        <v>641</v>
      </c>
    </row>
    <row r="80" spans="3:73">
      <c r="C80" s="84"/>
      <c r="D80" s="464"/>
    </row>
    <row r="81" spans="3:4">
      <c r="C81" s="84"/>
      <c r="D81" s="71" t="s">
        <v>691</v>
      </c>
    </row>
    <row r="82" spans="3:4">
      <c r="C82" s="84"/>
      <c r="D82" s="464" t="s">
        <v>640</v>
      </c>
    </row>
    <row r="83" spans="3:4">
      <c r="C83" s="84"/>
      <c r="D83" s="464" t="s">
        <v>641</v>
      </c>
    </row>
    <row r="84" spans="3:4">
      <c r="C84" s="84"/>
      <c r="D84" s="464"/>
    </row>
    <row r="85" spans="3:4">
      <c r="C85" s="84"/>
      <c r="D85" s="71" t="s">
        <v>692</v>
      </c>
    </row>
    <row r="86" spans="3:4">
      <c r="C86" s="84"/>
      <c r="D86" s="464" t="s">
        <v>653</v>
      </c>
    </row>
    <row r="87" spans="3:4">
      <c r="C87" s="84"/>
      <c r="D87" s="464" t="s">
        <v>641</v>
      </c>
    </row>
    <row r="88" spans="3:4">
      <c r="C88" s="84"/>
      <c r="D88" s="464"/>
    </row>
    <row r="89" spans="3:4">
      <c r="C89" s="84"/>
      <c r="D89" s="71" t="s">
        <v>693</v>
      </c>
    </row>
    <row r="90" spans="3:4">
      <c r="C90" s="84"/>
      <c r="D90" s="464" t="s">
        <v>662</v>
      </c>
    </row>
    <row r="91" spans="3:4">
      <c r="C91" s="84"/>
      <c r="D91" s="464" t="s">
        <v>663</v>
      </c>
    </row>
    <row r="92" spans="3:4">
      <c r="C92" s="84"/>
      <c r="D92" s="464"/>
    </row>
    <row r="93" spans="3:4">
      <c r="C93" s="84"/>
      <c r="D93" s="71" t="s">
        <v>694</v>
      </c>
    </row>
    <row r="94" spans="3:4">
      <c r="C94" s="84"/>
      <c r="D94" s="464" t="s">
        <v>640</v>
      </c>
    </row>
    <row r="95" spans="3:4">
      <c r="C95" s="84"/>
      <c r="D95" s="464" t="s">
        <v>665</v>
      </c>
    </row>
    <row r="96" spans="3:4">
      <c r="C96" s="84"/>
    </row>
    <row r="97" spans="3:4">
      <c r="C97" s="84"/>
    </row>
    <row r="98" spans="3:4">
      <c r="C98" s="84"/>
    </row>
    <row r="99" spans="3:4">
      <c r="C99" s="82"/>
      <c r="D99" s="3"/>
    </row>
  </sheetData>
  <mergeCells count="14">
    <mergeCell ref="BV1:BX1"/>
    <mergeCell ref="A47:C47"/>
    <mergeCell ref="F1:H1"/>
    <mergeCell ref="I1:J1"/>
    <mergeCell ref="AT1:AY1"/>
    <mergeCell ref="AZ1:BC1"/>
    <mergeCell ref="BD1:BO1"/>
    <mergeCell ref="A1:A2"/>
    <mergeCell ref="C1:C2"/>
    <mergeCell ref="K1:AE1"/>
    <mergeCell ref="AF1:AS1"/>
    <mergeCell ref="D1:E1"/>
    <mergeCell ref="BP1:BU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74"/>
  <sheetViews>
    <sheetView workbookViewId="0">
      <pane ySplit="2" topLeftCell="A3" activePane="bottomLeft" state="frozen"/>
      <selection pane="bottomLeft" activeCell="U35" sqref="U35"/>
    </sheetView>
  </sheetViews>
  <sheetFormatPr defaultRowHeight="11.25"/>
  <cols>
    <col min="1" max="1" width="13.7109375" style="7" bestFit="1" customWidth="1"/>
    <col min="2" max="2" width="9.42578125" style="130" customWidth="1"/>
    <col min="3" max="3" width="49.140625" style="82" bestFit="1" customWidth="1"/>
    <col min="4" max="4" width="12.7109375" style="3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76" bestFit="1" customWidth="1"/>
    <col min="20" max="21" width="8.7109375" style="3" customWidth="1"/>
    <col min="22" max="23" width="3.28515625" style="3" bestFit="1" customWidth="1"/>
    <col min="24" max="16384" width="9.140625" style="3"/>
  </cols>
  <sheetData>
    <row r="1" spans="1:21" ht="15.75" customHeight="1">
      <c r="A1" s="960" t="s">
        <v>1</v>
      </c>
      <c r="B1" s="961" t="s">
        <v>2</v>
      </c>
      <c r="C1" s="963" t="s">
        <v>0</v>
      </c>
      <c r="D1" s="965" t="s">
        <v>7</v>
      </c>
      <c r="E1" s="955" t="s">
        <v>6</v>
      </c>
      <c r="F1" s="956"/>
      <c r="G1" s="957" t="s">
        <v>5</v>
      </c>
      <c r="H1" s="958"/>
      <c r="I1" s="955" t="s">
        <v>62</v>
      </c>
      <c r="J1" s="956"/>
      <c r="K1" s="969" t="s">
        <v>497</v>
      </c>
      <c r="L1" s="769" t="s">
        <v>420</v>
      </c>
      <c r="M1" s="971"/>
      <c r="N1" s="769" t="s">
        <v>80</v>
      </c>
      <c r="O1" s="770"/>
      <c r="P1" s="770"/>
      <c r="Q1" s="770"/>
      <c r="R1" s="770"/>
      <c r="S1" s="966" t="s">
        <v>82</v>
      </c>
      <c r="T1" s="966"/>
      <c r="U1" s="966"/>
    </row>
    <row r="2" spans="1:21" ht="15.75" customHeight="1" thickBot="1">
      <c r="A2" s="954"/>
      <c r="B2" s="962"/>
      <c r="C2" s="964"/>
      <c r="D2" s="828"/>
      <c r="E2" s="55"/>
      <c r="F2" s="31" t="s">
        <v>9</v>
      </c>
      <c r="G2" s="55"/>
      <c r="H2" s="56" t="s">
        <v>9</v>
      </c>
      <c r="I2" s="55"/>
      <c r="J2" s="31" t="s">
        <v>9</v>
      </c>
      <c r="K2" s="970"/>
      <c r="L2" s="231"/>
      <c r="M2" s="171" t="s">
        <v>497</v>
      </c>
      <c r="N2" s="174" t="s">
        <v>126</v>
      </c>
      <c r="O2" s="174" t="s">
        <v>420</v>
      </c>
      <c r="P2" s="174" t="s">
        <v>350</v>
      </c>
      <c r="Q2" s="174" t="s">
        <v>57</v>
      </c>
      <c r="R2" s="174" t="s">
        <v>125</v>
      </c>
      <c r="S2" s="967"/>
      <c r="T2" s="968"/>
      <c r="U2" s="175"/>
    </row>
    <row r="3" spans="1:21" s="5" customFormat="1">
      <c r="A3" s="391" t="str">
        <f>'1-συμβολαια'!A3</f>
        <v>93τραπ &amp; σημ</v>
      </c>
      <c r="B3" s="399">
        <f>'1-συμβολαια'!B3</f>
        <v>27790</v>
      </c>
      <c r="C3" s="384" t="str">
        <f>'1-συμβολαια'!C3</f>
        <v>δάνειο</v>
      </c>
      <c r="D3" s="400">
        <f>'1-συμβολαια'!D3</f>
        <v>24000000</v>
      </c>
      <c r="E3" s="264"/>
      <c r="F3" s="264"/>
      <c r="G3" s="264"/>
      <c r="H3" s="264"/>
      <c r="I3" s="264"/>
      <c r="J3" s="264"/>
      <c r="K3" s="261">
        <f>'1-συμβολαια'!O3</f>
        <v>0</v>
      </c>
      <c r="L3" s="261">
        <f>'2-δικαιώμ'!P3+'5-αντίγρ'!P3</f>
        <v>36131</v>
      </c>
      <c r="M3" s="261"/>
      <c r="N3" s="261">
        <f>'1-συμβολαια'!P3</f>
        <v>205369</v>
      </c>
      <c r="O3" s="261">
        <f t="shared" ref="O3:O45" si="0">L3-M3</f>
        <v>36131</v>
      </c>
      <c r="P3" s="261">
        <f>'8-κ-15-17'!AG3</f>
        <v>312000</v>
      </c>
      <c r="Q3" s="261">
        <f>'11-χαρτόσ'!K3+'13-ντιΜιΧο'!BW3</f>
        <v>700</v>
      </c>
      <c r="R3" s="261">
        <f>'13-ντιΜιΧο'!BV3</f>
        <v>1440</v>
      </c>
      <c r="S3" s="401"/>
      <c r="T3" s="402"/>
      <c r="U3" s="264"/>
    </row>
    <row r="4" spans="1:21" s="5" customFormat="1">
      <c r="A4" s="391">
        <f>'1-συμβολαια'!A4</f>
        <v>0</v>
      </c>
      <c r="B4" s="399"/>
      <c r="C4" s="384" t="str">
        <f>'1-συμβολαια'!C4</f>
        <v>υποθήκη δανείου</v>
      </c>
      <c r="D4" s="400">
        <f>'1-συμβολαια'!D4</f>
        <v>26666666</v>
      </c>
      <c r="E4" s="264"/>
      <c r="F4" s="264"/>
      <c r="G4" s="264"/>
      <c r="H4" s="264"/>
      <c r="I4" s="264"/>
      <c r="J4" s="264"/>
      <c r="K4" s="261">
        <f>'1-συμβολαια'!O4</f>
        <v>0</v>
      </c>
      <c r="L4" s="261">
        <f>'2-δικαιώμ'!P4+'5-αντίγρ'!P4</f>
        <v>40130.998999999996</v>
      </c>
      <c r="M4" s="261"/>
      <c r="N4" s="261">
        <f>'1-συμβολαια'!P4</f>
        <v>229235.66100000002</v>
      </c>
      <c r="O4" s="261">
        <f t="shared" si="0"/>
        <v>40130.998999999996</v>
      </c>
      <c r="P4" s="261">
        <f>'8-κ-15-17'!AG4</f>
        <v>346666.65800000005</v>
      </c>
      <c r="Q4" s="261">
        <f>'11-χαρτόσ'!K4+'13-ντιΜιΧο'!BW4</f>
        <v>730</v>
      </c>
      <c r="R4" s="261">
        <f>'13-ντιΜιΧο'!BV4</f>
        <v>250</v>
      </c>
      <c r="S4" s="401"/>
      <c r="T4" s="402"/>
      <c r="U4" s="264"/>
    </row>
    <row r="5" spans="1:21" s="5" customFormat="1">
      <c r="A5" s="391">
        <f>'1-συμβολαια'!A5</f>
        <v>0</v>
      </c>
      <c r="B5" s="447"/>
      <c r="C5" s="384" t="str">
        <f>'1-συμβολαια'!C5</f>
        <v>τόκοι δανείου {εμπρόθεσμα πληρωθέντες}</v>
      </c>
      <c r="D5" s="400">
        <f>'1-συμβολαια'!D5</f>
        <v>51111111</v>
      </c>
      <c r="E5" s="264"/>
      <c r="F5" s="264"/>
      <c r="G5" s="264"/>
      <c r="H5" s="264"/>
      <c r="I5" s="264"/>
      <c r="J5" s="264"/>
      <c r="K5" s="354">
        <f>'1-συμβολαια'!O5</f>
        <v>0</v>
      </c>
      <c r="L5" s="354">
        <f>'2-δικαιώμ'!P5+'5-αντίγρ'!P5</f>
        <v>76797.666499999992</v>
      </c>
      <c r="M5" s="354"/>
      <c r="N5" s="354">
        <f>'1-συμβολαια'!P5</f>
        <v>435813.44349999999</v>
      </c>
      <c r="O5" s="354">
        <f t="shared" si="0"/>
        <v>76797.666499999992</v>
      </c>
      <c r="P5" s="354">
        <f>'8-κ-15-17'!AG5</f>
        <v>664444.44300000009</v>
      </c>
      <c r="Q5" s="354">
        <f>'11-χαρτόσ'!K5+'13-ντιΜιΧο'!BW5</f>
        <v>700</v>
      </c>
      <c r="R5" s="354">
        <f>'13-ντιΜιΧο'!BV5</f>
        <v>0</v>
      </c>
      <c r="S5" s="448"/>
      <c r="T5" s="402"/>
      <c r="U5" s="264"/>
    </row>
    <row r="6" spans="1:21" s="5" customFormat="1">
      <c r="A6" s="391" t="str">
        <f>'1-συμβολαια'!A6</f>
        <v>375τραπ</v>
      </c>
      <c r="B6" s="447">
        <f>'1-συμβολαια'!B6</f>
        <v>30161</v>
      </c>
      <c r="C6" s="384" t="str">
        <f>'1-συμβολαια'!C6</f>
        <v>δάνειο</v>
      </c>
      <c r="D6" s="400">
        <f>'1-συμβολαια'!D6</f>
        <v>5000000</v>
      </c>
      <c r="E6" s="264"/>
      <c r="F6" s="264"/>
      <c r="G6" s="264"/>
      <c r="H6" s="264"/>
      <c r="I6" s="264"/>
      <c r="J6" s="264"/>
      <c r="K6" s="354">
        <f>'1-συμβολαια'!O6</f>
        <v>0</v>
      </c>
      <c r="L6" s="354">
        <f>'2-δικαιώμ'!P6+'5-αντίγρ'!P6</f>
        <v>7631</v>
      </c>
      <c r="M6" s="354"/>
      <c r="N6" s="354">
        <f>'1-συμβολαια'!P6</f>
        <v>43869</v>
      </c>
      <c r="O6" s="354">
        <f t="shared" si="0"/>
        <v>7631</v>
      </c>
      <c r="P6" s="354">
        <f>'8-κ-15-17'!AG6</f>
        <v>65000.000000000007</v>
      </c>
      <c r="Q6" s="354">
        <f>'11-χαρτόσ'!K6+'13-ντιΜιΧο'!BW6</f>
        <v>700</v>
      </c>
      <c r="R6" s="354">
        <f>'13-ντιΜιΧο'!BV6</f>
        <v>0</v>
      </c>
      <c r="S6" s="448"/>
      <c r="T6" s="402"/>
      <c r="U6" s="264"/>
    </row>
    <row r="7" spans="1:21" s="5" customFormat="1">
      <c r="A7" s="391">
        <f>'1-συμβολαια'!A7</f>
        <v>0</v>
      </c>
      <c r="B7" s="447"/>
      <c r="C7" s="384" t="str">
        <f>'1-συμβολαια'!C7</f>
        <v>υποθήκη δανείου</v>
      </c>
      <c r="D7" s="400">
        <f>'1-συμβολαια'!D7</f>
        <v>6666666</v>
      </c>
      <c r="E7" s="264"/>
      <c r="F7" s="264"/>
      <c r="G7" s="264"/>
      <c r="H7" s="264"/>
      <c r="I7" s="264"/>
      <c r="J7" s="264"/>
      <c r="K7" s="354">
        <f>'1-συμβολαια'!O7</f>
        <v>0</v>
      </c>
      <c r="L7" s="354">
        <f>'2-δικαιώμ'!P7+'5-αντίγρ'!P7</f>
        <v>10130.999</v>
      </c>
      <c r="M7" s="354"/>
      <c r="N7" s="354">
        <f>'1-συμβολαια'!P7</f>
        <v>59235.661000000007</v>
      </c>
      <c r="O7" s="354">
        <f t="shared" si="0"/>
        <v>10130.999</v>
      </c>
      <c r="P7" s="354">
        <f>'8-κ-15-17'!AG7</f>
        <v>86666.65800000001</v>
      </c>
      <c r="Q7" s="354">
        <f>'11-χαρτόσ'!K7+'13-ντιΜιΧο'!BW7</f>
        <v>730</v>
      </c>
      <c r="R7" s="354">
        <f>'13-ντιΜιΧο'!BV7</f>
        <v>970</v>
      </c>
      <c r="S7" s="448"/>
      <c r="T7" s="402"/>
      <c r="U7" s="264"/>
    </row>
    <row r="8" spans="1:21" s="5" customFormat="1">
      <c r="A8" s="391">
        <f>'1-συμβολαια'!A8</f>
        <v>0</v>
      </c>
      <c r="B8" s="447"/>
      <c r="C8" s="384" t="str">
        <f>'1-συμβολαια'!C8</f>
        <v>τόκοι δανείου</v>
      </c>
      <c r="D8" s="400">
        <f>'1-συμβολαια'!D8</f>
        <v>11111111</v>
      </c>
      <c r="E8" s="264"/>
      <c r="F8" s="264"/>
      <c r="G8" s="264"/>
      <c r="H8" s="264"/>
      <c r="I8" s="264"/>
      <c r="J8" s="264"/>
      <c r="K8" s="354">
        <f>'1-συμβολαια'!O8</f>
        <v>0</v>
      </c>
      <c r="L8" s="354">
        <f>'2-δικαιώμ'!P8+'5-αντίγρ'!P8</f>
        <v>16797.666499999999</v>
      </c>
      <c r="M8" s="354"/>
      <c r="N8" s="354">
        <f>'1-συμβολαια'!P8</f>
        <v>95813.443499999994</v>
      </c>
      <c r="O8" s="354">
        <f t="shared" si="0"/>
        <v>16797.666499999999</v>
      </c>
      <c r="P8" s="354">
        <f>'8-κ-15-17'!AG8</f>
        <v>144444.443</v>
      </c>
      <c r="Q8" s="354">
        <f>'11-χαρτόσ'!K8+'13-ντιΜιΧο'!BW8</f>
        <v>700</v>
      </c>
      <c r="R8" s="354">
        <f>'13-ντιΜιΧο'!BV8</f>
        <v>0</v>
      </c>
      <c r="S8" s="448"/>
      <c r="T8" s="402"/>
      <c r="U8" s="264"/>
    </row>
    <row r="9" spans="1:21" s="5" customFormat="1" ht="12" thickBot="1">
      <c r="A9" s="392" t="str">
        <f>'1-συμβολαια'!A9</f>
        <v>1ο</v>
      </c>
      <c r="B9" s="403">
        <f>'1-συμβολαια'!B9</f>
        <v>30265</v>
      </c>
      <c r="C9" s="393" t="str">
        <f>'1-συμβολαια'!C9</f>
        <v>υποθήκη τυχόν αυξήσεως ΤΟΚΩΝ δανείου</v>
      </c>
      <c r="D9" s="404">
        <f>'1-συμβολαια'!D9</f>
        <v>20000</v>
      </c>
      <c r="E9" s="344"/>
      <c r="F9" s="344"/>
      <c r="G9" s="344"/>
      <c r="H9" s="344"/>
      <c r="I9" s="344"/>
      <c r="J9" s="344"/>
      <c r="K9" s="343">
        <f>'1-συμβολαια'!O9</f>
        <v>0</v>
      </c>
      <c r="L9" s="343">
        <f>'2-δικαιώμ'!P9+'5-αντίγρ'!P9</f>
        <v>345</v>
      </c>
      <c r="M9" s="343">
        <v>5</v>
      </c>
      <c r="N9" s="343">
        <f>'1-συμβολαια'!P9</f>
        <v>3555</v>
      </c>
      <c r="O9" s="343">
        <f t="shared" si="0"/>
        <v>340</v>
      </c>
      <c r="P9" s="343">
        <f>'8-κ-15-17'!AG9</f>
        <v>60</v>
      </c>
      <c r="Q9" s="343">
        <f>'11-χαρτόσ'!K9+'13-ντιΜιΧο'!BW9</f>
        <v>345</v>
      </c>
      <c r="R9" s="343">
        <f>'13-ντιΜιΧο'!BV9</f>
        <v>2910</v>
      </c>
      <c r="S9" s="733"/>
      <c r="T9" s="345"/>
      <c r="U9" s="344"/>
    </row>
    <row r="10" spans="1:21" s="5" customFormat="1">
      <c r="A10" s="485" t="str">
        <f>'1-συμβολαια'!A10</f>
        <v>2ο</v>
      </c>
      <c r="B10" s="399">
        <f>'1-συμβολαια'!B10</f>
        <v>30160</v>
      </c>
      <c r="C10" s="475" t="str">
        <f>'1-συμβολαια'!C10</f>
        <v>αγοραπωλησία οικοπεδου τίμημα = 800.000 Δ.Ο.Υ. =</v>
      </c>
      <c r="D10" s="476">
        <f>'1-συμβολαια'!D10</f>
        <v>1000000</v>
      </c>
      <c r="E10" s="262"/>
      <c r="F10" s="262"/>
      <c r="G10" s="262"/>
      <c r="H10" s="262"/>
      <c r="I10" s="262"/>
      <c r="J10" s="262"/>
      <c r="K10" s="261">
        <f>'1-συμβολαια'!O10</f>
        <v>9786</v>
      </c>
      <c r="L10" s="261">
        <f>'2-δικαιώμ'!P10+'5-αντίγρ'!P10</f>
        <v>1719</v>
      </c>
      <c r="M10" s="261">
        <v>872</v>
      </c>
      <c r="N10" s="261">
        <f>'1-συμβολαια'!P10</f>
        <v>1995</v>
      </c>
      <c r="O10" s="261">
        <f t="shared" si="0"/>
        <v>847</v>
      </c>
      <c r="P10" s="261">
        <f>'8-κ-15-17'!AG10</f>
        <v>0</v>
      </c>
      <c r="Q10" s="261">
        <f>'11-χαρτόσ'!K10+'13-ντιΜιΧο'!BW10</f>
        <v>455</v>
      </c>
      <c r="R10" s="261">
        <f>'13-ντιΜιΧο'!BV10</f>
        <v>9755</v>
      </c>
      <c r="S10" s="401"/>
      <c r="T10" s="349"/>
      <c r="U10" s="262"/>
    </row>
    <row r="11" spans="1:21" s="5" customFormat="1">
      <c r="A11" s="429">
        <f>'1-συμβολαια'!A11</f>
        <v>0</v>
      </c>
      <c r="B11" s="447"/>
      <c r="C11" s="384" t="str">
        <f>'1-συμβολαια'!C11</f>
        <v>αγορά εργοστασίου ;;;??? μ2</v>
      </c>
      <c r="D11" s="400">
        <f>'1-συμβολαια'!D11</f>
        <v>11111111</v>
      </c>
      <c r="E11" s="264"/>
      <c r="F11" s="264"/>
      <c r="G11" s="264"/>
      <c r="H11" s="264"/>
      <c r="I11" s="264"/>
      <c r="J11" s="264"/>
      <c r="K11" s="354">
        <f>'1-συμβολαια'!O11</f>
        <v>0</v>
      </c>
      <c r="L11" s="354">
        <f>'2-δικαιώμ'!P11+'5-αντίγρ'!P11</f>
        <v>16797.666499999999</v>
      </c>
      <c r="M11" s="354"/>
      <c r="N11" s="354">
        <f>'1-συμβολαια'!P11</f>
        <v>96113.443499999994</v>
      </c>
      <c r="O11" s="354">
        <f t="shared" si="0"/>
        <v>16797.666499999999</v>
      </c>
      <c r="P11" s="354">
        <f>'8-κ-15-17'!AG11</f>
        <v>0</v>
      </c>
      <c r="Q11" s="354">
        <f>'11-χαρτόσ'!K11+'13-ντιΜιΧο'!BW11</f>
        <v>230</v>
      </c>
      <c r="R11" s="354">
        <f>'13-ντιΜιΧο'!BV11</f>
        <v>3290</v>
      </c>
      <c r="S11" s="448"/>
      <c r="T11" s="402"/>
      <c r="U11" s="264"/>
    </row>
    <row r="12" spans="1:21" s="5" customFormat="1" ht="12" thickBot="1">
      <c r="A12" s="487">
        <f>'1-συμβολαια'!A12</f>
        <v>0</v>
      </c>
      <c r="B12" s="403"/>
      <c r="C12" s="393" t="str">
        <f>'1-συμβολαια'!C12</f>
        <v>αγορά εργοστασίου ΕΞΟΠΛΙΣΜΟΣ</v>
      </c>
      <c r="D12" s="404">
        <f>'1-συμβολαια'!D12</f>
        <v>6666666</v>
      </c>
      <c r="E12" s="344"/>
      <c r="F12" s="344"/>
      <c r="G12" s="344"/>
      <c r="H12" s="344"/>
      <c r="I12" s="344"/>
      <c r="J12" s="344"/>
      <c r="K12" s="343">
        <f>'1-συμβολαια'!O12</f>
        <v>0</v>
      </c>
      <c r="L12" s="343">
        <f>'2-δικαιώμ'!P12+'5-αντίγρ'!P12</f>
        <v>10130.999</v>
      </c>
      <c r="M12" s="343"/>
      <c r="N12" s="343">
        <f>'1-συμβολαια'!P12</f>
        <v>58335.661000000007</v>
      </c>
      <c r="O12" s="343">
        <f t="shared" si="0"/>
        <v>10130.999</v>
      </c>
      <c r="P12" s="343">
        <f>'8-κ-15-17'!AG12</f>
        <v>0</v>
      </c>
      <c r="Q12" s="343">
        <f>'11-χαρτόσ'!K12+'13-ντιΜιΧο'!BW12</f>
        <v>230</v>
      </c>
      <c r="R12" s="343">
        <f>'13-ντιΜιΧο'!BV12</f>
        <v>760</v>
      </c>
      <c r="S12" s="733"/>
      <c r="T12" s="345"/>
      <c r="U12" s="264"/>
    </row>
    <row r="13" spans="1:21" s="5" customFormat="1" ht="12" thickBot="1">
      <c r="A13" s="505" t="str">
        <f>'1-συμβολαια'!A13</f>
        <v>3ο</v>
      </c>
      <c r="B13" s="509">
        <f>'1-συμβολαια'!B13</f>
        <v>30149</v>
      </c>
      <c r="C13" s="510" t="str">
        <f>'1-συμβολαια'!C13</f>
        <v>πληρεξούσιο</v>
      </c>
      <c r="D13" s="511">
        <f>'1-συμβολαια'!D13</f>
        <v>0</v>
      </c>
      <c r="E13" s="495"/>
      <c r="F13" s="495"/>
      <c r="G13" s="495"/>
      <c r="H13" s="495"/>
      <c r="I13" s="495"/>
      <c r="J13" s="495"/>
      <c r="K13" s="497">
        <f>'1-συμβολαια'!O13</f>
        <v>675</v>
      </c>
      <c r="L13" s="497">
        <f>'2-δικαιώμ'!P13+'5-αντίγρ'!P13</f>
        <v>60.5</v>
      </c>
      <c r="M13" s="497">
        <v>61</v>
      </c>
      <c r="N13" s="642">
        <f>'1-συμβολαια'!P13</f>
        <v>14.5</v>
      </c>
      <c r="O13" s="642">
        <f t="shared" si="0"/>
        <v>-0.5</v>
      </c>
      <c r="P13" s="642">
        <f>'8-κ-15-17'!AG13</f>
        <v>0</v>
      </c>
      <c r="Q13" s="642">
        <f>'11-χαρτόσ'!K13+'13-ντιΜιΧο'!BW13</f>
        <v>88</v>
      </c>
      <c r="R13" s="642">
        <f>'13-ντιΜιΧο'!BV13</f>
        <v>620</v>
      </c>
      <c r="S13" s="734"/>
      <c r="T13" s="714"/>
      <c r="U13" s="344"/>
    </row>
    <row r="14" spans="1:21" s="5" customFormat="1">
      <c r="A14" s="526" t="str">
        <f>'1-συμβολαια'!A14</f>
        <v>4ο</v>
      </c>
      <c r="B14" s="399">
        <f>'1-συμβολαια'!B14</f>
        <v>30412</v>
      </c>
      <c r="C14" s="475" t="str">
        <f>'1-συμβολαια'!C14</f>
        <v>υποθήκη [έναντι του δανείου 375-29/07/1982τραπ</v>
      </c>
      <c r="D14" s="476">
        <f>'1-συμβολαια'!D14</f>
        <v>100000</v>
      </c>
      <c r="E14" s="262"/>
      <c r="F14" s="262"/>
      <c r="G14" s="262"/>
      <c r="H14" s="262"/>
      <c r="I14" s="262"/>
      <c r="J14" s="262"/>
      <c r="K14" s="261">
        <f>'1-συμβολαια'!O14</f>
        <v>1336</v>
      </c>
      <c r="L14" s="261">
        <f>'2-δικαιώμ'!P14+'5-αντίγρ'!P14</f>
        <v>436</v>
      </c>
      <c r="M14" s="261">
        <v>280</v>
      </c>
      <c r="N14" s="261">
        <f>'1-συμβολαια'!P14</f>
        <v>3188</v>
      </c>
      <c r="O14" s="261">
        <f t="shared" si="0"/>
        <v>156</v>
      </c>
      <c r="P14" s="261">
        <f>'8-κ-15-17'!AG14</f>
        <v>300.00000000000023</v>
      </c>
      <c r="Q14" s="261">
        <f>'11-χαρτόσ'!K14+'13-ντιΜιΧο'!BW14</f>
        <v>369</v>
      </c>
      <c r="R14" s="261">
        <f>'13-ντιΜιΧο'!BV14</f>
        <v>4170</v>
      </c>
      <c r="S14" s="401"/>
      <c r="T14" s="349"/>
      <c r="U14" s="262"/>
    </row>
    <row r="15" spans="1:21" s="5" customFormat="1">
      <c r="A15" s="391" t="str">
        <f>'1-συμβολαια'!A15</f>
        <v>389τραπ</v>
      </c>
      <c r="B15" s="399">
        <f>'1-συμβολαια'!B15</f>
        <v>30228</v>
      </c>
      <c r="C15" s="384" t="str">
        <f>'1-συμβολαια'!C15</f>
        <v>δάνειο</v>
      </c>
      <c r="D15" s="400">
        <f>'1-συμβολαια'!D15</f>
        <v>10000000</v>
      </c>
      <c r="E15" s="264"/>
      <c r="F15" s="264"/>
      <c r="G15" s="264"/>
      <c r="H15" s="264"/>
      <c r="I15" s="264"/>
      <c r="J15" s="264"/>
      <c r="K15" s="261">
        <f>'1-συμβολαια'!O15</f>
        <v>0</v>
      </c>
      <c r="L15" s="261">
        <f>'2-δικαιώμ'!P15+'5-αντίγρ'!P15</f>
        <v>17337.5</v>
      </c>
      <c r="M15" s="261"/>
      <c r="N15" s="354">
        <f>'1-συμβολαια'!P15</f>
        <v>98972.5</v>
      </c>
      <c r="O15" s="354">
        <f t="shared" si="0"/>
        <v>17337.5</v>
      </c>
      <c r="P15" s="354">
        <f>'8-κ-15-17'!AG15</f>
        <v>130000.00000000001</v>
      </c>
      <c r="Q15" s="354">
        <f>'11-χαρτόσ'!K15+'13-ντιΜιΧο'!BW15</f>
        <v>200</v>
      </c>
      <c r="R15" s="354">
        <f>'13-ντιΜιΧο'!BV15</f>
        <v>300</v>
      </c>
      <c r="S15" s="401"/>
      <c r="T15" s="402"/>
      <c r="U15" s="264"/>
    </row>
    <row r="16" spans="1:21" s="5" customFormat="1">
      <c r="A16" s="391">
        <f>'1-συμβολαια'!A16</f>
        <v>0</v>
      </c>
      <c r="B16" s="399"/>
      <c r="C16" s="384" t="str">
        <f>'1-συμβολαια'!C16</f>
        <v>υποθήκη δανείου</v>
      </c>
      <c r="D16" s="400">
        <f>'1-συμβολαια'!D16</f>
        <v>12222222</v>
      </c>
      <c r="E16" s="264"/>
      <c r="F16" s="264"/>
      <c r="G16" s="264"/>
      <c r="H16" s="264"/>
      <c r="I16" s="264"/>
      <c r="J16" s="264"/>
      <c r="K16" s="261">
        <f>'1-συμβολαια'!O16</f>
        <v>0</v>
      </c>
      <c r="L16" s="261">
        <f>'2-δικαιώμ'!P16+'5-αντίγρ'!P16</f>
        <v>21170.83295</v>
      </c>
      <c r="M16" s="261"/>
      <c r="N16" s="354">
        <f>'1-συμβολαια'!P16</f>
        <v>121594.72004999999</v>
      </c>
      <c r="O16" s="354">
        <f t="shared" si="0"/>
        <v>21170.83295</v>
      </c>
      <c r="P16" s="354">
        <f>'8-κ-15-17'!AG16</f>
        <v>158888.88600000003</v>
      </c>
      <c r="Q16" s="354">
        <f>'11-χαρτόσ'!K16+'13-ντιΜιΧο'!BW16</f>
        <v>230</v>
      </c>
      <c r="R16" s="354">
        <f>'13-ντιΜιΧο'!BV16</f>
        <v>840</v>
      </c>
      <c r="S16" s="401"/>
      <c r="T16" s="402"/>
      <c r="U16" s="264"/>
    </row>
    <row r="17" spans="1:21" s="5" customFormat="1" ht="12" thickBot="1">
      <c r="A17" s="392">
        <f>'1-συμβολαια'!A17</f>
        <v>0</v>
      </c>
      <c r="B17" s="403"/>
      <c r="C17" s="393" t="str">
        <f>'1-συμβολαια'!C17</f>
        <v>τόκοι δανείου</v>
      </c>
      <c r="D17" s="404">
        <f>'1-συμβολαια'!D17</f>
        <v>22222222</v>
      </c>
      <c r="E17" s="344"/>
      <c r="F17" s="344"/>
      <c r="G17" s="344"/>
      <c r="H17" s="344"/>
      <c r="I17" s="344"/>
      <c r="J17" s="344"/>
      <c r="K17" s="343">
        <f>'1-συμβολαια'!O17</f>
        <v>0</v>
      </c>
      <c r="L17" s="343">
        <f>'2-δικαιώμ'!P17+'5-αντίγρ'!P17</f>
        <v>38420.832949999996</v>
      </c>
      <c r="M17" s="343"/>
      <c r="N17" s="343">
        <f>'1-συμβολαια'!P17</f>
        <v>218444.72005</v>
      </c>
      <c r="O17" s="343">
        <f t="shared" si="0"/>
        <v>38420.832949999996</v>
      </c>
      <c r="P17" s="343">
        <f>'8-κ-15-17'!AG17</f>
        <v>288888.886</v>
      </c>
      <c r="Q17" s="343">
        <f>'11-χαρτόσ'!K17+'13-ντιΜιΧο'!BW17</f>
        <v>200</v>
      </c>
      <c r="R17" s="343">
        <f>'13-ντιΜιΧο'!BV17</f>
        <v>0</v>
      </c>
      <c r="S17" s="733"/>
      <c r="T17" s="345"/>
      <c r="U17" s="264"/>
    </row>
    <row r="18" spans="1:21" s="5" customFormat="1">
      <c r="A18" s="485" t="str">
        <f>'1-συμβολαια'!A18</f>
        <v>5ο</v>
      </c>
      <c r="B18" s="399">
        <f>'1-συμβολαια'!B18</f>
        <v>32394</v>
      </c>
      <c r="C18" s="475" t="str">
        <f>'1-συμβολαια'!C18</f>
        <v>μίσθωσις νταμάρι  Παναγία -'';;;???'' 29στρ 3έτη [1000/έτος/στρ</v>
      </c>
      <c r="D18" s="476">
        <f>'1-συμβολαια'!D18</f>
        <v>696000</v>
      </c>
      <c r="E18" s="262"/>
      <c r="F18" s="262"/>
      <c r="G18" s="262"/>
      <c r="H18" s="262"/>
      <c r="I18" s="262"/>
      <c r="J18" s="262"/>
      <c r="K18" s="261">
        <f>'1-συμβολαια'!O18</f>
        <v>5763</v>
      </c>
      <c r="L18" s="261">
        <f>'2-δικαιώμ'!P18+'5-αντίγρ'!P18</f>
        <v>2269.1000000000004</v>
      </c>
      <c r="M18" s="261">
        <v>813</v>
      </c>
      <c r="N18" s="261">
        <f>'1-συμβολαια'!P18</f>
        <v>17181.900000000001</v>
      </c>
      <c r="O18" s="261">
        <f t="shared" si="0"/>
        <v>1456.1000000000004</v>
      </c>
      <c r="P18" s="261">
        <f>'8-κ-15-17'!AG18</f>
        <v>-572</v>
      </c>
      <c r="Q18" s="261">
        <f>'11-χαρτόσ'!K18+'13-ντιΜιΧο'!BW18</f>
        <v>930</v>
      </c>
      <c r="R18" s="261">
        <f>'13-ντιΜιΧο'!BV18</f>
        <v>10420</v>
      </c>
      <c r="S18" s="401"/>
      <c r="T18" s="349"/>
      <c r="U18" s="264"/>
    </row>
    <row r="19" spans="1:21" s="5" customFormat="1">
      <c r="A19" s="429">
        <f>'1-συμβολαια'!A19</f>
        <v>0</v>
      </c>
      <c r="B19" s="399"/>
      <c r="C19" s="384" t="str">
        <f>'1-συμβολαια'!C19</f>
        <v>μίσθωση … ΚΤΙΡΙΑΚΑ &amp; τεχνικές εγκαταστάσεις &amp; ΚΛΠ</v>
      </c>
      <c r="D19" s="400">
        <f>'1-συμβολαια'!D19</f>
        <v>10000000</v>
      </c>
      <c r="E19" s="264"/>
      <c r="F19" s="264"/>
      <c r="G19" s="264"/>
      <c r="H19" s="264"/>
      <c r="I19" s="264"/>
      <c r="J19" s="264"/>
      <c r="K19" s="261">
        <f>'1-συμβολαια'!O19</f>
        <v>0</v>
      </c>
      <c r="L19" s="261">
        <f>'2-δικαιώμ'!P19+'5-αντίγρ'!P19</f>
        <v>17460.5</v>
      </c>
      <c r="M19" s="261"/>
      <c r="N19" s="354">
        <f>'1-συμβολαια'!P19</f>
        <v>106949.5</v>
      </c>
      <c r="O19" s="354">
        <f t="shared" si="0"/>
        <v>17460.5</v>
      </c>
      <c r="P19" s="354">
        <f>'8-κ-15-17'!AG19</f>
        <v>130000.00000000001</v>
      </c>
      <c r="Q19" s="354">
        <f>'11-χαρτόσ'!K19+'13-ντιΜιΧο'!BW19</f>
        <v>500</v>
      </c>
      <c r="R19" s="354">
        <f>'13-ντιΜιΧο'!BV19</f>
        <v>1100</v>
      </c>
      <c r="S19" s="401"/>
      <c r="T19" s="402"/>
      <c r="U19" s="264"/>
    </row>
    <row r="20" spans="1:21" s="5" customFormat="1">
      <c r="A20" s="429">
        <f>'1-συμβολαια'!A20</f>
        <v>0</v>
      </c>
      <c r="B20" s="399"/>
      <c r="C20" s="384" t="str">
        <f>'1-συμβολαια'!C20</f>
        <v>μίσθωση … ΕΡΕΥΝΗΤΙΚΕΣ εργασίες</v>
      </c>
      <c r="D20" s="400">
        <f>'1-συμβολαια'!D20</f>
        <v>3333333</v>
      </c>
      <c r="E20" s="264"/>
      <c r="F20" s="264"/>
      <c r="G20" s="264"/>
      <c r="H20" s="264"/>
      <c r="I20" s="264"/>
      <c r="J20" s="264"/>
      <c r="K20" s="261">
        <f>'1-συμβολαια'!O20</f>
        <v>0</v>
      </c>
      <c r="L20" s="261">
        <f>'2-δικαιώμ'!P20+'5-αντίγρ'!P20</f>
        <v>5960.4994249999991</v>
      </c>
      <c r="M20" s="261"/>
      <c r="N20" s="354">
        <f>'1-συμβολαια'!P20</f>
        <v>37632.830074999998</v>
      </c>
      <c r="O20" s="354">
        <f t="shared" si="0"/>
        <v>5960.4994249999991</v>
      </c>
      <c r="P20" s="354">
        <f>'8-κ-15-17'!AG20</f>
        <v>43333.329000000005</v>
      </c>
      <c r="Q20" s="354">
        <f>'11-χαρτόσ'!K20+'13-ντιΜιΧο'!BW20</f>
        <v>500</v>
      </c>
      <c r="R20" s="354">
        <f>'13-ντιΜιΧο'!BV20</f>
        <v>1100</v>
      </c>
      <c r="S20" s="401"/>
      <c r="T20" s="402"/>
      <c r="U20" s="264"/>
    </row>
    <row r="21" spans="1:21" s="5" customFormat="1" ht="12" thickBot="1">
      <c r="A21" s="487">
        <f>'1-συμβολαια'!A21</f>
        <v>0</v>
      </c>
      <c r="B21" s="403"/>
      <c r="C21" s="393" t="str">
        <f>'1-συμβολαια'!C21</f>
        <v>μίσθωση ….. κόστος έργων αποκατάστασης</v>
      </c>
      <c r="D21" s="404">
        <f>'1-συμβολαια'!D21</f>
        <v>6000000</v>
      </c>
      <c r="E21" s="344"/>
      <c r="F21" s="344"/>
      <c r="G21" s="344"/>
      <c r="H21" s="344"/>
      <c r="I21" s="344"/>
      <c r="J21" s="344"/>
      <c r="K21" s="343">
        <f>'1-συμβολαια'!O21</f>
        <v>0</v>
      </c>
      <c r="L21" s="343">
        <f>'2-δικαιώμ'!P21+'5-αντίγρ'!P21</f>
        <v>10560.5</v>
      </c>
      <c r="M21" s="343"/>
      <c r="N21" s="343">
        <f>'1-συμβολαια'!P21</f>
        <v>63699.5</v>
      </c>
      <c r="O21" s="343">
        <f t="shared" si="0"/>
        <v>10560.5</v>
      </c>
      <c r="P21" s="343">
        <f>'8-κ-15-17'!AG21</f>
        <v>78000</v>
      </c>
      <c r="Q21" s="343">
        <f>'11-χαρτόσ'!K21+'13-ντιΜιΧο'!BW21</f>
        <v>500</v>
      </c>
      <c r="R21" s="343">
        <f>'13-ντιΜιΧο'!BV21</f>
        <v>1100</v>
      </c>
      <c r="S21" s="733"/>
      <c r="T21" s="345"/>
      <c r="U21" s="344"/>
    </row>
    <row r="22" spans="1:21" s="5" customFormat="1">
      <c r="A22" s="526" t="str">
        <f>'1-συμβολαια'!A22</f>
        <v>6ο</v>
      </c>
      <c r="B22" s="399">
        <f>'1-συμβολαια'!B22</f>
        <v>33008</v>
      </c>
      <c r="C22" s="475" t="str">
        <f>'1-συμβολαια'!C22</f>
        <v>;;;???ΑΕ σύσταση από ΜΕΤΑΤΡΟΠΗ ατομικής [= 40.000.000δρχ</v>
      </c>
      <c r="D22" s="476">
        <f>'1-συμβολαια'!D22</f>
        <v>0</v>
      </c>
      <c r="E22" s="262"/>
      <c r="F22" s="262"/>
      <c r="G22" s="262"/>
      <c r="H22" s="262"/>
      <c r="I22" s="262"/>
      <c r="J22" s="262"/>
      <c r="K22" s="261">
        <f>'1-συμβολαια'!O22</f>
        <v>20044</v>
      </c>
      <c r="L22" s="261">
        <f>'2-δικαιώμ'!P22+'5-αντίγρ'!P22</f>
        <v>26146</v>
      </c>
      <c r="M22" s="261">
        <v>22500</v>
      </c>
      <c r="N22" s="261">
        <f>'1-συμβολαια'!P22</f>
        <v>36360</v>
      </c>
      <c r="O22" s="261">
        <f t="shared" si="0"/>
        <v>3646</v>
      </c>
      <c r="P22" s="261">
        <f>'8-κ-15-17'!AG22</f>
        <v>0</v>
      </c>
      <c r="Q22" s="261">
        <f>'11-χαρτόσ'!K22+'13-ντιΜιΧο'!BW22</f>
        <v>2703</v>
      </c>
      <c r="R22" s="261">
        <f>'13-ντιΜιΧο'!BV22</f>
        <v>49561</v>
      </c>
      <c r="S22" s="401"/>
      <c r="T22" s="349"/>
      <c r="U22" s="262"/>
    </row>
    <row r="23" spans="1:21" s="5" customFormat="1" ht="12" thickBot="1">
      <c r="A23" s="392">
        <f>'1-συμβολαια'!A23</f>
        <v>0</v>
      </c>
      <c r="B23" s="403">
        <f>'1-συμβολαια'!B23</f>
        <v>0</v>
      </c>
      <c r="C23" s="393" t="str">
        <f>'1-συμβολαια'!C23</f>
        <v>πληρεξουσιότητα</v>
      </c>
      <c r="D23" s="404">
        <f>'1-συμβολαια'!D23</f>
        <v>0</v>
      </c>
      <c r="E23" s="344"/>
      <c r="F23" s="344"/>
      <c r="G23" s="344"/>
      <c r="H23" s="344"/>
      <c r="I23" s="344"/>
      <c r="J23" s="344"/>
      <c r="K23" s="343">
        <f>'1-συμβολαια'!O23</f>
        <v>0</v>
      </c>
      <c r="L23" s="343">
        <f>'2-δικαιώμ'!P23+'5-αντίγρ'!P23</f>
        <v>1045</v>
      </c>
      <c r="M23" s="343"/>
      <c r="N23" s="343">
        <f>'1-συμβολαια'!P23</f>
        <v>16705</v>
      </c>
      <c r="O23" s="343">
        <f t="shared" si="0"/>
        <v>1045</v>
      </c>
      <c r="P23" s="343">
        <f>'8-κ-15-17'!AG23</f>
        <v>0</v>
      </c>
      <c r="Q23" s="343">
        <f>'11-χαρτόσ'!K23+'13-ντιΜιΧο'!BW23</f>
        <v>100</v>
      </c>
      <c r="R23" s="343">
        <f>'13-ντιΜιΧο'!BV23</f>
        <v>0</v>
      </c>
      <c r="S23" s="733"/>
      <c r="T23" s="345"/>
      <c r="U23" s="264"/>
    </row>
    <row r="24" spans="1:21" s="5" customFormat="1">
      <c r="A24" s="485" t="str">
        <f>'1-συμβολαια'!A24</f>
        <v>7ο</v>
      </c>
      <c r="B24" s="399">
        <f>'1-συμβολαια'!B24</f>
        <v>33401</v>
      </c>
      <c r="C24" s="475" t="str">
        <f>'1-συμβολαια'!C24</f>
        <v>;;;??? υποθήκης ΕΞΑΛΕΙΨΗ</v>
      </c>
      <c r="D24" s="476">
        <f>'1-συμβολαια'!D24</f>
        <v>0</v>
      </c>
      <c r="E24" s="262"/>
      <c r="F24" s="262"/>
      <c r="G24" s="262"/>
      <c r="H24" s="262"/>
      <c r="I24" s="262"/>
      <c r="J24" s="262"/>
      <c r="K24" s="261">
        <f>'1-συμβολαια'!O24</f>
        <v>1050</v>
      </c>
      <c r="L24" s="261">
        <f>'2-δικαιώμ'!P24+'5-αντίγρ'!P24</f>
        <v>176</v>
      </c>
      <c r="M24" s="261">
        <v>110</v>
      </c>
      <c r="N24" s="261">
        <f>'1-συμβολαια'!P24</f>
        <v>1574</v>
      </c>
      <c r="O24" s="261">
        <f t="shared" si="0"/>
        <v>66</v>
      </c>
      <c r="P24" s="261">
        <f>'8-κ-15-17'!AG24</f>
        <v>0</v>
      </c>
      <c r="Q24" s="261">
        <f>'11-χαρτόσ'!K24+'13-ντιΜιΧο'!BW24</f>
        <v>457</v>
      </c>
      <c r="R24" s="261">
        <f>'13-ντιΜιΧο'!BV24</f>
        <v>8590</v>
      </c>
      <c r="S24" s="401"/>
      <c r="T24" s="349"/>
      <c r="U24" s="264"/>
    </row>
    <row r="25" spans="1:21" s="5" customFormat="1">
      <c r="A25" s="485">
        <f>'1-συμβολαια'!A25</f>
        <v>0</v>
      </c>
      <c r="B25" s="399"/>
      <c r="C25" s="475" t="str">
        <f>'1-συμβολαια'!C25</f>
        <v>υποθήκης 375τραπ29/7/82 ΕΞΑΛΕΙΨΗ</v>
      </c>
      <c r="D25" s="476">
        <f>'1-συμβολαια'!D25</f>
        <v>0</v>
      </c>
      <c r="E25" s="262"/>
      <c r="F25" s="262"/>
      <c r="G25" s="262"/>
      <c r="H25" s="262"/>
      <c r="I25" s="262"/>
      <c r="J25" s="262"/>
      <c r="K25" s="261">
        <f>'1-συμβολαια'!O25</f>
        <v>0</v>
      </c>
      <c r="L25" s="261">
        <f>'2-δικαιώμ'!P25+'5-αντίγρ'!P25</f>
        <v>110</v>
      </c>
      <c r="M25" s="261"/>
      <c r="N25" s="354">
        <f>'1-συμβολαια'!P25</f>
        <v>2090</v>
      </c>
      <c r="O25" s="354">
        <f t="shared" si="0"/>
        <v>110</v>
      </c>
      <c r="P25" s="354">
        <f>'8-κ-15-17'!AG25</f>
        <v>0</v>
      </c>
      <c r="Q25" s="354">
        <f>'11-χαρτόσ'!K25+'13-ντιΜιΧο'!BW25</f>
        <v>110</v>
      </c>
      <c r="R25" s="354">
        <f>'13-ντιΜιΧο'!BV25</f>
        <v>2130</v>
      </c>
      <c r="S25" s="401"/>
      <c r="T25" s="402"/>
      <c r="U25" s="264"/>
    </row>
    <row r="26" spans="1:21" s="5" customFormat="1">
      <c r="A26" s="485">
        <f>'1-συμβολαια'!A26</f>
        <v>0</v>
      </c>
      <c r="B26" s="399"/>
      <c r="C26" s="475" t="str">
        <f>'1-συμβολαια'!C26</f>
        <v>δάνειο 375τραπ 9/7/82 ΕΞΟΦΛΗΣΗ</v>
      </c>
      <c r="D26" s="476">
        <f>'1-συμβολαια'!D26</f>
        <v>0</v>
      </c>
      <c r="E26" s="262"/>
      <c r="F26" s="262"/>
      <c r="G26" s="262"/>
      <c r="H26" s="262"/>
      <c r="I26" s="262"/>
      <c r="J26" s="262"/>
      <c r="K26" s="261">
        <f>'1-συμβολαια'!O26</f>
        <v>0</v>
      </c>
      <c r="L26" s="261">
        <f>'2-δικαιώμ'!P26+'5-αντίγρ'!P26</f>
        <v>110</v>
      </c>
      <c r="M26" s="261"/>
      <c r="N26" s="354">
        <f>'1-συμβολαια'!P26</f>
        <v>1190</v>
      </c>
      <c r="O26" s="354">
        <f t="shared" si="0"/>
        <v>110</v>
      </c>
      <c r="P26" s="354">
        <f>'8-κ-15-17'!AG26</f>
        <v>0</v>
      </c>
      <c r="Q26" s="354">
        <f>'11-χαρτόσ'!K26+'13-ντιΜιΧο'!BW26</f>
        <v>50</v>
      </c>
      <c r="R26" s="354">
        <f>'13-ντιΜιΧο'!BV26</f>
        <v>0</v>
      </c>
      <c r="S26" s="401"/>
      <c r="T26" s="402"/>
      <c r="U26" s="264"/>
    </row>
    <row r="27" spans="1:21" s="5" customFormat="1">
      <c r="A27" s="485">
        <f>'1-συμβολαια'!A27</f>
        <v>0</v>
      </c>
      <c r="B27" s="399"/>
      <c r="C27" s="475" t="str">
        <f>'1-συμβολαια'!C27</f>
        <v>τόκοι δανείου 375τραπ {= προπληρωθέντες VS υπερΠληρωθέντες</v>
      </c>
      <c r="D27" s="476">
        <f>'1-συμβολαια'!D27</f>
        <v>1111111</v>
      </c>
      <c r="E27" s="262"/>
      <c r="F27" s="262"/>
      <c r="G27" s="262"/>
      <c r="H27" s="262"/>
      <c r="I27" s="262"/>
      <c r="J27" s="262"/>
      <c r="K27" s="261">
        <f>'1-συμβολαια'!O27</f>
        <v>0</v>
      </c>
      <c r="L27" s="261">
        <f>'2-δικαιώμ'!P27+'5-αντίγρ'!P27</f>
        <v>2127.166475</v>
      </c>
      <c r="M27" s="261"/>
      <c r="N27" s="354">
        <f>'1-συμβολαια'!P27</f>
        <v>12460.610025</v>
      </c>
      <c r="O27" s="354">
        <f t="shared" si="0"/>
        <v>2127.166475</v>
      </c>
      <c r="P27" s="354">
        <f>'8-κ-15-17'!AG27</f>
        <v>14444.443000000001</v>
      </c>
      <c r="Q27" s="354">
        <f>'11-χαρτόσ'!K27+'13-ντιΜιΧο'!BW27</f>
        <v>500</v>
      </c>
      <c r="R27" s="354">
        <f>'13-ντιΜιΧο'!BV27</f>
        <v>0</v>
      </c>
      <c r="S27" s="401"/>
      <c r="T27" s="402"/>
      <c r="U27" s="264"/>
    </row>
    <row r="28" spans="1:21" s="5" customFormat="1">
      <c r="A28" s="485">
        <f>'1-συμβολαια'!A28</f>
        <v>0</v>
      </c>
      <c r="B28" s="399"/>
      <c r="C28" s="475" t="str">
        <f>'1-συμβολαια'!C28</f>
        <v>υποθήκης 389τραπ29/7/82 ΕΞΑΛΕΙΨΗ</v>
      </c>
      <c r="D28" s="476">
        <f>'1-συμβολαια'!D28</f>
        <v>0</v>
      </c>
      <c r="E28" s="262"/>
      <c r="F28" s="262"/>
      <c r="G28" s="262"/>
      <c r="H28" s="262"/>
      <c r="I28" s="262"/>
      <c r="J28" s="262"/>
      <c r="K28" s="261">
        <f>'1-συμβολαια'!O28</f>
        <v>0</v>
      </c>
      <c r="L28" s="261">
        <f>'2-δικαιώμ'!P28+'5-αντίγρ'!P28</f>
        <v>110</v>
      </c>
      <c r="M28" s="261"/>
      <c r="N28" s="354">
        <f>'1-συμβολαια'!P28</f>
        <v>2090</v>
      </c>
      <c r="O28" s="354">
        <f t="shared" si="0"/>
        <v>110</v>
      </c>
      <c r="P28" s="354">
        <f>'8-κ-15-17'!AG28</f>
        <v>0</v>
      </c>
      <c r="Q28" s="354">
        <f>'11-χαρτόσ'!K28+'13-ντιΜιΧο'!BW28</f>
        <v>110</v>
      </c>
      <c r="R28" s="354">
        <f>'13-ντιΜιΧο'!BV28</f>
        <v>2130</v>
      </c>
      <c r="S28" s="401"/>
      <c r="T28" s="402"/>
      <c r="U28" s="264"/>
    </row>
    <row r="29" spans="1:21" s="5" customFormat="1">
      <c r="A29" s="485">
        <f>'1-συμβολαια'!A29</f>
        <v>0</v>
      </c>
      <c r="B29" s="399"/>
      <c r="C29" s="475" t="str">
        <f>'1-συμβολαια'!C29</f>
        <v>δάνειο 389τραπ29/7/82 ΕΞΟΦΛΗΣΗ</v>
      </c>
      <c r="D29" s="476">
        <f>'1-συμβολαια'!D29</f>
        <v>0</v>
      </c>
      <c r="E29" s="262"/>
      <c r="F29" s="262"/>
      <c r="G29" s="262"/>
      <c r="H29" s="262"/>
      <c r="I29" s="262"/>
      <c r="J29" s="262"/>
      <c r="K29" s="261">
        <f>'1-συμβολαια'!O29</f>
        <v>0</v>
      </c>
      <c r="L29" s="261">
        <f>'2-δικαιώμ'!P29+'5-αντίγρ'!P29</f>
        <v>110</v>
      </c>
      <c r="M29" s="261"/>
      <c r="N29" s="354">
        <f>'1-συμβολαια'!P29</f>
        <v>1190</v>
      </c>
      <c r="O29" s="354">
        <f t="shared" si="0"/>
        <v>110</v>
      </c>
      <c r="P29" s="354">
        <f>'8-κ-15-17'!AG29</f>
        <v>0</v>
      </c>
      <c r="Q29" s="354">
        <f>'11-χαρτόσ'!K29+'13-ντιΜιΧο'!BW29</f>
        <v>50</v>
      </c>
      <c r="R29" s="354">
        <f>'13-ντιΜιΧο'!BV29</f>
        <v>0</v>
      </c>
      <c r="S29" s="401"/>
      <c r="T29" s="402"/>
      <c r="U29" s="264"/>
    </row>
    <row r="30" spans="1:21" s="5" customFormat="1" ht="12" thickBot="1">
      <c r="A30" s="487">
        <f>'1-συμβολαια'!A30</f>
        <v>0</v>
      </c>
      <c r="B30" s="403"/>
      <c r="C30" s="393" t="str">
        <f>'1-συμβολαια'!C30</f>
        <v>τόκοι δανείου 389τραπ {= προπληρωθέντες VS υπερΠληρωθέντες</v>
      </c>
      <c r="D30" s="404">
        <f>'1-συμβολαια'!D30</f>
        <v>2222222</v>
      </c>
      <c r="E30" s="344"/>
      <c r="F30" s="344"/>
      <c r="G30" s="344"/>
      <c r="H30" s="344"/>
      <c r="I30" s="344"/>
      <c r="J30" s="344"/>
      <c r="K30" s="343">
        <f>'1-συμβολαια'!O30</f>
        <v>0</v>
      </c>
      <c r="L30" s="343">
        <f>'2-δικαιώμ'!P30+'5-αντίγρ'!P30</f>
        <v>4043.83295</v>
      </c>
      <c r="M30" s="343"/>
      <c r="N30" s="343">
        <f>'1-συμβολαια'!P30</f>
        <v>23321.72005</v>
      </c>
      <c r="O30" s="343">
        <f t="shared" si="0"/>
        <v>4043.83295</v>
      </c>
      <c r="P30" s="343">
        <f>'8-κ-15-17'!AG30</f>
        <v>28888.886000000002</v>
      </c>
      <c r="Q30" s="343">
        <f>'11-χαρτόσ'!K30+'13-ντιΜιΧο'!BW30</f>
        <v>500</v>
      </c>
      <c r="R30" s="343">
        <f>'13-ντιΜιΧο'!BV30</f>
        <v>0</v>
      </c>
      <c r="S30" s="733"/>
      <c r="T30" s="345"/>
      <c r="U30" s="344"/>
    </row>
    <row r="31" spans="1:21" s="5" customFormat="1">
      <c r="A31" s="526" t="str">
        <f>'1-συμβολαια'!A31</f>
        <v>8ο</v>
      </c>
      <c r="B31" s="399">
        <f>'1-συμβολαια'!B31</f>
        <v>33515</v>
      </c>
      <c r="C31" s="475" t="str">
        <f>'1-συμβολαια'!C31</f>
        <v>μίσθωσης νταμάρι …. ΠΑΡΑΤΑΣΗ 3έτη</v>
      </c>
      <c r="D31" s="476">
        <f>'1-συμβολαια'!D31</f>
        <v>966657</v>
      </c>
      <c r="E31" s="262"/>
      <c r="F31" s="262"/>
      <c r="G31" s="262"/>
      <c r="H31" s="262"/>
      <c r="I31" s="262"/>
      <c r="J31" s="262"/>
      <c r="K31" s="261">
        <f>'1-συμβολαια'!O31</f>
        <v>1800</v>
      </c>
      <c r="L31" s="261">
        <f>'2-δικαιώμ'!P31+'5-αντίγρ'!P31</f>
        <v>2009.9833250000001</v>
      </c>
      <c r="M31" s="261"/>
      <c r="N31" s="261">
        <f>'1-συμβολαια'!P31</f>
        <v>10316.572175000001</v>
      </c>
      <c r="O31" s="261">
        <f t="shared" si="0"/>
        <v>2009.9833250000001</v>
      </c>
      <c r="P31" s="261">
        <f>'8-κ-15-17'!AG31</f>
        <v>12566.541000000001</v>
      </c>
      <c r="Q31" s="261">
        <f>'11-χαρτόσ'!K31+'13-ντιΜιΧο'!BW31</f>
        <v>0</v>
      </c>
      <c r="R31" s="261">
        <f>'13-ντιΜιΧο'!BV31</f>
        <v>8270</v>
      </c>
      <c r="S31" s="401"/>
      <c r="T31" s="349"/>
      <c r="U31" s="262"/>
    </row>
    <row r="32" spans="1:21" s="5" customFormat="1" ht="12" thickBot="1">
      <c r="A32" s="392">
        <f>'1-συμβολαια'!A32</f>
        <v>0</v>
      </c>
      <c r="B32" s="403"/>
      <c r="C32" s="604" t="str">
        <f>'1-συμβολαια'!C32</f>
        <v>ΧΑΟΣ= κλείσιμο &amp; εκ ΝΕΟΥ</v>
      </c>
      <c r="D32" s="605">
        <f>'1-συμβολαια'!D32</f>
        <v>0</v>
      </c>
      <c r="E32" s="596"/>
      <c r="F32" s="596"/>
      <c r="G32" s="596"/>
      <c r="H32" s="596"/>
      <c r="I32" s="596"/>
      <c r="J32" s="596"/>
      <c r="K32" s="581">
        <f>'1-συμβολαια'!O32</f>
        <v>0</v>
      </c>
      <c r="L32" s="581">
        <f>'2-δικαιώμ'!P32+'5-αντίγρ'!P32</f>
        <v>0</v>
      </c>
      <c r="M32" s="581"/>
      <c r="N32" s="732">
        <f>'1-συμβολαια'!P32</f>
        <v>0</v>
      </c>
      <c r="O32" s="732">
        <f t="shared" si="0"/>
        <v>0</v>
      </c>
      <c r="P32" s="732">
        <f>'8-κ-15-17'!AG32</f>
        <v>0</v>
      </c>
      <c r="Q32" s="732">
        <f>'11-χαρτόσ'!K32+'13-ντιΜιΧο'!BW32</f>
        <v>0</v>
      </c>
      <c r="R32" s="732">
        <f>'13-ντιΜιΧο'!BV32</f>
        <v>0</v>
      </c>
      <c r="S32" s="606"/>
      <c r="T32" s="607"/>
      <c r="U32" s="603"/>
    </row>
    <row r="33" spans="1:21" s="5" customFormat="1">
      <c r="A33" s="485" t="str">
        <f>'1-συμβολαια'!A33</f>
        <v>9ο</v>
      </c>
      <c r="B33" s="399">
        <f>'1-συμβολαια'!B33</f>
        <v>33675</v>
      </c>
      <c r="C33" s="475" t="str">
        <f>'1-συμβολαια'!C33</f>
        <v xml:space="preserve">υποθήκη </v>
      </c>
      <c r="D33" s="476">
        <f>'1-συμβολαια'!D33</f>
        <v>100000</v>
      </c>
      <c r="E33" s="262"/>
      <c r="F33" s="262"/>
      <c r="G33" s="262"/>
      <c r="H33" s="262"/>
      <c r="I33" s="262"/>
      <c r="J33" s="262"/>
      <c r="K33" s="261">
        <f>'1-συμβολαια'!O33</f>
        <v>2076</v>
      </c>
      <c r="L33" s="261">
        <f>'2-δικαιώμ'!P33+'5-αντίγρ'!P33</f>
        <v>977</v>
      </c>
      <c r="M33" s="261">
        <v>444</v>
      </c>
      <c r="N33" s="354">
        <f>'1-συμβολαια'!P33</f>
        <v>8007</v>
      </c>
      <c r="O33" s="354">
        <f t="shared" si="0"/>
        <v>533</v>
      </c>
      <c r="P33" s="354">
        <f>'8-κ-15-17'!AG33</f>
        <v>0</v>
      </c>
      <c r="Q33" s="354">
        <f>'11-χαρτόσ'!K33+'13-ντιΜιΧο'!BW33</f>
        <v>828</v>
      </c>
      <c r="R33" s="354">
        <f>'13-ντιΜιΧο'!BV33</f>
        <v>8700</v>
      </c>
      <c r="S33" s="401"/>
      <c r="T33" s="349"/>
      <c r="U33" s="264"/>
    </row>
    <row r="34" spans="1:21" s="5" customFormat="1">
      <c r="A34" s="485" t="str">
        <f>'1-συμβολαια'!A34</f>
        <v>794-1-2-3τραπ</v>
      </c>
      <c r="B34" s="399">
        <f>'1-συμβολαια'!B34</f>
        <v>32727</v>
      </c>
      <c r="C34" s="475" t="str">
        <f>'1-συμβολαια'!C34</f>
        <v>υποθήκες δανείων [7/8/89-25/1/1991-8/3/1991-22/11/1991</v>
      </c>
      <c r="D34" s="476">
        <f>'1-συμβολαια'!D34</f>
        <v>73333333</v>
      </c>
      <c r="E34" s="262"/>
      <c r="F34" s="262"/>
      <c r="G34" s="262"/>
      <c r="H34" s="262"/>
      <c r="I34" s="262"/>
      <c r="J34" s="262"/>
      <c r="K34" s="261">
        <f>'1-συμβολαια'!O34</f>
        <v>0</v>
      </c>
      <c r="L34" s="261">
        <f>'2-δικαιώμ'!P34+'5-αντίγρ'!P34</f>
        <v>126710.499425</v>
      </c>
      <c r="M34" s="261"/>
      <c r="N34" s="354">
        <f>'1-συμβολαια'!P34</f>
        <v>721732.83007499995</v>
      </c>
      <c r="O34" s="354">
        <f t="shared" si="0"/>
        <v>126710.499425</v>
      </c>
      <c r="P34" s="354">
        <f>'8-κ-15-17'!AG34</f>
        <v>953333.32900000003</v>
      </c>
      <c r="Q34" s="354">
        <f>'11-χαρτόσ'!K34+'13-ντιΜιΧο'!BW34</f>
        <v>1060</v>
      </c>
      <c r="R34" s="354">
        <f>'13-ντιΜιΧο'!BV34</f>
        <v>4340</v>
      </c>
      <c r="S34" s="401"/>
      <c r="T34" s="402"/>
      <c r="U34" s="264"/>
    </row>
    <row r="35" spans="1:21" s="5" customFormat="1">
      <c r="A35" s="485">
        <f>'1-συμβολαια'!A35</f>
        <v>0</v>
      </c>
      <c r="B35" s="399"/>
      <c r="C35" s="475" t="str">
        <f>'1-συμβολαια'!C35</f>
        <v>δάνεια ανωτέρω υποθηκών</v>
      </c>
      <c r="D35" s="476">
        <f>'1-συμβολαια'!D35</f>
        <v>61000000</v>
      </c>
      <c r="E35" s="262"/>
      <c r="F35" s="262"/>
      <c r="G35" s="262"/>
      <c r="H35" s="262"/>
      <c r="I35" s="262"/>
      <c r="J35" s="262"/>
      <c r="K35" s="261">
        <f>'1-συμβολαια'!O35</f>
        <v>0</v>
      </c>
      <c r="L35" s="261">
        <f>'2-δικαιώμ'!P35+'5-αντίγρ'!P35</f>
        <v>105435.5</v>
      </c>
      <c r="M35" s="261"/>
      <c r="N35" s="354">
        <f>'1-συμβολαια'!P35</f>
        <v>599974.5</v>
      </c>
      <c r="O35" s="354">
        <f t="shared" si="0"/>
        <v>105435.5</v>
      </c>
      <c r="P35" s="354">
        <f>'8-κ-15-17'!AG35</f>
        <v>793000.00000000012</v>
      </c>
      <c r="Q35" s="354">
        <f>'11-χαρτόσ'!K35+'13-ντιΜιΧο'!BW35</f>
        <v>1000</v>
      </c>
      <c r="R35" s="354">
        <f>'13-ντιΜιΧο'!BV35</f>
        <v>0</v>
      </c>
      <c r="S35" s="401"/>
      <c r="T35" s="402"/>
      <c r="U35" s="264"/>
    </row>
    <row r="36" spans="1:21" s="5" customFormat="1" ht="12" thickBot="1">
      <c r="A36" s="487">
        <f>'1-συμβολαια'!A36</f>
        <v>0</v>
      </c>
      <c r="B36" s="403"/>
      <c r="C36" s="393" t="str">
        <f>'1-συμβολαια'!C36</f>
        <v>τόκοι  ανωτέρω δανείων προπληρωθέντες</v>
      </c>
      <c r="D36" s="404">
        <f>'1-συμβολαια'!D36</f>
        <v>133333333</v>
      </c>
      <c r="E36" s="344"/>
      <c r="F36" s="344"/>
      <c r="G36" s="344"/>
      <c r="H36" s="344"/>
      <c r="I36" s="344"/>
      <c r="J36" s="344"/>
      <c r="K36" s="343">
        <f>'1-συμβολαια'!O36</f>
        <v>0</v>
      </c>
      <c r="L36" s="343">
        <f>'2-δικαιώμ'!P36+'5-αντίγρ'!P36</f>
        <v>230210.49942499999</v>
      </c>
      <c r="M36" s="343"/>
      <c r="N36" s="343">
        <f>'1-συμβολαια'!P36</f>
        <v>1307032.8300749999</v>
      </c>
      <c r="O36" s="343">
        <f t="shared" si="0"/>
        <v>230210.49942499999</v>
      </c>
      <c r="P36" s="343">
        <f>'8-κ-15-17'!AG36</f>
        <v>1733333.3290000001</v>
      </c>
      <c r="Q36" s="343">
        <f>'11-χαρτόσ'!K36+'13-ντιΜιΧο'!BW36</f>
        <v>1000</v>
      </c>
      <c r="R36" s="343">
        <f>'13-ντιΜιΧο'!BV36</f>
        <v>0</v>
      </c>
      <c r="S36" s="733"/>
      <c r="T36" s="345"/>
      <c r="U36" s="264"/>
    </row>
    <row r="37" spans="1:21" s="5" customFormat="1">
      <c r="A37" s="526" t="str">
        <f>'1-συμβολαια'!A37</f>
        <v>10ο</v>
      </c>
      <c r="B37" s="399">
        <f>'1-συμβολαια'!B37</f>
        <v>34890</v>
      </c>
      <c r="C37" s="475" t="str">
        <f>'1-συμβολαια'!C37</f>
        <v>υποθήκη  τοιχόν τόκων</v>
      </c>
      <c r="D37" s="476">
        <f>'1-συμβολαια'!D37</f>
        <v>100000</v>
      </c>
      <c r="E37" s="262"/>
      <c r="F37" s="262"/>
      <c r="G37" s="262"/>
      <c r="H37" s="262"/>
      <c r="I37" s="262"/>
      <c r="J37" s="262"/>
      <c r="K37" s="261">
        <f>'1-συμβολαια'!O37</f>
        <v>15180</v>
      </c>
      <c r="L37" s="261">
        <f>'2-δικαιώμ'!P37+'5-αντίγρ'!P37</f>
        <v>1756</v>
      </c>
      <c r="M37" s="261">
        <v>480</v>
      </c>
      <c r="N37" s="261">
        <f>'1-συμβολαια'!P37</f>
        <v>2344</v>
      </c>
      <c r="O37" s="261">
        <f t="shared" si="0"/>
        <v>1276</v>
      </c>
      <c r="P37" s="261">
        <f>'8-κ-15-17'!AG37</f>
        <v>0</v>
      </c>
      <c r="Q37" s="261">
        <f>'11-χαρτόσ'!K37+'13-ντιΜιΧο'!BW37</f>
        <v>1759</v>
      </c>
      <c r="R37" s="261">
        <f>'13-ντιΜιΧο'!BV37</f>
        <v>9620</v>
      </c>
      <c r="S37" s="401"/>
      <c r="T37" s="349"/>
      <c r="U37" s="264"/>
    </row>
    <row r="38" spans="1:21" s="5" customFormat="1">
      <c r="A38" s="526" t="str">
        <f>'1-συμβολαια'!A38</f>
        <v>794-4-5τραπ</v>
      </c>
      <c r="B38" s="399">
        <f>'1-συμβολαια'!B38</f>
        <v>33843</v>
      </c>
      <c r="C38" s="475" t="str">
        <f>'1-συμβολαια'!C38</f>
        <v>υποθήκες δανείων [27/08/1992-30/10/1992</v>
      </c>
      <c r="D38" s="476">
        <f>'1-συμβολαια'!D38</f>
        <v>32555555</v>
      </c>
      <c r="E38" s="262"/>
      <c r="F38" s="262"/>
      <c r="G38" s="262"/>
      <c r="H38" s="262"/>
      <c r="I38" s="262"/>
      <c r="J38" s="262"/>
      <c r="K38" s="261">
        <f>'1-συμβολαια'!O38</f>
        <v>0</v>
      </c>
      <c r="L38" s="261">
        <f>'2-δικαιώμ'!P38+'5-αντίγρ'!P38</f>
        <v>59119.999000000011</v>
      </c>
      <c r="M38" s="261"/>
      <c r="N38" s="354">
        <f>'1-συμβολαια'!P38</f>
        <v>340326.66100000002</v>
      </c>
      <c r="O38" s="354">
        <f t="shared" si="0"/>
        <v>59119.999000000011</v>
      </c>
      <c r="P38" s="354">
        <f>'8-κ-15-17'!AG38</f>
        <v>423222.21500000003</v>
      </c>
      <c r="Q38" s="354">
        <f>'11-χαρτόσ'!K38+'13-ντιΜιΧο'!BW38</f>
        <v>1080</v>
      </c>
      <c r="R38" s="354">
        <f>'13-ντιΜιΧο'!BV38</f>
        <v>3140</v>
      </c>
      <c r="S38" s="401"/>
      <c r="T38" s="402"/>
      <c r="U38" s="264"/>
    </row>
    <row r="39" spans="1:21" s="5" customFormat="1">
      <c r="A39" s="526">
        <f>'1-συμβολαια'!A39</f>
        <v>0</v>
      </c>
      <c r="B39" s="399"/>
      <c r="C39" s="475" t="str">
        <f>'1-συμβολαια'!C39</f>
        <v>δάνεια ανωτέρω υποθηκών</v>
      </c>
      <c r="D39" s="476">
        <f>'1-συμβολαια'!D39</f>
        <v>27000000</v>
      </c>
      <c r="E39" s="262"/>
      <c r="F39" s="262"/>
      <c r="G39" s="262"/>
      <c r="H39" s="262"/>
      <c r="I39" s="262"/>
      <c r="J39" s="262"/>
      <c r="K39" s="261">
        <f>'1-συμβολαια'!O39</f>
        <v>0</v>
      </c>
      <c r="L39" s="261">
        <f>'2-δικαιώμ'!P39+'5-αντίγρ'!P39</f>
        <v>49120</v>
      </c>
      <c r="M39" s="261"/>
      <c r="N39" s="354">
        <f>'1-συμβολαια'!P39</f>
        <v>282760</v>
      </c>
      <c r="O39" s="354">
        <f t="shared" si="0"/>
        <v>49120</v>
      </c>
      <c r="P39" s="354">
        <f>'8-κ-15-17'!AG39</f>
        <v>351000.00000000006</v>
      </c>
      <c r="Q39" s="354">
        <f>'11-χαρτόσ'!K39+'13-ντιΜιΧο'!BW39</f>
        <v>1000</v>
      </c>
      <c r="R39" s="354">
        <f>'13-ντιΜιΧο'!BV39</f>
        <v>0</v>
      </c>
      <c r="S39" s="401"/>
      <c r="T39" s="402"/>
      <c r="U39" s="264"/>
    </row>
    <row r="40" spans="1:21" s="5" customFormat="1" ht="12" thickBot="1">
      <c r="A40" s="392">
        <f>'1-συμβολαια'!A40</f>
        <v>0</v>
      </c>
      <c r="B40" s="403"/>
      <c r="C40" s="393" t="str">
        <f>'1-συμβολαια'!C40</f>
        <v>τόκοι  ανωτέρω δανείων προπληρωθέντες</v>
      </c>
      <c r="D40" s="404">
        <f>'1-συμβολαια'!D40</f>
        <v>55555555</v>
      </c>
      <c r="E40" s="344"/>
      <c r="F40" s="344"/>
      <c r="G40" s="344"/>
      <c r="H40" s="344"/>
      <c r="I40" s="344"/>
      <c r="J40" s="344"/>
      <c r="K40" s="343">
        <f>'1-συμβολαια'!O40</f>
        <v>0</v>
      </c>
      <c r="L40" s="343">
        <f>'2-δικαιώμ'!P40+'5-αντίγρ'!P40</f>
        <v>100519.999</v>
      </c>
      <c r="M40" s="343"/>
      <c r="N40" s="343">
        <f>'1-συμβολαια'!P40</f>
        <v>574026.66100000008</v>
      </c>
      <c r="O40" s="343">
        <f t="shared" si="0"/>
        <v>100519.999</v>
      </c>
      <c r="P40" s="343">
        <f>'8-κ-15-17'!AG40</f>
        <v>722222.21500000008</v>
      </c>
      <c r="Q40" s="343">
        <f>'11-χαρτόσ'!K40+'13-ντιΜιΧο'!BW40</f>
        <v>1000</v>
      </c>
      <c r="R40" s="343">
        <f>'13-ντιΜιΧο'!BV40</f>
        <v>0</v>
      </c>
      <c r="S40" s="733"/>
      <c r="T40" s="345"/>
      <c r="U40" s="264"/>
    </row>
    <row r="41" spans="1:21" s="5" customFormat="1">
      <c r="A41" s="485" t="str">
        <f>'1-συμβολαια'!A41</f>
        <v>11ο</v>
      </c>
      <c r="B41" s="399">
        <f>'1-συμβολαια'!B41</f>
        <v>34962</v>
      </c>
      <c r="C41" s="475" t="str">
        <f>'1-συμβολαια'!C41</f>
        <v>μίσθωσις νταμάρι  Λιμένας -'';;;???'' 24,526στρ 3έτη [8000/έτος/στρ</v>
      </c>
      <c r="D41" s="476">
        <f>'1-συμβολαια'!D41</f>
        <v>588624</v>
      </c>
      <c r="E41" s="262"/>
      <c r="F41" s="262"/>
      <c r="G41" s="262"/>
      <c r="H41" s="262"/>
      <c r="I41" s="262"/>
      <c r="J41" s="262"/>
      <c r="K41" s="261">
        <f>'1-συμβολαια'!O41</f>
        <v>27345</v>
      </c>
      <c r="L41" s="261">
        <f>'2-δικαιώμ'!P41+'5-αντίγρ'!P41</f>
        <v>3427.5232000000005</v>
      </c>
      <c r="M41" s="261">
        <v>555</v>
      </c>
      <c r="N41" s="261">
        <f>'1-συμβολαια'!P41</f>
        <v>13170.964800000002</v>
      </c>
      <c r="O41" s="261">
        <f t="shared" si="0"/>
        <v>2872.5232000000005</v>
      </c>
      <c r="P41" s="261">
        <f>'8-κ-15-17'!AG41</f>
        <v>7652.112000000001</v>
      </c>
      <c r="Q41" s="261">
        <f>'11-χαρτόσ'!K41+'13-ντιΜιΧο'!BW41</f>
        <v>1189</v>
      </c>
      <c r="R41" s="261">
        <f>'13-ντιΜιΧο'!BV41</f>
        <v>13760</v>
      </c>
      <c r="S41" s="401"/>
      <c r="T41" s="349"/>
      <c r="U41" s="264"/>
    </row>
    <row r="42" spans="1:21" s="5" customFormat="1">
      <c r="A42" s="485">
        <f>'1-συμβολαια'!A42</f>
        <v>0</v>
      </c>
      <c r="B42" s="399">
        <f>'1-συμβολαια'!B42</f>
        <v>0</v>
      </c>
      <c r="C42" s="475" t="str">
        <f>'1-συμβολαια'!C42</f>
        <v>μίσθωση … ΚΤΙΡΙΑΚΑ &amp; τεχνικές εγκαταστάσεις &amp; ΚΛΠ</v>
      </c>
      <c r="D42" s="476">
        <f>'1-συμβολαια'!D42</f>
        <v>50000000</v>
      </c>
      <c r="E42" s="262"/>
      <c r="F42" s="262"/>
      <c r="G42" s="262"/>
      <c r="H42" s="262"/>
      <c r="I42" s="262"/>
      <c r="J42" s="262"/>
      <c r="K42" s="261">
        <f>'1-συμβολαια'!O42</f>
        <v>0</v>
      </c>
      <c r="L42" s="261">
        <f>'2-δικαιώμ'!P42+'5-αντίγρ'!P42</f>
        <v>90520</v>
      </c>
      <c r="M42" s="261"/>
      <c r="N42" s="354">
        <f>'1-συμβολαια'!P42</f>
        <v>529560</v>
      </c>
      <c r="O42" s="354">
        <f t="shared" si="0"/>
        <v>90520</v>
      </c>
      <c r="P42" s="354">
        <f>'8-κ-15-17'!AG42</f>
        <v>642200</v>
      </c>
      <c r="Q42" s="354">
        <f>'11-χαρτόσ'!K42+'13-ντιΜιΧο'!BW42</f>
        <v>1000</v>
      </c>
      <c r="R42" s="354">
        <f>'13-ντιΜιΧο'!BV42</f>
        <v>20</v>
      </c>
      <c r="S42" s="401"/>
      <c r="T42" s="402"/>
      <c r="U42" s="264"/>
    </row>
    <row r="43" spans="1:21" s="5" customFormat="1">
      <c r="A43" s="485">
        <f>'1-συμβολαια'!A43</f>
        <v>0</v>
      </c>
      <c r="B43" s="399">
        <f>'1-συμβολαια'!B43</f>
        <v>0</v>
      </c>
      <c r="C43" s="475" t="str">
        <f>'1-συμβολαια'!C43</f>
        <v>μίσθωση … ΕΡΕΥΝΗΤΙΚΕΣ εργασίες</v>
      </c>
      <c r="D43" s="476">
        <f>'1-συμβολαια'!D43</f>
        <v>3333333</v>
      </c>
      <c r="E43" s="262"/>
      <c r="F43" s="262"/>
      <c r="G43" s="262"/>
      <c r="H43" s="262"/>
      <c r="I43" s="262"/>
      <c r="J43" s="262"/>
      <c r="K43" s="261">
        <f>'1-συμβολαια'!O43</f>
        <v>0</v>
      </c>
      <c r="L43" s="261">
        <f>'2-δικαιώμ'!P43+'5-αντίγρ'!P43</f>
        <v>6519.9994000000006</v>
      </c>
      <c r="M43" s="261"/>
      <c r="N43" s="354">
        <f>'1-συμβολαια'!P43</f>
        <v>53559.996599999999</v>
      </c>
      <c r="O43" s="354">
        <f t="shared" si="0"/>
        <v>6519.9994000000006</v>
      </c>
      <c r="P43" s="354">
        <f>'8-κ-15-17'!AG43</f>
        <v>43333.329000000005</v>
      </c>
      <c r="Q43" s="354">
        <f>'11-χαρτόσ'!K43+'13-ντιΜιΧο'!BW43</f>
        <v>1000</v>
      </c>
      <c r="R43" s="354">
        <f>'13-ντιΜιΧο'!BV43</f>
        <v>20</v>
      </c>
      <c r="S43" s="401"/>
      <c r="T43" s="402"/>
      <c r="U43" s="264"/>
    </row>
    <row r="44" spans="1:21" s="5" customFormat="1" ht="12" thickBot="1">
      <c r="A44" s="487">
        <f>'1-συμβολαια'!A44</f>
        <v>0</v>
      </c>
      <c r="B44" s="403">
        <f>'1-συμβολαια'!B44</f>
        <v>0</v>
      </c>
      <c r="C44" s="393" t="str">
        <f>'1-συμβολαια'!C44</f>
        <v>μίσθωση ….. κόστος έργων αποκατάστασης</v>
      </c>
      <c r="D44" s="404">
        <f>'1-συμβολαια'!D44</f>
        <v>6000000</v>
      </c>
      <c r="E44" s="344"/>
      <c r="F44" s="344"/>
      <c r="G44" s="344"/>
      <c r="H44" s="344"/>
      <c r="I44" s="344"/>
      <c r="J44" s="344"/>
      <c r="K44" s="343">
        <f>'1-συμβολαια'!O44</f>
        <v>0</v>
      </c>
      <c r="L44" s="343">
        <f>'2-δικαιώμ'!P44+'5-αντίγρ'!P44</f>
        <v>11320</v>
      </c>
      <c r="M44" s="343"/>
      <c r="N44" s="343">
        <f>'1-συμβολαια'!P44</f>
        <v>80760</v>
      </c>
      <c r="O44" s="343">
        <f t="shared" si="0"/>
        <v>11320</v>
      </c>
      <c r="P44" s="343">
        <f>'8-κ-15-17'!AG44</f>
        <v>78000</v>
      </c>
      <c r="Q44" s="343">
        <f>'11-χαρτόσ'!K44+'13-ντιΜιΧο'!BW44</f>
        <v>1000</v>
      </c>
      <c r="R44" s="343">
        <f>'13-ντιΜιΧο'!BV44</f>
        <v>20</v>
      </c>
      <c r="S44" s="733"/>
      <c r="T44" s="345"/>
      <c r="U44" s="264"/>
    </row>
    <row r="45" spans="1:21" s="5" customFormat="1">
      <c r="A45" s="526" t="str">
        <f>'1-συμβολαια'!A45</f>
        <v>12ο</v>
      </c>
      <c r="B45" s="399">
        <f>'1-συμβολαια'!B45</f>
        <v>35185</v>
      </c>
      <c r="C45" s="475" t="str">
        <f>'1-συμβολαια'!C45</f>
        <v>μίσθωσης νταμάρι ... &amp; ... ΠΑΡΑΤΑΣΗ 3έτη</v>
      </c>
      <c r="D45" s="476">
        <f>'1-συμβολαια'!D45</f>
        <v>957000</v>
      </c>
      <c r="E45" s="262"/>
      <c r="F45" s="262"/>
      <c r="G45" s="262"/>
      <c r="H45" s="262"/>
      <c r="I45" s="262"/>
      <c r="J45" s="262"/>
      <c r="K45" s="261">
        <f>'1-συμβολαια'!O45</f>
        <v>3800</v>
      </c>
      <c r="L45" s="261">
        <f>'2-δικαιώμ'!P45+'5-αντίγρ'!P45</f>
        <v>2506.6</v>
      </c>
      <c r="M45" s="261">
        <v>110</v>
      </c>
      <c r="N45" s="261">
        <f>'1-συμβολαια'!P45</f>
        <v>11857.4</v>
      </c>
      <c r="O45" s="261">
        <f t="shared" si="0"/>
        <v>2396.6</v>
      </c>
      <c r="P45" s="261">
        <f>'8-κ-15-17'!AG45</f>
        <v>12441.000000000002</v>
      </c>
      <c r="Q45" s="261">
        <f>'11-χαρτόσ'!K45+'13-ντιΜιΧο'!BW45</f>
        <v>1740</v>
      </c>
      <c r="R45" s="261">
        <f>'13-ντιΜιΧο'!BV45</f>
        <v>9950</v>
      </c>
      <c r="S45" s="401"/>
      <c r="T45" s="349"/>
      <c r="U45" s="264"/>
    </row>
    <row r="46" spans="1:21" s="5" customFormat="1" ht="12" thickBot="1">
      <c r="A46" s="392">
        <f>'1-συμβολαια'!A46</f>
        <v>0</v>
      </c>
      <c r="B46" s="403">
        <f>'1-συμβολαια'!B46</f>
        <v>0</v>
      </c>
      <c r="C46" s="604" t="str">
        <f>'1-συμβολαια'!C46</f>
        <v>ΧΑΟΣ= κλείσιμο &amp; εκ ΝΕΟΥ</v>
      </c>
      <c r="D46" s="605">
        <f>'1-συμβολαια'!D46</f>
        <v>0</v>
      </c>
      <c r="E46" s="596"/>
      <c r="F46" s="596"/>
      <c r="G46" s="596"/>
      <c r="H46" s="596"/>
      <c r="I46" s="596"/>
      <c r="J46" s="596"/>
      <c r="K46" s="581">
        <f>'1-συμβολαια'!O46</f>
        <v>0</v>
      </c>
      <c r="L46" s="581">
        <f>'2-δικαιώμ'!P46+'5-αντίγρ'!P46</f>
        <v>0</v>
      </c>
      <c r="M46" s="581"/>
      <c r="N46" s="581">
        <f>'1-συμβολαια'!P46</f>
        <v>0</v>
      </c>
      <c r="O46" s="581">
        <f t="shared" ref="O46" si="1">L46-M46</f>
        <v>0</v>
      </c>
      <c r="P46" s="581">
        <f>'8-κ-15-17'!AG46</f>
        <v>0</v>
      </c>
      <c r="Q46" s="581">
        <f>'11-χαρτόσ'!K69+'13-ντιΜιΧο'!BW69</f>
        <v>0</v>
      </c>
      <c r="R46" s="581">
        <f>'13-ντιΜιΧο'!BV69</f>
        <v>0</v>
      </c>
      <c r="S46" s="606"/>
      <c r="T46" s="345"/>
      <c r="U46" s="344"/>
    </row>
    <row r="47" spans="1:21">
      <c r="A47" s="959" t="s">
        <v>54</v>
      </c>
      <c r="B47" s="959"/>
      <c r="C47" s="959"/>
      <c r="D47" s="959"/>
      <c r="E47" s="237">
        <f t="shared" ref="E47:U47" si="2">SUM(E3:E46)</f>
        <v>0</v>
      </c>
      <c r="F47" s="237">
        <f t="shared" si="2"/>
        <v>0</v>
      </c>
      <c r="G47" s="237">
        <f t="shared" si="2"/>
        <v>0</v>
      </c>
      <c r="H47" s="237">
        <f t="shared" si="2"/>
        <v>0</v>
      </c>
      <c r="I47" s="237">
        <f t="shared" si="2"/>
        <v>0</v>
      </c>
      <c r="J47" s="237">
        <f t="shared" si="2"/>
        <v>0</v>
      </c>
      <c r="K47" s="237">
        <f t="shared" si="2"/>
        <v>88855</v>
      </c>
      <c r="L47" s="237">
        <f t="shared" si="2"/>
        <v>1154419.8640250002</v>
      </c>
      <c r="M47" s="237">
        <f t="shared" si="2"/>
        <v>26230</v>
      </c>
      <c r="N47" s="237">
        <f t="shared" si="2"/>
        <v>6529424.2294750009</v>
      </c>
      <c r="O47" s="237">
        <f t="shared" si="2"/>
        <v>1128189.8640250002</v>
      </c>
      <c r="P47" s="237">
        <f t="shared" si="2"/>
        <v>8263758.7019999996</v>
      </c>
      <c r="Q47" s="237">
        <f t="shared" si="2"/>
        <v>28273</v>
      </c>
      <c r="R47" s="237">
        <f t="shared" si="2"/>
        <v>159276</v>
      </c>
      <c r="S47" s="265">
        <f t="shared" si="2"/>
        <v>0</v>
      </c>
      <c r="T47" s="265">
        <f t="shared" si="2"/>
        <v>0</v>
      </c>
      <c r="U47" s="266">
        <f t="shared" si="2"/>
        <v>0</v>
      </c>
    </row>
    <row r="49" spans="1:25">
      <c r="T49" s="76"/>
      <c r="U49" s="76"/>
      <c r="V49" s="76"/>
      <c r="W49" s="76"/>
      <c r="X49" s="76"/>
      <c r="Y49" s="76"/>
    </row>
    <row r="50" spans="1:25">
      <c r="T50" s="76"/>
      <c r="U50" s="76"/>
      <c r="V50" s="76"/>
      <c r="W50" s="76"/>
      <c r="X50" s="76"/>
      <c r="Y50" s="76"/>
    </row>
    <row r="51" spans="1:25" s="5" customFormat="1">
      <c r="A51" s="52"/>
      <c r="B51" s="102"/>
      <c r="C51" s="103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76"/>
      <c r="T51" s="76"/>
      <c r="U51" s="76"/>
      <c r="V51" s="76"/>
      <c r="W51" s="76"/>
      <c r="X51" s="76"/>
      <c r="Y51" s="76"/>
    </row>
    <row r="52" spans="1:25" s="5" customFormat="1">
      <c r="A52" s="52"/>
      <c r="B52" s="102"/>
      <c r="C52" s="125"/>
      <c r="D52" s="281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76"/>
      <c r="U52" s="76"/>
      <c r="V52" s="76"/>
      <c r="W52" s="76"/>
      <c r="X52" s="76"/>
      <c r="Y52" s="76"/>
    </row>
    <row r="53" spans="1:25" s="5" customFormat="1">
      <c r="A53" s="52"/>
      <c r="B53" s="102"/>
      <c r="C53" s="126"/>
      <c r="D53" s="281"/>
      <c r="E53" s="7"/>
      <c r="F53" s="7"/>
      <c r="G53" s="7"/>
      <c r="H53" s="7"/>
      <c r="I53" s="4"/>
      <c r="J53" s="4"/>
      <c r="K53" s="281"/>
      <c r="L53" s="4"/>
      <c r="M53" s="52"/>
      <c r="N53" s="4"/>
      <c r="O53" s="4"/>
      <c r="P53" s="4"/>
      <c r="Q53" s="4"/>
      <c r="R53" s="4"/>
      <c r="S53" s="4"/>
      <c r="T53" s="76"/>
      <c r="U53" s="76"/>
      <c r="V53" s="76"/>
      <c r="W53" s="76"/>
      <c r="X53" s="76"/>
      <c r="Y53" s="76"/>
    </row>
    <row r="54" spans="1:25" s="5" customFormat="1">
      <c r="A54" s="52"/>
      <c r="B54" s="102"/>
      <c r="C54" s="103"/>
      <c r="D54" s="281"/>
      <c r="E54" s="7"/>
      <c r="F54" s="7"/>
      <c r="G54" s="7"/>
      <c r="H54" s="7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76"/>
      <c r="U54" s="76"/>
      <c r="V54" s="76"/>
      <c r="W54" s="76"/>
      <c r="X54" s="76"/>
      <c r="Y54" s="76"/>
    </row>
    <row r="55" spans="1:25" s="5" customFormat="1">
      <c r="A55" s="52"/>
      <c r="B55" s="102"/>
      <c r="C55" s="103"/>
      <c r="D55" s="281"/>
      <c r="E55" s="7"/>
      <c r="F55" s="7"/>
      <c r="G55" s="7"/>
      <c r="H55" s="7"/>
      <c r="I55" s="4"/>
      <c r="J55" s="4"/>
      <c r="K55" s="281"/>
      <c r="L55" s="7"/>
      <c r="M55" s="7"/>
      <c r="N55" s="7"/>
      <c r="O55" s="7"/>
      <c r="P55" s="4"/>
      <c r="Q55" s="4"/>
      <c r="R55" s="4"/>
      <c r="S55" s="4"/>
      <c r="T55" s="76"/>
      <c r="U55" s="76"/>
      <c r="V55" s="76"/>
      <c r="W55" s="76"/>
      <c r="X55" s="76"/>
      <c r="Y55" s="76"/>
    </row>
    <row r="56" spans="1:25">
      <c r="D56" s="281"/>
      <c r="E56" s="7"/>
      <c r="F56" s="7"/>
      <c r="G56" s="7"/>
      <c r="H56" s="7"/>
      <c r="L56" s="7"/>
      <c r="M56" s="7"/>
      <c r="N56" s="7"/>
      <c r="O56" s="7"/>
      <c r="P56" s="4"/>
      <c r="Q56" s="4"/>
      <c r="R56" s="4"/>
      <c r="S56" s="4"/>
      <c r="T56" s="76"/>
      <c r="U56" s="76"/>
      <c r="V56" s="76"/>
      <c r="W56" s="76"/>
      <c r="X56" s="76"/>
      <c r="Y56" s="76"/>
    </row>
    <row r="57" spans="1:25">
      <c r="D57" s="281"/>
      <c r="E57" s="7"/>
      <c r="F57" s="7"/>
      <c r="G57" s="7"/>
      <c r="H57" s="7"/>
      <c r="L57" s="7"/>
      <c r="M57" s="7"/>
      <c r="N57" s="7"/>
      <c r="O57" s="7"/>
      <c r="P57" s="4"/>
      <c r="Q57" s="4"/>
      <c r="R57" s="4"/>
      <c r="S57" s="4"/>
    </row>
    <row r="58" spans="1:25">
      <c r="D58" s="281"/>
      <c r="E58" s="7"/>
      <c r="F58" s="7"/>
      <c r="G58" s="7"/>
      <c r="H58" s="7"/>
      <c r="L58" s="7"/>
      <c r="M58" s="7"/>
      <c r="N58" s="7"/>
      <c r="O58" s="7"/>
      <c r="P58" s="4"/>
      <c r="Q58" s="4"/>
      <c r="R58" s="4"/>
      <c r="S58" s="4"/>
    </row>
    <row r="59" spans="1:25">
      <c r="D59" s="281"/>
      <c r="E59" s="7"/>
      <c r="F59" s="7"/>
      <c r="G59" s="7"/>
      <c r="H59" s="7"/>
      <c r="L59" s="7"/>
      <c r="M59" s="216"/>
      <c r="N59" s="7"/>
      <c r="O59" s="7"/>
      <c r="P59" s="4"/>
      <c r="Q59" s="4"/>
      <c r="R59" s="4"/>
      <c r="S59" s="4"/>
    </row>
    <row r="60" spans="1:25">
      <c r="D60" s="281"/>
      <c r="E60" s="7"/>
      <c r="F60" s="7"/>
      <c r="G60" s="7"/>
      <c r="H60" s="7"/>
      <c r="L60" s="7"/>
      <c r="M60" s="216"/>
      <c r="N60" s="7"/>
      <c r="O60" s="7"/>
      <c r="P60" s="4"/>
      <c r="Q60" s="4"/>
      <c r="R60" s="4"/>
      <c r="S60" s="4"/>
    </row>
    <row r="61" spans="1:25">
      <c r="D61" s="281"/>
      <c r="E61" s="7"/>
      <c r="F61" s="7"/>
      <c r="G61" s="7"/>
      <c r="H61" s="7"/>
      <c r="K61" s="281"/>
      <c r="L61" s="7"/>
      <c r="M61" s="7"/>
      <c r="N61" s="7"/>
      <c r="O61" s="7"/>
      <c r="P61" s="4"/>
      <c r="Q61" s="4"/>
      <c r="R61" s="4"/>
      <c r="S61" s="4"/>
    </row>
    <row r="62" spans="1:25">
      <c r="D62" s="281"/>
      <c r="E62" s="7"/>
      <c r="F62" s="7"/>
      <c r="G62" s="7"/>
      <c r="H62" s="7"/>
      <c r="L62" s="7"/>
      <c r="M62" s="7"/>
      <c r="N62" s="7"/>
      <c r="O62" s="7"/>
      <c r="P62" s="4"/>
      <c r="Q62" s="4"/>
      <c r="R62" s="4"/>
      <c r="S62" s="4"/>
    </row>
    <row r="63" spans="1:25">
      <c r="D63" s="281"/>
      <c r="E63" s="7"/>
      <c r="F63" s="7"/>
      <c r="G63" s="7"/>
      <c r="H63" s="7"/>
      <c r="L63" s="7"/>
      <c r="M63" s="7"/>
      <c r="N63" s="7"/>
      <c r="O63" s="7"/>
      <c r="P63" s="4"/>
      <c r="Q63" s="4"/>
      <c r="R63" s="4"/>
      <c r="S63" s="4"/>
    </row>
    <row r="64" spans="1:25">
      <c r="D64" s="281"/>
      <c r="E64" s="7"/>
      <c r="F64" s="7"/>
      <c r="G64" s="7"/>
      <c r="H64" s="7"/>
      <c r="L64" s="7"/>
      <c r="M64" s="7"/>
      <c r="N64" s="7"/>
      <c r="O64" s="7"/>
      <c r="P64" s="4"/>
      <c r="Q64" s="4"/>
      <c r="R64" s="4"/>
      <c r="S64" s="4"/>
    </row>
    <row r="65" spans="4:19">
      <c r="D65" s="281"/>
      <c r="E65" s="7"/>
      <c r="F65" s="7"/>
      <c r="G65" s="7"/>
      <c r="H65" s="7"/>
      <c r="L65" s="7"/>
      <c r="M65" s="7"/>
      <c r="N65" s="7"/>
      <c r="O65" s="7"/>
      <c r="P65" s="4"/>
      <c r="Q65" s="4"/>
      <c r="R65" s="4"/>
      <c r="S65" s="4"/>
    </row>
    <row r="66" spans="4:19">
      <c r="D66" s="281"/>
      <c r="E66" s="7"/>
      <c r="F66" s="7"/>
      <c r="G66" s="7"/>
      <c r="H66" s="7"/>
      <c r="L66" s="7"/>
      <c r="M66" s="7"/>
      <c r="N66" s="7"/>
      <c r="O66" s="7"/>
      <c r="P66" s="4"/>
      <c r="Q66" s="4"/>
      <c r="R66" s="4"/>
      <c r="S66" s="4"/>
    </row>
    <row r="67" spans="4:19">
      <c r="L67" s="7"/>
      <c r="M67" s="7"/>
      <c r="N67" s="7"/>
      <c r="O67" s="7"/>
      <c r="P67" s="4"/>
      <c r="Q67" s="4"/>
      <c r="R67" s="4"/>
      <c r="S67" s="4"/>
    </row>
    <row r="68" spans="4:19">
      <c r="K68" s="281"/>
      <c r="L68" s="7"/>
      <c r="M68" s="7"/>
      <c r="N68" s="7"/>
      <c r="O68" s="7"/>
      <c r="P68" s="4"/>
    </row>
    <row r="69" spans="4:19">
      <c r="L69" s="7"/>
      <c r="M69" s="7"/>
      <c r="N69" s="7"/>
      <c r="O69" s="7"/>
      <c r="P69" s="4"/>
    </row>
    <row r="70" spans="4:19">
      <c r="L70" s="7"/>
      <c r="M70" s="7"/>
      <c r="N70" s="7"/>
      <c r="O70" s="7"/>
      <c r="P70" s="4"/>
    </row>
    <row r="71" spans="4:19">
      <c r="M71" s="7"/>
      <c r="N71" s="7"/>
      <c r="O71" s="7"/>
      <c r="P71" s="4"/>
    </row>
    <row r="72" spans="4:19">
      <c r="M72" s="7"/>
      <c r="N72" s="7"/>
      <c r="O72" s="7"/>
      <c r="P72" s="4"/>
    </row>
    <row r="73" spans="4:19">
      <c r="M73" s="7"/>
      <c r="N73" s="7"/>
      <c r="O73" s="7"/>
      <c r="P73" s="4"/>
    </row>
    <row r="74" spans="4:19">
      <c r="M74" s="7"/>
      <c r="N74" s="7"/>
      <c r="O74" s="7"/>
      <c r="P74" s="4"/>
    </row>
  </sheetData>
  <mergeCells count="13">
    <mergeCell ref="S1:U1"/>
    <mergeCell ref="S2:T2"/>
    <mergeCell ref="N1:R1"/>
    <mergeCell ref="K1:K2"/>
    <mergeCell ref="L1:M1"/>
    <mergeCell ref="E1:F1"/>
    <mergeCell ref="G1:H1"/>
    <mergeCell ref="I1:J1"/>
    <mergeCell ref="A47:D47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61"/>
  <sheetViews>
    <sheetView workbookViewId="0">
      <pane ySplit="2" topLeftCell="A3" activePane="bottomLeft" state="frozen"/>
      <selection pane="bottomLeft" activeCell="A49" sqref="A49"/>
    </sheetView>
  </sheetViews>
  <sheetFormatPr defaultRowHeight="11.25"/>
  <cols>
    <col min="1" max="1" width="12.8554687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975" t="s">
        <v>73</v>
      </c>
      <c r="B1" s="975"/>
      <c r="C1" s="975"/>
      <c r="D1" s="975"/>
      <c r="E1" s="975"/>
      <c r="F1" s="975"/>
      <c r="G1" s="975"/>
      <c r="H1" s="975"/>
      <c r="I1" s="975"/>
      <c r="J1" s="975"/>
      <c r="K1" s="975"/>
      <c r="L1" s="975"/>
      <c r="M1" s="975"/>
      <c r="N1" s="975"/>
      <c r="O1" s="975"/>
      <c r="P1" s="975"/>
      <c r="Q1" s="975"/>
    </row>
    <row r="2" spans="1:17" s="8" customFormat="1" ht="23.25" customHeight="1" thickBot="1">
      <c r="A2" s="240" t="s">
        <v>19</v>
      </c>
      <c r="B2" s="976" t="s">
        <v>29</v>
      </c>
      <c r="C2" s="977"/>
      <c r="D2" s="978"/>
      <c r="E2" s="979" t="s">
        <v>82</v>
      </c>
      <c r="F2" s="980"/>
      <c r="G2" s="980"/>
      <c r="H2" s="981"/>
      <c r="I2" s="982" t="s">
        <v>82</v>
      </c>
      <c r="J2" s="983"/>
      <c r="K2" s="983"/>
      <c r="L2" s="984"/>
      <c r="M2" s="241" t="s">
        <v>36</v>
      </c>
      <c r="N2" s="241" t="s">
        <v>37</v>
      </c>
      <c r="O2" s="241" t="s">
        <v>38</v>
      </c>
      <c r="P2" s="241" t="s">
        <v>39</v>
      </c>
      <c r="Q2" s="241" t="s">
        <v>40</v>
      </c>
    </row>
    <row r="3" spans="1:17" s="17" customFormat="1">
      <c r="A3" s="29" t="str">
        <f>'1-συμβολαια'!A3</f>
        <v>93τραπ &amp; σημ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 t="str">
        <f>'1-συμβολαια'!A6</f>
        <v>375τραπ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1ο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 t="str">
        <f>'1-συμβολαια'!A10</f>
        <v>2ο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>
        <f>'1-συμβολαια'!A12</f>
        <v>0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 t="str">
        <f>'1-συμβολαια'!A13</f>
        <v>3ο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>
      <c r="A14" s="29" t="str">
        <f>'1-συμβολαια'!A14</f>
        <v>4ο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>
      <c r="A15" s="29" t="str">
        <f>'1-συμβολαια'!A15</f>
        <v>389τραπ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>
      <c r="A16" s="29">
        <f>'1-συμβολαια'!A16</f>
        <v>0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>
      <c r="A17" s="29">
        <f>'1-συμβολαια'!A17</f>
        <v>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>
      <c r="A18" s="29" t="str">
        <f>'1-συμβολαια'!A18</f>
        <v>5ο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>
      <c r="A19" s="29">
        <f>'1-συμβολαια'!A19</f>
        <v>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>
      <c r="A20" s="29">
        <f>'1-συμβολαια'!A20</f>
        <v>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>
      <c r="A21" s="29">
        <f>'1-συμβολαια'!A21</f>
        <v>0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>
      <c r="A22" s="29" t="str">
        <f>'1-συμβολαια'!A22</f>
        <v>6ο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>
      <c r="A23" s="29">
        <f>'1-συμβολαια'!A23</f>
        <v>0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>
      <c r="A24" s="29" t="str">
        <f>'1-συμβολαια'!A24</f>
        <v>7ο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>
      <c r="A25" s="29">
        <f>'1-συμβολαια'!A25</f>
        <v>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>
      <c r="A26" s="29">
        <f>'1-συμβολαια'!A26</f>
        <v>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>
      <c r="A27" s="29">
        <f>'1-συμβολαια'!A27</f>
        <v>0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>
      <c r="A28" s="29">
        <f>'1-συμβολαια'!A28</f>
        <v>0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>
      <c r="A29" s="29">
        <f>'1-συμβολαια'!A29</f>
        <v>0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>
      <c r="A30" s="29">
        <f>'1-συμβολαια'!A30</f>
        <v>0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>
      <c r="A31" s="29" t="str">
        <f>'1-συμβολαια'!A31</f>
        <v>8ο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>
      <c r="A32" s="29">
        <f>'1-συμβολαια'!A32</f>
        <v>0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>
      <c r="A33" s="29" t="str">
        <f>'1-συμβολαια'!A33</f>
        <v>9ο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>
      <c r="A34" s="29" t="str">
        <f>'1-συμβολαια'!A34</f>
        <v>794-1-2-3τραπ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>
      <c r="A35" s="29">
        <f>'1-συμβολαια'!A35</f>
        <v>0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>
      <c r="A36" s="29">
        <f>'1-συμβολαια'!A36</f>
        <v>0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>
      <c r="A37" s="29" t="str">
        <f>'1-συμβολαια'!A37</f>
        <v>10ο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>
      <c r="A38" s="29" t="str">
        <f>'1-συμβολαια'!A38</f>
        <v>794-4-5τραπ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>
      <c r="A39" s="29">
        <f>'1-συμβολαια'!A39</f>
        <v>0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>
      <c r="A40" s="29">
        <f>'1-συμβολαια'!A40</f>
        <v>0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>
      <c r="A41" s="29" t="str">
        <f>'1-συμβολαια'!A41</f>
        <v>11ο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>
      <c r="A42" s="29">
        <f>'1-συμβολαια'!A42</f>
        <v>0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>
      <c r="A43" s="29">
        <f>'1-συμβολαια'!A43</f>
        <v>0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>
      <c r="A44" s="29">
        <f>'1-συμβολαια'!A44</f>
        <v>0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>
      <c r="A45" s="29" t="str">
        <f>'1-συμβολαια'!A45</f>
        <v>12ο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>
      <c r="A46" s="29">
        <f>'1-συμβολαια'!A46</f>
        <v>0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8" spans="1:17" ht="15.75" customHeight="1">
      <c r="B48" s="972" t="s">
        <v>101</v>
      </c>
      <c r="C48" s="972"/>
      <c r="D48" s="972"/>
      <c r="E48" s="972"/>
      <c r="F48" s="972"/>
      <c r="G48" s="972"/>
      <c r="H48" s="972"/>
      <c r="I48" s="972"/>
      <c r="J48" s="972"/>
      <c r="K48" s="972"/>
      <c r="L48" s="3"/>
      <c r="M48" s="3"/>
      <c r="N48" s="3"/>
      <c r="O48" s="3"/>
      <c r="P48" s="3"/>
      <c r="Q48" s="3"/>
    </row>
    <row r="49" spans="1:23" ht="15.75" customHeight="1">
      <c r="C49" s="974" t="s">
        <v>102</v>
      </c>
      <c r="D49" s="974"/>
      <c r="E49" s="974"/>
      <c r="F49" s="974"/>
      <c r="G49" s="974"/>
      <c r="H49" s="974"/>
      <c r="I49" s="974"/>
      <c r="J49" s="974"/>
      <c r="K49" s="974"/>
      <c r="L49" s="3"/>
      <c r="M49" s="3"/>
      <c r="N49" s="3"/>
      <c r="O49" s="3"/>
      <c r="P49" s="3"/>
      <c r="Q49" s="3"/>
    </row>
    <row r="50" spans="1:23" ht="15.75" customHeight="1">
      <c r="D50" s="972" t="s">
        <v>273</v>
      </c>
      <c r="E50" s="972"/>
      <c r="F50" s="972"/>
      <c r="G50" s="972"/>
      <c r="H50" s="972"/>
      <c r="I50" s="972"/>
      <c r="J50" s="972"/>
      <c r="K50" s="972"/>
      <c r="L50" s="972"/>
      <c r="M50" s="972"/>
      <c r="N50" s="972"/>
      <c r="O50" s="972"/>
      <c r="P50" s="3"/>
      <c r="Q50" s="3"/>
    </row>
    <row r="51" spans="1:23" s="5" customFormat="1" ht="15.75" customHeight="1">
      <c r="A51" s="52"/>
      <c r="B51" s="238"/>
      <c r="C51" s="238"/>
      <c r="D51" s="239"/>
      <c r="E51" s="974" t="s">
        <v>421</v>
      </c>
      <c r="F51" s="974"/>
      <c r="G51" s="974"/>
      <c r="H51" s="974"/>
      <c r="I51" s="974"/>
      <c r="J51" s="974"/>
      <c r="K51" s="974"/>
      <c r="L51" s="974"/>
      <c r="M51" s="974"/>
      <c r="N51" s="3"/>
      <c r="O51" s="3"/>
      <c r="P51" s="3"/>
      <c r="Q51" s="3"/>
    </row>
    <row r="52" spans="1:23" s="5" customFormat="1" ht="15.75" customHeight="1">
      <c r="A52" s="52"/>
      <c r="B52" s="238"/>
      <c r="C52" s="238"/>
      <c r="D52" s="239"/>
      <c r="E52" s="6"/>
      <c r="F52" s="972" t="s">
        <v>116</v>
      </c>
      <c r="G52" s="972"/>
      <c r="H52" s="972"/>
      <c r="I52" s="972"/>
      <c r="J52" s="972"/>
      <c r="K52" s="972"/>
      <c r="L52" s="972"/>
      <c r="M52" s="972"/>
      <c r="N52" s="972"/>
      <c r="O52" s="972"/>
      <c r="P52" s="972"/>
      <c r="Q52" s="3"/>
    </row>
    <row r="53" spans="1:23" s="5" customFormat="1" ht="15.75" customHeight="1">
      <c r="A53" s="52"/>
      <c r="B53" s="238"/>
      <c r="C53" s="238"/>
      <c r="D53" s="239"/>
      <c r="E53" s="6"/>
      <c r="F53" s="6"/>
      <c r="G53" s="974" t="s">
        <v>422</v>
      </c>
      <c r="H53" s="974"/>
      <c r="I53" s="974"/>
      <c r="J53" s="974"/>
      <c r="K53" s="974"/>
      <c r="L53" s="974"/>
      <c r="M53" s="974"/>
      <c r="N53" s="974"/>
      <c r="O53" s="974"/>
      <c r="P53" s="974"/>
      <c r="Q53" s="974"/>
    </row>
    <row r="54" spans="1:23" s="5" customFormat="1" ht="15.75" customHeight="1">
      <c r="A54" s="52"/>
      <c r="B54" s="238"/>
      <c r="C54" s="238"/>
      <c r="D54" s="239"/>
      <c r="E54" s="6"/>
      <c r="F54" s="6"/>
      <c r="G54" s="232"/>
      <c r="H54" s="972" t="s">
        <v>103</v>
      </c>
      <c r="I54" s="972"/>
      <c r="J54" s="972"/>
      <c r="K54" s="972"/>
      <c r="L54" s="972"/>
      <c r="M54" s="972"/>
      <c r="N54" s="972"/>
      <c r="O54" s="3"/>
      <c r="P54" s="3"/>
      <c r="Q54" s="3"/>
      <c r="R54" s="3"/>
      <c r="S54" s="3"/>
      <c r="T54" s="3"/>
      <c r="U54" s="3"/>
      <c r="V54" s="3"/>
      <c r="W54" s="3"/>
    </row>
    <row r="55" spans="1:23" s="5" customFormat="1" ht="15.75" customHeight="1">
      <c r="A55" s="52"/>
      <c r="B55" s="238"/>
      <c r="C55" s="238"/>
      <c r="D55" s="239"/>
      <c r="E55" s="6"/>
      <c r="F55" s="6"/>
      <c r="G55" s="232"/>
      <c r="H55" s="6"/>
      <c r="I55" s="974" t="s">
        <v>104</v>
      </c>
      <c r="J55" s="974"/>
      <c r="K55" s="974"/>
      <c r="L55" s="974"/>
      <c r="M55" s="974"/>
      <c r="N55" s="974"/>
      <c r="O55" s="974"/>
      <c r="P55" s="974"/>
      <c r="Q55" s="974"/>
      <c r="R55" s="974"/>
      <c r="S55" s="3"/>
      <c r="T55" s="3"/>
      <c r="U55" s="3"/>
      <c r="V55" s="3"/>
      <c r="W55" s="3"/>
    </row>
    <row r="56" spans="1:23" s="5" customFormat="1" ht="15.75" customHeight="1">
      <c r="A56" s="52"/>
      <c r="B56" s="238"/>
      <c r="C56" s="238"/>
      <c r="D56" s="239"/>
      <c r="E56" s="6"/>
      <c r="F56" s="6"/>
      <c r="G56" s="232"/>
      <c r="H56" s="6"/>
      <c r="I56" s="6"/>
      <c r="J56" s="972" t="s">
        <v>105</v>
      </c>
      <c r="K56" s="972"/>
      <c r="L56" s="972"/>
      <c r="M56" s="972"/>
      <c r="N56" s="972"/>
      <c r="O56" s="972"/>
      <c r="P56" s="972"/>
      <c r="Q56" s="972"/>
      <c r="R56" s="3"/>
      <c r="S56" s="3"/>
      <c r="T56" s="3"/>
      <c r="U56" s="3"/>
      <c r="V56" s="3"/>
      <c r="W56" s="3"/>
    </row>
    <row r="57" spans="1:23" s="5" customFormat="1" ht="15.75" customHeight="1">
      <c r="A57" s="52"/>
      <c r="B57" s="238"/>
      <c r="C57" s="238"/>
      <c r="D57" s="239"/>
      <c r="E57" s="6"/>
      <c r="F57" s="6"/>
      <c r="G57" s="232"/>
      <c r="H57" s="6"/>
      <c r="I57" s="6"/>
      <c r="J57" s="6"/>
      <c r="K57" s="973" t="s">
        <v>117</v>
      </c>
      <c r="L57" s="973"/>
      <c r="M57" s="973"/>
      <c r="N57" s="973"/>
      <c r="O57" s="973"/>
      <c r="P57" s="973"/>
      <c r="Q57" s="973"/>
      <c r="R57" s="973"/>
      <c r="S57" s="973"/>
      <c r="T57" s="973"/>
      <c r="U57" s="973"/>
      <c r="V57" s="3"/>
      <c r="W57" s="3"/>
    </row>
    <row r="58" spans="1:23" s="5" customFormat="1" ht="15.75" customHeight="1">
      <c r="A58" s="52"/>
      <c r="B58" s="238"/>
      <c r="C58" s="238"/>
      <c r="D58" s="239"/>
      <c r="E58" s="6"/>
      <c r="F58" s="6"/>
      <c r="G58" s="232"/>
      <c r="H58" s="6"/>
      <c r="I58" s="6"/>
      <c r="J58" s="6"/>
      <c r="K58" s="6"/>
      <c r="L58" s="972" t="s">
        <v>106</v>
      </c>
      <c r="M58" s="972"/>
      <c r="N58" s="972"/>
      <c r="O58" s="972"/>
      <c r="P58" s="972"/>
      <c r="Q58" s="972"/>
      <c r="R58" s="972"/>
      <c r="S58" s="972"/>
      <c r="T58" s="3"/>
      <c r="U58" s="3"/>
      <c r="V58" s="3"/>
      <c r="W58" s="3"/>
    </row>
    <row r="59" spans="1:23" s="5" customFormat="1" ht="15.75" customHeight="1">
      <c r="A59" s="52"/>
      <c r="B59" s="238"/>
      <c r="C59" s="238"/>
      <c r="D59" s="239"/>
      <c r="E59" s="6"/>
      <c r="F59" s="6"/>
      <c r="G59" s="232"/>
      <c r="H59" s="6"/>
      <c r="I59" s="6"/>
      <c r="J59" s="6"/>
      <c r="K59" s="6"/>
      <c r="L59" s="3"/>
      <c r="M59" s="974" t="s">
        <v>107</v>
      </c>
      <c r="N59" s="974"/>
      <c r="O59" s="974"/>
      <c r="P59" s="974"/>
      <c r="Q59" s="974"/>
      <c r="R59" s="974"/>
      <c r="S59" s="974"/>
      <c r="T59" s="974"/>
      <c r="U59" s="3"/>
      <c r="V59" s="3"/>
      <c r="W59" s="3"/>
    </row>
    <row r="60" spans="1:23" s="5" customFormat="1" ht="15.75" customHeight="1">
      <c r="A60" s="52"/>
      <c r="B60" s="238"/>
      <c r="C60" s="238"/>
      <c r="D60" s="239"/>
      <c r="E60" s="6"/>
      <c r="F60" s="6"/>
      <c r="G60" s="232"/>
      <c r="H60" s="6"/>
      <c r="I60" s="6"/>
      <c r="J60" s="6"/>
      <c r="K60" s="6"/>
      <c r="L60" s="3"/>
      <c r="M60" s="3"/>
      <c r="N60" s="972" t="s">
        <v>108</v>
      </c>
      <c r="O60" s="972"/>
      <c r="P60" s="972"/>
      <c r="Q60" s="972"/>
      <c r="R60" s="972"/>
      <c r="S60" s="972"/>
      <c r="T60" s="972"/>
      <c r="U60" s="972"/>
      <c r="V60" s="972"/>
      <c r="W60" s="972"/>
    </row>
    <row r="61" spans="1:23" s="5" customFormat="1" ht="15.75" customHeight="1">
      <c r="A61" s="52"/>
      <c r="B61" s="238"/>
      <c r="C61" s="238"/>
      <c r="D61" s="239"/>
      <c r="E61" s="6"/>
      <c r="F61" s="6"/>
      <c r="G61" s="232"/>
      <c r="H61" s="232"/>
      <c r="I61" s="232"/>
      <c r="J61" s="232"/>
      <c r="K61" s="232"/>
      <c r="L61" s="232"/>
      <c r="M61" s="232"/>
      <c r="N61" s="232"/>
      <c r="O61" s="232"/>
      <c r="P61" s="232"/>
      <c r="Q61" s="232"/>
    </row>
  </sheetData>
  <mergeCells count="17">
    <mergeCell ref="H54:N54"/>
    <mergeCell ref="I55:R55"/>
    <mergeCell ref="C49:K49"/>
    <mergeCell ref="D50:O50"/>
    <mergeCell ref="E51:M51"/>
    <mergeCell ref="F52:P52"/>
    <mergeCell ref="G53:Q53"/>
    <mergeCell ref="A1:Q1"/>
    <mergeCell ref="B2:D2"/>
    <mergeCell ref="E2:H2"/>
    <mergeCell ref="I2:L2"/>
    <mergeCell ref="B48:K48"/>
    <mergeCell ref="J56:Q56"/>
    <mergeCell ref="K57:U57"/>
    <mergeCell ref="L58:S58"/>
    <mergeCell ref="M59:T59"/>
    <mergeCell ref="N60:W6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55"/>
  <sheetViews>
    <sheetView zoomScaleNormal="100" workbookViewId="0">
      <pane ySplit="2" topLeftCell="A3" activePane="bottomLeft" state="frozen"/>
      <selection pane="bottomLeft" activeCell="A49" sqref="A49"/>
    </sheetView>
  </sheetViews>
  <sheetFormatPr defaultRowHeight="11.25"/>
  <cols>
    <col min="1" max="1" width="13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4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79" customWidth="1"/>
    <col min="23" max="23" width="5.5703125" style="7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38" customFormat="1" ht="15.75" customHeight="1">
      <c r="A1" s="990" t="s">
        <v>64</v>
      </c>
      <c r="B1" s="990"/>
      <c r="C1" s="992" t="s">
        <v>65</v>
      </c>
      <c r="D1" s="992"/>
      <c r="E1" s="990" t="s">
        <v>0</v>
      </c>
      <c r="F1" s="990"/>
      <c r="G1" s="989" t="s">
        <v>10</v>
      </c>
      <c r="H1" s="989"/>
      <c r="I1" s="989"/>
      <c r="J1" s="990" t="s">
        <v>8</v>
      </c>
      <c r="K1" s="990"/>
      <c r="L1" s="993" t="s">
        <v>423</v>
      </c>
      <c r="M1" s="994"/>
      <c r="N1" s="994"/>
      <c r="O1" s="995"/>
      <c r="P1" s="991" t="s">
        <v>63</v>
      </c>
      <c r="Q1" s="991"/>
      <c r="R1" s="989" t="s">
        <v>53</v>
      </c>
      <c r="S1" s="989"/>
      <c r="T1" s="987" t="s">
        <v>44</v>
      </c>
      <c r="U1" s="985" t="s">
        <v>82</v>
      </c>
      <c r="V1" s="985"/>
      <c r="W1" s="985"/>
      <c r="X1" s="985"/>
      <c r="Y1" s="985"/>
      <c r="Z1" s="985"/>
      <c r="AA1" s="985"/>
      <c r="AB1" s="985"/>
      <c r="AC1" s="985"/>
    </row>
    <row r="2" spans="1:29" s="10" customFormat="1" ht="15.75" customHeight="1" thickBot="1">
      <c r="A2" s="87"/>
      <c r="B2" s="45"/>
      <c r="C2" s="77"/>
      <c r="D2" s="48" t="s">
        <v>66</v>
      </c>
      <c r="E2" s="88"/>
      <c r="F2" s="46" t="s">
        <v>66</v>
      </c>
      <c r="G2" s="42" t="s">
        <v>11</v>
      </c>
      <c r="H2" s="40" t="s">
        <v>12</v>
      </c>
      <c r="I2" s="41" t="s">
        <v>29</v>
      </c>
      <c r="J2" s="66" t="s">
        <v>23</v>
      </c>
      <c r="K2" s="47" t="s">
        <v>66</v>
      </c>
      <c r="L2" s="66" t="s">
        <v>303</v>
      </c>
      <c r="M2" s="66" t="s">
        <v>307</v>
      </c>
      <c r="N2" s="66" t="s">
        <v>308</v>
      </c>
      <c r="O2" s="236" t="s">
        <v>29</v>
      </c>
      <c r="P2" s="54" t="s">
        <v>23</v>
      </c>
      <c r="Q2" s="47" t="s">
        <v>66</v>
      </c>
      <c r="R2" s="66" t="s">
        <v>23</v>
      </c>
      <c r="S2" s="30" t="s">
        <v>66</v>
      </c>
      <c r="T2" s="988"/>
      <c r="U2" s="986"/>
      <c r="V2" s="986"/>
      <c r="W2" s="986"/>
      <c r="X2" s="986"/>
      <c r="Y2" s="986"/>
      <c r="Z2" s="986"/>
      <c r="AA2" s="986"/>
      <c r="AB2" s="986"/>
      <c r="AC2" s="986"/>
    </row>
    <row r="3" spans="1:29" s="17" customFormat="1">
      <c r="A3" s="12" t="str">
        <f>'1-συμβολαια'!A3</f>
        <v>93τραπ &amp; σημ</v>
      </c>
      <c r="B3" s="44"/>
      <c r="C3" s="73">
        <f>'1-συμβολαια'!B3</f>
        <v>27790</v>
      </c>
      <c r="D3" s="18"/>
      <c r="E3" s="83" t="str">
        <f>'1-συμβολαια'!C3</f>
        <v>δάνειο</v>
      </c>
      <c r="F3" s="13"/>
      <c r="G3" s="14" t="str">
        <f>'4-πολλυπρ'!D3</f>
        <v xml:space="preserve">τραπεζα [= </v>
      </c>
      <c r="H3" s="14" t="str">
        <f>'4-πολλυπρ'!I3</f>
        <v>219-16</v>
      </c>
      <c r="I3" s="19"/>
      <c r="J3" s="19">
        <f>'1-συμβολαια'!D3</f>
        <v>24000000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'5-αντίγρ'!R3</f>
        <v>0</v>
      </c>
      <c r="S3" s="22"/>
      <c r="T3" s="23"/>
      <c r="U3" s="78"/>
      <c r="V3" s="78"/>
      <c r="W3" s="74"/>
      <c r="X3" s="24"/>
      <c r="Y3" s="24"/>
      <c r="Z3" s="24"/>
      <c r="AA3" s="24"/>
      <c r="AB3" s="24"/>
      <c r="AC3" s="24"/>
    </row>
    <row r="4" spans="1:29" s="17" customFormat="1">
      <c r="A4" s="12">
        <f>'1-συμβολαια'!A4</f>
        <v>0</v>
      </c>
      <c r="B4" s="44"/>
      <c r="C4" s="73">
        <f>'1-συμβολαια'!B4</f>
        <v>0</v>
      </c>
      <c r="D4" s="18"/>
      <c r="E4" s="83" t="str">
        <f>'1-συμβολαια'!C4</f>
        <v>υποθήκη δανείου</v>
      </c>
      <c r="F4" s="13"/>
      <c r="G4" s="14" t="str">
        <f>'4-πολλυπρ'!D4</f>
        <v xml:space="preserve">τραπεζα [= </v>
      </c>
      <c r="H4" s="14" t="str">
        <f>'4-πολλυπρ'!I4</f>
        <v>219-16</v>
      </c>
      <c r="I4" s="19"/>
      <c r="J4" s="19">
        <f>'1-συμβολαια'!D4</f>
        <v>26666666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'5-αντίγρ'!R4</f>
        <v>0</v>
      </c>
      <c r="S4" s="22"/>
      <c r="T4" s="23"/>
      <c r="U4" s="78"/>
      <c r="V4" s="78"/>
      <c r="W4" s="74"/>
      <c r="X4" s="24"/>
      <c r="Y4" s="24"/>
      <c r="Z4" s="24"/>
      <c r="AA4" s="24"/>
      <c r="AB4" s="24"/>
      <c r="AC4" s="24"/>
    </row>
    <row r="5" spans="1:29" s="17" customFormat="1">
      <c r="A5" s="12">
        <f>'1-συμβολαια'!A5</f>
        <v>0</v>
      </c>
      <c r="B5" s="44"/>
      <c r="C5" s="73">
        <f>'1-συμβολαια'!B5</f>
        <v>0</v>
      </c>
      <c r="D5" s="18"/>
      <c r="E5" s="83" t="str">
        <f>'1-συμβολαια'!C5</f>
        <v>τόκοι δανείου {εμπρόθεσμα πληρωθέντες}</v>
      </c>
      <c r="F5" s="13"/>
      <c r="G5" s="14" t="str">
        <f>'4-πολλυπρ'!D5</f>
        <v xml:space="preserve">τραπεζα [= </v>
      </c>
      <c r="H5" s="14" t="str">
        <f>'4-πολλυπρ'!I5</f>
        <v>219-16</v>
      </c>
      <c r="I5" s="19"/>
      <c r="J5" s="19">
        <f>'1-συμβολαια'!D5</f>
        <v>51111111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'5-αντίγρ'!R5</f>
        <v>0</v>
      </c>
      <c r="S5" s="22"/>
      <c r="T5" s="23"/>
      <c r="U5" s="78"/>
      <c r="V5" s="78"/>
      <c r="W5" s="74"/>
      <c r="X5" s="24"/>
      <c r="Y5" s="24"/>
      <c r="Z5" s="24"/>
      <c r="AA5" s="24"/>
      <c r="AB5" s="24"/>
      <c r="AC5" s="24"/>
    </row>
    <row r="6" spans="1:29" s="17" customFormat="1">
      <c r="A6" s="12" t="str">
        <f>'1-συμβολαια'!A6</f>
        <v>375τραπ</v>
      </c>
      <c r="B6" s="44"/>
      <c r="C6" s="73">
        <f>'1-συμβολαια'!B6</f>
        <v>30161</v>
      </c>
      <c r="D6" s="18"/>
      <c r="E6" s="83" t="str">
        <f>'1-συμβολαια'!C6</f>
        <v>δάνειο</v>
      </c>
      <c r="F6" s="13"/>
      <c r="G6" s="14" t="str">
        <f>'4-πολλυπρ'!D6</f>
        <v xml:space="preserve">τραπεζα [= </v>
      </c>
      <c r="H6" s="14" t="str">
        <f>'4-πολλυπρ'!I6</f>
        <v>219-16</v>
      </c>
      <c r="I6" s="19"/>
      <c r="J6" s="19">
        <f>'1-συμβολαια'!D6</f>
        <v>5000000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'5-αντίγρ'!R6</f>
        <v>0</v>
      </c>
      <c r="S6" s="22"/>
      <c r="T6" s="23"/>
      <c r="U6" s="78"/>
      <c r="V6" s="78"/>
      <c r="W6" s="74"/>
      <c r="X6" s="24"/>
      <c r="Y6" s="24"/>
      <c r="Z6" s="24"/>
      <c r="AA6" s="24"/>
      <c r="AB6" s="24"/>
      <c r="AC6" s="24"/>
    </row>
    <row r="7" spans="1:29" s="17" customFormat="1">
      <c r="A7" s="12">
        <f>'1-συμβολαια'!A7</f>
        <v>0</v>
      </c>
      <c r="B7" s="44"/>
      <c r="C7" s="73">
        <f>'1-συμβολαια'!B7</f>
        <v>0</v>
      </c>
      <c r="D7" s="18"/>
      <c r="E7" s="83" t="str">
        <f>'1-συμβολαια'!C7</f>
        <v>υποθήκη δανείου</v>
      </c>
      <c r="F7" s="13"/>
      <c r="G7" s="14" t="str">
        <f>'4-πολλυπρ'!D7</f>
        <v xml:space="preserve">τραπεζα [= </v>
      </c>
      <c r="H7" s="14" t="str">
        <f>'4-πολλυπρ'!I7</f>
        <v>219-16</v>
      </c>
      <c r="I7" s="19"/>
      <c r="J7" s="19">
        <f>'1-συμβολαια'!D7</f>
        <v>6666666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'5-αντίγρ'!R7</f>
        <v>0</v>
      </c>
      <c r="S7" s="22"/>
      <c r="T7" s="23"/>
      <c r="U7" s="78"/>
      <c r="V7" s="78"/>
      <c r="W7" s="74"/>
      <c r="X7" s="24"/>
      <c r="Y7" s="24"/>
      <c r="Z7" s="24"/>
      <c r="AA7" s="24"/>
      <c r="AB7" s="24"/>
      <c r="AC7" s="24"/>
    </row>
    <row r="8" spans="1:29" s="17" customFormat="1">
      <c r="A8" s="12">
        <f>'1-συμβολαια'!A8</f>
        <v>0</v>
      </c>
      <c r="B8" s="44"/>
      <c r="C8" s="73">
        <f>'1-συμβολαια'!B8</f>
        <v>0</v>
      </c>
      <c r="D8" s="18"/>
      <c r="E8" s="83" t="str">
        <f>'1-συμβολαια'!C8</f>
        <v>τόκοι δανείου</v>
      </c>
      <c r="F8" s="13"/>
      <c r="G8" s="14" t="str">
        <f>'4-πολλυπρ'!D8</f>
        <v xml:space="preserve">τραπεζα [= </v>
      </c>
      <c r="H8" s="14" t="str">
        <f>'4-πολλυπρ'!I8</f>
        <v>219-16</v>
      </c>
      <c r="I8" s="19"/>
      <c r="J8" s="19">
        <f>'1-συμβολαια'!D8</f>
        <v>11111111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'5-αντίγρ'!R8</f>
        <v>0</v>
      </c>
      <c r="S8" s="22"/>
      <c r="T8" s="23"/>
      <c r="U8" s="78"/>
      <c r="V8" s="78"/>
      <c r="W8" s="74"/>
      <c r="X8" s="24"/>
      <c r="Y8" s="24"/>
      <c r="Z8" s="24"/>
      <c r="AA8" s="24"/>
      <c r="AB8" s="24"/>
      <c r="AC8" s="24"/>
    </row>
    <row r="9" spans="1:29" s="17" customFormat="1">
      <c r="A9" s="12" t="str">
        <f>'1-συμβολαια'!A9</f>
        <v>1ο</v>
      </c>
      <c r="B9" s="44"/>
      <c r="C9" s="73">
        <f>'1-συμβολαια'!B9</f>
        <v>30265</v>
      </c>
      <c r="D9" s="18"/>
      <c r="E9" s="83" t="str">
        <f>'1-συμβολαια'!C9</f>
        <v>υποθήκη τυχόν αυξήσεως ΤΟΚΩΝ δανείου</v>
      </c>
      <c r="F9" s="13"/>
      <c r="G9" s="14" t="str">
        <f>'4-πολλυπρ'!D9</f>
        <v xml:space="preserve">τραπεζα [= </v>
      </c>
      <c r="H9" s="14" t="str">
        <f>'4-πολλυπρ'!I9</f>
        <v>219-16</v>
      </c>
      <c r="I9" s="19"/>
      <c r="J9" s="19">
        <f>'1-συμβολαια'!D9</f>
        <v>20000</v>
      </c>
      <c r="K9" s="19"/>
      <c r="L9" s="26">
        <f>'11-χαρτόσ'!D9</f>
        <v>700</v>
      </c>
      <c r="M9" s="26"/>
      <c r="N9" s="26"/>
      <c r="O9" s="20"/>
      <c r="P9" s="16" t="e">
        <f>#REF!-R9</f>
        <v>#REF!</v>
      </c>
      <c r="Q9" s="15"/>
      <c r="R9" s="21">
        <f>'5-αντίγρ'!R9</f>
        <v>154</v>
      </c>
      <c r="S9" s="22"/>
      <c r="T9" s="23"/>
      <c r="U9" s="78"/>
      <c r="V9" s="78"/>
      <c r="W9" s="74"/>
      <c r="X9" s="24"/>
      <c r="Y9" s="24"/>
      <c r="Z9" s="24"/>
      <c r="AA9" s="24"/>
      <c r="AB9" s="24"/>
      <c r="AC9" s="24"/>
    </row>
    <row r="10" spans="1:29" s="17" customFormat="1">
      <c r="A10" s="12" t="str">
        <f>'1-συμβολαια'!A10</f>
        <v>2ο</v>
      </c>
      <c r="B10" s="44"/>
      <c r="C10" s="73">
        <f>'1-συμβολαια'!B10</f>
        <v>30160</v>
      </c>
      <c r="D10" s="18"/>
      <c r="E10" s="83" t="str">
        <f>'1-συμβολαια'!C10</f>
        <v>αγοραπωλησία οικοπεδου τίμημα = 800.000 Δ.Ο.Υ. =</v>
      </c>
      <c r="F10" s="13"/>
      <c r="G10" s="14" t="str">
        <f>'4-πολλυπρ'!D10</f>
        <v>;;;???</v>
      </c>
      <c r="H10" s="14" t="str">
        <f>'4-πολλυπρ'!I10</f>
        <v>219-16</v>
      </c>
      <c r="I10" s="19"/>
      <c r="J10" s="19">
        <f>'1-συμβολαια'!D10</f>
        <v>1000000</v>
      </c>
      <c r="K10" s="19"/>
      <c r="L10" s="26">
        <f>'11-χαρτόσ'!D10</f>
        <v>200</v>
      </c>
      <c r="M10" s="26"/>
      <c r="N10" s="26"/>
      <c r="O10" s="20"/>
      <c r="P10" s="16" t="e">
        <f>#REF!-R10</f>
        <v>#REF!</v>
      </c>
      <c r="Q10" s="15"/>
      <c r="R10" s="21">
        <f>'5-αντίγρ'!R10</f>
        <v>88</v>
      </c>
      <c r="S10" s="22"/>
      <c r="T10" s="23"/>
      <c r="U10" s="78"/>
      <c r="V10" s="78"/>
      <c r="W10" s="74"/>
      <c r="X10" s="24"/>
      <c r="Y10" s="24"/>
      <c r="Z10" s="24"/>
      <c r="AA10" s="24"/>
      <c r="AB10" s="24"/>
      <c r="AC10" s="24"/>
    </row>
    <row r="11" spans="1:29" s="17" customFormat="1">
      <c r="A11" s="12">
        <f>'1-συμβολαια'!A11</f>
        <v>0</v>
      </c>
      <c r="B11" s="44"/>
      <c r="C11" s="73">
        <f>'1-συμβολαια'!B11</f>
        <v>0</v>
      </c>
      <c r="D11" s="18"/>
      <c r="E11" s="83" t="str">
        <f>'1-συμβολαια'!C11</f>
        <v>αγορά εργοστασίου ;;;??? μ2</v>
      </c>
      <c r="F11" s="13"/>
      <c r="G11" s="14" t="str">
        <f>'4-πολλυπρ'!D11</f>
        <v>;;;???</v>
      </c>
      <c r="H11" s="14" t="str">
        <f>'4-πολλυπρ'!I11</f>
        <v>219-16</v>
      </c>
      <c r="I11" s="19"/>
      <c r="J11" s="19">
        <f>'1-συμβολαια'!D11</f>
        <v>11111111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'5-αντίγρ'!R11</f>
        <v>0</v>
      </c>
      <c r="S11" s="22"/>
      <c r="T11" s="23"/>
      <c r="U11" s="78"/>
      <c r="V11" s="78"/>
      <c r="W11" s="74"/>
      <c r="X11" s="24"/>
      <c r="Y11" s="24"/>
      <c r="Z11" s="24"/>
      <c r="AA11" s="24"/>
      <c r="AB11" s="24"/>
      <c r="AC11" s="24"/>
    </row>
    <row r="12" spans="1:29" s="17" customFormat="1">
      <c r="A12" s="12">
        <f>'1-συμβολαια'!A12</f>
        <v>0</v>
      </c>
      <c r="B12" s="44"/>
      <c r="C12" s="73">
        <f>'1-συμβολαια'!B12</f>
        <v>0</v>
      </c>
      <c r="D12" s="18"/>
      <c r="E12" s="83" t="str">
        <f>'1-συμβολαια'!C12</f>
        <v>αγορά εργοστασίου ΕΞΟΠΛΙΣΜΟΣ</v>
      </c>
      <c r="F12" s="13"/>
      <c r="G12" s="14" t="str">
        <f>'4-πολλυπρ'!D12</f>
        <v>;;;???</v>
      </c>
      <c r="H12" s="14" t="str">
        <f>'4-πολλυπρ'!I12</f>
        <v>219-16</v>
      </c>
      <c r="I12" s="19"/>
      <c r="J12" s="19">
        <f>'1-συμβολαια'!D12</f>
        <v>6666666</v>
      </c>
      <c r="K12" s="19"/>
      <c r="L12" s="26">
        <f>'11-χαρτόσ'!D12</f>
        <v>0</v>
      </c>
      <c r="M12" s="26"/>
      <c r="N12" s="26"/>
      <c r="O12" s="20"/>
      <c r="P12" s="16" t="e">
        <f>#REF!-R12</f>
        <v>#REF!</v>
      </c>
      <c r="Q12" s="15"/>
      <c r="R12" s="21">
        <f>'5-αντίγρ'!R12</f>
        <v>0</v>
      </c>
      <c r="S12" s="22"/>
      <c r="T12" s="23"/>
      <c r="U12" s="78"/>
      <c r="V12" s="78"/>
      <c r="W12" s="74"/>
      <c r="X12" s="24"/>
      <c r="Y12" s="24"/>
      <c r="Z12" s="24"/>
      <c r="AA12" s="24"/>
      <c r="AB12" s="24"/>
      <c r="AC12" s="24"/>
    </row>
    <row r="13" spans="1:29" s="17" customFormat="1">
      <c r="A13" s="12" t="str">
        <f>'1-συμβολαια'!A13</f>
        <v>3ο</v>
      </c>
      <c r="B13" s="44"/>
      <c r="C13" s="73">
        <f>'1-συμβολαια'!B13</f>
        <v>30149</v>
      </c>
      <c r="D13" s="18"/>
      <c r="E13" s="83" t="str">
        <f>'1-συμβολαια'!C13</f>
        <v>πληρεξούσιο</v>
      </c>
      <c r="F13" s="13"/>
      <c r="G13" s="14" t="str">
        <f>'4-πολλυπρ'!D13</f>
        <v>219-16</v>
      </c>
      <c r="H13" s="14" t="str">
        <f>'4-πολλυπρ'!I13</f>
        <v>219-16</v>
      </c>
      <c r="I13" s="19"/>
      <c r="J13" s="19">
        <f>'1-συμβολαια'!D13</f>
        <v>0</v>
      </c>
      <c r="K13" s="19"/>
      <c r="L13" s="26">
        <f>'11-χαρτόσ'!D13</f>
        <v>20</v>
      </c>
      <c r="M13" s="26"/>
      <c r="N13" s="26"/>
      <c r="O13" s="20"/>
      <c r="P13" s="16" t="e">
        <f>#REF!-R13</f>
        <v>#REF!</v>
      </c>
      <c r="Q13" s="15"/>
      <c r="R13" s="21">
        <f>'5-αντίγρ'!R13</f>
        <v>0</v>
      </c>
      <c r="S13" s="22"/>
      <c r="T13" s="23"/>
      <c r="U13" s="78"/>
      <c r="V13" s="78"/>
      <c r="W13" s="74"/>
      <c r="X13" s="24"/>
      <c r="Y13" s="24"/>
      <c r="Z13" s="24"/>
      <c r="AA13" s="24"/>
      <c r="AB13" s="24"/>
      <c r="AC13" s="24"/>
    </row>
    <row r="14" spans="1:29" s="17" customFormat="1">
      <c r="A14" s="12" t="str">
        <f>'1-συμβολαια'!A14</f>
        <v>4ο</v>
      </c>
      <c r="B14" s="44"/>
      <c r="C14" s="73">
        <f>'1-συμβολαια'!B14</f>
        <v>30412</v>
      </c>
      <c r="D14" s="18"/>
      <c r="E14" s="83" t="str">
        <f>'1-συμβολαια'!C14</f>
        <v>υποθήκη [έναντι του δανείου 375-29/07/1982τραπ</v>
      </c>
      <c r="F14" s="13"/>
      <c r="G14" s="14" t="str">
        <f>'4-πολλυπρ'!D14</f>
        <v xml:space="preserve">τραπεζα [= </v>
      </c>
      <c r="H14" s="14" t="str">
        <f>'4-πολλυπρ'!I14</f>
        <v>219-16</v>
      </c>
      <c r="I14" s="19"/>
      <c r="J14" s="19">
        <f>'1-συμβολαια'!D14</f>
        <v>100000</v>
      </c>
      <c r="K14" s="19"/>
      <c r="L14" s="26">
        <f>'11-χαρτόσ'!D14</f>
        <v>200</v>
      </c>
      <c r="M14" s="26"/>
      <c r="N14" s="26"/>
      <c r="O14" s="20"/>
      <c r="P14" s="16" t="e">
        <f>#REF!-R14</f>
        <v>#REF!</v>
      </c>
      <c r="Q14" s="15"/>
      <c r="R14" s="21">
        <f>'5-αντίγρ'!R14</f>
        <v>176</v>
      </c>
      <c r="S14" s="22"/>
      <c r="T14" s="23"/>
      <c r="U14" s="78"/>
      <c r="V14" s="78"/>
      <c r="W14" s="74"/>
      <c r="X14" s="24"/>
      <c r="Y14" s="24"/>
      <c r="Z14" s="24"/>
      <c r="AA14" s="24"/>
      <c r="AB14" s="24"/>
      <c r="AC14" s="24"/>
    </row>
    <row r="15" spans="1:29" s="17" customFormat="1">
      <c r="A15" s="12" t="str">
        <f>'1-συμβολαια'!A15</f>
        <v>389τραπ</v>
      </c>
      <c r="B15" s="44"/>
      <c r="C15" s="73">
        <f>'1-συμβολαια'!B15</f>
        <v>30228</v>
      </c>
      <c r="D15" s="18"/>
      <c r="E15" s="83" t="str">
        <f>'1-συμβολαια'!C15</f>
        <v>δάνειο</v>
      </c>
      <c r="F15" s="13"/>
      <c r="G15" s="14" t="str">
        <f>'4-πολλυπρ'!D15</f>
        <v xml:space="preserve">τραπεζα [= </v>
      </c>
      <c r="H15" s="14" t="str">
        <f>'4-πολλυπρ'!I15</f>
        <v>219-16</v>
      </c>
      <c r="I15" s="19"/>
      <c r="J15" s="19">
        <f>'1-συμβολαια'!D15</f>
        <v>10000000</v>
      </c>
      <c r="K15" s="19"/>
      <c r="L15" s="26">
        <f>'11-χαρτόσ'!D15</f>
        <v>0</v>
      </c>
      <c r="M15" s="26"/>
      <c r="N15" s="26"/>
      <c r="O15" s="20"/>
      <c r="P15" s="16" t="e">
        <f>#REF!-R15</f>
        <v>#REF!</v>
      </c>
      <c r="Q15" s="15"/>
      <c r="R15" s="21">
        <f>'5-αντίγρ'!R15</f>
        <v>0</v>
      </c>
      <c r="S15" s="22"/>
      <c r="T15" s="23"/>
      <c r="U15" s="78"/>
      <c r="V15" s="78"/>
      <c r="W15" s="74"/>
      <c r="X15" s="24"/>
      <c r="Y15" s="24"/>
      <c r="Z15" s="24"/>
      <c r="AA15" s="24"/>
      <c r="AB15" s="24"/>
      <c r="AC15" s="24"/>
    </row>
    <row r="16" spans="1:29" s="17" customFormat="1">
      <c r="A16" s="12">
        <f>'1-συμβολαια'!A16</f>
        <v>0</v>
      </c>
      <c r="B16" s="44"/>
      <c r="C16" s="73">
        <f>'1-συμβολαια'!B16</f>
        <v>0</v>
      </c>
      <c r="D16" s="18"/>
      <c r="E16" s="83" t="str">
        <f>'1-συμβολαια'!C16</f>
        <v>υποθήκη δανείου</v>
      </c>
      <c r="F16" s="13"/>
      <c r="G16" s="14" t="str">
        <f>'4-πολλυπρ'!D16</f>
        <v xml:space="preserve">τραπεζα [= </v>
      </c>
      <c r="H16" s="14" t="str">
        <f>'4-πολλυπρ'!I16</f>
        <v>219-16</v>
      </c>
      <c r="I16" s="19"/>
      <c r="J16" s="19">
        <f>'1-συμβολαια'!D16</f>
        <v>12222222</v>
      </c>
      <c r="K16" s="19"/>
      <c r="L16" s="26">
        <f>'11-χαρτόσ'!D16</f>
        <v>0</v>
      </c>
      <c r="M16" s="26"/>
      <c r="N16" s="26"/>
      <c r="O16" s="20"/>
      <c r="P16" s="16" t="e">
        <f>#REF!-R16</f>
        <v>#REF!</v>
      </c>
      <c r="Q16" s="15"/>
      <c r="R16" s="21">
        <f>'5-αντίγρ'!R16</f>
        <v>0</v>
      </c>
      <c r="S16" s="22"/>
      <c r="T16" s="23"/>
      <c r="U16" s="78"/>
      <c r="V16" s="78"/>
      <c r="W16" s="74"/>
      <c r="X16" s="24"/>
      <c r="Y16" s="24"/>
      <c r="Z16" s="24"/>
      <c r="AA16" s="24"/>
      <c r="AB16" s="24"/>
      <c r="AC16" s="24"/>
    </row>
    <row r="17" spans="1:29" s="17" customFormat="1">
      <c r="A17" s="12">
        <f>'1-συμβολαια'!A17</f>
        <v>0</v>
      </c>
      <c r="B17" s="44"/>
      <c r="C17" s="73">
        <f>'1-συμβολαια'!B17</f>
        <v>0</v>
      </c>
      <c r="D17" s="18"/>
      <c r="E17" s="83" t="str">
        <f>'1-συμβολαια'!C17</f>
        <v>τόκοι δανείου</v>
      </c>
      <c r="F17" s="13"/>
      <c r="G17" s="14" t="str">
        <f>'4-πολλυπρ'!D17</f>
        <v xml:space="preserve">τραπεζα [= </v>
      </c>
      <c r="H17" s="14" t="str">
        <f>'4-πολλυπρ'!I17</f>
        <v>219-16</v>
      </c>
      <c r="I17" s="19"/>
      <c r="J17" s="19">
        <f>'1-συμβολαια'!D17</f>
        <v>22222222</v>
      </c>
      <c r="K17" s="19"/>
      <c r="L17" s="26">
        <f>'11-χαρτόσ'!D17</f>
        <v>0</v>
      </c>
      <c r="M17" s="26"/>
      <c r="N17" s="26"/>
      <c r="O17" s="20"/>
      <c r="P17" s="16" t="e">
        <f>#REF!-R17</f>
        <v>#REF!</v>
      </c>
      <c r="Q17" s="15"/>
      <c r="R17" s="21">
        <f>'5-αντίγρ'!R17</f>
        <v>0</v>
      </c>
      <c r="S17" s="22"/>
      <c r="T17" s="23"/>
      <c r="U17" s="78"/>
      <c r="V17" s="78"/>
      <c r="W17" s="74"/>
      <c r="X17" s="24"/>
      <c r="Y17" s="24"/>
      <c r="Z17" s="24"/>
      <c r="AA17" s="24"/>
      <c r="AB17" s="24"/>
      <c r="AC17" s="24"/>
    </row>
    <row r="18" spans="1:29" s="17" customFormat="1">
      <c r="A18" s="12" t="str">
        <f>'1-συμβολαια'!A18</f>
        <v>5ο</v>
      </c>
      <c r="B18" s="44"/>
      <c r="C18" s="73">
        <f>'1-συμβολαια'!B18</f>
        <v>32394</v>
      </c>
      <c r="D18" s="18"/>
      <c r="E18" s="83" t="str">
        <f>'1-συμβολαια'!C18</f>
        <v>μίσθωσις νταμάρι  Παναγία -'';;;???'' 29στρ 3έτη [1000/έτος/στρ</v>
      </c>
      <c r="F18" s="13"/>
      <c r="G18" s="14" t="str">
        <f>'4-πολλυπρ'!D18</f>
        <v>κοινότηταΠαναγιας [= ματσανηςΓεωργιος</v>
      </c>
      <c r="H18" s="14" t="str">
        <f>'4-πολλυπρ'!I18</f>
        <v>219-16</v>
      </c>
      <c r="I18" s="19"/>
      <c r="J18" s="19">
        <f>'1-συμβολαια'!D18</f>
        <v>696000</v>
      </c>
      <c r="K18" s="19"/>
      <c r="L18" s="26">
        <f>'11-χαρτόσ'!D18</f>
        <v>500</v>
      </c>
      <c r="M18" s="26"/>
      <c r="N18" s="26"/>
      <c r="O18" s="20"/>
      <c r="P18" s="16" t="e">
        <f>#REF!-R18</f>
        <v>#REF!</v>
      </c>
      <c r="Q18" s="15"/>
      <c r="R18" s="21">
        <f>'5-αντίγρ'!R18</f>
        <v>858</v>
      </c>
      <c r="S18" s="22"/>
      <c r="T18" s="23"/>
      <c r="U18" s="78"/>
      <c r="V18" s="78"/>
      <c r="W18" s="74"/>
      <c r="X18" s="24"/>
      <c r="Y18" s="24"/>
      <c r="Z18" s="24"/>
      <c r="AA18" s="24"/>
      <c r="AB18" s="24"/>
      <c r="AC18" s="24"/>
    </row>
    <row r="19" spans="1:29" s="17" customFormat="1">
      <c r="A19" s="12">
        <f>'1-συμβολαια'!A19</f>
        <v>0</v>
      </c>
      <c r="B19" s="44"/>
      <c r="C19" s="73">
        <f>'1-συμβολαια'!B19</f>
        <v>0</v>
      </c>
      <c r="D19" s="18"/>
      <c r="E19" s="83" t="str">
        <f>'1-συμβολαια'!C19</f>
        <v>μίσθωση … ΚΤΙΡΙΑΚΑ &amp; τεχνικές εγκαταστάσεις &amp; ΚΛΠ</v>
      </c>
      <c r="F19" s="13"/>
      <c r="G19" s="14" t="str">
        <f>'4-πολλυπρ'!D19</f>
        <v>κοινότηταΠαναγιας [= ματσανηςΓεωργιος</v>
      </c>
      <c r="H19" s="14" t="str">
        <f>'4-πολλυπρ'!I19</f>
        <v>219-16</v>
      </c>
      <c r="I19" s="19"/>
      <c r="J19" s="19">
        <f>'1-συμβολαια'!D19</f>
        <v>10000000</v>
      </c>
      <c r="K19" s="19"/>
      <c r="L19" s="26">
        <f>'11-χαρτόσ'!D19</f>
        <v>0</v>
      </c>
      <c r="M19" s="26"/>
      <c r="N19" s="26"/>
      <c r="O19" s="20"/>
      <c r="P19" s="16" t="e">
        <f>#REF!-R19</f>
        <v>#REF!</v>
      </c>
      <c r="Q19" s="15"/>
      <c r="R19" s="21">
        <f>'5-αντίγρ'!R19</f>
        <v>0</v>
      </c>
      <c r="S19" s="22"/>
      <c r="T19" s="23"/>
      <c r="U19" s="78"/>
      <c r="V19" s="78"/>
      <c r="W19" s="74"/>
      <c r="X19" s="24"/>
      <c r="Y19" s="24"/>
      <c r="Z19" s="24"/>
      <c r="AA19" s="24"/>
      <c r="AB19" s="24"/>
      <c r="AC19" s="24"/>
    </row>
    <row r="20" spans="1:29" s="17" customFormat="1">
      <c r="A20" s="12">
        <f>'1-συμβολαια'!A20</f>
        <v>0</v>
      </c>
      <c r="B20" s="44"/>
      <c r="C20" s="73">
        <f>'1-συμβολαια'!B20</f>
        <v>0</v>
      </c>
      <c r="D20" s="18"/>
      <c r="E20" s="83" t="str">
        <f>'1-συμβολαια'!C20</f>
        <v>μίσθωση … ΕΡΕΥΝΗΤΙΚΕΣ εργασίες</v>
      </c>
      <c r="F20" s="13"/>
      <c r="G20" s="14" t="str">
        <f>'4-πολλυπρ'!D20</f>
        <v>κοινότηταΠαναγιας [= ματσανηςΓεωργιος</v>
      </c>
      <c r="H20" s="14" t="str">
        <f>'4-πολλυπρ'!I20</f>
        <v>219-16</v>
      </c>
      <c r="I20" s="19"/>
      <c r="J20" s="19">
        <f>'1-συμβολαια'!D20</f>
        <v>3333333</v>
      </c>
      <c r="K20" s="19"/>
      <c r="L20" s="26">
        <f>'11-χαρτόσ'!D20</f>
        <v>0</v>
      </c>
      <c r="M20" s="26"/>
      <c r="N20" s="26"/>
      <c r="O20" s="20"/>
      <c r="P20" s="16" t="e">
        <f>#REF!-R20</f>
        <v>#REF!</v>
      </c>
      <c r="Q20" s="15"/>
      <c r="R20" s="21">
        <f>'5-αντίγρ'!R20</f>
        <v>0</v>
      </c>
      <c r="S20" s="22"/>
      <c r="T20" s="23"/>
      <c r="U20" s="78"/>
      <c r="V20" s="78"/>
      <c r="W20" s="74"/>
      <c r="X20" s="24"/>
      <c r="Y20" s="24"/>
      <c r="Z20" s="24"/>
      <c r="AA20" s="24"/>
      <c r="AB20" s="24"/>
      <c r="AC20" s="24"/>
    </row>
    <row r="21" spans="1:29" s="17" customFormat="1">
      <c r="A21" s="12">
        <f>'1-συμβολαια'!A21</f>
        <v>0</v>
      </c>
      <c r="B21" s="44"/>
      <c r="C21" s="73">
        <f>'1-συμβολαια'!B21</f>
        <v>0</v>
      </c>
      <c r="D21" s="18"/>
      <c r="E21" s="83" t="str">
        <f>'1-συμβολαια'!C21</f>
        <v>μίσθωση ….. κόστος έργων αποκατάστασης</v>
      </c>
      <c r="F21" s="13"/>
      <c r="G21" s="14" t="str">
        <f>'4-πολλυπρ'!D21</f>
        <v>κοινότηταΠαναγιας [= ματσανηςΓεωργιος</v>
      </c>
      <c r="H21" s="14" t="str">
        <f>'4-πολλυπρ'!I21</f>
        <v>219-16</v>
      </c>
      <c r="I21" s="19"/>
      <c r="J21" s="19">
        <f>'1-συμβολαια'!D21</f>
        <v>6000000</v>
      </c>
      <c r="K21" s="19"/>
      <c r="L21" s="26">
        <f>'11-χαρτόσ'!D21</f>
        <v>0</v>
      </c>
      <c r="M21" s="26"/>
      <c r="N21" s="26"/>
      <c r="O21" s="20"/>
      <c r="P21" s="16" t="e">
        <f>#REF!-R21</f>
        <v>#REF!</v>
      </c>
      <c r="Q21" s="15"/>
      <c r="R21" s="21">
        <f>'5-αντίγρ'!R21</f>
        <v>0</v>
      </c>
      <c r="S21" s="22"/>
      <c r="T21" s="23"/>
      <c r="U21" s="78"/>
      <c r="V21" s="78"/>
      <c r="W21" s="74"/>
      <c r="X21" s="24"/>
      <c r="Y21" s="24"/>
      <c r="Z21" s="24"/>
      <c r="AA21" s="24"/>
      <c r="AB21" s="24"/>
      <c r="AC21" s="24"/>
    </row>
    <row r="22" spans="1:29" s="17" customFormat="1">
      <c r="A22" s="12" t="str">
        <f>'1-συμβολαια'!A22</f>
        <v>6ο</v>
      </c>
      <c r="B22" s="44"/>
      <c r="C22" s="73">
        <f>'1-συμβολαια'!B22</f>
        <v>33008</v>
      </c>
      <c r="D22" s="18"/>
      <c r="E22" s="83" t="str">
        <f>'1-συμβολαια'!C22</f>
        <v>;;;???ΑΕ σύσταση από ΜΕΤΑΤΡΟΠΗ ατομικής [= 40.000.000δρχ</v>
      </c>
      <c r="F22" s="13"/>
      <c r="G22" s="14" t="str">
        <f>'4-πολλυπρ'!D22</f>
        <v>219-16</v>
      </c>
      <c r="H22" s="14" t="str">
        <f>'4-πολλυπρ'!I22</f>
        <v>219-16</v>
      </c>
      <c r="I22" s="19"/>
      <c r="J22" s="19">
        <f>'1-συμβολαια'!D22</f>
        <v>0</v>
      </c>
      <c r="K22" s="19"/>
      <c r="L22" s="26">
        <f>'11-χαρτόσ'!D22</f>
        <v>500</v>
      </c>
      <c r="M22" s="26"/>
      <c r="N22" s="26"/>
      <c r="O22" s="20"/>
      <c r="P22" s="16" t="e">
        <f>#REF!-R22</f>
        <v>#REF!</v>
      </c>
      <c r="Q22" s="15"/>
      <c r="R22" s="21">
        <f>'5-αντίγρ'!R22</f>
        <v>935</v>
      </c>
      <c r="S22" s="22"/>
      <c r="T22" s="23"/>
      <c r="U22" s="78"/>
      <c r="V22" s="78"/>
      <c r="W22" s="74"/>
      <c r="X22" s="24"/>
      <c r="Y22" s="24"/>
      <c r="Z22" s="24"/>
      <c r="AA22" s="24"/>
      <c r="AB22" s="24"/>
      <c r="AC22" s="24"/>
    </row>
    <row r="23" spans="1:29" s="17" customFormat="1">
      <c r="A23" s="12">
        <f>'1-συμβολαια'!A23</f>
        <v>0</v>
      </c>
      <c r="B23" s="44"/>
      <c r="C23" s="73">
        <f>'1-συμβολαια'!B23</f>
        <v>0</v>
      </c>
      <c r="D23" s="18"/>
      <c r="E23" s="83" t="str">
        <f>'1-συμβολαια'!C23</f>
        <v>πληρεξουσιότητα</v>
      </c>
      <c r="F23" s="13"/>
      <c r="G23" s="14" t="str">
        <f>'4-πολλυπρ'!D23</f>
        <v>219-16</v>
      </c>
      <c r="H23" s="14" t="str">
        <f>'4-πολλυπρ'!I23</f>
        <v>219-16</v>
      </c>
      <c r="I23" s="19"/>
      <c r="J23" s="19">
        <f>'1-συμβολαια'!D23</f>
        <v>0</v>
      </c>
      <c r="K23" s="19"/>
      <c r="L23" s="26">
        <f>'11-χαρτόσ'!D23</f>
        <v>0</v>
      </c>
      <c r="M23" s="26"/>
      <c r="N23" s="26"/>
      <c r="O23" s="20"/>
      <c r="P23" s="16" t="e">
        <f>#REF!-R23</f>
        <v>#REF!</v>
      </c>
      <c r="Q23" s="15"/>
      <c r="R23" s="21">
        <f>'5-αντίγρ'!R23</f>
        <v>935</v>
      </c>
      <c r="S23" s="22"/>
      <c r="T23" s="23"/>
      <c r="U23" s="78"/>
      <c r="V23" s="78"/>
      <c r="W23" s="74"/>
      <c r="X23" s="24"/>
      <c r="Y23" s="24"/>
      <c r="Z23" s="24"/>
      <c r="AA23" s="24"/>
      <c r="AB23" s="24"/>
      <c r="AC23" s="24"/>
    </row>
    <row r="24" spans="1:29" s="17" customFormat="1">
      <c r="A24" s="12" t="str">
        <f>'1-συμβολαια'!A24</f>
        <v>7ο</v>
      </c>
      <c r="B24" s="44"/>
      <c r="C24" s="73">
        <f>'1-συμβολαια'!B24</f>
        <v>33401</v>
      </c>
      <c r="D24" s="18"/>
      <c r="E24" s="83" t="str">
        <f>'1-συμβολαια'!C24</f>
        <v>;;;??? υποθήκης ΕΞΑΛΕΙΨΗ</v>
      </c>
      <c r="F24" s="13"/>
      <c r="G24" s="14" t="str">
        <f>'4-πολλυπρ'!D24</f>
        <v xml:space="preserve">τραπεζα [= </v>
      </c>
      <c r="H24" s="14">
        <f>'4-πολλυπρ'!I24</f>
        <v>0</v>
      </c>
      <c r="I24" s="19"/>
      <c r="J24" s="19">
        <f>'1-συμβολαια'!D24</f>
        <v>0</v>
      </c>
      <c r="K24" s="19"/>
      <c r="L24" s="26">
        <f>'11-χαρτόσ'!D24</f>
        <v>50</v>
      </c>
      <c r="M24" s="26"/>
      <c r="N24" s="26"/>
      <c r="O24" s="20"/>
      <c r="P24" s="16" t="e">
        <f>#REF!-R24</f>
        <v>#REF!</v>
      </c>
      <c r="Q24" s="15"/>
      <c r="R24" s="21">
        <f>'5-αντίγρ'!R24</f>
        <v>66</v>
      </c>
      <c r="S24" s="22"/>
      <c r="T24" s="23"/>
      <c r="U24" s="78"/>
      <c r="V24" s="78"/>
      <c r="W24" s="74"/>
      <c r="X24" s="24"/>
      <c r="Y24" s="24"/>
      <c r="Z24" s="24"/>
      <c r="AA24" s="24"/>
      <c r="AB24" s="24"/>
      <c r="AC24" s="24"/>
    </row>
    <row r="25" spans="1:29" s="17" customFormat="1">
      <c r="A25" s="12">
        <f>'1-συμβολαια'!A25</f>
        <v>0</v>
      </c>
      <c r="B25" s="44"/>
      <c r="C25" s="73">
        <f>'1-συμβολαια'!B25</f>
        <v>0</v>
      </c>
      <c r="D25" s="18"/>
      <c r="E25" s="83" t="str">
        <f>'1-συμβολαια'!C25</f>
        <v>υποθήκης 375τραπ29/7/82 ΕΞΑΛΕΙΨΗ</v>
      </c>
      <c r="F25" s="13"/>
      <c r="G25" s="14" t="str">
        <f>'4-πολλυπρ'!D25</f>
        <v xml:space="preserve">τραπεζα [= </v>
      </c>
      <c r="H25" s="14">
        <f>'4-πολλυπρ'!I25</f>
        <v>0</v>
      </c>
      <c r="I25" s="19"/>
      <c r="J25" s="19">
        <f>'1-συμβολαια'!D25</f>
        <v>0</v>
      </c>
      <c r="K25" s="19"/>
      <c r="L25" s="26">
        <f>'11-χαρτόσ'!D25</f>
        <v>0</v>
      </c>
      <c r="M25" s="26"/>
      <c r="N25" s="26"/>
      <c r="O25" s="20"/>
      <c r="P25" s="16" t="e">
        <f>#REF!-R25</f>
        <v>#REF!</v>
      </c>
      <c r="Q25" s="15"/>
      <c r="R25" s="21">
        <f>'5-αντίγρ'!R25</f>
        <v>0</v>
      </c>
      <c r="S25" s="22"/>
      <c r="T25" s="23"/>
      <c r="U25" s="78"/>
      <c r="V25" s="78"/>
      <c r="W25" s="74"/>
      <c r="X25" s="24"/>
      <c r="Y25" s="24"/>
      <c r="Z25" s="24"/>
      <c r="AA25" s="24"/>
      <c r="AB25" s="24"/>
      <c r="AC25" s="24"/>
    </row>
    <row r="26" spans="1:29" s="17" customFormat="1">
      <c r="A26" s="12">
        <f>'1-συμβολαια'!A26</f>
        <v>0</v>
      </c>
      <c r="B26" s="44"/>
      <c r="C26" s="73">
        <f>'1-συμβολαια'!B26</f>
        <v>0</v>
      </c>
      <c r="D26" s="18"/>
      <c r="E26" s="83" t="str">
        <f>'1-συμβολαια'!C26</f>
        <v>δάνειο 375τραπ 9/7/82 ΕΞΟΦΛΗΣΗ</v>
      </c>
      <c r="F26" s="13"/>
      <c r="G26" s="14" t="str">
        <f>'4-πολλυπρ'!D26</f>
        <v xml:space="preserve">τραπεζα [= </v>
      </c>
      <c r="H26" s="14">
        <f>'4-πολλυπρ'!I26</f>
        <v>0</v>
      </c>
      <c r="I26" s="19"/>
      <c r="J26" s="19">
        <f>'1-συμβολαια'!D26</f>
        <v>0</v>
      </c>
      <c r="K26" s="19"/>
      <c r="L26" s="26">
        <f>'11-χαρτόσ'!D26</f>
        <v>0</v>
      </c>
      <c r="M26" s="26"/>
      <c r="N26" s="26"/>
      <c r="O26" s="20"/>
      <c r="P26" s="16" t="e">
        <f>#REF!-R26</f>
        <v>#REF!</v>
      </c>
      <c r="Q26" s="15"/>
      <c r="R26" s="21">
        <f>'5-αντίγρ'!R26</f>
        <v>0</v>
      </c>
      <c r="S26" s="22"/>
      <c r="T26" s="23"/>
      <c r="U26" s="78"/>
      <c r="V26" s="78"/>
      <c r="W26" s="74"/>
      <c r="X26" s="24"/>
      <c r="Y26" s="24"/>
      <c r="Z26" s="24"/>
      <c r="AA26" s="24"/>
      <c r="AB26" s="24"/>
      <c r="AC26" s="24"/>
    </row>
    <row r="27" spans="1:29" s="17" customFormat="1">
      <c r="A27" s="12">
        <f>'1-συμβολαια'!A27</f>
        <v>0</v>
      </c>
      <c r="B27" s="44"/>
      <c r="C27" s="73">
        <f>'1-συμβολαια'!B27</f>
        <v>0</v>
      </c>
      <c r="D27" s="18"/>
      <c r="E27" s="83" t="str">
        <f>'1-συμβολαια'!C27</f>
        <v>τόκοι δανείου 375τραπ {= προπληρωθέντες VS υπερΠληρωθέντες</v>
      </c>
      <c r="F27" s="13"/>
      <c r="G27" s="14" t="str">
        <f>'4-πολλυπρ'!D27</f>
        <v xml:space="preserve">τραπεζα [= </v>
      </c>
      <c r="H27" s="14">
        <f>'4-πολλυπρ'!I27</f>
        <v>0</v>
      </c>
      <c r="I27" s="19"/>
      <c r="J27" s="19">
        <f>'1-συμβολαια'!D27</f>
        <v>1111111</v>
      </c>
      <c r="K27" s="19"/>
      <c r="L27" s="26">
        <f>'11-χαρτόσ'!D27</f>
        <v>0</v>
      </c>
      <c r="M27" s="26"/>
      <c r="N27" s="26"/>
      <c r="O27" s="20"/>
      <c r="P27" s="16" t="e">
        <f>#REF!-R27</f>
        <v>#REF!</v>
      </c>
      <c r="Q27" s="15"/>
      <c r="R27" s="21">
        <f>'5-αντίγρ'!R27</f>
        <v>0</v>
      </c>
      <c r="S27" s="22"/>
      <c r="T27" s="23"/>
      <c r="U27" s="78"/>
      <c r="V27" s="78"/>
      <c r="W27" s="74"/>
      <c r="X27" s="24"/>
      <c r="Y27" s="24"/>
      <c r="Z27" s="24"/>
      <c r="AA27" s="24"/>
      <c r="AB27" s="24"/>
      <c r="AC27" s="24"/>
    </row>
    <row r="28" spans="1:29" s="17" customFormat="1">
      <c r="A28" s="12">
        <f>'1-συμβολαια'!A28</f>
        <v>0</v>
      </c>
      <c r="B28" s="44"/>
      <c r="C28" s="73">
        <f>'1-συμβολαια'!B28</f>
        <v>0</v>
      </c>
      <c r="D28" s="18"/>
      <c r="E28" s="83" t="str">
        <f>'1-συμβολαια'!C28</f>
        <v>υποθήκης 389τραπ29/7/82 ΕΞΑΛΕΙΨΗ</v>
      </c>
      <c r="F28" s="13"/>
      <c r="G28" s="14" t="str">
        <f>'4-πολλυπρ'!D28</f>
        <v xml:space="preserve">τραπεζα [= </v>
      </c>
      <c r="H28" s="14">
        <f>'4-πολλυπρ'!I28</f>
        <v>0</v>
      </c>
      <c r="I28" s="19"/>
      <c r="J28" s="19">
        <f>'1-συμβολαια'!D28</f>
        <v>0</v>
      </c>
      <c r="K28" s="19"/>
      <c r="L28" s="26">
        <f>'11-χαρτόσ'!D28</f>
        <v>0</v>
      </c>
      <c r="M28" s="26"/>
      <c r="N28" s="26"/>
      <c r="O28" s="20"/>
      <c r="P28" s="16" t="e">
        <f>#REF!-R28</f>
        <v>#REF!</v>
      </c>
      <c r="Q28" s="15"/>
      <c r="R28" s="21">
        <f>'5-αντίγρ'!R28</f>
        <v>0</v>
      </c>
      <c r="S28" s="22"/>
      <c r="T28" s="23"/>
      <c r="U28" s="78"/>
      <c r="V28" s="78"/>
      <c r="W28" s="74"/>
      <c r="X28" s="24"/>
      <c r="Y28" s="24"/>
      <c r="Z28" s="24"/>
      <c r="AA28" s="24"/>
      <c r="AB28" s="24"/>
      <c r="AC28" s="24"/>
    </row>
    <row r="29" spans="1:29" s="17" customFormat="1">
      <c r="A29" s="12">
        <f>'1-συμβολαια'!A29</f>
        <v>0</v>
      </c>
      <c r="B29" s="44"/>
      <c r="C29" s="73">
        <f>'1-συμβολαια'!B29</f>
        <v>0</v>
      </c>
      <c r="D29" s="18"/>
      <c r="E29" s="83" t="str">
        <f>'1-συμβολαια'!C29</f>
        <v>δάνειο 389τραπ29/7/82 ΕΞΟΦΛΗΣΗ</v>
      </c>
      <c r="F29" s="13"/>
      <c r="G29" s="14" t="str">
        <f>'4-πολλυπρ'!D29</f>
        <v xml:space="preserve">τραπεζα [= </v>
      </c>
      <c r="H29" s="14">
        <f>'4-πολλυπρ'!I29</f>
        <v>0</v>
      </c>
      <c r="I29" s="19"/>
      <c r="J29" s="19">
        <f>'1-συμβολαια'!D29</f>
        <v>0</v>
      </c>
      <c r="K29" s="19"/>
      <c r="L29" s="26">
        <f>'11-χαρτόσ'!D29</f>
        <v>0</v>
      </c>
      <c r="M29" s="26"/>
      <c r="N29" s="26"/>
      <c r="O29" s="20"/>
      <c r="P29" s="16" t="e">
        <f>#REF!-R29</f>
        <v>#REF!</v>
      </c>
      <c r="Q29" s="15"/>
      <c r="R29" s="21">
        <f>'5-αντίγρ'!R29</f>
        <v>0</v>
      </c>
      <c r="S29" s="22"/>
      <c r="T29" s="23"/>
      <c r="U29" s="78"/>
      <c r="V29" s="78"/>
      <c r="W29" s="74"/>
      <c r="X29" s="24"/>
      <c r="Y29" s="24"/>
      <c r="Z29" s="24"/>
      <c r="AA29" s="24"/>
      <c r="AB29" s="24"/>
      <c r="AC29" s="24"/>
    </row>
    <row r="30" spans="1:29" s="17" customFormat="1">
      <c r="A30" s="12">
        <f>'1-συμβολαια'!A30</f>
        <v>0</v>
      </c>
      <c r="B30" s="44"/>
      <c r="C30" s="73">
        <f>'1-συμβολαια'!B30</f>
        <v>0</v>
      </c>
      <c r="D30" s="18"/>
      <c r="E30" s="83" t="str">
        <f>'1-συμβολαια'!C30</f>
        <v>τόκοι δανείου 389τραπ {= προπληρωθέντες VS υπερΠληρωθέντες</v>
      </c>
      <c r="F30" s="13"/>
      <c r="G30" s="14" t="str">
        <f>'4-πολλυπρ'!D30</f>
        <v xml:space="preserve">τραπεζα [= </v>
      </c>
      <c r="H30" s="14">
        <f>'4-πολλυπρ'!I30</f>
        <v>0</v>
      </c>
      <c r="I30" s="19"/>
      <c r="J30" s="19">
        <f>'1-συμβολαια'!D30</f>
        <v>2222222</v>
      </c>
      <c r="K30" s="19"/>
      <c r="L30" s="26">
        <f>'11-χαρτόσ'!D30</f>
        <v>0</v>
      </c>
      <c r="M30" s="26"/>
      <c r="N30" s="26"/>
      <c r="O30" s="20"/>
      <c r="P30" s="16" t="e">
        <f>#REF!-R30</f>
        <v>#REF!</v>
      </c>
      <c r="Q30" s="15"/>
      <c r="R30" s="21">
        <f>'5-αντίγρ'!R30</f>
        <v>0</v>
      </c>
      <c r="S30" s="22"/>
      <c r="T30" s="23"/>
      <c r="U30" s="78"/>
      <c r="V30" s="78"/>
      <c r="W30" s="74"/>
      <c r="X30" s="24"/>
      <c r="Y30" s="24"/>
      <c r="Z30" s="24"/>
      <c r="AA30" s="24"/>
      <c r="AB30" s="24"/>
      <c r="AC30" s="24"/>
    </row>
    <row r="31" spans="1:29" s="17" customFormat="1">
      <c r="A31" s="12" t="str">
        <f>'1-συμβολαια'!A31</f>
        <v>8ο</v>
      </c>
      <c r="B31" s="44"/>
      <c r="C31" s="73">
        <f>'1-συμβολαια'!B31</f>
        <v>33515</v>
      </c>
      <c r="D31" s="18"/>
      <c r="E31" s="83" t="str">
        <f>'1-συμβολαια'!C31</f>
        <v>μίσθωσης νταμάρι …. ΠΑΡΑΤΑΣΗ 3έτη</v>
      </c>
      <c r="F31" s="13"/>
      <c r="G31" s="14" t="str">
        <f>'4-πολλυπρ'!D31</f>
        <v>219-16</v>
      </c>
      <c r="H31" s="14">
        <f>'4-πολλυπρ'!I31</f>
        <v>0</v>
      </c>
      <c r="I31" s="19"/>
      <c r="J31" s="19">
        <f>'1-συμβολαια'!D31</f>
        <v>966657</v>
      </c>
      <c r="K31" s="19"/>
      <c r="L31" s="26">
        <f>'11-χαρτόσ'!D31</f>
        <v>100</v>
      </c>
      <c r="M31" s="26"/>
      <c r="N31" s="26"/>
      <c r="O31" s="20"/>
      <c r="P31" s="16" t="e">
        <f>#REF!-R31</f>
        <v>#REF!</v>
      </c>
      <c r="Q31" s="15"/>
      <c r="R31" s="21">
        <f>'5-αντίγρ'!R31</f>
        <v>132</v>
      </c>
      <c r="S31" s="22"/>
      <c r="T31" s="23"/>
      <c r="U31" s="78"/>
      <c r="V31" s="78"/>
      <c r="W31" s="74"/>
      <c r="X31" s="24"/>
      <c r="Y31" s="24"/>
      <c r="Z31" s="24"/>
      <c r="AA31" s="24"/>
      <c r="AB31" s="24"/>
      <c r="AC31" s="24"/>
    </row>
    <row r="32" spans="1:29" s="17" customFormat="1">
      <c r="A32" s="12">
        <f>'1-συμβολαια'!A32</f>
        <v>0</v>
      </c>
      <c r="B32" s="44"/>
      <c r="C32" s="73">
        <f>'1-συμβολαια'!B32</f>
        <v>0</v>
      </c>
      <c r="D32" s="18"/>
      <c r="E32" s="83" t="str">
        <f>'1-συμβολαια'!C32</f>
        <v>ΧΑΟΣ= κλείσιμο &amp; εκ ΝΕΟΥ</v>
      </c>
      <c r="F32" s="13"/>
      <c r="G32" s="14">
        <f>'4-πολλυπρ'!D32</f>
        <v>0</v>
      </c>
      <c r="H32" s="14">
        <f>'4-πολλυπρ'!I32</f>
        <v>0</v>
      </c>
      <c r="I32" s="19"/>
      <c r="J32" s="19">
        <f>'1-συμβολαια'!D32</f>
        <v>0</v>
      </c>
      <c r="K32" s="19"/>
      <c r="L32" s="26">
        <f>'11-χαρτόσ'!D32</f>
        <v>0</v>
      </c>
      <c r="M32" s="26"/>
      <c r="N32" s="26"/>
      <c r="O32" s="20"/>
      <c r="P32" s="16" t="e">
        <f>#REF!-R32</f>
        <v>#REF!</v>
      </c>
      <c r="Q32" s="15"/>
      <c r="R32" s="21">
        <f>'5-αντίγρ'!R32</f>
        <v>0</v>
      </c>
      <c r="S32" s="22"/>
      <c r="T32" s="23"/>
      <c r="U32" s="78"/>
      <c r="V32" s="78"/>
      <c r="W32" s="74"/>
      <c r="X32" s="24"/>
      <c r="Y32" s="24"/>
      <c r="Z32" s="24"/>
      <c r="AA32" s="24"/>
      <c r="AB32" s="24"/>
      <c r="AC32" s="24"/>
    </row>
    <row r="33" spans="1:29" s="17" customFormat="1">
      <c r="A33" s="12" t="str">
        <f>'1-συμβολαια'!A33</f>
        <v>9ο</v>
      </c>
      <c r="B33" s="44"/>
      <c r="C33" s="73">
        <f>'1-συμβολαια'!B33</f>
        <v>33675</v>
      </c>
      <c r="D33" s="18"/>
      <c r="E33" s="83" t="str">
        <f>'1-συμβολαια'!C33</f>
        <v xml:space="preserve">υποθήκη </v>
      </c>
      <c r="F33" s="13"/>
      <c r="G33" s="14" t="str">
        <f>'4-πολλυπρ'!D33</f>
        <v xml:space="preserve">τραπεζα [= </v>
      </c>
      <c r="H33" s="14" t="str">
        <f>'4-πολλυπρ'!I33</f>
        <v>219-16</v>
      </c>
      <c r="I33" s="19"/>
      <c r="J33" s="19">
        <f>'1-συμβολαια'!D33</f>
        <v>100000</v>
      </c>
      <c r="K33" s="19"/>
      <c r="L33" s="26">
        <f>'11-χαρτόσ'!D33</f>
        <v>1000</v>
      </c>
      <c r="M33" s="26"/>
      <c r="N33" s="26"/>
      <c r="O33" s="20"/>
      <c r="P33" s="16" t="e">
        <f>#REF!-R33</f>
        <v>#REF!</v>
      </c>
      <c r="Q33" s="15"/>
      <c r="R33" s="21">
        <f>'5-αντίγρ'!R33</f>
        <v>594</v>
      </c>
      <c r="S33" s="22"/>
      <c r="T33" s="23"/>
      <c r="U33" s="78"/>
      <c r="V33" s="78"/>
      <c r="W33" s="74"/>
      <c r="X33" s="24"/>
      <c r="Y33" s="24"/>
      <c r="Z33" s="24"/>
      <c r="AA33" s="24"/>
      <c r="AB33" s="24"/>
      <c r="AC33" s="24"/>
    </row>
    <row r="34" spans="1:29" s="17" customFormat="1">
      <c r="A34" s="12" t="str">
        <f>'1-συμβολαια'!A34</f>
        <v>794-1-2-3τραπ</v>
      </c>
      <c r="B34" s="44"/>
      <c r="C34" s="73">
        <f>'1-συμβολαια'!B34</f>
        <v>32727</v>
      </c>
      <c r="D34" s="18"/>
      <c r="E34" s="83" t="str">
        <f>'1-συμβολαια'!C34</f>
        <v>υποθήκες δανείων [7/8/89-25/1/1991-8/3/1991-22/11/1991</v>
      </c>
      <c r="F34" s="13"/>
      <c r="G34" s="14" t="str">
        <f>'4-πολλυπρ'!D34</f>
        <v xml:space="preserve">τραπεζα [= </v>
      </c>
      <c r="H34" s="14" t="str">
        <f>'4-πολλυπρ'!I34</f>
        <v>219-16</v>
      </c>
      <c r="I34" s="19"/>
      <c r="J34" s="19">
        <f>'1-συμβολαια'!D34</f>
        <v>73333333</v>
      </c>
      <c r="K34" s="19"/>
      <c r="L34" s="26">
        <f>'11-χαρτόσ'!D34</f>
        <v>0</v>
      </c>
      <c r="M34" s="26"/>
      <c r="N34" s="26"/>
      <c r="O34" s="20"/>
      <c r="P34" s="16" t="e">
        <f>#REF!-R34</f>
        <v>#REF!</v>
      </c>
      <c r="Q34" s="15"/>
      <c r="R34" s="21">
        <f>'5-αντίγρ'!R34</f>
        <v>0</v>
      </c>
      <c r="S34" s="22"/>
      <c r="T34" s="23"/>
      <c r="U34" s="78"/>
      <c r="V34" s="78"/>
      <c r="W34" s="74"/>
      <c r="X34" s="24"/>
      <c r="Y34" s="24"/>
      <c r="Z34" s="24"/>
      <c r="AA34" s="24"/>
      <c r="AB34" s="24"/>
      <c r="AC34" s="24"/>
    </row>
    <row r="35" spans="1:29" s="17" customFormat="1">
      <c r="A35" s="12">
        <f>'1-συμβολαια'!A35</f>
        <v>0</v>
      </c>
      <c r="B35" s="44"/>
      <c r="C35" s="73">
        <f>'1-συμβολαια'!B35</f>
        <v>0</v>
      </c>
      <c r="D35" s="18"/>
      <c r="E35" s="83" t="str">
        <f>'1-συμβολαια'!C35</f>
        <v>δάνεια ανωτέρω υποθηκών</v>
      </c>
      <c r="F35" s="13"/>
      <c r="G35" s="14" t="str">
        <f>'4-πολλυπρ'!D35</f>
        <v xml:space="preserve">τραπεζα [= </v>
      </c>
      <c r="H35" s="14" t="str">
        <f>'4-πολλυπρ'!I35</f>
        <v>219-16</v>
      </c>
      <c r="I35" s="19"/>
      <c r="J35" s="19">
        <f>'1-συμβολαια'!D35</f>
        <v>61000000</v>
      </c>
      <c r="K35" s="19"/>
      <c r="L35" s="26">
        <f>'11-χαρτόσ'!D35</f>
        <v>0</v>
      </c>
      <c r="M35" s="26"/>
      <c r="N35" s="26"/>
      <c r="O35" s="20"/>
      <c r="P35" s="16" t="e">
        <f>#REF!-R35</f>
        <v>#REF!</v>
      </c>
      <c r="Q35" s="15"/>
      <c r="R35" s="21">
        <f>'5-αντίγρ'!R35</f>
        <v>0</v>
      </c>
      <c r="S35" s="22"/>
      <c r="T35" s="23"/>
      <c r="U35" s="78"/>
      <c r="V35" s="78"/>
      <c r="W35" s="74"/>
      <c r="X35" s="24"/>
      <c r="Y35" s="24"/>
      <c r="Z35" s="24"/>
      <c r="AA35" s="24"/>
      <c r="AB35" s="24"/>
      <c r="AC35" s="24"/>
    </row>
    <row r="36" spans="1:29" s="17" customFormat="1">
      <c r="A36" s="12">
        <f>'1-συμβολαια'!A36</f>
        <v>0</v>
      </c>
      <c r="B36" s="44"/>
      <c r="C36" s="73">
        <f>'1-συμβολαια'!B36</f>
        <v>0</v>
      </c>
      <c r="D36" s="18"/>
      <c r="E36" s="83" t="str">
        <f>'1-συμβολαια'!C36</f>
        <v>τόκοι  ανωτέρω δανείων προπληρωθέντες</v>
      </c>
      <c r="F36" s="13"/>
      <c r="G36" s="14" t="str">
        <f>'4-πολλυπρ'!D36</f>
        <v xml:space="preserve">τραπεζα [= </v>
      </c>
      <c r="H36" s="14" t="str">
        <f>'4-πολλυπρ'!I36</f>
        <v>219-16</v>
      </c>
      <c r="I36" s="19"/>
      <c r="J36" s="19">
        <f>'1-συμβολαια'!D36</f>
        <v>133333333</v>
      </c>
      <c r="K36" s="19"/>
      <c r="L36" s="26">
        <f>'11-χαρτόσ'!D36</f>
        <v>0</v>
      </c>
      <c r="M36" s="26"/>
      <c r="N36" s="26"/>
      <c r="O36" s="20"/>
      <c r="P36" s="16" t="e">
        <f>#REF!-R36</f>
        <v>#REF!</v>
      </c>
      <c r="Q36" s="15"/>
      <c r="R36" s="21">
        <f>'5-αντίγρ'!R36</f>
        <v>0</v>
      </c>
      <c r="S36" s="22"/>
      <c r="T36" s="23"/>
      <c r="U36" s="78"/>
      <c r="V36" s="78"/>
      <c r="W36" s="74"/>
      <c r="X36" s="24"/>
      <c r="Y36" s="24"/>
      <c r="Z36" s="24"/>
      <c r="AA36" s="24"/>
      <c r="AB36" s="24"/>
      <c r="AC36" s="24"/>
    </row>
    <row r="37" spans="1:29" s="17" customFormat="1">
      <c r="A37" s="12" t="str">
        <f>'1-συμβολαια'!A37</f>
        <v>10ο</v>
      </c>
      <c r="B37" s="44"/>
      <c r="C37" s="73">
        <f>'1-συμβολαια'!B37</f>
        <v>34890</v>
      </c>
      <c r="D37" s="18"/>
      <c r="E37" s="83" t="str">
        <f>'1-συμβολαια'!C37</f>
        <v>υποθήκη  τοιχόν τόκων</v>
      </c>
      <c r="F37" s="13"/>
      <c r="G37" s="14" t="str">
        <f>'4-πολλυπρ'!D37</f>
        <v xml:space="preserve">τραπεζα [= </v>
      </c>
      <c r="H37" s="14" t="str">
        <f>'4-πολλυπρ'!I37</f>
        <v>219-16</v>
      </c>
      <c r="I37" s="19"/>
      <c r="J37" s="19">
        <f>'1-συμβολαια'!D37</f>
        <v>100000</v>
      </c>
      <c r="K37" s="19"/>
      <c r="L37" s="26">
        <f>'11-χαρτόσ'!D37</f>
        <v>1000</v>
      </c>
      <c r="M37" s="26"/>
      <c r="N37" s="26"/>
      <c r="O37" s="20"/>
      <c r="P37" s="16" t="e">
        <f>#REF!-R37</f>
        <v>#REF!</v>
      </c>
      <c r="Q37" s="15"/>
      <c r="R37" s="21">
        <f>'5-αντίγρ'!R37</f>
        <v>528</v>
      </c>
      <c r="S37" s="22"/>
      <c r="T37" s="23"/>
      <c r="U37" s="78"/>
      <c r="V37" s="78"/>
      <c r="W37" s="74"/>
      <c r="X37" s="24"/>
      <c r="Y37" s="24"/>
      <c r="Z37" s="24"/>
      <c r="AA37" s="24"/>
      <c r="AB37" s="24"/>
      <c r="AC37" s="24"/>
    </row>
    <row r="38" spans="1:29" s="17" customFormat="1">
      <c r="A38" s="12" t="str">
        <f>'1-συμβολαια'!A38</f>
        <v>794-4-5τραπ</v>
      </c>
      <c r="B38" s="44"/>
      <c r="C38" s="73">
        <f>'1-συμβολαια'!B38</f>
        <v>33843</v>
      </c>
      <c r="D38" s="18"/>
      <c r="E38" s="83" t="str">
        <f>'1-συμβολαια'!C38</f>
        <v>υποθήκες δανείων [27/08/1992-30/10/1992</v>
      </c>
      <c r="F38" s="13"/>
      <c r="G38" s="14" t="str">
        <f>'4-πολλυπρ'!D38</f>
        <v xml:space="preserve">τραπεζα [= </v>
      </c>
      <c r="H38" s="14" t="str">
        <f>'4-πολλυπρ'!I38</f>
        <v>219-16</v>
      </c>
      <c r="I38" s="19"/>
      <c r="J38" s="19">
        <f>'1-συμβολαια'!D38</f>
        <v>32555555</v>
      </c>
      <c r="K38" s="19"/>
      <c r="L38" s="26">
        <f>'11-χαρτόσ'!D38</f>
        <v>0</v>
      </c>
      <c r="M38" s="26"/>
      <c r="N38" s="26"/>
      <c r="O38" s="20"/>
      <c r="P38" s="16" t="e">
        <f>#REF!-R38</f>
        <v>#REF!</v>
      </c>
      <c r="Q38" s="15"/>
      <c r="R38" s="21">
        <f>'5-αντίγρ'!R38</f>
        <v>0</v>
      </c>
      <c r="S38" s="22"/>
      <c r="T38" s="23"/>
      <c r="U38" s="78"/>
      <c r="V38" s="78"/>
      <c r="W38" s="74"/>
      <c r="X38" s="24"/>
      <c r="Y38" s="24"/>
      <c r="Z38" s="24"/>
      <c r="AA38" s="24"/>
      <c r="AB38" s="24"/>
      <c r="AC38" s="24"/>
    </row>
    <row r="39" spans="1:29" s="17" customFormat="1">
      <c r="A39" s="12">
        <f>'1-συμβολαια'!A39</f>
        <v>0</v>
      </c>
      <c r="B39" s="44"/>
      <c r="C39" s="73">
        <f>'1-συμβολαια'!B39</f>
        <v>0</v>
      </c>
      <c r="D39" s="18"/>
      <c r="E39" s="83" t="str">
        <f>'1-συμβολαια'!C39</f>
        <v>δάνεια ανωτέρω υποθηκών</v>
      </c>
      <c r="F39" s="13"/>
      <c r="G39" s="14" t="str">
        <f>'4-πολλυπρ'!D39</f>
        <v xml:space="preserve">τραπεζα [= </v>
      </c>
      <c r="H39" s="14" t="str">
        <f>'4-πολλυπρ'!I39</f>
        <v>219-16</v>
      </c>
      <c r="I39" s="19"/>
      <c r="J39" s="19">
        <f>'1-συμβολαια'!D39</f>
        <v>27000000</v>
      </c>
      <c r="K39" s="19"/>
      <c r="L39" s="26">
        <f>'11-χαρτόσ'!D39</f>
        <v>0</v>
      </c>
      <c r="M39" s="26"/>
      <c r="N39" s="26"/>
      <c r="O39" s="20"/>
      <c r="P39" s="16" t="e">
        <f>#REF!-R39</f>
        <v>#REF!</v>
      </c>
      <c r="Q39" s="15"/>
      <c r="R39" s="21">
        <f>'5-αντίγρ'!R39</f>
        <v>0</v>
      </c>
      <c r="S39" s="22"/>
      <c r="T39" s="23"/>
      <c r="U39" s="78"/>
      <c r="V39" s="78"/>
      <c r="W39" s="74"/>
      <c r="X39" s="24"/>
      <c r="Y39" s="24"/>
      <c r="Z39" s="24"/>
      <c r="AA39" s="24"/>
      <c r="AB39" s="24"/>
      <c r="AC39" s="24"/>
    </row>
    <row r="40" spans="1:29" s="17" customFormat="1">
      <c r="A40" s="12">
        <f>'1-συμβολαια'!A40</f>
        <v>0</v>
      </c>
      <c r="B40" s="44"/>
      <c r="C40" s="73">
        <f>'1-συμβολαια'!B40</f>
        <v>0</v>
      </c>
      <c r="D40" s="18"/>
      <c r="E40" s="83" t="str">
        <f>'1-συμβολαια'!C40</f>
        <v>τόκοι  ανωτέρω δανείων προπληρωθέντες</v>
      </c>
      <c r="F40" s="13"/>
      <c r="G40" s="14" t="str">
        <f>'4-πολλυπρ'!D40</f>
        <v xml:space="preserve">τραπεζα [= </v>
      </c>
      <c r="H40" s="14" t="str">
        <f>'4-πολλυπρ'!I40</f>
        <v>219-16</v>
      </c>
      <c r="I40" s="19"/>
      <c r="J40" s="19">
        <f>'1-συμβολαια'!D40</f>
        <v>55555555</v>
      </c>
      <c r="K40" s="19"/>
      <c r="L40" s="26">
        <f>'11-χαρτόσ'!D40</f>
        <v>0</v>
      </c>
      <c r="M40" s="26"/>
      <c r="N40" s="26"/>
      <c r="O40" s="20"/>
      <c r="P40" s="16" t="e">
        <f>#REF!-R40</f>
        <v>#REF!</v>
      </c>
      <c r="Q40" s="15"/>
      <c r="R40" s="21">
        <f>'5-αντίγρ'!R40</f>
        <v>0</v>
      </c>
      <c r="S40" s="22"/>
      <c r="T40" s="23"/>
      <c r="U40" s="78"/>
      <c r="V40" s="78"/>
      <c r="W40" s="74"/>
      <c r="X40" s="24"/>
      <c r="Y40" s="24"/>
      <c r="Z40" s="24"/>
      <c r="AA40" s="24"/>
      <c r="AB40" s="24"/>
      <c r="AC40" s="24"/>
    </row>
    <row r="41" spans="1:29" s="17" customFormat="1">
      <c r="A41" s="12" t="str">
        <f>'1-συμβολαια'!A41</f>
        <v>11ο</v>
      </c>
      <c r="B41" s="44"/>
      <c r="C41" s="73">
        <f>'1-συμβολαια'!B41</f>
        <v>34962</v>
      </c>
      <c r="D41" s="18"/>
      <c r="E41" s="83" t="str">
        <f>'1-συμβολαια'!C41</f>
        <v>μίσθωσις νταμάρι  Λιμένας -'';;;???'' 24,526στρ 3έτη [8000/έτος/στρ</v>
      </c>
      <c r="F41" s="13"/>
      <c r="G41" s="14" t="str">
        <f>'4-πολλυπρ'!D41</f>
        <v>δημοςΘασου [= μερεσηςΕλευθεριος</v>
      </c>
      <c r="H41" s="14" t="str">
        <f>'4-πολλυπρ'!I41</f>
        <v>219-16</v>
      </c>
      <c r="I41" s="19"/>
      <c r="J41" s="19">
        <f>'1-συμβολαια'!D41</f>
        <v>588624</v>
      </c>
      <c r="K41" s="19"/>
      <c r="L41" s="26">
        <f>'11-χαρτόσ'!D41</f>
        <v>0</v>
      </c>
      <c r="M41" s="26"/>
      <c r="N41" s="26"/>
      <c r="O41" s="20"/>
      <c r="P41" s="16" t="e">
        <f>#REF!-R41</f>
        <v>#REF!</v>
      </c>
      <c r="Q41" s="15"/>
      <c r="R41" s="21">
        <f>'5-αντίγρ'!R41</f>
        <v>1848</v>
      </c>
      <c r="S41" s="22"/>
      <c r="T41" s="23"/>
      <c r="U41" s="78"/>
      <c r="V41" s="78"/>
      <c r="W41" s="74"/>
      <c r="X41" s="24"/>
      <c r="Y41" s="24"/>
      <c r="Z41" s="24"/>
      <c r="AA41" s="24"/>
      <c r="AB41" s="24"/>
      <c r="AC41" s="24"/>
    </row>
    <row r="42" spans="1:29" s="17" customFormat="1">
      <c r="A42" s="12">
        <f>'1-συμβολαια'!A42</f>
        <v>0</v>
      </c>
      <c r="B42" s="44"/>
      <c r="C42" s="73">
        <f>'1-συμβολαια'!B42</f>
        <v>0</v>
      </c>
      <c r="D42" s="18"/>
      <c r="E42" s="83" t="str">
        <f>'1-συμβολαια'!C42</f>
        <v>μίσθωση … ΚΤΙΡΙΑΚΑ &amp; τεχνικές εγκαταστάσεις &amp; ΚΛΠ</v>
      </c>
      <c r="F42" s="13"/>
      <c r="G42" s="14" t="str">
        <f>'4-πολλυπρ'!D42</f>
        <v>δημοςΘασου [= μερεσηςΕλευθεριος</v>
      </c>
      <c r="H42" s="14" t="str">
        <f>'4-πολλυπρ'!I42</f>
        <v>219-16</v>
      </c>
      <c r="I42" s="19"/>
      <c r="J42" s="19">
        <f>'1-συμβολαια'!D42</f>
        <v>50000000</v>
      </c>
      <c r="K42" s="19"/>
      <c r="L42" s="26">
        <f>'11-χαρτόσ'!D42</f>
        <v>0</v>
      </c>
      <c r="M42" s="26"/>
      <c r="N42" s="26"/>
      <c r="O42" s="20"/>
      <c r="P42" s="16" t="e">
        <f>#REF!-R42</f>
        <v>#REF!</v>
      </c>
      <c r="Q42" s="15"/>
      <c r="R42" s="21">
        <f>'5-αντίγρ'!R42</f>
        <v>0</v>
      </c>
      <c r="S42" s="22"/>
      <c r="T42" s="23"/>
      <c r="U42" s="78"/>
      <c r="V42" s="78"/>
      <c r="W42" s="74"/>
      <c r="X42" s="24"/>
      <c r="Y42" s="24"/>
      <c r="Z42" s="24"/>
      <c r="AA42" s="24"/>
      <c r="AB42" s="24"/>
      <c r="AC42" s="24"/>
    </row>
    <row r="43" spans="1:29" s="17" customFormat="1">
      <c r="A43" s="12">
        <f>'1-συμβολαια'!A43</f>
        <v>0</v>
      </c>
      <c r="B43" s="44"/>
      <c r="C43" s="73">
        <f>'1-συμβολαια'!B43</f>
        <v>0</v>
      </c>
      <c r="D43" s="18"/>
      <c r="E43" s="83" t="str">
        <f>'1-συμβολαια'!C43</f>
        <v>μίσθωση … ΕΡΕΥΝΗΤΙΚΕΣ εργασίες</v>
      </c>
      <c r="F43" s="13"/>
      <c r="G43" s="14" t="str">
        <f>'4-πολλυπρ'!D43</f>
        <v>δημοςΘασου [= μερεσηςΕλευθεριος</v>
      </c>
      <c r="H43" s="14" t="str">
        <f>'4-πολλυπρ'!I43</f>
        <v>219-16</v>
      </c>
      <c r="I43" s="19"/>
      <c r="J43" s="19">
        <f>'1-συμβολαια'!D43</f>
        <v>3333333</v>
      </c>
      <c r="K43" s="19"/>
      <c r="L43" s="26">
        <f>'11-χαρτόσ'!D43</f>
        <v>0</v>
      </c>
      <c r="M43" s="26"/>
      <c r="N43" s="26"/>
      <c r="O43" s="20"/>
      <c r="P43" s="16" t="e">
        <f>#REF!-R43</f>
        <v>#REF!</v>
      </c>
      <c r="Q43" s="15"/>
      <c r="R43" s="21">
        <f>'5-αντίγρ'!R43</f>
        <v>0</v>
      </c>
      <c r="S43" s="22"/>
      <c r="T43" s="23"/>
      <c r="U43" s="78"/>
      <c r="V43" s="78"/>
      <c r="W43" s="74"/>
      <c r="X43" s="24"/>
      <c r="Y43" s="24"/>
      <c r="Z43" s="24"/>
      <c r="AA43" s="24"/>
      <c r="AB43" s="24"/>
      <c r="AC43" s="24"/>
    </row>
    <row r="44" spans="1:29" s="17" customFormat="1">
      <c r="A44" s="12">
        <f>'1-συμβολαια'!A44</f>
        <v>0</v>
      </c>
      <c r="B44" s="44"/>
      <c r="C44" s="73">
        <f>'1-συμβολαια'!B44</f>
        <v>0</v>
      </c>
      <c r="D44" s="18"/>
      <c r="E44" s="83" t="str">
        <f>'1-συμβολαια'!C44</f>
        <v>μίσθωση ….. κόστος έργων αποκατάστασης</v>
      </c>
      <c r="F44" s="13"/>
      <c r="G44" s="14" t="str">
        <f>'4-πολλυπρ'!D44</f>
        <v>δημοςΘασου [= μερεσηςΕλευθεριος</v>
      </c>
      <c r="H44" s="14" t="str">
        <f>'4-πολλυπρ'!I44</f>
        <v>219-16</v>
      </c>
      <c r="I44" s="19"/>
      <c r="J44" s="19">
        <f>'1-συμβολαια'!D44</f>
        <v>6000000</v>
      </c>
      <c r="K44" s="19"/>
      <c r="L44" s="26">
        <f>'11-χαρτόσ'!D44</f>
        <v>0</v>
      </c>
      <c r="M44" s="26"/>
      <c r="N44" s="26"/>
      <c r="O44" s="20"/>
      <c r="P44" s="16" t="e">
        <f>#REF!-R44</f>
        <v>#REF!</v>
      </c>
      <c r="Q44" s="15"/>
      <c r="R44" s="21">
        <f>'5-αντίγρ'!R44</f>
        <v>0</v>
      </c>
      <c r="S44" s="22"/>
      <c r="T44" s="23"/>
      <c r="U44" s="78"/>
      <c r="V44" s="78"/>
      <c r="W44" s="74"/>
      <c r="X44" s="24"/>
      <c r="Y44" s="24"/>
      <c r="Z44" s="24"/>
      <c r="AA44" s="24"/>
      <c r="AB44" s="24"/>
      <c r="AC44" s="24"/>
    </row>
    <row r="45" spans="1:29" s="17" customFormat="1">
      <c r="A45" s="12" t="str">
        <f>'1-συμβολαια'!A45</f>
        <v>12ο</v>
      </c>
      <c r="B45" s="44"/>
      <c r="C45" s="73">
        <f>'1-συμβολαια'!B45</f>
        <v>35185</v>
      </c>
      <c r="D45" s="18"/>
      <c r="E45" s="83" t="str">
        <f>'1-συμβολαια'!C45</f>
        <v>μίσθωσης νταμάρι ... &amp; ... ΠΑΡΑΤΑΣΗ 3έτη</v>
      </c>
      <c r="F45" s="13"/>
      <c r="G45" s="14" t="str">
        <f>'4-πολλυπρ'!D45</f>
        <v>219-16</v>
      </c>
      <c r="H45" s="14">
        <f>'4-πολλυπρ'!I45</f>
        <v>0</v>
      </c>
      <c r="I45" s="19"/>
      <c r="J45" s="19">
        <f>'1-συμβολαια'!D45</f>
        <v>957000</v>
      </c>
      <c r="K45" s="19"/>
      <c r="L45" s="26">
        <f>'11-χαρτόσ'!D45</f>
        <v>100</v>
      </c>
      <c r="M45" s="26"/>
      <c r="N45" s="26"/>
      <c r="O45" s="20"/>
      <c r="P45" s="16" t="e">
        <f>#REF!-R45</f>
        <v>#REF!</v>
      </c>
      <c r="Q45" s="15"/>
      <c r="R45" s="21">
        <f>'5-αντίγρ'!R45</f>
        <v>132</v>
      </c>
      <c r="S45" s="22"/>
      <c r="T45" s="23"/>
      <c r="U45" s="78"/>
      <c r="V45" s="78"/>
      <c r="W45" s="74"/>
      <c r="X45" s="24"/>
      <c r="Y45" s="24"/>
      <c r="Z45" s="24"/>
      <c r="AA45" s="24"/>
      <c r="AB45" s="24"/>
      <c r="AC45" s="24"/>
    </row>
    <row r="46" spans="1:29" s="17" customFormat="1">
      <c r="A46" s="12">
        <f>'1-συμβολαια'!A46</f>
        <v>0</v>
      </c>
      <c r="B46" s="44"/>
      <c r="C46" s="73">
        <f>'1-συμβολαια'!B46</f>
        <v>0</v>
      </c>
      <c r="D46" s="18"/>
      <c r="E46" s="83" t="str">
        <f>'1-συμβολαια'!C46</f>
        <v>ΧΑΟΣ= κλείσιμο &amp; εκ ΝΕΟΥ</v>
      </c>
      <c r="F46" s="13"/>
      <c r="G46" s="14">
        <f>'4-πολλυπρ'!D46</f>
        <v>0</v>
      </c>
      <c r="H46" s="14">
        <f>'4-πολλυπρ'!I46</f>
        <v>0</v>
      </c>
      <c r="I46" s="19"/>
      <c r="J46" s="19">
        <f>'1-συμβολαια'!D46</f>
        <v>0</v>
      </c>
      <c r="K46" s="19"/>
      <c r="L46" s="26">
        <f>'11-χαρτόσ'!D46</f>
        <v>0</v>
      </c>
      <c r="M46" s="26"/>
      <c r="N46" s="26"/>
      <c r="O46" s="20"/>
      <c r="P46" s="16" t="e">
        <f>#REF!-R46</f>
        <v>#REF!</v>
      </c>
      <c r="Q46" s="15"/>
      <c r="R46" s="21">
        <f>'5-αντίγρ'!R46</f>
        <v>0</v>
      </c>
      <c r="S46" s="22"/>
      <c r="T46" s="23"/>
      <c r="U46" s="78"/>
      <c r="V46" s="78"/>
      <c r="W46" s="74"/>
      <c r="X46" s="24"/>
      <c r="Y46" s="24"/>
      <c r="Z46" s="24"/>
      <c r="AA46" s="24"/>
      <c r="AB46" s="24"/>
      <c r="AC46" s="24"/>
    </row>
    <row r="47" spans="1:29">
      <c r="A47" s="752" t="s">
        <v>54</v>
      </c>
      <c r="B47" s="753"/>
      <c r="C47" s="753"/>
      <c r="D47" s="753"/>
      <c r="E47" s="753"/>
      <c r="F47" s="753"/>
      <c r="G47" s="753"/>
      <c r="H47" s="753"/>
      <c r="I47" s="753"/>
      <c r="J47" s="753"/>
      <c r="K47" s="39"/>
      <c r="L47" s="1">
        <f>SUM(L3:L46)</f>
        <v>4370</v>
      </c>
      <c r="M47" s="1"/>
      <c r="N47" s="1"/>
      <c r="O47" s="1">
        <f>SUM(O3:O46)</f>
        <v>0</v>
      </c>
      <c r="P47" s="33" t="e">
        <f>SUM(P3:P46)</f>
        <v>#REF!</v>
      </c>
      <c r="Q47" s="1">
        <f>SUM(Q3:Q46)</f>
        <v>0</v>
      </c>
      <c r="R47" s="1">
        <f>SUM(R3:R46)</f>
        <v>6446</v>
      </c>
      <c r="S47" s="1">
        <f>SUM(S3:S46)</f>
        <v>0</v>
      </c>
      <c r="T47" s="3"/>
      <c r="U47" s="75"/>
      <c r="V47" s="75"/>
    </row>
    <row r="48" spans="1:29">
      <c r="T48" s="113"/>
    </row>
    <row r="49" spans="20:35" ht="15.75" customHeight="1">
      <c r="T49" s="113"/>
      <c r="U49" s="972" t="s">
        <v>109</v>
      </c>
      <c r="V49" s="972"/>
      <c r="W49" s="972"/>
      <c r="X49" s="972"/>
      <c r="Y49" s="972"/>
      <c r="Z49" s="972"/>
      <c r="AA49" s="972"/>
      <c r="AB49" s="972"/>
      <c r="AC49" s="972"/>
      <c r="AD49" s="111"/>
      <c r="AE49" s="111"/>
      <c r="AF49" s="111"/>
      <c r="AG49" s="111"/>
      <c r="AH49" s="106"/>
      <c r="AI49" s="106"/>
    </row>
    <row r="50" spans="20:35" ht="15.75" customHeight="1">
      <c r="T50" s="113"/>
      <c r="U50" s="112"/>
      <c r="V50" s="974" t="s">
        <v>110</v>
      </c>
      <c r="W50" s="974"/>
      <c r="X50" s="974"/>
      <c r="Y50" s="974"/>
      <c r="Z50" s="974"/>
      <c r="AA50" s="974"/>
      <c r="AB50" s="974"/>
      <c r="AC50" s="974"/>
      <c r="AD50" s="974"/>
      <c r="AE50" s="106"/>
      <c r="AF50" s="106"/>
      <c r="AG50" s="106"/>
      <c r="AH50" s="106"/>
      <c r="AI50" s="106"/>
    </row>
    <row r="51" spans="20:35" ht="15.75" customHeight="1">
      <c r="T51" s="113"/>
      <c r="U51" s="112"/>
      <c r="V51" s="112"/>
      <c r="W51" s="972" t="s">
        <v>111</v>
      </c>
      <c r="X51" s="972"/>
      <c r="Y51" s="972"/>
      <c r="Z51" s="972"/>
      <c r="AA51" s="972"/>
      <c r="AB51" s="972"/>
      <c r="AC51" s="972"/>
      <c r="AD51" s="972"/>
      <c r="AE51" s="972"/>
      <c r="AF51" s="106"/>
      <c r="AG51" s="106"/>
      <c r="AH51" s="106"/>
      <c r="AI51" s="106"/>
    </row>
    <row r="52" spans="20:35" ht="15.75">
      <c r="U52" s="112"/>
      <c r="V52" s="112"/>
      <c r="W52" s="112"/>
      <c r="X52" s="974" t="s">
        <v>112</v>
      </c>
      <c r="Y52" s="974"/>
      <c r="Z52" s="974"/>
      <c r="AA52" s="974"/>
      <c r="AB52" s="974"/>
      <c r="AC52" s="974"/>
      <c r="AD52" s="974"/>
      <c r="AE52" s="974"/>
      <c r="AF52" s="974"/>
      <c r="AG52" s="106"/>
      <c r="AH52" s="106"/>
      <c r="AI52" s="106"/>
    </row>
    <row r="53" spans="20:35" ht="15.75">
      <c r="U53" s="112"/>
      <c r="V53" s="112"/>
      <c r="W53" s="112"/>
      <c r="X53" s="112"/>
      <c r="Y53" s="972" t="s">
        <v>113</v>
      </c>
      <c r="Z53" s="972"/>
      <c r="AA53" s="972"/>
      <c r="AB53" s="972"/>
      <c r="AC53" s="972"/>
      <c r="AD53" s="972"/>
      <c r="AE53" s="972"/>
      <c r="AF53" s="972"/>
      <c r="AG53" s="972"/>
      <c r="AH53" s="106"/>
      <c r="AI53" s="106"/>
    </row>
    <row r="54" spans="20:35" ht="15.75">
      <c r="U54" s="112"/>
      <c r="V54" s="112"/>
      <c r="W54" s="112"/>
      <c r="X54" s="112"/>
      <c r="Y54" s="112"/>
      <c r="Z54" s="974" t="s">
        <v>114</v>
      </c>
      <c r="AA54" s="974"/>
      <c r="AB54" s="974"/>
      <c r="AC54" s="974"/>
      <c r="AD54" s="974"/>
      <c r="AE54" s="974"/>
      <c r="AF54" s="974"/>
      <c r="AG54" s="974"/>
      <c r="AH54" s="974"/>
      <c r="AI54" s="106"/>
    </row>
    <row r="55" spans="20:35" ht="15.75">
      <c r="U55" s="112"/>
      <c r="V55" s="112"/>
      <c r="W55" s="112"/>
      <c r="X55" s="112"/>
      <c r="Y55" s="112"/>
      <c r="Z55" s="112"/>
      <c r="AA55" s="972" t="s">
        <v>115</v>
      </c>
      <c r="AB55" s="972"/>
      <c r="AC55" s="972"/>
      <c r="AD55" s="972"/>
      <c r="AE55" s="972"/>
      <c r="AF55" s="972"/>
      <c r="AG55" s="972"/>
      <c r="AH55" s="972"/>
      <c r="AI55" s="972"/>
    </row>
  </sheetData>
  <mergeCells count="18">
    <mergeCell ref="A47:J47"/>
    <mergeCell ref="E1:F1"/>
    <mergeCell ref="P1:Q1"/>
    <mergeCell ref="A1:B1"/>
    <mergeCell ref="C1:D1"/>
    <mergeCell ref="G1:I1"/>
    <mergeCell ref="J1:K1"/>
    <mergeCell ref="L1:O1"/>
    <mergeCell ref="U49:AC49"/>
    <mergeCell ref="V50:AD50"/>
    <mergeCell ref="U1:AC2"/>
    <mergeCell ref="T1:T2"/>
    <mergeCell ref="R1:S1"/>
    <mergeCell ref="W51:AE51"/>
    <mergeCell ref="X52:AF52"/>
    <mergeCell ref="Y53:AG53"/>
    <mergeCell ref="Z54:AH54"/>
    <mergeCell ref="AA55:AI5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49"/>
  <sheetViews>
    <sheetView workbookViewId="0">
      <pane ySplit="2" topLeftCell="A3" activePane="bottomLeft" state="frozen"/>
      <selection pane="bottomLeft" activeCell="A48" sqref="A48"/>
    </sheetView>
  </sheetViews>
  <sheetFormatPr defaultRowHeight="11.25"/>
  <cols>
    <col min="1" max="1" width="12.8554687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9" customFormat="1" ht="32.25" customHeight="1">
      <c r="A1" s="1000" t="s">
        <v>31</v>
      </c>
      <c r="B1" s="1001"/>
      <c r="C1" s="1001"/>
      <c r="D1" s="1001"/>
      <c r="E1" s="1002"/>
      <c r="F1" s="1003" t="s">
        <v>276</v>
      </c>
      <c r="G1" s="1004"/>
      <c r="H1" s="1004"/>
      <c r="I1" s="1005"/>
      <c r="J1" s="996" t="s">
        <v>277</v>
      </c>
      <c r="K1" s="997"/>
      <c r="L1" s="997"/>
      <c r="M1" s="997"/>
      <c r="N1" s="997"/>
      <c r="O1" s="997"/>
      <c r="P1" s="997"/>
      <c r="Q1" s="997"/>
      <c r="R1" s="997"/>
      <c r="S1" s="997"/>
      <c r="T1" s="997"/>
      <c r="U1" s="997"/>
      <c r="V1" s="997"/>
      <c r="W1" s="997"/>
      <c r="X1" s="997"/>
      <c r="Y1" s="998"/>
      <c r="Z1" s="1006" t="s">
        <v>278</v>
      </c>
      <c r="AA1" s="1007"/>
      <c r="AB1" s="1007"/>
      <c r="AC1" s="1008"/>
      <c r="AD1" s="996" t="s">
        <v>279</v>
      </c>
      <c r="AE1" s="997"/>
      <c r="AF1" s="997"/>
      <c r="AG1" s="997"/>
      <c r="AH1" s="997"/>
      <c r="AI1" s="997"/>
      <c r="AJ1" s="997"/>
      <c r="AK1" s="997"/>
      <c r="AL1" s="997"/>
      <c r="AM1" s="997"/>
      <c r="AN1" s="997"/>
      <c r="AO1" s="997"/>
      <c r="AP1" s="997"/>
      <c r="AQ1" s="997"/>
      <c r="AR1" s="997"/>
      <c r="AS1" s="998"/>
      <c r="AT1" s="1003" t="s">
        <v>280</v>
      </c>
      <c r="AU1" s="1004"/>
      <c r="AV1" s="1004"/>
      <c r="AW1" s="1005"/>
      <c r="AX1" s="996" t="s">
        <v>281</v>
      </c>
      <c r="AY1" s="997"/>
      <c r="AZ1" s="997"/>
      <c r="BA1" s="997"/>
      <c r="BB1" s="997"/>
      <c r="BC1" s="997"/>
      <c r="BD1" s="997"/>
      <c r="BE1" s="997"/>
      <c r="BF1" s="997"/>
      <c r="BG1" s="997"/>
      <c r="BH1" s="997"/>
      <c r="BI1" s="997"/>
      <c r="BJ1" s="997"/>
      <c r="BK1" s="997"/>
      <c r="BL1" s="997"/>
      <c r="BM1" s="998"/>
    </row>
    <row r="2" spans="1:65" s="4" customFormat="1" ht="23.25" customHeight="1">
      <c r="A2" s="181" t="s">
        <v>19</v>
      </c>
      <c r="B2" s="181" t="s">
        <v>282</v>
      </c>
      <c r="C2" s="182" t="s">
        <v>283</v>
      </c>
      <c r="D2" s="769" t="s">
        <v>29</v>
      </c>
      <c r="E2" s="971"/>
      <c r="F2" s="183" t="s">
        <v>284</v>
      </c>
      <c r="G2" s="181" t="s">
        <v>18</v>
      </c>
      <c r="H2" s="183" t="s">
        <v>23</v>
      </c>
      <c r="I2" s="184" t="s">
        <v>82</v>
      </c>
      <c r="J2" s="185" t="s">
        <v>285</v>
      </c>
      <c r="K2" s="185" t="s">
        <v>286</v>
      </c>
      <c r="L2" s="183" t="s">
        <v>287</v>
      </c>
      <c r="M2" s="183" t="s">
        <v>288</v>
      </c>
      <c r="N2" s="183" t="s">
        <v>289</v>
      </c>
      <c r="O2" s="183" t="s">
        <v>290</v>
      </c>
      <c r="P2" s="183" t="s">
        <v>291</v>
      </c>
      <c r="Q2" s="183" t="s">
        <v>292</v>
      </c>
      <c r="R2" s="183" t="s">
        <v>293</v>
      </c>
      <c r="S2" s="183" t="s">
        <v>294</v>
      </c>
      <c r="T2" s="183" t="s">
        <v>295</v>
      </c>
      <c r="U2" s="183" t="s">
        <v>23</v>
      </c>
      <c r="V2" s="183" t="s">
        <v>296</v>
      </c>
      <c r="W2" s="183" t="s">
        <v>297</v>
      </c>
      <c r="X2" s="183" t="s">
        <v>298</v>
      </c>
      <c r="Y2" s="186" t="s">
        <v>299</v>
      </c>
      <c r="Z2" s="183" t="s">
        <v>284</v>
      </c>
      <c r="AA2" s="181" t="s">
        <v>18</v>
      </c>
      <c r="AB2" s="183" t="s">
        <v>23</v>
      </c>
      <c r="AC2" s="187" t="s">
        <v>82</v>
      </c>
      <c r="AD2" s="185" t="s">
        <v>285</v>
      </c>
      <c r="AE2" s="185" t="s">
        <v>286</v>
      </c>
      <c r="AF2" s="183" t="s">
        <v>287</v>
      </c>
      <c r="AG2" s="183" t="s">
        <v>288</v>
      </c>
      <c r="AH2" s="183" t="s">
        <v>289</v>
      </c>
      <c r="AI2" s="183" t="s">
        <v>290</v>
      </c>
      <c r="AJ2" s="183" t="s">
        <v>291</v>
      </c>
      <c r="AK2" s="183" t="s">
        <v>292</v>
      </c>
      <c r="AL2" s="183" t="s">
        <v>293</v>
      </c>
      <c r="AM2" s="183" t="s">
        <v>294</v>
      </c>
      <c r="AN2" s="183" t="s">
        <v>295</v>
      </c>
      <c r="AO2" s="183" t="s">
        <v>23</v>
      </c>
      <c r="AP2" s="183" t="s">
        <v>296</v>
      </c>
      <c r="AQ2" s="183" t="s">
        <v>297</v>
      </c>
      <c r="AR2" s="183" t="s">
        <v>298</v>
      </c>
      <c r="AS2" s="186" t="s">
        <v>299</v>
      </c>
      <c r="AT2" s="183" t="s">
        <v>284</v>
      </c>
      <c r="AU2" s="181" t="s">
        <v>18</v>
      </c>
      <c r="AV2" s="183" t="s">
        <v>23</v>
      </c>
      <c r="AW2" s="184" t="s">
        <v>82</v>
      </c>
      <c r="AX2" s="185" t="s">
        <v>285</v>
      </c>
      <c r="AY2" s="185" t="s">
        <v>286</v>
      </c>
      <c r="AZ2" s="183" t="s">
        <v>287</v>
      </c>
      <c r="BA2" s="183" t="s">
        <v>288</v>
      </c>
      <c r="BB2" s="183" t="s">
        <v>289</v>
      </c>
      <c r="BC2" s="183" t="s">
        <v>290</v>
      </c>
      <c r="BD2" s="183" t="s">
        <v>291</v>
      </c>
      <c r="BE2" s="183" t="s">
        <v>292</v>
      </c>
      <c r="BF2" s="183" t="s">
        <v>293</v>
      </c>
      <c r="BG2" s="183" t="s">
        <v>294</v>
      </c>
      <c r="BH2" s="183" t="s">
        <v>295</v>
      </c>
      <c r="BI2" s="183" t="s">
        <v>23</v>
      </c>
      <c r="BJ2" s="183" t="s">
        <v>296</v>
      </c>
      <c r="BK2" s="183" t="s">
        <v>297</v>
      </c>
      <c r="BL2" s="183" t="s">
        <v>300</v>
      </c>
      <c r="BM2" s="186" t="s">
        <v>299</v>
      </c>
    </row>
    <row r="3" spans="1:65">
      <c r="A3" s="29" t="str">
        <f>'1-συμβολαια'!A3</f>
        <v>93τραπ &amp; σημ</v>
      </c>
      <c r="B3" s="14" t="str">
        <f>'4-πολλυπρ'!D3</f>
        <v xml:space="preserve">τραπεζα [= </v>
      </c>
      <c r="C3" s="14" t="str">
        <f>'4-πολλυπρ'!I3</f>
        <v>219-16</v>
      </c>
      <c r="D3" s="24"/>
      <c r="E3" s="24"/>
      <c r="F3" s="11"/>
      <c r="G3" s="28"/>
      <c r="H3" s="11"/>
      <c r="I3" s="24"/>
      <c r="J3" s="11"/>
      <c r="K3" s="136" t="s">
        <v>301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88" t="s">
        <v>301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 xml:space="preserve">τραπεζα [= </v>
      </c>
      <c r="C4" s="14" t="str">
        <f>'4-πολλυπρ'!I4</f>
        <v>219-16</v>
      </c>
      <c r="D4" s="24"/>
      <c r="E4" s="24"/>
      <c r="F4" s="11"/>
      <c r="G4" s="28"/>
      <c r="H4" s="11"/>
      <c r="I4" s="24"/>
      <c r="J4" s="11"/>
      <c r="K4" s="136" t="s">
        <v>301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88" t="s">
        <v>301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 xml:space="preserve">τραπεζα [= </v>
      </c>
      <c r="C5" s="14" t="str">
        <f>'4-πολλυπρ'!I5</f>
        <v>219-16</v>
      </c>
      <c r="D5" s="24"/>
      <c r="E5" s="24"/>
      <c r="F5" s="11"/>
      <c r="G5" s="28"/>
      <c r="H5" s="11"/>
      <c r="I5" s="24"/>
      <c r="J5" s="11"/>
      <c r="K5" s="136" t="s">
        <v>301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88" t="s">
        <v>301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 t="str">
        <f>'1-συμβολαια'!A6</f>
        <v>375τραπ</v>
      </c>
      <c r="B6" s="14" t="str">
        <f>'4-πολλυπρ'!D6</f>
        <v xml:space="preserve">τραπεζα [= </v>
      </c>
      <c r="C6" s="14" t="str">
        <f>'4-πολλυπρ'!I6</f>
        <v>219-16</v>
      </c>
      <c r="D6" s="24"/>
      <c r="E6" s="24"/>
      <c r="F6" s="11"/>
      <c r="G6" s="28"/>
      <c r="H6" s="11"/>
      <c r="I6" s="24"/>
      <c r="J6" s="11"/>
      <c r="K6" s="136" t="s">
        <v>301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188" t="s">
        <v>301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 xml:space="preserve">τραπεζα [= </v>
      </c>
      <c r="C7" s="14" t="str">
        <f>'4-πολλυπρ'!I7</f>
        <v>219-16</v>
      </c>
      <c r="D7" s="24"/>
      <c r="E7" s="24"/>
      <c r="F7" s="11"/>
      <c r="G7" s="28"/>
      <c r="H7" s="11"/>
      <c r="I7" s="24"/>
      <c r="J7" s="11"/>
      <c r="K7" s="136" t="s">
        <v>301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188" t="s">
        <v>301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 xml:space="preserve">τραπεζα [= </v>
      </c>
      <c r="C8" s="14" t="str">
        <f>'4-πολλυπρ'!I8</f>
        <v>219-16</v>
      </c>
      <c r="D8" s="24"/>
      <c r="E8" s="24"/>
      <c r="F8" s="11"/>
      <c r="G8" s="28"/>
      <c r="H8" s="11"/>
      <c r="I8" s="24"/>
      <c r="J8" s="11"/>
      <c r="K8" s="136" t="s">
        <v>301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188" t="s">
        <v>301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 t="str">
        <f>'1-συμβολαια'!A9</f>
        <v>1ο</v>
      </c>
      <c r="B9" s="14" t="str">
        <f>'4-πολλυπρ'!D9</f>
        <v xml:space="preserve">τραπεζα [= </v>
      </c>
      <c r="C9" s="14" t="str">
        <f>'4-πολλυπρ'!I9</f>
        <v>219-16</v>
      </c>
      <c r="D9" s="24"/>
      <c r="E9" s="24"/>
      <c r="F9" s="11"/>
      <c r="G9" s="28"/>
      <c r="H9" s="11"/>
      <c r="I9" s="24"/>
      <c r="J9" s="11"/>
      <c r="K9" s="136" t="s">
        <v>301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188" t="s">
        <v>301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 t="str">
        <f>'1-συμβολαια'!A10</f>
        <v>2ο</v>
      </c>
      <c r="B10" s="14" t="str">
        <f>'4-πολλυπρ'!D10</f>
        <v>;;;???</v>
      </c>
      <c r="C10" s="14" t="str">
        <f>'4-πολλυπρ'!I10</f>
        <v>219-16</v>
      </c>
      <c r="D10" s="24"/>
      <c r="E10" s="24"/>
      <c r="F10" s="11"/>
      <c r="G10" s="28"/>
      <c r="H10" s="11"/>
      <c r="I10" s="24"/>
      <c r="J10" s="11"/>
      <c r="K10" s="136" t="s">
        <v>301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188" t="s">
        <v>301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1" spans="1:65">
      <c r="A11" s="29">
        <f>'1-συμβολαια'!A11</f>
        <v>0</v>
      </c>
      <c r="B11" s="14" t="str">
        <f>'4-πολλυπρ'!D11</f>
        <v>;;;???</v>
      </c>
      <c r="C11" s="14" t="str">
        <f>'4-πολλυπρ'!I11</f>
        <v>219-16</v>
      </c>
      <c r="D11" s="24"/>
      <c r="E11" s="24"/>
      <c r="F11" s="11"/>
      <c r="G11" s="28"/>
      <c r="H11" s="11"/>
      <c r="I11" s="24"/>
      <c r="J11" s="11"/>
      <c r="K11" s="136" t="s">
        <v>301</v>
      </c>
      <c r="L11" s="24"/>
      <c r="M11" s="24"/>
      <c r="N11" s="24"/>
      <c r="O11" s="24"/>
      <c r="P11" s="24"/>
      <c r="Q11" s="24"/>
      <c r="R11" s="24"/>
      <c r="S11" s="24"/>
      <c r="T11" s="24"/>
      <c r="U11" s="11"/>
      <c r="V11" s="28"/>
      <c r="W11" s="28"/>
      <c r="X11" s="24"/>
      <c r="Y11" s="24"/>
      <c r="Z11" s="11"/>
      <c r="AA11" s="24"/>
      <c r="AB11" s="11"/>
      <c r="AC11" s="24"/>
      <c r="AD11" s="11"/>
      <c r="AE11" s="188" t="s">
        <v>301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11"/>
      <c r="AU11" s="24"/>
      <c r="AV11" s="11"/>
      <c r="AW11" s="24"/>
      <c r="AX11" s="11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11"/>
      <c r="BJ11" s="24"/>
      <c r="BK11" s="24"/>
      <c r="BL11" s="24"/>
      <c r="BM11" s="24"/>
    </row>
    <row r="12" spans="1:65">
      <c r="A12" s="29">
        <f>'1-συμβολαια'!A12</f>
        <v>0</v>
      </c>
      <c r="B12" s="14" t="str">
        <f>'4-πολλυπρ'!D12</f>
        <v>;;;???</v>
      </c>
      <c r="C12" s="14" t="str">
        <f>'4-πολλυπρ'!I12</f>
        <v>219-16</v>
      </c>
      <c r="D12" s="24"/>
      <c r="E12" s="24"/>
      <c r="F12" s="11"/>
      <c r="G12" s="28"/>
      <c r="H12" s="11"/>
      <c r="I12" s="24"/>
      <c r="J12" s="11"/>
      <c r="K12" s="136" t="s">
        <v>301</v>
      </c>
      <c r="L12" s="24"/>
      <c r="M12" s="24"/>
      <c r="N12" s="24"/>
      <c r="O12" s="24"/>
      <c r="P12" s="24"/>
      <c r="Q12" s="24"/>
      <c r="R12" s="24"/>
      <c r="S12" s="24"/>
      <c r="T12" s="24"/>
      <c r="U12" s="11"/>
      <c r="V12" s="28"/>
      <c r="W12" s="28"/>
      <c r="X12" s="24"/>
      <c r="Y12" s="24"/>
      <c r="Z12" s="11"/>
      <c r="AA12" s="24"/>
      <c r="AB12" s="11"/>
      <c r="AC12" s="24"/>
      <c r="AD12" s="11"/>
      <c r="AE12" s="188" t="s">
        <v>301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11"/>
      <c r="AU12" s="24"/>
      <c r="AV12" s="11"/>
      <c r="AW12" s="24"/>
      <c r="AX12" s="11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11"/>
      <c r="BJ12" s="24"/>
      <c r="BK12" s="24"/>
      <c r="BL12" s="24"/>
      <c r="BM12" s="24"/>
    </row>
    <row r="13" spans="1:65">
      <c r="A13" s="29" t="str">
        <f>'1-συμβολαια'!A13</f>
        <v>3ο</v>
      </c>
      <c r="B13" s="14" t="str">
        <f>'4-πολλυπρ'!D13</f>
        <v>219-16</v>
      </c>
      <c r="C13" s="14" t="str">
        <f>'4-πολλυπρ'!I13</f>
        <v>219-16</v>
      </c>
      <c r="D13" s="24"/>
      <c r="E13" s="24"/>
      <c r="F13" s="11"/>
      <c r="G13" s="28"/>
      <c r="H13" s="11"/>
      <c r="I13" s="24"/>
      <c r="J13" s="11"/>
      <c r="K13" s="136" t="s">
        <v>301</v>
      </c>
      <c r="L13" s="24"/>
      <c r="M13" s="24"/>
      <c r="N13" s="24"/>
      <c r="O13" s="24"/>
      <c r="P13" s="24"/>
      <c r="Q13" s="24"/>
      <c r="R13" s="24"/>
      <c r="S13" s="24"/>
      <c r="T13" s="24"/>
      <c r="U13" s="11"/>
      <c r="V13" s="28"/>
      <c r="W13" s="28"/>
      <c r="X13" s="24"/>
      <c r="Y13" s="24"/>
      <c r="Z13" s="11"/>
      <c r="AA13" s="24"/>
      <c r="AB13" s="11"/>
      <c r="AC13" s="24"/>
      <c r="AD13" s="11"/>
      <c r="AE13" s="188" t="s">
        <v>301</v>
      </c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11"/>
      <c r="AU13" s="24"/>
      <c r="AV13" s="11"/>
      <c r="AW13" s="24"/>
      <c r="AX13" s="11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11"/>
      <c r="BJ13" s="24"/>
      <c r="BK13" s="24"/>
      <c r="BL13" s="24"/>
      <c r="BM13" s="24"/>
    </row>
    <row r="14" spans="1:65">
      <c r="A14" s="29" t="str">
        <f>'1-συμβολαια'!A14</f>
        <v>4ο</v>
      </c>
      <c r="B14" s="14" t="str">
        <f>'4-πολλυπρ'!D14</f>
        <v xml:space="preserve">τραπεζα [= </v>
      </c>
      <c r="C14" s="14" t="str">
        <f>'4-πολλυπρ'!I14</f>
        <v>219-16</v>
      </c>
      <c r="D14" s="24"/>
      <c r="E14" s="24"/>
      <c r="F14" s="11"/>
      <c r="G14" s="28"/>
      <c r="H14" s="11"/>
      <c r="I14" s="24"/>
      <c r="J14" s="11"/>
      <c r="K14" s="136" t="s">
        <v>301</v>
      </c>
      <c r="L14" s="24"/>
      <c r="M14" s="24"/>
      <c r="N14" s="24"/>
      <c r="O14" s="24"/>
      <c r="P14" s="24"/>
      <c r="Q14" s="24"/>
      <c r="R14" s="24"/>
      <c r="S14" s="24"/>
      <c r="T14" s="24"/>
      <c r="U14" s="11"/>
      <c r="V14" s="28"/>
      <c r="W14" s="28"/>
      <c r="X14" s="24"/>
      <c r="Y14" s="24"/>
      <c r="Z14" s="11"/>
      <c r="AA14" s="24"/>
      <c r="AB14" s="11"/>
      <c r="AC14" s="24"/>
      <c r="AD14" s="11"/>
      <c r="AE14" s="188" t="s">
        <v>301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11"/>
      <c r="AU14" s="24"/>
      <c r="AV14" s="11"/>
      <c r="AW14" s="24"/>
      <c r="AX14" s="11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11"/>
      <c r="BJ14" s="24"/>
      <c r="BK14" s="24"/>
      <c r="BL14" s="24"/>
      <c r="BM14" s="24"/>
    </row>
    <row r="15" spans="1:65">
      <c r="A15" s="29" t="str">
        <f>'1-συμβολαια'!A15</f>
        <v>389τραπ</v>
      </c>
      <c r="B15" s="14" t="str">
        <f>'4-πολλυπρ'!D15</f>
        <v xml:space="preserve">τραπεζα [= </v>
      </c>
      <c r="C15" s="14" t="str">
        <f>'4-πολλυπρ'!I15</f>
        <v>219-16</v>
      </c>
      <c r="D15" s="24"/>
      <c r="E15" s="24"/>
      <c r="F15" s="11"/>
      <c r="G15" s="28"/>
      <c r="H15" s="11"/>
      <c r="I15" s="24"/>
      <c r="J15" s="11"/>
      <c r="K15" s="136" t="s">
        <v>301</v>
      </c>
      <c r="L15" s="24"/>
      <c r="M15" s="24"/>
      <c r="N15" s="24"/>
      <c r="O15" s="24"/>
      <c r="P15" s="24"/>
      <c r="Q15" s="24"/>
      <c r="R15" s="24"/>
      <c r="S15" s="24"/>
      <c r="T15" s="24"/>
      <c r="U15" s="11"/>
      <c r="V15" s="28"/>
      <c r="W15" s="28"/>
      <c r="X15" s="24"/>
      <c r="Y15" s="24"/>
      <c r="Z15" s="11"/>
      <c r="AA15" s="24"/>
      <c r="AB15" s="11"/>
      <c r="AC15" s="24"/>
      <c r="AD15" s="11"/>
      <c r="AE15" s="188" t="s">
        <v>301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11"/>
      <c r="AU15" s="24"/>
      <c r="AV15" s="11"/>
      <c r="AW15" s="24"/>
      <c r="AX15" s="11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11"/>
      <c r="BJ15" s="24"/>
      <c r="BK15" s="24"/>
      <c r="BL15" s="24"/>
      <c r="BM15" s="24"/>
    </row>
    <row r="16" spans="1:65">
      <c r="A16" s="29">
        <f>'1-συμβολαια'!A16</f>
        <v>0</v>
      </c>
      <c r="B16" s="14" t="str">
        <f>'4-πολλυπρ'!D16</f>
        <v xml:space="preserve">τραπεζα [= </v>
      </c>
      <c r="C16" s="14" t="str">
        <f>'4-πολλυπρ'!I16</f>
        <v>219-16</v>
      </c>
      <c r="D16" s="24"/>
      <c r="E16" s="24"/>
      <c r="F16" s="11"/>
      <c r="G16" s="28"/>
      <c r="H16" s="11"/>
      <c r="I16" s="24"/>
      <c r="J16" s="11"/>
      <c r="K16" s="136" t="s">
        <v>301</v>
      </c>
      <c r="L16" s="24"/>
      <c r="M16" s="24"/>
      <c r="N16" s="24"/>
      <c r="O16" s="24"/>
      <c r="P16" s="24"/>
      <c r="Q16" s="24"/>
      <c r="R16" s="24"/>
      <c r="S16" s="24"/>
      <c r="T16" s="24"/>
      <c r="U16" s="11"/>
      <c r="V16" s="28"/>
      <c r="W16" s="28"/>
      <c r="X16" s="24"/>
      <c r="Y16" s="24"/>
      <c r="Z16" s="11"/>
      <c r="AA16" s="24"/>
      <c r="AB16" s="11"/>
      <c r="AC16" s="24"/>
      <c r="AD16" s="11"/>
      <c r="AE16" s="188" t="s">
        <v>301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11"/>
      <c r="AU16" s="24"/>
      <c r="AV16" s="11"/>
      <c r="AW16" s="24"/>
      <c r="AX16" s="11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11"/>
      <c r="BJ16" s="24"/>
      <c r="BK16" s="24"/>
      <c r="BL16" s="24"/>
      <c r="BM16" s="24"/>
    </row>
    <row r="17" spans="1:65">
      <c r="A17" s="29">
        <f>'1-συμβολαια'!A17</f>
        <v>0</v>
      </c>
      <c r="B17" s="14" t="str">
        <f>'4-πολλυπρ'!D17</f>
        <v xml:space="preserve">τραπεζα [= </v>
      </c>
      <c r="C17" s="14" t="str">
        <f>'4-πολλυπρ'!I17</f>
        <v>219-16</v>
      </c>
      <c r="D17" s="24"/>
      <c r="E17" s="24"/>
      <c r="F17" s="11"/>
      <c r="G17" s="28"/>
      <c r="H17" s="11"/>
      <c r="I17" s="24"/>
      <c r="J17" s="11"/>
      <c r="K17" s="136" t="s">
        <v>301</v>
      </c>
      <c r="L17" s="24"/>
      <c r="M17" s="24"/>
      <c r="N17" s="24"/>
      <c r="O17" s="24"/>
      <c r="P17" s="24"/>
      <c r="Q17" s="24"/>
      <c r="R17" s="24"/>
      <c r="S17" s="24"/>
      <c r="T17" s="24"/>
      <c r="U17" s="11"/>
      <c r="V17" s="28"/>
      <c r="W17" s="28"/>
      <c r="X17" s="24"/>
      <c r="Y17" s="24"/>
      <c r="Z17" s="11"/>
      <c r="AA17" s="24"/>
      <c r="AB17" s="11"/>
      <c r="AC17" s="24"/>
      <c r="AD17" s="11"/>
      <c r="AE17" s="188" t="s">
        <v>301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11"/>
      <c r="AU17" s="24"/>
      <c r="AV17" s="11"/>
      <c r="AW17" s="24"/>
      <c r="AX17" s="11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11"/>
      <c r="BJ17" s="24"/>
      <c r="BK17" s="24"/>
      <c r="BL17" s="24"/>
      <c r="BM17" s="24"/>
    </row>
    <row r="18" spans="1:65">
      <c r="A18" s="29" t="str">
        <f>'1-συμβολαια'!A18</f>
        <v>5ο</v>
      </c>
      <c r="B18" s="14" t="str">
        <f>'4-πολλυπρ'!D18</f>
        <v>κοινότηταΠαναγιας [= ματσανηςΓεωργιος</v>
      </c>
      <c r="C18" s="14" t="str">
        <f>'4-πολλυπρ'!I18</f>
        <v>219-16</v>
      </c>
      <c r="D18" s="24"/>
      <c r="E18" s="24"/>
      <c r="F18" s="11"/>
      <c r="G18" s="28"/>
      <c r="H18" s="11"/>
      <c r="I18" s="24"/>
      <c r="J18" s="11"/>
      <c r="K18" s="136" t="s">
        <v>301</v>
      </c>
      <c r="L18" s="24"/>
      <c r="M18" s="24"/>
      <c r="N18" s="24"/>
      <c r="O18" s="24"/>
      <c r="P18" s="24"/>
      <c r="Q18" s="24"/>
      <c r="R18" s="24"/>
      <c r="S18" s="24"/>
      <c r="T18" s="24"/>
      <c r="U18" s="11"/>
      <c r="V18" s="28"/>
      <c r="W18" s="28"/>
      <c r="X18" s="24"/>
      <c r="Y18" s="24"/>
      <c r="Z18" s="11"/>
      <c r="AA18" s="24"/>
      <c r="AB18" s="11"/>
      <c r="AC18" s="24"/>
      <c r="AD18" s="11"/>
      <c r="AE18" s="188" t="s">
        <v>301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11"/>
      <c r="AU18" s="24"/>
      <c r="AV18" s="11"/>
      <c r="AW18" s="24"/>
      <c r="AX18" s="11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11"/>
      <c r="BJ18" s="24"/>
      <c r="BK18" s="24"/>
      <c r="BL18" s="24"/>
      <c r="BM18" s="24"/>
    </row>
    <row r="19" spans="1:65">
      <c r="A19" s="29">
        <f>'1-συμβολαια'!A19</f>
        <v>0</v>
      </c>
      <c r="B19" s="14" t="str">
        <f>'4-πολλυπρ'!D19</f>
        <v>κοινότηταΠαναγιας [= ματσανηςΓεωργιος</v>
      </c>
      <c r="C19" s="14" t="str">
        <f>'4-πολλυπρ'!I19</f>
        <v>219-16</v>
      </c>
      <c r="D19" s="24"/>
      <c r="E19" s="24"/>
      <c r="F19" s="11"/>
      <c r="G19" s="28"/>
      <c r="H19" s="11"/>
      <c r="I19" s="24"/>
      <c r="J19" s="11"/>
      <c r="K19" s="136" t="s">
        <v>301</v>
      </c>
      <c r="L19" s="24"/>
      <c r="M19" s="24"/>
      <c r="N19" s="24"/>
      <c r="O19" s="24"/>
      <c r="P19" s="24"/>
      <c r="Q19" s="24"/>
      <c r="R19" s="24"/>
      <c r="S19" s="24"/>
      <c r="T19" s="24"/>
      <c r="U19" s="11"/>
      <c r="V19" s="28"/>
      <c r="W19" s="28"/>
      <c r="X19" s="24"/>
      <c r="Y19" s="24"/>
      <c r="Z19" s="11"/>
      <c r="AA19" s="24"/>
      <c r="AB19" s="11"/>
      <c r="AC19" s="24"/>
      <c r="AD19" s="11"/>
      <c r="AE19" s="188" t="s">
        <v>301</v>
      </c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11"/>
      <c r="AU19" s="24"/>
      <c r="AV19" s="11"/>
      <c r="AW19" s="24"/>
      <c r="AX19" s="11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11"/>
      <c r="BJ19" s="24"/>
      <c r="BK19" s="24"/>
      <c r="BL19" s="24"/>
      <c r="BM19" s="24"/>
    </row>
    <row r="20" spans="1:65">
      <c r="A20" s="29">
        <f>'1-συμβολαια'!A20</f>
        <v>0</v>
      </c>
      <c r="B20" s="14" t="str">
        <f>'4-πολλυπρ'!D20</f>
        <v>κοινότηταΠαναγιας [= ματσανηςΓεωργιος</v>
      </c>
      <c r="C20" s="14" t="str">
        <f>'4-πολλυπρ'!I20</f>
        <v>219-16</v>
      </c>
      <c r="D20" s="24"/>
      <c r="E20" s="24"/>
      <c r="F20" s="11"/>
      <c r="G20" s="28"/>
      <c r="H20" s="11"/>
      <c r="I20" s="24"/>
      <c r="J20" s="11"/>
      <c r="K20" s="136" t="s">
        <v>301</v>
      </c>
      <c r="L20" s="24"/>
      <c r="M20" s="24"/>
      <c r="N20" s="24"/>
      <c r="O20" s="24"/>
      <c r="P20" s="24"/>
      <c r="Q20" s="24"/>
      <c r="R20" s="24"/>
      <c r="S20" s="24"/>
      <c r="T20" s="24"/>
      <c r="U20" s="11"/>
      <c r="V20" s="28"/>
      <c r="W20" s="28"/>
      <c r="X20" s="24"/>
      <c r="Y20" s="24"/>
      <c r="Z20" s="11"/>
      <c r="AA20" s="24"/>
      <c r="AB20" s="11"/>
      <c r="AC20" s="24"/>
      <c r="AD20" s="11"/>
      <c r="AE20" s="188" t="s">
        <v>301</v>
      </c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11"/>
      <c r="AU20" s="24"/>
      <c r="AV20" s="11"/>
      <c r="AW20" s="24"/>
      <c r="AX20" s="11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11"/>
      <c r="BJ20" s="24"/>
      <c r="BK20" s="24"/>
      <c r="BL20" s="24"/>
      <c r="BM20" s="24"/>
    </row>
    <row r="21" spans="1:65">
      <c r="A21" s="29">
        <f>'1-συμβολαια'!A21</f>
        <v>0</v>
      </c>
      <c r="B21" s="14" t="str">
        <f>'4-πολλυπρ'!D21</f>
        <v>κοινότηταΠαναγιας [= ματσανηςΓεωργιος</v>
      </c>
      <c r="C21" s="14" t="str">
        <f>'4-πολλυπρ'!I21</f>
        <v>219-16</v>
      </c>
      <c r="D21" s="24"/>
      <c r="E21" s="24"/>
      <c r="F21" s="11"/>
      <c r="G21" s="28"/>
      <c r="H21" s="11"/>
      <c r="I21" s="24"/>
      <c r="J21" s="11"/>
      <c r="K21" s="136" t="s">
        <v>301</v>
      </c>
      <c r="L21" s="24"/>
      <c r="M21" s="24"/>
      <c r="N21" s="24"/>
      <c r="O21" s="24"/>
      <c r="P21" s="24"/>
      <c r="Q21" s="24"/>
      <c r="R21" s="24"/>
      <c r="S21" s="24"/>
      <c r="T21" s="24"/>
      <c r="U21" s="11"/>
      <c r="V21" s="28"/>
      <c r="W21" s="28"/>
      <c r="X21" s="24"/>
      <c r="Y21" s="24"/>
      <c r="Z21" s="11"/>
      <c r="AA21" s="24"/>
      <c r="AB21" s="11"/>
      <c r="AC21" s="24"/>
      <c r="AD21" s="11"/>
      <c r="AE21" s="188" t="s">
        <v>301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11"/>
      <c r="AU21" s="24"/>
      <c r="AV21" s="11"/>
      <c r="AW21" s="24"/>
      <c r="AX21" s="11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11"/>
      <c r="BJ21" s="24"/>
      <c r="BK21" s="24"/>
      <c r="BL21" s="24"/>
      <c r="BM21" s="24"/>
    </row>
    <row r="22" spans="1:65">
      <c r="A22" s="29" t="str">
        <f>'1-συμβολαια'!A22</f>
        <v>6ο</v>
      </c>
      <c r="B22" s="14" t="str">
        <f>'4-πολλυπρ'!D22</f>
        <v>219-16</v>
      </c>
      <c r="C22" s="14" t="str">
        <f>'4-πολλυπρ'!I22</f>
        <v>219-16</v>
      </c>
      <c r="D22" s="24"/>
      <c r="E22" s="24"/>
      <c r="F22" s="11"/>
      <c r="G22" s="28"/>
      <c r="H22" s="11"/>
      <c r="I22" s="24"/>
      <c r="J22" s="11"/>
      <c r="K22" s="136" t="s">
        <v>301</v>
      </c>
      <c r="L22" s="24"/>
      <c r="M22" s="24"/>
      <c r="N22" s="24"/>
      <c r="O22" s="24"/>
      <c r="P22" s="24"/>
      <c r="Q22" s="24"/>
      <c r="R22" s="24"/>
      <c r="S22" s="24"/>
      <c r="T22" s="24"/>
      <c r="U22" s="11"/>
      <c r="V22" s="28"/>
      <c r="W22" s="28"/>
      <c r="X22" s="24"/>
      <c r="Y22" s="24"/>
      <c r="Z22" s="11"/>
      <c r="AA22" s="24"/>
      <c r="AB22" s="11"/>
      <c r="AC22" s="24"/>
      <c r="AD22" s="11"/>
      <c r="AE22" s="188" t="s">
        <v>301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11"/>
      <c r="AU22" s="24"/>
      <c r="AV22" s="11"/>
      <c r="AW22" s="24"/>
      <c r="AX22" s="11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11"/>
      <c r="BJ22" s="24"/>
      <c r="BK22" s="24"/>
      <c r="BL22" s="24"/>
      <c r="BM22" s="24"/>
    </row>
    <row r="23" spans="1:65">
      <c r="A23" s="29">
        <f>'1-συμβολαια'!A23</f>
        <v>0</v>
      </c>
      <c r="B23" s="14" t="str">
        <f>'4-πολλυπρ'!D23</f>
        <v>219-16</v>
      </c>
      <c r="C23" s="14" t="str">
        <f>'4-πολλυπρ'!I23</f>
        <v>219-16</v>
      </c>
      <c r="D23" s="24"/>
      <c r="E23" s="24"/>
      <c r="F23" s="11"/>
      <c r="G23" s="28"/>
      <c r="H23" s="11"/>
      <c r="I23" s="24"/>
      <c r="J23" s="11"/>
      <c r="K23" s="136" t="s">
        <v>301</v>
      </c>
      <c r="L23" s="24"/>
      <c r="M23" s="24"/>
      <c r="N23" s="24"/>
      <c r="O23" s="24"/>
      <c r="P23" s="24"/>
      <c r="Q23" s="24"/>
      <c r="R23" s="24"/>
      <c r="S23" s="24"/>
      <c r="T23" s="24"/>
      <c r="U23" s="11"/>
      <c r="V23" s="28"/>
      <c r="W23" s="28"/>
      <c r="X23" s="24"/>
      <c r="Y23" s="24"/>
      <c r="Z23" s="11"/>
      <c r="AA23" s="24"/>
      <c r="AB23" s="11"/>
      <c r="AC23" s="24"/>
      <c r="AD23" s="11"/>
      <c r="AE23" s="188" t="s">
        <v>301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11"/>
      <c r="AU23" s="24"/>
      <c r="AV23" s="11"/>
      <c r="AW23" s="24"/>
      <c r="AX23" s="11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11"/>
      <c r="BJ23" s="24"/>
      <c r="BK23" s="24"/>
      <c r="BL23" s="24"/>
      <c r="BM23" s="24"/>
    </row>
    <row r="24" spans="1:65">
      <c r="A24" s="29" t="str">
        <f>'1-συμβολαια'!A24</f>
        <v>7ο</v>
      </c>
      <c r="B24" s="14" t="str">
        <f>'4-πολλυπρ'!D24</f>
        <v xml:space="preserve">τραπεζα [= </v>
      </c>
      <c r="C24" s="14">
        <f>'4-πολλυπρ'!I24</f>
        <v>0</v>
      </c>
      <c r="D24" s="24"/>
      <c r="E24" s="24"/>
      <c r="F24" s="11"/>
      <c r="G24" s="28"/>
      <c r="H24" s="11"/>
      <c r="I24" s="24"/>
      <c r="J24" s="11"/>
      <c r="K24" s="136" t="s">
        <v>301</v>
      </c>
      <c r="L24" s="24"/>
      <c r="M24" s="24"/>
      <c r="N24" s="24"/>
      <c r="O24" s="24"/>
      <c r="P24" s="24"/>
      <c r="Q24" s="24"/>
      <c r="R24" s="24"/>
      <c r="S24" s="24"/>
      <c r="T24" s="24"/>
      <c r="U24" s="11"/>
      <c r="V24" s="28"/>
      <c r="W24" s="28"/>
      <c r="X24" s="24"/>
      <c r="Y24" s="24"/>
      <c r="Z24" s="11"/>
      <c r="AA24" s="24"/>
      <c r="AB24" s="11"/>
      <c r="AC24" s="24"/>
      <c r="AD24" s="11"/>
      <c r="AE24" s="188" t="s">
        <v>301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11"/>
      <c r="AU24" s="24"/>
      <c r="AV24" s="11"/>
      <c r="AW24" s="24"/>
      <c r="AX24" s="11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11"/>
      <c r="BJ24" s="24"/>
      <c r="BK24" s="24"/>
      <c r="BL24" s="24"/>
      <c r="BM24" s="24"/>
    </row>
    <row r="25" spans="1:65">
      <c r="A25" s="29">
        <f>'1-συμβολαια'!A25</f>
        <v>0</v>
      </c>
      <c r="B25" s="14" t="str">
        <f>'4-πολλυπρ'!D25</f>
        <v xml:space="preserve">τραπεζα [= </v>
      </c>
      <c r="C25" s="14">
        <f>'4-πολλυπρ'!I25</f>
        <v>0</v>
      </c>
      <c r="D25" s="24"/>
      <c r="E25" s="24"/>
      <c r="F25" s="11"/>
      <c r="G25" s="28"/>
      <c r="H25" s="11"/>
      <c r="I25" s="24"/>
      <c r="J25" s="11"/>
      <c r="K25" s="136" t="s">
        <v>301</v>
      </c>
      <c r="L25" s="24"/>
      <c r="M25" s="24"/>
      <c r="N25" s="24"/>
      <c r="O25" s="24"/>
      <c r="P25" s="24"/>
      <c r="Q25" s="24"/>
      <c r="R25" s="24"/>
      <c r="S25" s="24"/>
      <c r="T25" s="24"/>
      <c r="U25" s="11"/>
      <c r="V25" s="28"/>
      <c r="W25" s="28"/>
      <c r="X25" s="24"/>
      <c r="Y25" s="24"/>
      <c r="Z25" s="11"/>
      <c r="AA25" s="24"/>
      <c r="AB25" s="11"/>
      <c r="AC25" s="24"/>
      <c r="AD25" s="11"/>
      <c r="AE25" s="188" t="s">
        <v>301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11"/>
      <c r="AU25" s="24"/>
      <c r="AV25" s="11"/>
      <c r="AW25" s="24"/>
      <c r="AX25" s="11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11"/>
      <c r="BJ25" s="24"/>
      <c r="BK25" s="24"/>
      <c r="BL25" s="24"/>
      <c r="BM25" s="24"/>
    </row>
    <row r="26" spans="1:65">
      <c r="A26" s="29">
        <f>'1-συμβολαια'!A26</f>
        <v>0</v>
      </c>
      <c r="B26" s="14" t="str">
        <f>'4-πολλυπρ'!D26</f>
        <v xml:space="preserve">τραπεζα [= </v>
      </c>
      <c r="C26" s="14">
        <f>'4-πολλυπρ'!I26</f>
        <v>0</v>
      </c>
      <c r="D26" s="24"/>
      <c r="E26" s="24"/>
      <c r="F26" s="11"/>
      <c r="G26" s="28"/>
      <c r="H26" s="11"/>
      <c r="I26" s="24"/>
      <c r="J26" s="11"/>
      <c r="K26" s="136" t="s">
        <v>301</v>
      </c>
      <c r="L26" s="24"/>
      <c r="M26" s="24"/>
      <c r="N26" s="24"/>
      <c r="O26" s="24"/>
      <c r="P26" s="24"/>
      <c r="Q26" s="24"/>
      <c r="R26" s="24"/>
      <c r="S26" s="24"/>
      <c r="T26" s="24"/>
      <c r="U26" s="11"/>
      <c r="V26" s="28"/>
      <c r="W26" s="28"/>
      <c r="X26" s="24"/>
      <c r="Y26" s="24"/>
      <c r="Z26" s="11"/>
      <c r="AA26" s="24"/>
      <c r="AB26" s="11"/>
      <c r="AC26" s="24"/>
      <c r="AD26" s="11"/>
      <c r="AE26" s="188" t="s">
        <v>301</v>
      </c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11"/>
      <c r="AU26" s="24"/>
      <c r="AV26" s="11"/>
      <c r="AW26" s="24"/>
      <c r="AX26" s="11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11"/>
      <c r="BJ26" s="24"/>
      <c r="BK26" s="24"/>
      <c r="BL26" s="24"/>
      <c r="BM26" s="24"/>
    </row>
    <row r="27" spans="1:65">
      <c r="A27" s="29">
        <f>'1-συμβολαια'!A27</f>
        <v>0</v>
      </c>
      <c r="B27" s="14" t="str">
        <f>'4-πολλυπρ'!D27</f>
        <v xml:space="preserve">τραπεζα [= </v>
      </c>
      <c r="C27" s="14">
        <f>'4-πολλυπρ'!I27</f>
        <v>0</v>
      </c>
      <c r="D27" s="24"/>
      <c r="E27" s="24"/>
      <c r="F27" s="11"/>
      <c r="G27" s="28"/>
      <c r="H27" s="11"/>
      <c r="I27" s="24"/>
      <c r="J27" s="11"/>
      <c r="K27" s="136" t="s">
        <v>301</v>
      </c>
      <c r="L27" s="24"/>
      <c r="M27" s="24"/>
      <c r="N27" s="24"/>
      <c r="O27" s="24"/>
      <c r="P27" s="24"/>
      <c r="Q27" s="24"/>
      <c r="R27" s="24"/>
      <c r="S27" s="24"/>
      <c r="T27" s="24"/>
      <c r="U27" s="11"/>
      <c r="V27" s="28"/>
      <c r="W27" s="28"/>
      <c r="X27" s="24"/>
      <c r="Y27" s="24"/>
      <c r="Z27" s="11"/>
      <c r="AA27" s="24"/>
      <c r="AB27" s="11"/>
      <c r="AC27" s="24"/>
      <c r="AD27" s="11"/>
      <c r="AE27" s="188" t="s">
        <v>301</v>
      </c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11"/>
      <c r="AU27" s="24"/>
      <c r="AV27" s="11"/>
      <c r="AW27" s="24"/>
      <c r="AX27" s="11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11"/>
      <c r="BJ27" s="24"/>
      <c r="BK27" s="24"/>
      <c r="BL27" s="24"/>
      <c r="BM27" s="24"/>
    </row>
    <row r="28" spans="1:65">
      <c r="A28" s="29">
        <f>'1-συμβολαια'!A28</f>
        <v>0</v>
      </c>
      <c r="B28" s="14" t="str">
        <f>'4-πολλυπρ'!D28</f>
        <v xml:space="preserve">τραπεζα [= </v>
      </c>
      <c r="C28" s="14">
        <f>'4-πολλυπρ'!I28</f>
        <v>0</v>
      </c>
      <c r="D28" s="24"/>
      <c r="E28" s="24"/>
      <c r="F28" s="11"/>
      <c r="G28" s="28"/>
      <c r="H28" s="11"/>
      <c r="I28" s="24"/>
      <c r="J28" s="11"/>
      <c r="K28" s="136" t="s">
        <v>301</v>
      </c>
      <c r="L28" s="24"/>
      <c r="M28" s="24"/>
      <c r="N28" s="24"/>
      <c r="O28" s="24"/>
      <c r="P28" s="24"/>
      <c r="Q28" s="24"/>
      <c r="R28" s="24"/>
      <c r="S28" s="24"/>
      <c r="T28" s="24"/>
      <c r="U28" s="11"/>
      <c r="V28" s="28"/>
      <c r="W28" s="28"/>
      <c r="X28" s="24"/>
      <c r="Y28" s="24"/>
      <c r="Z28" s="11"/>
      <c r="AA28" s="24"/>
      <c r="AB28" s="11"/>
      <c r="AC28" s="24"/>
      <c r="AD28" s="11"/>
      <c r="AE28" s="188" t="s">
        <v>301</v>
      </c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11"/>
      <c r="AU28" s="24"/>
      <c r="AV28" s="11"/>
      <c r="AW28" s="24"/>
      <c r="AX28" s="11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11"/>
      <c r="BJ28" s="24"/>
      <c r="BK28" s="24"/>
      <c r="BL28" s="24"/>
      <c r="BM28" s="24"/>
    </row>
    <row r="29" spans="1:65">
      <c r="A29" s="29">
        <f>'1-συμβολαια'!A29</f>
        <v>0</v>
      </c>
      <c r="B29" s="14" t="str">
        <f>'4-πολλυπρ'!D29</f>
        <v xml:space="preserve">τραπεζα [= </v>
      </c>
      <c r="C29" s="14">
        <f>'4-πολλυπρ'!I29</f>
        <v>0</v>
      </c>
      <c r="D29" s="24"/>
      <c r="E29" s="24"/>
      <c r="F29" s="11"/>
      <c r="G29" s="28"/>
      <c r="H29" s="11"/>
      <c r="I29" s="24"/>
      <c r="J29" s="11"/>
      <c r="K29" s="136" t="s">
        <v>301</v>
      </c>
      <c r="L29" s="24"/>
      <c r="M29" s="24"/>
      <c r="N29" s="24"/>
      <c r="O29" s="24"/>
      <c r="P29" s="24"/>
      <c r="Q29" s="24"/>
      <c r="R29" s="24"/>
      <c r="S29" s="24"/>
      <c r="T29" s="24"/>
      <c r="U29" s="11"/>
      <c r="V29" s="28"/>
      <c r="W29" s="28"/>
      <c r="X29" s="24"/>
      <c r="Y29" s="24"/>
      <c r="Z29" s="11"/>
      <c r="AA29" s="24"/>
      <c r="AB29" s="11"/>
      <c r="AC29" s="24"/>
      <c r="AD29" s="11"/>
      <c r="AE29" s="188" t="s">
        <v>301</v>
      </c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11"/>
      <c r="AU29" s="24"/>
      <c r="AV29" s="11"/>
      <c r="AW29" s="24"/>
      <c r="AX29" s="11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11"/>
      <c r="BJ29" s="24"/>
      <c r="BK29" s="24"/>
      <c r="BL29" s="24"/>
      <c r="BM29" s="24"/>
    </row>
    <row r="30" spans="1:65">
      <c r="A30" s="29">
        <f>'1-συμβολαια'!A30</f>
        <v>0</v>
      </c>
      <c r="B30" s="14" t="str">
        <f>'4-πολλυπρ'!D30</f>
        <v xml:space="preserve">τραπεζα [= </v>
      </c>
      <c r="C30" s="14">
        <f>'4-πολλυπρ'!I30</f>
        <v>0</v>
      </c>
      <c r="D30" s="24"/>
      <c r="E30" s="24"/>
      <c r="F30" s="11"/>
      <c r="G30" s="28"/>
      <c r="H30" s="11"/>
      <c r="I30" s="24"/>
      <c r="J30" s="11"/>
      <c r="K30" s="136" t="s">
        <v>301</v>
      </c>
      <c r="L30" s="24"/>
      <c r="M30" s="24"/>
      <c r="N30" s="24"/>
      <c r="O30" s="24"/>
      <c r="P30" s="24"/>
      <c r="Q30" s="24"/>
      <c r="R30" s="24"/>
      <c r="S30" s="24"/>
      <c r="T30" s="24"/>
      <c r="U30" s="11"/>
      <c r="V30" s="28"/>
      <c r="W30" s="28"/>
      <c r="X30" s="24"/>
      <c r="Y30" s="24"/>
      <c r="Z30" s="11"/>
      <c r="AA30" s="24"/>
      <c r="AB30" s="11"/>
      <c r="AC30" s="24"/>
      <c r="AD30" s="11"/>
      <c r="AE30" s="188" t="s">
        <v>301</v>
      </c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11"/>
      <c r="AU30" s="24"/>
      <c r="AV30" s="11"/>
      <c r="AW30" s="24"/>
      <c r="AX30" s="11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11"/>
      <c r="BJ30" s="24"/>
      <c r="BK30" s="24"/>
      <c r="BL30" s="24"/>
      <c r="BM30" s="24"/>
    </row>
    <row r="31" spans="1:65">
      <c r="A31" s="29" t="str">
        <f>'1-συμβολαια'!A31</f>
        <v>8ο</v>
      </c>
      <c r="B31" s="14" t="str">
        <f>'4-πολλυπρ'!D31</f>
        <v>219-16</v>
      </c>
      <c r="C31" s="14">
        <f>'4-πολλυπρ'!I31</f>
        <v>0</v>
      </c>
      <c r="D31" s="24"/>
      <c r="E31" s="24"/>
      <c r="F31" s="11"/>
      <c r="G31" s="28"/>
      <c r="H31" s="11"/>
      <c r="I31" s="24"/>
      <c r="J31" s="11"/>
      <c r="K31" s="136" t="s">
        <v>301</v>
      </c>
      <c r="L31" s="24"/>
      <c r="M31" s="24"/>
      <c r="N31" s="24"/>
      <c r="O31" s="24"/>
      <c r="P31" s="24"/>
      <c r="Q31" s="24"/>
      <c r="R31" s="24"/>
      <c r="S31" s="24"/>
      <c r="T31" s="24"/>
      <c r="U31" s="11"/>
      <c r="V31" s="28"/>
      <c r="W31" s="28"/>
      <c r="X31" s="24"/>
      <c r="Y31" s="24"/>
      <c r="Z31" s="11"/>
      <c r="AA31" s="24"/>
      <c r="AB31" s="11"/>
      <c r="AC31" s="24"/>
      <c r="AD31" s="11"/>
      <c r="AE31" s="188" t="s">
        <v>301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11"/>
      <c r="AU31" s="24"/>
      <c r="AV31" s="11"/>
      <c r="AW31" s="24"/>
      <c r="AX31" s="11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11"/>
      <c r="BJ31" s="24"/>
      <c r="BK31" s="24"/>
      <c r="BL31" s="24"/>
      <c r="BM31" s="24"/>
    </row>
    <row r="32" spans="1:65">
      <c r="A32" s="29">
        <f>'1-συμβολαια'!A32</f>
        <v>0</v>
      </c>
      <c r="B32" s="14">
        <f>'4-πολλυπρ'!D32</f>
        <v>0</v>
      </c>
      <c r="C32" s="14">
        <f>'4-πολλυπρ'!I32</f>
        <v>0</v>
      </c>
      <c r="D32" s="24"/>
      <c r="E32" s="24"/>
      <c r="F32" s="11"/>
      <c r="G32" s="28"/>
      <c r="H32" s="11"/>
      <c r="I32" s="24"/>
      <c r="J32" s="11"/>
      <c r="K32" s="136" t="s">
        <v>301</v>
      </c>
      <c r="L32" s="24"/>
      <c r="M32" s="24"/>
      <c r="N32" s="24"/>
      <c r="O32" s="24"/>
      <c r="P32" s="24"/>
      <c r="Q32" s="24"/>
      <c r="R32" s="24"/>
      <c r="S32" s="24"/>
      <c r="T32" s="24"/>
      <c r="U32" s="11"/>
      <c r="V32" s="28"/>
      <c r="W32" s="28"/>
      <c r="X32" s="24"/>
      <c r="Y32" s="24"/>
      <c r="Z32" s="11"/>
      <c r="AA32" s="24"/>
      <c r="AB32" s="11"/>
      <c r="AC32" s="24"/>
      <c r="AD32" s="11"/>
      <c r="AE32" s="188" t="s">
        <v>301</v>
      </c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11"/>
      <c r="AU32" s="24"/>
      <c r="AV32" s="11"/>
      <c r="AW32" s="24"/>
      <c r="AX32" s="11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11"/>
      <c r="BJ32" s="24"/>
      <c r="BK32" s="24"/>
      <c r="BL32" s="24"/>
      <c r="BM32" s="24"/>
    </row>
    <row r="33" spans="1:65">
      <c r="A33" s="29" t="str">
        <f>'1-συμβολαια'!A33</f>
        <v>9ο</v>
      </c>
      <c r="B33" s="14" t="str">
        <f>'4-πολλυπρ'!D33</f>
        <v xml:space="preserve">τραπεζα [= </v>
      </c>
      <c r="C33" s="14" t="str">
        <f>'4-πολλυπρ'!I33</f>
        <v>219-16</v>
      </c>
      <c r="D33" s="24"/>
      <c r="E33" s="24"/>
      <c r="F33" s="11"/>
      <c r="G33" s="28"/>
      <c r="H33" s="11"/>
      <c r="I33" s="24"/>
      <c r="J33" s="11"/>
      <c r="K33" s="136" t="s">
        <v>301</v>
      </c>
      <c r="L33" s="24"/>
      <c r="M33" s="24"/>
      <c r="N33" s="24"/>
      <c r="O33" s="24"/>
      <c r="P33" s="24"/>
      <c r="Q33" s="24"/>
      <c r="R33" s="24"/>
      <c r="S33" s="24"/>
      <c r="T33" s="24"/>
      <c r="U33" s="11"/>
      <c r="V33" s="28"/>
      <c r="W33" s="28"/>
      <c r="X33" s="24"/>
      <c r="Y33" s="24"/>
      <c r="Z33" s="11"/>
      <c r="AA33" s="24"/>
      <c r="AB33" s="11"/>
      <c r="AC33" s="24"/>
      <c r="AD33" s="11"/>
      <c r="AE33" s="188" t="s">
        <v>301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11"/>
      <c r="AU33" s="24"/>
      <c r="AV33" s="11"/>
      <c r="AW33" s="24"/>
      <c r="AX33" s="11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11"/>
      <c r="BJ33" s="24"/>
      <c r="BK33" s="24"/>
      <c r="BL33" s="24"/>
      <c r="BM33" s="24"/>
    </row>
    <row r="34" spans="1:65">
      <c r="A34" s="29" t="str">
        <f>'1-συμβολαια'!A34</f>
        <v>794-1-2-3τραπ</v>
      </c>
      <c r="B34" s="14" t="str">
        <f>'4-πολλυπρ'!D34</f>
        <v xml:space="preserve">τραπεζα [= </v>
      </c>
      <c r="C34" s="14" t="str">
        <f>'4-πολλυπρ'!I34</f>
        <v>219-16</v>
      </c>
      <c r="D34" s="24"/>
      <c r="E34" s="24"/>
      <c r="F34" s="11"/>
      <c r="G34" s="28"/>
      <c r="H34" s="11"/>
      <c r="I34" s="24"/>
      <c r="J34" s="11"/>
      <c r="K34" s="136" t="s">
        <v>301</v>
      </c>
      <c r="L34" s="24"/>
      <c r="M34" s="24"/>
      <c r="N34" s="24"/>
      <c r="O34" s="24"/>
      <c r="P34" s="24"/>
      <c r="Q34" s="24"/>
      <c r="R34" s="24"/>
      <c r="S34" s="24"/>
      <c r="T34" s="24"/>
      <c r="U34" s="11"/>
      <c r="V34" s="28"/>
      <c r="W34" s="28"/>
      <c r="X34" s="24"/>
      <c r="Y34" s="24"/>
      <c r="Z34" s="11"/>
      <c r="AA34" s="24"/>
      <c r="AB34" s="11"/>
      <c r="AC34" s="24"/>
      <c r="AD34" s="11"/>
      <c r="AE34" s="188" t="s">
        <v>301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11"/>
      <c r="AU34" s="24"/>
      <c r="AV34" s="11"/>
      <c r="AW34" s="24"/>
      <c r="AX34" s="11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11"/>
      <c r="BJ34" s="24"/>
      <c r="BK34" s="24"/>
      <c r="BL34" s="24"/>
      <c r="BM34" s="24"/>
    </row>
    <row r="35" spans="1:65">
      <c r="A35" s="29">
        <f>'1-συμβολαια'!A35</f>
        <v>0</v>
      </c>
      <c r="B35" s="14" t="str">
        <f>'4-πολλυπρ'!D35</f>
        <v xml:space="preserve">τραπεζα [= </v>
      </c>
      <c r="C35" s="14" t="str">
        <f>'4-πολλυπρ'!I35</f>
        <v>219-16</v>
      </c>
      <c r="D35" s="24"/>
      <c r="E35" s="24"/>
      <c r="F35" s="11"/>
      <c r="G35" s="28"/>
      <c r="H35" s="11"/>
      <c r="I35" s="24"/>
      <c r="J35" s="11"/>
      <c r="K35" s="136" t="s">
        <v>301</v>
      </c>
      <c r="L35" s="24"/>
      <c r="M35" s="24"/>
      <c r="N35" s="24"/>
      <c r="O35" s="24"/>
      <c r="P35" s="24"/>
      <c r="Q35" s="24"/>
      <c r="R35" s="24"/>
      <c r="S35" s="24"/>
      <c r="T35" s="24"/>
      <c r="U35" s="11"/>
      <c r="V35" s="28"/>
      <c r="W35" s="28"/>
      <c r="X35" s="24"/>
      <c r="Y35" s="24"/>
      <c r="Z35" s="11"/>
      <c r="AA35" s="24"/>
      <c r="AB35" s="11"/>
      <c r="AC35" s="24"/>
      <c r="AD35" s="11"/>
      <c r="AE35" s="188" t="s">
        <v>301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11"/>
      <c r="AU35" s="24"/>
      <c r="AV35" s="11"/>
      <c r="AW35" s="24"/>
      <c r="AX35" s="11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11"/>
      <c r="BJ35" s="24"/>
      <c r="BK35" s="24"/>
      <c r="BL35" s="24"/>
      <c r="BM35" s="24"/>
    </row>
    <row r="36" spans="1:65">
      <c r="A36" s="29">
        <f>'1-συμβολαια'!A36</f>
        <v>0</v>
      </c>
      <c r="B36" s="14" t="str">
        <f>'4-πολλυπρ'!D36</f>
        <v xml:space="preserve">τραπεζα [= </v>
      </c>
      <c r="C36" s="14" t="str">
        <f>'4-πολλυπρ'!I36</f>
        <v>219-16</v>
      </c>
      <c r="D36" s="24"/>
      <c r="E36" s="24"/>
      <c r="F36" s="11"/>
      <c r="G36" s="28"/>
      <c r="H36" s="11"/>
      <c r="I36" s="24"/>
      <c r="J36" s="11"/>
      <c r="K36" s="136" t="s">
        <v>301</v>
      </c>
      <c r="L36" s="24"/>
      <c r="M36" s="24"/>
      <c r="N36" s="24"/>
      <c r="O36" s="24"/>
      <c r="P36" s="24"/>
      <c r="Q36" s="24"/>
      <c r="R36" s="24"/>
      <c r="S36" s="24"/>
      <c r="T36" s="24"/>
      <c r="U36" s="11"/>
      <c r="V36" s="28"/>
      <c r="W36" s="28"/>
      <c r="X36" s="24"/>
      <c r="Y36" s="24"/>
      <c r="Z36" s="11"/>
      <c r="AA36" s="24"/>
      <c r="AB36" s="11"/>
      <c r="AC36" s="24"/>
      <c r="AD36" s="11"/>
      <c r="AE36" s="188" t="s">
        <v>301</v>
      </c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11"/>
      <c r="AU36" s="24"/>
      <c r="AV36" s="11"/>
      <c r="AW36" s="24"/>
      <c r="AX36" s="11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11"/>
      <c r="BJ36" s="24"/>
      <c r="BK36" s="24"/>
      <c r="BL36" s="24"/>
      <c r="BM36" s="24"/>
    </row>
    <row r="37" spans="1:65">
      <c r="A37" s="29" t="str">
        <f>'1-συμβολαια'!A37</f>
        <v>10ο</v>
      </c>
      <c r="B37" s="14" t="str">
        <f>'4-πολλυπρ'!D37</f>
        <v xml:space="preserve">τραπεζα [= </v>
      </c>
      <c r="C37" s="14" t="str">
        <f>'4-πολλυπρ'!I37</f>
        <v>219-16</v>
      </c>
      <c r="D37" s="24"/>
      <c r="E37" s="24"/>
      <c r="F37" s="11"/>
      <c r="G37" s="28"/>
      <c r="H37" s="11"/>
      <c r="I37" s="24"/>
      <c r="J37" s="11"/>
      <c r="K37" s="136" t="s">
        <v>301</v>
      </c>
      <c r="L37" s="24"/>
      <c r="M37" s="24"/>
      <c r="N37" s="24"/>
      <c r="O37" s="24"/>
      <c r="P37" s="24"/>
      <c r="Q37" s="24"/>
      <c r="R37" s="24"/>
      <c r="S37" s="24"/>
      <c r="T37" s="24"/>
      <c r="U37" s="11"/>
      <c r="V37" s="28"/>
      <c r="W37" s="28"/>
      <c r="X37" s="24"/>
      <c r="Y37" s="24"/>
      <c r="Z37" s="11"/>
      <c r="AA37" s="24"/>
      <c r="AB37" s="11"/>
      <c r="AC37" s="24"/>
      <c r="AD37" s="11"/>
      <c r="AE37" s="188" t="s">
        <v>301</v>
      </c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11"/>
      <c r="AU37" s="24"/>
      <c r="AV37" s="11"/>
      <c r="AW37" s="24"/>
      <c r="AX37" s="11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11"/>
      <c r="BJ37" s="24"/>
      <c r="BK37" s="24"/>
      <c r="BL37" s="24"/>
      <c r="BM37" s="24"/>
    </row>
    <row r="38" spans="1:65">
      <c r="A38" s="29" t="str">
        <f>'1-συμβολαια'!A38</f>
        <v>794-4-5τραπ</v>
      </c>
      <c r="B38" s="14" t="str">
        <f>'4-πολλυπρ'!D38</f>
        <v xml:space="preserve">τραπεζα [= </v>
      </c>
      <c r="C38" s="14" t="str">
        <f>'4-πολλυπρ'!I38</f>
        <v>219-16</v>
      </c>
      <c r="D38" s="24"/>
      <c r="E38" s="24"/>
      <c r="F38" s="11"/>
      <c r="G38" s="28"/>
      <c r="H38" s="11"/>
      <c r="I38" s="24"/>
      <c r="J38" s="11"/>
      <c r="K38" s="136" t="s">
        <v>301</v>
      </c>
      <c r="L38" s="24"/>
      <c r="M38" s="24"/>
      <c r="N38" s="24"/>
      <c r="O38" s="24"/>
      <c r="P38" s="24"/>
      <c r="Q38" s="24"/>
      <c r="R38" s="24"/>
      <c r="S38" s="24"/>
      <c r="T38" s="24"/>
      <c r="U38" s="11"/>
      <c r="V38" s="28"/>
      <c r="W38" s="28"/>
      <c r="X38" s="24"/>
      <c r="Y38" s="24"/>
      <c r="Z38" s="11"/>
      <c r="AA38" s="24"/>
      <c r="AB38" s="11"/>
      <c r="AC38" s="24"/>
      <c r="AD38" s="11"/>
      <c r="AE38" s="188" t="s">
        <v>301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11"/>
      <c r="AU38" s="24"/>
      <c r="AV38" s="11"/>
      <c r="AW38" s="24"/>
      <c r="AX38" s="11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11"/>
      <c r="BJ38" s="24"/>
      <c r="BK38" s="24"/>
      <c r="BL38" s="24"/>
      <c r="BM38" s="24"/>
    </row>
    <row r="39" spans="1:65">
      <c r="A39" s="29">
        <f>'1-συμβολαια'!A39</f>
        <v>0</v>
      </c>
      <c r="B39" s="14" t="str">
        <f>'4-πολλυπρ'!D39</f>
        <v xml:space="preserve">τραπεζα [= </v>
      </c>
      <c r="C39" s="14" t="str">
        <f>'4-πολλυπρ'!I39</f>
        <v>219-16</v>
      </c>
      <c r="D39" s="24"/>
      <c r="E39" s="24"/>
      <c r="F39" s="11"/>
      <c r="G39" s="28"/>
      <c r="H39" s="11"/>
      <c r="I39" s="24"/>
      <c r="J39" s="11"/>
      <c r="K39" s="136" t="s">
        <v>301</v>
      </c>
      <c r="L39" s="24"/>
      <c r="M39" s="24"/>
      <c r="N39" s="24"/>
      <c r="O39" s="24"/>
      <c r="P39" s="24"/>
      <c r="Q39" s="24"/>
      <c r="R39" s="24"/>
      <c r="S39" s="24"/>
      <c r="T39" s="24"/>
      <c r="U39" s="11"/>
      <c r="V39" s="28"/>
      <c r="W39" s="28"/>
      <c r="X39" s="24"/>
      <c r="Y39" s="24"/>
      <c r="Z39" s="11"/>
      <c r="AA39" s="24"/>
      <c r="AB39" s="11"/>
      <c r="AC39" s="24"/>
      <c r="AD39" s="11"/>
      <c r="AE39" s="188" t="s">
        <v>301</v>
      </c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11"/>
      <c r="AU39" s="24"/>
      <c r="AV39" s="11"/>
      <c r="AW39" s="24"/>
      <c r="AX39" s="11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11"/>
      <c r="BJ39" s="24"/>
      <c r="BK39" s="24"/>
      <c r="BL39" s="24"/>
      <c r="BM39" s="24"/>
    </row>
    <row r="40" spans="1:65">
      <c r="A40" s="29">
        <f>'1-συμβολαια'!A40</f>
        <v>0</v>
      </c>
      <c r="B40" s="14" t="str">
        <f>'4-πολλυπρ'!D40</f>
        <v xml:space="preserve">τραπεζα [= </v>
      </c>
      <c r="C40" s="14" t="str">
        <f>'4-πολλυπρ'!I40</f>
        <v>219-16</v>
      </c>
      <c r="D40" s="24"/>
      <c r="E40" s="24"/>
      <c r="F40" s="11"/>
      <c r="G40" s="28"/>
      <c r="H40" s="11"/>
      <c r="I40" s="24"/>
      <c r="J40" s="11"/>
      <c r="K40" s="136" t="s">
        <v>301</v>
      </c>
      <c r="L40" s="24"/>
      <c r="M40" s="24"/>
      <c r="N40" s="24"/>
      <c r="O40" s="24"/>
      <c r="P40" s="24"/>
      <c r="Q40" s="24"/>
      <c r="R40" s="24"/>
      <c r="S40" s="24"/>
      <c r="T40" s="24"/>
      <c r="U40" s="11"/>
      <c r="V40" s="28"/>
      <c r="W40" s="28"/>
      <c r="X40" s="24"/>
      <c r="Y40" s="24"/>
      <c r="Z40" s="11"/>
      <c r="AA40" s="24"/>
      <c r="AB40" s="11"/>
      <c r="AC40" s="24"/>
      <c r="AD40" s="11"/>
      <c r="AE40" s="188" t="s">
        <v>301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11"/>
      <c r="AU40" s="24"/>
      <c r="AV40" s="11"/>
      <c r="AW40" s="24"/>
      <c r="AX40" s="11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11"/>
      <c r="BJ40" s="24"/>
      <c r="BK40" s="24"/>
      <c r="BL40" s="24"/>
      <c r="BM40" s="24"/>
    </row>
    <row r="41" spans="1:65">
      <c r="A41" s="29" t="str">
        <f>'1-συμβολαια'!A41</f>
        <v>11ο</v>
      </c>
      <c r="B41" s="14" t="str">
        <f>'4-πολλυπρ'!D41</f>
        <v>δημοςΘασου [= μερεσηςΕλευθεριος</v>
      </c>
      <c r="C41" s="14" t="str">
        <f>'4-πολλυπρ'!I41</f>
        <v>219-16</v>
      </c>
      <c r="D41" s="24"/>
      <c r="E41" s="24"/>
      <c r="F41" s="11"/>
      <c r="G41" s="28"/>
      <c r="H41" s="11"/>
      <c r="I41" s="24"/>
      <c r="J41" s="11"/>
      <c r="K41" s="136" t="s">
        <v>301</v>
      </c>
      <c r="L41" s="24"/>
      <c r="M41" s="24"/>
      <c r="N41" s="24"/>
      <c r="O41" s="24"/>
      <c r="P41" s="24"/>
      <c r="Q41" s="24"/>
      <c r="R41" s="24"/>
      <c r="S41" s="24"/>
      <c r="T41" s="24"/>
      <c r="U41" s="11"/>
      <c r="V41" s="28"/>
      <c r="W41" s="28"/>
      <c r="X41" s="24"/>
      <c r="Y41" s="24"/>
      <c r="Z41" s="11"/>
      <c r="AA41" s="24"/>
      <c r="AB41" s="11"/>
      <c r="AC41" s="24"/>
      <c r="AD41" s="11"/>
      <c r="AE41" s="188" t="s">
        <v>301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11"/>
      <c r="AU41" s="24"/>
      <c r="AV41" s="11"/>
      <c r="AW41" s="24"/>
      <c r="AX41" s="11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11"/>
      <c r="BJ41" s="24"/>
      <c r="BK41" s="24"/>
      <c r="BL41" s="24"/>
      <c r="BM41" s="24"/>
    </row>
    <row r="42" spans="1:65">
      <c r="A42" s="29">
        <f>'1-συμβολαια'!A42</f>
        <v>0</v>
      </c>
      <c r="B42" s="14" t="str">
        <f>'4-πολλυπρ'!D42</f>
        <v>δημοςΘασου [= μερεσηςΕλευθεριος</v>
      </c>
      <c r="C42" s="14" t="str">
        <f>'4-πολλυπρ'!I42</f>
        <v>219-16</v>
      </c>
      <c r="D42" s="24"/>
      <c r="E42" s="24"/>
      <c r="F42" s="11"/>
      <c r="G42" s="28"/>
      <c r="H42" s="11"/>
      <c r="I42" s="24"/>
      <c r="J42" s="11"/>
      <c r="K42" s="136" t="s">
        <v>301</v>
      </c>
      <c r="L42" s="24"/>
      <c r="M42" s="24"/>
      <c r="N42" s="24"/>
      <c r="O42" s="24"/>
      <c r="P42" s="24"/>
      <c r="Q42" s="24"/>
      <c r="R42" s="24"/>
      <c r="S42" s="24"/>
      <c r="T42" s="24"/>
      <c r="U42" s="11"/>
      <c r="V42" s="28"/>
      <c r="W42" s="28"/>
      <c r="X42" s="24"/>
      <c r="Y42" s="24"/>
      <c r="Z42" s="11"/>
      <c r="AA42" s="24"/>
      <c r="AB42" s="11"/>
      <c r="AC42" s="24"/>
      <c r="AD42" s="11"/>
      <c r="AE42" s="188" t="s">
        <v>301</v>
      </c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11"/>
      <c r="AU42" s="24"/>
      <c r="AV42" s="11"/>
      <c r="AW42" s="24"/>
      <c r="AX42" s="11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11"/>
      <c r="BJ42" s="24"/>
      <c r="BK42" s="24"/>
      <c r="BL42" s="24"/>
      <c r="BM42" s="24"/>
    </row>
    <row r="43" spans="1:65">
      <c r="A43" s="29">
        <f>'1-συμβολαια'!A43</f>
        <v>0</v>
      </c>
      <c r="B43" s="14" t="str">
        <f>'4-πολλυπρ'!D43</f>
        <v>δημοςΘασου [= μερεσηςΕλευθεριος</v>
      </c>
      <c r="C43" s="14" t="str">
        <f>'4-πολλυπρ'!I43</f>
        <v>219-16</v>
      </c>
      <c r="D43" s="24"/>
      <c r="E43" s="24"/>
      <c r="F43" s="11"/>
      <c r="G43" s="28"/>
      <c r="H43" s="11"/>
      <c r="I43" s="24"/>
      <c r="J43" s="11"/>
      <c r="K43" s="136" t="s">
        <v>301</v>
      </c>
      <c r="L43" s="24"/>
      <c r="M43" s="24"/>
      <c r="N43" s="24"/>
      <c r="O43" s="24"/>
      <c r="P43" s="24"/>
      <c r="Q43" s="24"/>
      <c r="R43" s="24"/>
      <c r="S43" s="24"/>
      <c r="T43" s="24"/>
      <c r="U43" s="11"/>
      <c r="V43" s="28"/>
      <c r="W43" s="28"/>
      <c r="X43" s="24"/>
      <c r="Y43" s="24"/>
      <c r="Z43" s="11"/>
      <c r="AA43" s="24"/>
      <c r="AB43" s="11"/>
      <c r="AC43" s="24"/>
      <c r="AD43" s="11"/>
      <c r="AE43" s="188" t="s">
        <v>301</v>
      </c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11"/>
      <c r="AU43" s="24"/>
      <c r="AV43" s="11"/>
      <c r="AW43" s="24"/>
      <c r="AX43" s="11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11"/>
      <c r="BJ43" s="24"/>
      <c r="BK43" s="24"/>
      <c r="BL43" s="24"/>
      <c r="BM43" s="24"/>
    </row>
    <row r="44" spans="1:65">
      <c r="A44" s="29">
        <f>'1-συμβολαια'!A44</f>
        <v>0</v>
      </c>
      <c r="B44" s="14" t="str">
        <f>'4-πολλυπρ'!D44</f>
        <v>δημοςΘασου [= μερεσηςΕλευθεριος</v>
      </c>
      <c r="C44" s="14" t="str">
        <f>'4-πολλυπρ'!I44</f>
        <v>219-16</v>
      </c>
      <c r="D44" s="24"/>
      <c r="E44" s="24"/>
      <c r="F44" s="11"/>
      <c r="G44" s="28"/>
      <c r="H44" s="11"/>
      <c r="I44" s="24"/>
      <c r="J44" s="11"/>
      <c r="K44" s="136" t="s">
        <v>301</v>
      </c>
      <c r="L44" s="24"/>
      <c r="M44" s="24"/>
      <c r="N44" s="24"/>
      <c r="O44" s="24"/>
      <c r="P44" s="24"/>
      <c r="Q44" s="24"/>
      <c r="R44" s="24"/>
      <c r="S44" s="24"/>
      <c r="T44" s="24"/>
      <c r="U44" s="11"/>
      <c r="V44" s="28"/>
      <c r="W44" s="28"/>
      <c r="X44" s="24"/>
      <c r="Y44" s="24"/>
      <c r="Z44" s="11"/>
      <c r="AA44" s="24"/>
      <c r="AB44" s="11"/>
      <c r="AC44" s="24"/>
      <c r="AD44" s="11"/>
      <c r="AE44" s="188" t="s">
        <v>301</v>
      </c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11"/>
      <c r="AU44" s="24"/>
      <c r="AV44" s="11"/>
      <c r="AW44" s="24"/>
      <c r="AX44" s="11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11"/>
      <c r="BJ44" s="24"/>
      <c r="BK44" s="24"/>
      <c r="BL44" s="24"/>
      <c r="BM44" s="24"/>
    </row>
    <row r="45" spans="1:65">
      <c r="A45" s="29" t="str">
        <f>'1-συμβολαια'!A45</f>
        <v>12ο</v>
      </c>
      <c r="B45" s="14" t="str">
        <f>'4-πολλυπρ'!D45</f>
        <v>219-16</v>
      </c>
      <c r="C45" s="14">
        <f>'4-πολλυπρ'!I45</f>
        <v>0</v>
      </c>
      <c r="D45" s="24"/>
      <c r="E45" s="24"/>
      <c r="F45" s="11"/>
      <c r="G45" s="28"/>
      <c r="H45" s="11"/>
      <c r="I45" s="24"/>
      <c r="J45" s="11"/>
      <c r="K45" s="136" t="s">
        <v>301</v>
      </c>
      <c r="L45" s="24"/>
      <c r="M45" s="24"/>
      <c r="N45" s="24"/>
      <c r="O45" s="24"/>
      <c r="P45" s="24"/>
      <c r="Q45" s="24"/>
      <c r="R45" s="24"/>
      <c r="S45" s="24"/>
      <c r="T45" s="24"/>
      <c r="U45" s="11"/>
      <c r="V45" s="28"/>
      <c r="W45" s="28"/>
      <c r="X45" s="24"/>
      <c r="Y45" s="24"/>
      <c r="Z45" s="11"/>
      <c r="AA45" s="24"/>
      <c r="AB45" s="11"/>
      <c r="AC45" s="24"/>
      <c r="AD45" s="11"/>
      <c r="AE45" s="188" t="s">
        <v>301</v>
      </c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11"/>
      <c r="AU45" s="24"/>
      <c r="AV45" s="11"/>
      <c r="AW45" s="24"/>
      <c r="AX45" s="11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11"/>
      <c r="BJ45" s="24"/>
      <c r="BK45" s="24"/>
      <c r="BL45" s="24"/>
      <c r="BM45" s="24"/>
    </row>
    <row r="46" spans="1:65">
      <c r="A46" s="29">
        <f>'1-συμβολαια'!A46</f>
        <v>0</v>
      </c>
      <c r="B46" s="14">
        <f>'4-πολλυπρ'!D46</f>
        <v>0</v>
      </c>
      <c r="C46" s="14">
        <f>'4-πολλυπρ'!I46</f>
        <v>0</v>
      </c>
      <c r="D46" s="24"/>
      <c r="E46" s="24"/>
      <c r="F46" s="11"/>
      <c r="G46" s="28"/>
      <c r="H46" s="11"/>
      <c r="I46" s="24"/>
      <c r="J46" s="11"/>
      <c r="K46" s="136" t="s">
        <v>301</v>
      </c>
      <c r="L46" s="24"/>
      <c r="M46" s="24"/>
      <c r="N46" s="24"/>
      <c r="O46" s="24"/>
      <c r="P46" s="24"/>
      <c r="Q46" s="24"/>
      <c r="R46" s="24"/>
      <c r="S46" s="24"/>
      <c r="T46" s="24"/>
      <c r="U46" s="11"/>
      <c r="V46" s="28"/>
      <c r="W46" s="28"/>
      <c r="X46" s="24"/>
      <c r="Y46" s="24"/>
      <c r="Z46" s="11"/>
      <c r="AA46" s="24"/>
      <c r="AB46" s="11"/>
      <c r="AC46" s="24"/>
      <c r="AD46" s="11"/>
      <c r="AE46" s="188" t="s">
        <v>301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11"/>
      <c r="AU46" s="24"/>
      <c r="AV46" s="11"/>
      <c r="AW46" s="24"/>
      <c r="AX46" s="11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11"/>
      <c r="BJ46" s="24"/>
      <c r="BK46" s="24"/>
      <c r="BL46" s="24"/>
      <c r="BM46" s="24"/>
    </row>
    <row r="48" spans="1:65">
      <c r="F48" s="999" t="s">
        <v>302</v>
      </c>
      <c r="G48" s="999"/>
      <c r="H48" s="999"/>
      <c r="I48" s="999"/>
    </row>
    <row r="49" spans="6:9">
      <c r="F49" s="999"/>
      <c r="G49" s="999"/>
      <c r="H49" s="999"/>
      <c r="I49" s="999"/>
    </row>
  </sheetData>
  <mergeCells count="9">
    <mergeCell ref="AX1:BM1"/>
    <mergeCell ref="D2:E2"/>
    <mergeCell ref="F48:I4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117"/>
  <sheetViews>
    <sheetView workbookViewId="0">
      <pane ySplit="2" topLeftCell="A15" activePane="bottomLeft" state="frozen"/>
      <selection pane="bottomLeft" activeCell="A54" sqref="A54"/>
    </sheetView>
  </sheetViews>
  <sheetFormatPr defaultRowHeight="11.25"/>
  <cols>
    <col min="1" max="1" width="13.7109375" style="7" bestFit="1" customWidth="1"/>
    <col min="2" max="2" width="8.7109375" style="130" bestFit="1" customWidth="1"/>
    <col min="3" max="3" width="60.28515625" style="84" bestFit="1" customWidth="1"/>
    <col min="4" max="4" width="7.28515625" style="3" customWidth="1"/>
    <col min="5" max="5" width="4.7109375" style="3" customWidth="1"/>
    <col min="6" max="6" width="11.140625" style="3" customWidth="1"/>
    <col min="7" max="7" width="9.5703125" style="2" customWidth="1"/>
    <col min="8" max="8" width="10.28515625" style="2" customWidth="1"/>
    <col min="9" max="9" width="9.42578125" style="2" bestFit="1" customWidth="1"/>
    <col min="10" max="10" width="10.7109375" style="2" customWidth="1"/>
    <col min="11" max="11" width="10.85546875" style="2" customWidth="1"/>
    <col min="12" max="12" width="9" style="2" customWidth="1"/>
    <col min="13" max="13" width="8.140625" style="2" customWidth="1"/>
    <col min="14" max="14" width="11.140625" style="2" customWidth="1"/>
    <col min="15" max="15" width="10" style="2" customWidth="1"/>
    <col min="16" max="16" width="6.5703125" style="7" customWidth="1"/>
    <col min="17" max="17" width="5.7109375" style="2" customWidth="1"/>
    <col min="18" max="18" width="8.5703125" style="69" customWidth="1"/>
    <col min="19" max="19" width="4.5703125" style="69" customWidth="1"/>
    <col min="20" max="20" width="10.28515625" style="2" customWidth="1"/>
    <col min="21" max="21" width="10.5703125" style="2" customWidth="1"/>
    <col min="22" max="22" width="12" style="2" customWidth="1"/>
    <col min="23" max="23" width="12.140625" style="2" customWidth="1"/>
    <col min="24" max="24" width="11.140625" style="2" customWidth="1"/>
    <col min="25" max="25" width="12.28515625" style="2" customWidth="1"/>
    <col min="26" max="27" width="6.85546875" style="2" customWidth="1"/>
    <col min="28" max="28" width="8.28515625" style="2" customWidth="1"/>
    <col min="29" max="29" width="11.42578125" style="2" customWidth="1"/>
    <col min="30" max="30" width="10.7109375" style="2" customWidth="1"/>
    <col min="31" max="31" width="8.85546875" style="2" customWidth="1"/>
    <col min="32" max="32" width="8.7109375" style="2" customWidth="1"/>
    <col min="33" max="33" width="12.140625" style="2" customWidth="1"/>
    <col min="34" max="34" width="10.5703125" style="2" customWidth="1"/>
    <col min="35" max="35" width="8.7109375" style="27" bestFit="1" customWidth="1"/>
    <col min="36" max="36" width="12.7109375" style="27" customWidth="1"/>
    <col min="37" max="37" width="21.42578125" style="71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1017" t="s">
        <v>1</v>
      </c>
      <c r="B1" s="1019" t="s">
        <v>2</v>
      </c>
      <c r="C1" s="1016" t="s">
        <v>0</v>
      </c>
      <c r="D1" s="1020" t="s">
        <v>11</v>
      </c>
      <c r="E1" s="1014" t="s">
        <v>12</v>
      </c>
      <c r="F1" s="993" t="s">
        <v>469</v>
      </c>
      <c r="G1" s="994"/>
      <c r="H1" s="994"/>
      <c r="I1" s="995"/>
      <c r="J1" s="1009" t="s">
        <v>472</v>
      </c>
      <c r="K1" s="1010"/>
      <c r="L1" s="1026" t="s">
        <v>125</v>
      </c>
      <c r="M1" s="1027"/>
      <c r="N1" s="1043" t="s">
        <v>468</v>
      </c>
      <c r="O1" s="1044"/>
      <c r="P1" s="1040" t="s">
        <v>74</v>
      </c>
      <c r="Q1" s="1041"/>
      <c r="R1" s="1041"/>
      <c r="S1" s="1041"/>
      <c r="T1" s="1042"/>
      <c r="U1" s="1041" t="s">
        <v>461</v>
      </c>
      <c r="V1" s="1041"/>
      <c r="W1" s="1032" t="s">
        <v>41</v>
      </c>
      <c r="X1" s="1033"/>
      <c r="Y1" s="1034"/>
      <c r="Z1" s="914" t="s">
        <v>56</v>
      </c>
      <c r="AA1" s="915"/>
      <c r="AB1" s="1035"/>
      <c r="AC1" s="1030" t="s">
        <v>75</v>
      </c>
      <c r="AD1" s="1031"/>
      <c r="AE1" s="1031"/>
      <c r="AF1" s="1031"/>
      <c r="AG1" s="1031"/>
      <c r="AH1" s="318"/>
      <c r="AI1" s="1036" t="s">
        <v>52</v>
      </c>
      <c r="AJ1" s="1038" t="s">
        <v>42</v>
      </c>
      <c r="AK1" s="1028" t="s">
        <v>78</v>
      </c>
      <c r="AL1" s="1023" t="s">
        <v>29</v>
      </c>
      <c r="AM1" s="1024"/>
      <c r="AN1" s="1024"/>
      <c r="AO1" s="1024"/>
      <c r="AP1" s="1025"/>
    </row>
    <row r="2" spans="1:42" ht="39" thickBot="1">
      <c r="A2" s="1018"/>
      <c r="B2" s="758"/>
      <c r="C2" s="797"/>
      <c r="D2" s="1021"/>
      <c r="E2" s="1015"/>
      <c r="F2" s="297" t="s">
        <v>240</v>
      </c>
      <c r="G2" s="298" t="s">
        <v>89</v>
      </c>
      <c r="H2" s="298" t="s">
        <v>45</v>
      </c>
      <c r="I2" s="295" t="s">
        <v>384</v>
      </c>
      <c r="J2" s="245" t="s">
        <v>23</v>
      </c>
      <c r="K2" s="296" t="s">
        <v>384</v>
      </c>
      <c r="L2" s="35" t="s">
        <v>23</v>
      </c>
      <c r="M2" s="295" t="s">
        <v>384</v>
      </c>
      <c r="N2" s="746" t="s">
        <v>23</v>
      </c>
      <c r="O2" s="747" t="s">
        <v>384</v>
      </c>
      <c r="P2" s="329" t="s">
        <v>23</v>
      </c>
      <c r="Q2" s="330" t="s">
        <v>384</v>
      </c>
      <c r="R2" s="68" t="s">
        <v>79</v>
      </c>
      <c r="S2" s="68" t="s">
        <v>486</v>
      </c>
      <c r="T2" s="328" t="s">
        <v>487</v>
      </c>
      <c r="U2" s="328" t="s">
        <v>23</v>
      </c>
      <c r="V2" s="296" t="s">
        <v>384</v>
      </c>
      <c r="W2" s="35" t="s">
        <v>23</v>
      </c>
      <c r="X2" s="245" t="s">
        <v>384</v>
      </c>
      <c r="Y2" s="32" t="s">
        <v>34</v>
      </c>
      <c r="Z2" s="35" t="s">
        <v>23</v>
      </c>
      <c r="AA2" s="245" t="s">
        <v>384</v>
      </c>
      <c r="AB2" s="220" t="s">
        <v>34</v>
      </c>
      <c r="AC2" s="35" t="s">
        <v>470</v>
      </c>
      <c r="AD2" s="245" t="s">
        <v>384</v>
      </c>
      <c r="AE2" s="9" t="s">
        <v>471</v>
      </c>
      <c r="AF2" s="245" t="s">
        <v>384</v>
      </c>
      <c r="AG2" s="63" t="s">
        <v>33</v>
      </c>
      <c r="AH2" s="319" t="s">
        <v>384</v>
      </c>
      <c r="AI2" s="1037"/>
      <c r="AJ2" s="1039"/>
      <c r="AK2" s="1029"/>
      <c r="AL2" s="1023"/>
      <c r="AM2" s="1024"/>
      <c r="AN2" s="1024"/>
      <c r="AO2" s="1024"/>
      <c r="AP2" s="1025"/>
    </row>
    <row r="3" spans="1:42" s="5" customFormat="1">
      <c r="A3" s="339" t="str">
        <f>'1-συμβολαια'!A3</f>
        <v>93τραπ &amp; σημ</v>
      </c>
      <c r="B3" s="304"/>
      <c r="C3" s="405" t="str">
        <f>'1-συμβολαια'!C3</f>
        <v>δάνειο</v>
      </c>
      <c r="D3" s="278" t="str">
        <f>'4-πολλυπρ'!D3</f>
        <v xml:space="preserve">τραπεζα [= </v>
      </c>
      <c r="E3" s="278" t="str">
        <f>'4-πολλυπρ'!I3</f>
        <v>219-16</v>
      </c>
      <c r="F3" s="278">
        <f>'14-βιβλΕσ'!O3</f>
        <v>36131</v>
      </c>
      <c r="G3" s="262">
        <f>'14-βιβλΕσ'!Q3</f>
        <v>700</v>
      </c>
      <c r="H3" s="262">
        <f t="shared" ref="H3:H21" si="0">F3+G3</f>
        <v>36831</v>
      </c>
      <c r="I3" s="406">
        <f t="shared" ref="I3:I21" si="1">H3/340.75</f>
        <v>108.08804108584006</v>
      </c>
      <c r="J3" s="262">
        <f>'8-κ-15-17'!AG3</f>
        <v>312000</v>
      </c>
      <c r="K3" s="406">
        <f t="shared" ref="K3:K21" si="2">J3/340.75</f>
        <v>915.62729273661046</v>
      </c>
      <c r="L3" s="262">
        <f>'14-βιβλΕσ'!R3</f>
        <v>1440</v>
      </c>
      <c r="M3" s="406">
        <f t="shared" ref="M3:M21" si="3">L3/340.75</f>
        <v>4.2259721203228171</v>
      </c>
      <c r="N3" s="262">
        <f>('14-βιβλΕσ'!N3+'14-βιβλΕσ'!O3+'14-βιβλΕσ'!R3)*30%</f>
        <v>72882</v>
      </c>
      <c r="O3" s="406">
        <f t="shared" ref="O3:O21" si="4">N3/340.75</f>
        <v>213.8870139398386</v>
      </c>
      <c r="P3" s="409"/>
      <c r="Q3" s="410"/>
      <c r="R3" s="409"/>
      <c r="S3" s="409"/>
      <c r="T3" s="409"/>
      <c r="U3" s="262">
        <f>AG3</f>
        <v>555640</v>
      </c>
      <c r="V3" s="406">
        <f t="shared" ref="V3:V22" si="5">U3/340.75</f>
        <v>1630.6382978723404</v>
      </c>
      <c r="W3" s="262">
        <f>AG3</f>
        <v>555640</v>
      </c>
      <c r="X3" s="406">
        <f t="shared" ref="X3:X21" si="6">W3/340.75</f>
        <v>1630.6382978723404</v>
      </c>
      <c r="Y3" s="52">
        <v>5767516.5808274094</v>
      </c>
      <c r="Z3" s="409"/>
      <c r="AA3" s="410"/>
      <c r="AB3" s="411"/>
      <c r="AC3" s="262">
        <f>'1-συμβολαια'!M3+'1-συμβολαια'!Q3+'8-κ-15-17'!AE3+'14-βιβλΕσ'!L3+'14-βιβλΕσ'!Q3+'14-βιβλΕσ'!R3</f>
        <v>555640</v>
      </c>
      <c r="AD3" s="406">
        <f t="shared" ref="AD3:AD21" si="7">AC3/340.75</f>
        <v>1630.6382978723404</v>
      </c>
      <c r="AE3" s="262">
        <f>'1-συμβολαια'!N3+'8-κ-15-17'!AF3</f>
        <v>0</v>
      </c>
      <c r="AF3" s="406">
        <f t="shared" ref="AF3:AF21" si="8">AE3/340.75</f>
        <v>0</v>
      </c>
      <c r="AG3" s="262">
        <f t="shared" ref="AG3:AG21" si="9">AC3-AE3</f>
        <v>555640</v>
      </c>
      <c r="AH3" s="406">
        <f t="shared" ref="AH3:AH21" si="10">AG3/340.75</f>
        <v>1630.6382978723404</v>
      </c>
      <c r="AI3" s="370">
        <v>46100</v>
      </c>
      <c r="AJ3" s="283">
        <f t="shared" ref="AJ3:AJ21" si="11">Y3+AB3</f>
        <v>5767516.5808274094</v>
      </c>
      <c r="AK3" s="407"/>
      <c r="AL3" s="67"/>
      <c r="AM3" s="67"/>
      <c r="AN3" s="67"/>
      <c r="AO3" s="67"/>
      <c r="AP3" s="67"/>
    </row>
    <row r="4" spans="1:42" s="5" customFormat="1">
      <c r="A4" s="339">
        <f>'1-συμβολαια'!A4</f>
        <v>0</v>
      </c>
      <c r="B4" s="304"/>
      <c r="C4" s="405" t="str">
        <f>'1-συμβολαια'!C4</f>
        <v>υποθήκη δανείου</v>
      </c>
      <c r="D4" s="278" t="str">
        <f>'4-πολλυπρ'!D4</f>
        <v xml:space="preserve">τραπεζα [= </v>
      </c>
      <c r="E4" s="278" t="str">
        <f>'4-πολλυπρ'!I4</f>
        <v>219-16</v>
      </c>
      <c r="F4" s="278">
        <f>'14-βιβλΕσ'!O4</f>
        <v>40130.998999999996</v>
      </c>
      <c r="G4" s="262">
        <f>'14-βιβλΕσ'!Q4</f>
        <v>730</v>
      </c>
      <c r="H4" s="262">
        <f t="shared" si="0"/>
        <v>40860.998999999996</v>
      </c>
      <c r="I4" s="406">
        <f t="shared" si="1"/>
        <v>119.9148906823184</v>
      </c>
      <c r="J4" s="262">
        <f>'8-κ-15-17'!AG4</f>
        <v>346666.65800000005</v>
      </c>
      <c r="K4" s="406">
        <f t="shared" si="2"/>
        <v>1017.3636331621425</v>
      </c>
      <c r="L4" s="262">
        <f>'14-βιβλΕσ'!R4</f>
        <v>250</v>
      </c>
      <c r="M4" s="406">
        <f t="shared" si="3"/>
        <v>0.73367571533382248</v>
      </c>
      <c r="N4" s="262">
        <f>('14-βιβλΕσ'!N4+'14-βιβλΕσ'!O4+'14-βιβλΕσ'!R4)*30%</f>
        <v>80884.998000000007</v>
      </c>
      <c r="O4" s="406">
        <f t="shared" si="4"/>
        <v>237.37343506969921</v>
      </c>
      <c r="P4" s="409"/>
      <c r="Q4" s="410"/>
      <c r="R4" s="409"/>
      <c r="S4" s="409"/>
      <c r="T4" s="409"/>
      <c r="U4" s="262">
        <f t="shared" ref="U4:U22" si="12">AG4</f>
        <v>617013.31800000009</v>
      </c>
      <c r="V4" s="406">
        <f t="shared" si="5"/>
        <v>1810.7507498165812</v>
      </c>
      <c r="W4" s="262">
        <f t="shared" ref="W4:W45" si="13">AG4</f>
        <v>617013.31800000009</v>
      </c>
      <c r="X4" s="406">
        <f t="shared" si="6"/>
        <v>1810.7507498165812</v>
      </c>
      <c r="Y4" s="264">
        <v>6404568.6814418184</v>
      </c>
      <c r="Z4" s="409"/>
      <c r="AA4" s="410"/>
      <c r="AB4" s="411"/>
      <c r="AC4" s="262">
        <f>'1-συμβολαια'!M4+'1-συμβολαια'!Q4+'8-κ-15-17'!AE4+'14-βιβλΕσ'!L4+'14-βιβλΕσ'!Q4+'14-βιβλΕσ'!R4</f>
        <v>617013.31800000009</v>
      </c>
      <c r="AD4" s="406">
        <f t="shared" si="7"/>
        <v>1810.7507498165812</v>
      </c>
      <c r="AE4" s="262">
        <f>'1-συμβολαια'!N4+'8-κ-15-17'!AF4</f>
        <v>0</v>
      </c>
      <c r="AF4" s="406">
        <f t="shared" si="8"/>
        <v>0</v>
      </c>
      <c r="AG4" s="262">
        <f t="shared" si="9"/>
        <v>617013.31800000009</v>
      </c>
      <c r="AH4" s="406">
        <f t="shared" si="10"/>
        <v>1810.7507498165812</v>
      </c>
      <c r="AI4" s="370"/>
      <c r="AJ4" s="283">
        <f t="shared" si="11"/>
        <v>6404568.6814418184</v>
      </c>
      <c r="AK4" s="407"/>
      <c r="AL4" s="67"/>
      <c r="AM4" s="67"/>
      <c r="AN4" s="67"/>
      <c r="AO4" s="67"/>
      <c r="AP4" s="67"/>
    </row>
    <row r="5" spans="1:42" s="5" customFormat="1">
      <c r="A5" s="391">
        <f>'1-συμβολαια'!A5</f>
        <v>0</v>
      </c>
      <c r="B5" s="413"/>
      <c r="C5" s="353" t="str">
        <f>'1-συμβολαια'!C5</f>
        <v>τόκοι δανείου {εμπρόθεσμα πληρωθέντες}</v>
      </c>
      <c r="D5" s="260" t="str">
        <f>'4-πολλυπρ'!D5</f>
        <v xml:space="preserve">τραπεζα [= </v>
      </c>
      <c r="E5" s="260" t="str">
        <f>'4-πολλυπρ'!I5</f>
        <v>219-16</v>
      </c>
      <c r="F5" s="260">
        <f>'14-βιβλΕσ'!O5</f>
        <v>76797.666499999992</v>
      </c>
      <c r="G5" s="264">
        <f>'14-βιβλΕσ'!Q5</f>
        <v>700</v>
      </c>
      <c r="H5" s="264">
        <f t="shared" si="0"/>
        <v>77497.666499999992</v>
      </c>
      <c r="I5" s="372">
        <f t="shared" si="1"/>
        <v>227.432623624358</v>
      </c>
      <c r="J5" s="264">
        <f>'8-κ-15-17'!AG5</f>
        <v>664444.44300000009</v>
      </c>
      <c r="K5" s="372">
        <f t="shared" si="2"/>
        <v>1949.9470080704332</v>
      </c>
      <c r="L5" s="264">
        <f>'14-βιβλΕσ'!R5</f>
        <v>0</v>
      </c>
      <c r="M5" s="372">
        <f t="shared" si="3"/>
        <v>0</v>
      </c>
      <c r="N5" s="264">
        <f>('14-βιβλΕσ'!N5+'14-βιβλΕσ'!O5+'14-βιβλΕσ'!R5)*30%</f>
        <v>153783.33299999998</v>
      </c>
      <c r="O5" s="372">
        <f t="shared" si="4"/>
        <v>451.30838738077767</v>
      </c>
      <c r="P5" s="411"/>
      <c r="Q5" s="449"/>
      <c r="R5" s="411"/>
      <c r="S5" s="411"/>
      <c r="T5" s="411"/>
      <c r="U5" s="264">
        <f t="shared" si="12"/>
        <v>1177755.5530000001</v>
      </c>
      <c r="V5" s="372">
        <f t="shared" si="5"/>
        <v>3456.3625913426267</v>
      </c>
      <c r="W5" s="262">
        <f t="shared" si="13"/>
        <v>1177755.5530000001</v>
      </c>
      <c r="X5" s="372">
        <f t="shared" si="6"/>
        <v>3456.3625913426267</v>
      </c>
      <c r="Y5" s="264">
        <v>12225046.21713529</v>
      </c>
      <c r="Z5" s="411"/>
      <c r="AA5" s="449"/>
      <c r="AB5" s="411"/>
      <c r="AC5" s="262">
        <f>'1-συμβολαια'!M5+'1-συμβολαια'!Q5+'8-κ-15-17'!AE5+'14-βιβλΕσ'!L5+'14-βιβλΕσ'!Q5+'14-βιβλΕσ'!R5</f>
        <v>1177755.5530000001</v>
      </c>
      <c r="AD5" s="372">
        <f t="shared" si="7"/>
        <v>3456.3625913426267</v>
      </c>
      <c r="AE5" s="262">
        <f>'1-συμβολαια'!N5+'8-κ-15-17'!AF5</f>
        <v>0</v>
      </c>
      <c r="AF5" s="372">
        <f t="shared" si="8"/>
        <v>0</v>
      </c>
      <c r="AG5" s="264">
        <f t="shared" si="9"/>
        <v>1177755.5530000001</v>
      </c>
      <c r="AH5" s="372">
        <f t="shared" si="10"/>
        <v>3456.3625913426267</v>
      </c>
      <c r="AI5" s="370"/>
      <c r="AJ5" s="289">
        <f t="shared" si="11"/>
        <v>12225046.21713529</v>
      </c>
      <c r="AK5" s="407"/>
      <c r="AL5" s="67"/>
      <c r="AM5" s="67"/>
      <c r="AN5" s="67"/>
      <c r="AO5" s="67"/>
      <c r="AP5" s="67"/>
    </row>
    <row r="6" spans="1:42" s="5" customFormat="1">
      <c r="A6" s="391" t="str">
        <f>'1-συμβολαια'!A6</f>
        <v>375τραπ</v>
      </c>
      <c r="B6" s="413"/>
      <c r="C6" s="353" t="str">
        <f>'1-συμβολαια'!C6</f>
        <v>δάνειο</v>
      </c>
      <c r="D6" s="260" t="str">
        <f>'4-πολλυπρ'!D6</f>
        <v xml:space="preserve">τραπεζα [= </v>
      </c>
      <c r="E6" s="260" t="str">
        <f>'4-πολλυπρ'!I6</f>
        <v>219-16</v>
      </c>
      <c r="F6" s="260">
        <f>'14-βιβλΕσ'!O6</f>
        <v>7631</v>
      </c>
      <c r="G6" s="264">
        <f>'14-βιβλΕσ'!Q6</f>
        <v>700</v>
      </c>
      <c r="H6" s="264">
        <f t="shared" si="0"/>
        <v>8331</v>
      </c>
      <c r="I6" s="372">
        <f t="shared" si="1"/>
        <v>24.449009537784299</v>
      </c>
      <c r="J6" s="264">
        <f>'8-κ-15-17'!AG6</f>
        <v>65000.000000000007</v>
      </c>
      <c r="K6" s="372">
        <f t="shared" si="2"/>
        <v>190.75568598679385</v>
      </c>
      <c r="L6" s="264">
        <f>'14-βιβλΕσ'!R6</f>
        <v>0</v>
      </c>
      <c r="M6" s="372">
        <f t="shared" si="3"/>
        <v>0</v>
      </c>
      <c r="N6" s="264">
        <f>('14-βιβλΕσ'!N6+'14-βιβλΕσ'!O6+'14-βιβλΕσ'!R6)*30%</f>
        <v>15450</v>
      </c>
      <c r="O6" s="372">
        <f t="shared" si="4"/>
        <v>45.341159207630227</v>
      </c>
      <c r="P6" s="411"/>
      <c r="Q6" s="411"/>
      <c r="R6" s="411"/>
      <c r="S6" s="411"/>
      <c r="T6" s="411"/>
      <c r="U6" s="264">
        <f t="shared" si="12"/>
        <v>117200</v>
      </c>
      <c r="V6" s="372">
        <f t="shared" si="5"/>
        <v>343.94717534849599</v>
      </c>
      <c r="W6" s="262">
        <f t="shared" si="13"/>
        <v>117200</v>
      </c>
      <c r="X6" s="372">
        <f t="shared" si="6"/>
        <v>343.94717534849599</v>
      </c>
      <c r="Y6" s="264">
        <v>1216530.3852727867</v>
      </c>
      <c r="Z6" s="411"/>
      <c r="AA6" s="411"/>
      <c r="AB6" s="411"/>
      <c r="AC6" s="262">
        <f>'1-συμβολαια'!M6+'1-συμβολαια'!Q6+'8-κ-15-17'!AE6+'14-βιβλΕσ'!L6+'14-βιβλΕσ'!Q6+'14-βιβλΕσ'!R6</f>
        <v>117200</v>
      </c>
      <c r="AD6" s="372">
        <f t="shared" si="7"/>
        <v>343.94717534849599</v>
      </c>
      <c r="AE6" s="262">
        <f>'1-συμβολαια'!N6+'8-κ-15-17'!AF6</f>
        <v>0</v>
      </c>
      <c r="AF6" s="372">
        <f t="shared" si="8"/>
        <v>0</v>
      </c>
      <c r="AG6" s="264">
        <f t="shared" si="9"/>
        <v>117200</v>
      </c>
      <c r="AH6" s="372">
        <f t="shared" si="10"/>
        <v>343.94717534849599</v>
      </c>
      <c r="AI6" s="370"/>
      <c r="AJ6" s="289">
        <f t="shared" si="11"/>
        <v>1216530.3852727867</v>
      </c>
      <c r="AK6" s="407"/>
      <c r="AL6" s="67"/>
      <c r="AM6" s="67"/>
      <c r="AN6" s="67"/>
      <c r="AO6" s="67"/>
      <c r="AP6" s="67"/>
    </row>
    <row r="7" spans="1:42" s="5" customFormat="1">
      <c r="A7" s="391">
        <f>'1-συμβολαια'!A7</f>
        <v>0</v>
      </c>
      <c r="B7" s="413"/>
      <c r="C7" s="353" t="str">
        <f>'1-συμβολαια'!C7</f>
        <v>υποθήκη δανείου</v>
      </c>
      <c r="D7" s="260" t="str">
        <f>'4-πολλυπρ'!D7</f>
        <v xml:space="preserve">τραπεζα [= </v>
      </c>
      <c r="E7" s="260" t="str">
        <f>'4-πολλυπρ'!I7</f>
        <v>219-16</v>
      </c>
      <c r="F7" s="260">
        <f>'14-βιβλΕσ'!O7</f>
        <v>10130.999</v>
      </c>
      <c r="G7" s="264">
        <f>'14-βιβλΕσ'!Q7</f>
        <v>730</v>
      </c>
      <c r="H7" s="264">
        <f t="shared" si="0"/>
        <v>10860.999</v>
      </c>
      <c r="I7" s="372">
        <f t="shared" si="1"/>
        <v>31.87380484225972</v>
      </c>
      <c r="J7" s="264">
        <f>'8-κ-15-17'!AG7</f>
        <v>86666.65800000001</v>
      </c>
      <c r="K7" s="372">
        <f t="shared" si="2"/>
        <v>254.34088921496701</v>
      </c>
      <c r="L7" s="264">
        <f>'14-βιβλΕσ'!R7</f>
        <v>970</v>
      </c>
      <c r="M7" s="372">
        <f t="shared" si="3"/>
        <v>2.8466617754952313</v>
      </c>
      <c r="N7" s="264">
        <f>('14-βιβλΕσ'!N7+'14-βιβλΕσ'!O7+'14-βιβλΕσ'!R7)*30%</f>
        <v>21100.998</v>
      </c>
      <c r="O7" s="372">
        <f t="shared" si="4"/>
        <v>61.925159207630223</v>
      </c>
      <c r="P7" s="411"/>
      <c r="Q7" s="411"/>
      <c r="R7" s="411"/>
      <c r="S7" s="411"/>
      <c r="T7" s="411"/>
      <c r="U7" s="264">
        <f t="shared" si="12"/>
        <v>157733.31800000003</v>
      </c>
      <c r="V7" s="372">
        <f t="shared" si="5"/>
        <v>462.90041966250925</v>
      </c>
      <c r="W7" s="262">
        <f t="shared" si="13"/>
        <v>157733.31800000003</v>
      </c>
      <c r="X7" s="372">
        <f t="shared" si="6"/>
        <v>462.90041966250925</v>
      </c>
      <c r="Y7" s="264">
        <v>1637264.28427385</v>
      </c>
      <c r="Z7" s="411"/>
      <c r="AA7" s="411"/>
      <c r="AB7" s="411"/>
      <c r="AC7" s="262">
        <f>'1-συμβολαια'!M7+'1-συμβολαια'!Q7+'8-κ-15-17'!AE7+'14-βιβλΕσ'!L7+'14-βιβλΕσ'!Q7+'14-βιβλΕσ'!R7</f>
        <v>157733.31800000003</v>
      </c>
      <c r="AD7" s="372">
        <f t="shared" si="7"/>
        <v>462.90041966250925</v>
      </c>
      <c r="AE7" s="262">
        <f>'1-συμβολαια'!N7+'8-κ-15-17'!AF7</f>
        <v>0</v>
      </c>
      <c r="AF7" s="372">
        <f t="shared" si="8"/>
        <v>0</v>
      </c>
      <c r="AG7" s="264">
        <f t="shared" si="9"/>
        <v>157733.31800000003</v>
      </c>
      <c r="AH7" s="372">
        <f t="shared" si="10"/>
        <v>462.90041966250925</v>
      </c>
      <c r="AI7" s="370"/>
      <c r="AJ7" s="289">
        <f t="shared" si="11"/>
        <v>1637264.28427385</v>
      </c>
      <c r="AK7" s="407"/>
      <c r="AL7" s="67"/>
      <c r="AM7" s="67"/>
      <c r="AN7" s="67"/>
      <c r="AO7" s="67"/>
      <c r="AP7" s="67"/>
    </row>
    <row r="8" spans="1:42" s="5" customFormat="1">
      <c r="A8" s="391">
        <f>'1-συμβολαια'!A8</f>
        <v>0</v>
      </c>
      <c r="B8" s="413"/>
      <c r="C8" s="353" t="str">
        <f>'1-συμβολαια'!C8</f>
        <v>τόκοι δανείου</v>
      </c>
      <c r="D8" s="260" t="str">
        <f>'4-πολλυπρ'!D8</f>
        <v xml:space="preserve">τραπεζα [= </v>
      </c>
      <c r="E8" s="260" t="str">
        <f>'4-πολλυπρ'!I8</f>
        <v>219-16</v>
      </c>
      <c r="F8" s="260">
        <f>'14-βιβλΕσ'!O8</f>
        <v>16797.666499999999</v>
      </c>
      <c r="G8" s="264">
        <f>'14-βιβλΕσ'!Q8</f>
        <v>700</v>
      </c>
      <c r="H8" s="264">
        <f t="shared" si="0"/>
        <v>17497.666499999999</v>
      </c>
      <c r="I8" s="372">
        <f t="shared" si="1"/>
        <v>51.350451944240646</v>
      </c>
      <c r="J8" s="264">
        <f>'8-κ-15-17'!AG8</f>
        <v>144444.443</v>
      </c>
      <c r="K8" s="372">
        <f t="shared" si="2"/>
        <v>423.90152017608216</v>
      </c>
      <c r="L8" s="264">
        <f>'14-βιβλΕσ'!R8</f>
        <v>0</v>
      </c>
      <c r="M8" s="372">
        <f t="shared" si="3"/>
        <v>0</v>
      </c>
      <c r="N8" s="264">
        <f>('14-βιβλΕσ'!N8+'14-βιβλΕσ'!O8+'14-βιβλΕσ'!R8)*30%</f>
        <v>33783.332999999991</v>
      </c>
      <c r="O8" s="372">
        <f t="shared" si="4"/>
        <v>99.144044020542893</v>
      </c>
      <c r="P8" s="411"/>
      <c r="Q8" s="411"/>
      <c r="R8" s="411"/>
      <c r="S8" s="411"/>
      <c r="T8" s="411"/>
      <c r="U8" s="264">
        <f t="shared" si="12"/>
        <v>257755.55299999999</v>
      </c>
      <c r="V8" s="372">
        <f t="shared" si="5"/>
        <v>756.43595891415987</v>
      </c>
      <c r="W8" s="262">
        <f t="shared" si="13"/>
        <v>257755.55299999999</v>
      </c>
      <c r="X8" s="372">
        <f t="shared" si="6"/>
        <v>756.43595891415987</v>
      </c>
      <c r="Y8" s="264">
        <v>2675490.2917857529</v>
      </c>
      <c r="Z8" s="411"/>
      <c r="AA8" s="411"/>
      <c r="AB8" s="411"/>
      <c r="AC8" s="262">
        <f>'1-συμβολαια'!M8+'1-συμβολαια'!Q8+'8-κ-15-17'!AE8+'14-βιβλΕσ'!L8+'14-βιβλΕσ'!Q8+'14-βιβλΕσ'!R8</f>
        <v>257755.55299999999</v>
      </c>
      <c r="AD8" s="372">
        <f t="shared" si="7"/>
        <v>756.43595891415987</v>
      </c>
      <c r="AE8" s="262">
        <f>'1-συμβολαια'!N8+'8-κ-15-17'!AF8</f>
        <v>0</v>
      </c>
      <c r="AF8" s="372">
        <f t="shared" si="8"/>
        <v>0</v>
      </c>
      <c r="AG8" s="264">
        <f t="shared" si="9"/>
        <v>257755.55299999999</v>
      </c>
      <c r="AH8" s="372">
        <f t="shared" si="10"/>
        <v>756.43595891415987</v>
      </c>
      <c r="AI8" s="370"/>
      <c r="AJ8" s="289">
        <f t="shared" si="11"/>
        <v>2675490.2917857529</v>
      </c>
      <c r="AK8" s="407"/>
      <c r="AL8" s="67"/>
      <c r="AM8" s="67"/>
      <c r="AN8" s="67"/>
      <c r="AO8" s="67"/>
      <c r="AP8" s="67"/>
    </row>
    <row r="9" spans="1:42" s="5" customFormat="1" ht="12" thickBot="1">
      <c r="A9" s="392" t="str">
        <f>'1-συμβολαια'!A9</f>
        <v>1ο</v>
      </c>
      <c r="B9" s="341">
        <f>'1-συμβολαια'!B9</f>
        <v>30265</v>
      </c>
      <c r="C9" s="356" t="str">
        <f>'1-συμβολαια'!C9</f>
        <v>υποθήκη τυχόν αυξήσεως ΤΟΚΩΝ δανείου</v>
      </c>
      <c r="D9" s="342" t="str">
        <f>'4-πολλυπρ'!D9</f>
        <v xml:space="preserve">τραπεζα [= </v>
      </c>
      <c r="E9" s="342" t="str">
        <f>'4-πολλυπρ'!I9</f>
        <v>219-16</v>
      </c>
      <c r="F9" s="342">
        <f>'14-βιβλΕσ'!O9</f>
        <v>340</v>
      </c>
      <c r="G9" s="344">
        <f>'14-βιβλΕσ'!Q9</f>
        <v>345</v>
      </c>
      <c r="H9" s="344">
        <f t="shared" si="0"/>
        <v>685</v>
      </c>
      <c r="I9" s="398">
        <f t="shared" si="1"/>
        <v>2.0102714600146734</v>
      </c>
      <c r="J9" s="344">
        <f>'8-κ-15-17'!AG9</f>
        <v>60</v>
      </c>
      <c r="K9" s="398">
        <f t="shared" si="2"/>
        <v>0.17608217168011739</v>
      </c>
      <c r="L9" s="344">
        <f>'14-βιβλΕσ'!R9</f>
        <v>2910</v>
      </c>
      <c r="M9" s="398">
        <f t="shared" si="3"/>
        <v>8.5399853264856933</v>
      </c>
      <c r="N9" s="344">
        <f>('14-βιβλΕσ'!N9+'14-βιβλΕσ'!O9+'14-βιβλΕσ'!R9)*30%</f>
        <v>2041.5</v>
      </c>
      <c r="O9" s="398">
        <f t="shared" si="4"/>
        <v>5.9911958914159937</v>
      </c>
      <c r="P9" s="736"/>
      <c r="Q9" s="736"/>
      <c r="R9" s="736"/>
      <c r="S9" s="736"/>
      <c r="T9" s="736"/>
      <c r="U9" s="344">
        <f t="shared" si="12"/>
        <v>7159</v>
      </c>
      <c r="V9" s="398">
        <f t="shared" si="5"/>
        <v>21.00953778429934</v>
      </c>
      <c r="W9" s="344">
        <f t="shared" si="13"/>
        <v>7159</v>
      </c>
      <c r="X9" s="398">
        <f t="shared" si="6"/>
        <v>21.00953778429934</v>
      </c>
      <c r="Y9" s="344">
        <v>74310.077032149158</v>
      </c>
      <c r="Z9" s="736"/>
      <c r="AA9" s="736"/>
      <c r="AB9" s="736"/>
      <c r="AC9" s="344">
        <f>'1-συμβολαια'!M9+'1-συμβολαια'!Q9+'8-κ-15-17'!AE9+'14-βιβλΕσ'!L9+'14-βιβλΕσ'!Q9+'14-βιβλΕσ'!R9+700</f>
        <v>8375</v>
      </c>
      <c r="AD9" s="398">
        <f t="shared" si="7"/>
        <v>24.578136463683052</v>
      </c>
      <c r="AE9" s="344">
        <f>'1-συμβολαια'!N9+'8-κ-15-17'!AF9</f>
        <v>1216</v>
      </c>
      <c r="AF9" s="398">
        <f t="shared" si="8"/>
        <v>3.5685986793837126</v>
      </c>
      <c r="AG9" s="344">
        <f t="shared" si="9"/>
        <v>7159</v>
      </c>
      <c r="AH9" s="398">
        <f t="shared" si="10"/>
        <v>21.00953778429934</v>
      </c>
      <c r="AI9" s="373"/>
      <c r="AJ9" s="374">
        <f t="shared" si="11"/>
        <v>74310.077032149158</v>
      </c>
      <c r="AK9" s="407"/>
      <c r="AL9" s="67"/>
      <c r="AM9" s="67"/>
      <c r="AN9" s="67"/>
      <c r="AO9" s="67"/>
      <c r="AP9" s="67"/>
    </row>
    <row r="10" spans="1:42" s="5" customFormat="1">
      <c r="A10" s="428" t="str">
        <f>'1-συμβολαια'!A10</f>
        <v>2ο</v>
      </c>
      <c r="B10" s="304">
        <f>'1-συμβολαια'!B10</f>
        <v>30160</v>
      </c>
      <c r="C10" s="405" t="str">
        <f>'1-συμβολαια'!C10</f>
        <v>αγοραπωλησία οικοπεδου τίμημα = 800.000 Δ.Ο.Υ. =</v>
      </c>
      <c r="D10" s="278" t="str">
        <f>'4-πολλυπρ'!D10</f>
        <v>;;;???</v>
      </c>
      <c r="E10" s="278" t="str">
        <f>'4-πολλυπρ'!I10</f>
        <v>219-16</v>
      </c>
      <c r="F10" s="278">
        <f>'14-βιβλΕσ'!O10</f>
        <v>847</v>
      </c>
      <c r="G10" s="262">
        <f>'14-βιβλΕσ'!Q10</f>
        <v>455</v>
      </c>
      <c r="H10" s="262">
        <f t="shared" si="0"/>
        <v>1302</v>
      </c>
      <c r="I10" s="406">
        <f t="shared" si="1"/>
        <v>3.8209831254585471</v>
      </c>
      <c r="J10" s="262">
        <f>'8-κ-15-17'!AG10</f>
        <v>0</v>
      </c>
      <c r="K10" s="406">
        <f t="shared" si="2"/>
        <v>0</v>
      </c>
      <c r="L10" s="262">
        <f>'14-βιβλΕσ'!R10</f>
        <v>9755</v>
      </c>
      <c r="M10" s="406">
        <f t="shared" si="3"/>
        <v>28.628026412325752</v>
      </c>
      <c r="N10" s="262">
        <f>('14-βιβλΕσ'!N10+'14-βιβλΕσ'!O10+'14-βιβλΕσ'!R10)*30%</f>
        <v>3779.1</v>
      </c>
      <c r="O10" s="406">
        <f t="shared" si="4"/>
        <v>11.090535583272194</v>
      </c>
      <c r="P10" s="409"/>
      <c r="Q10" s="409"/>
      <c r="R10" s="409"/>
      <c r="S10" s="409"/>
      <c r="T10" s="409"/>
      <c r="U10" s="262">
        <f t="shared" si="12"/>
        <v>13120</v>
      </c>
      <c r="V10" s="406">
        <f t="shared" si="5"/>
        <v>38.503301540719001</v>
      </c>
      <c r="W10" s="262">
        <f t="shared" si="13"/>
        <v>13120</v>
      </c>
      <c r="X10" s="406">
        <f t="shared" si="6"/>
        <v>38.503301540719001</v>
      </c>
      <c r="Y10" s="262">
        <v>145971.09158219863</v>
      </c>
      <c r="Z10" s="409"/>
      <c r="AA10" s="409"/>
      <c r="AB10" s="409"/>
      <c r="AC10" s="262">
        <f>'1-συμβολαια'!M10+'1-συμβολαια'!Q10+'8-κ-15-17'!AE10+'14-βιβλΕσ'!L10+'14-βιβλΕσ'!Q10+'14-βιβλΕσ'!R10+268</f>
        <v>24288</v>
      </c>
      <c r="AD10" s="406">
        <f t="shared" si="7"/>
        <v>71.278063096111524</v>
      </c>
      <c r="AE10" s="262">
        <f>'1-συμβολαια'!N10+'8-κ-15-17'!AF10</f>
        <v>11168</v>
      </c>
      <c r="AF10" s="406">
        <f t="shared" si="8"/>
        <v>32.774761555392516</v>
      </c>
      <c r="AG10" s="262">
        <f t="shared" si="9"/>
        <v>13120</v>
      </c>
      <c r="AH10" s="406">
        <f t="shared" si="10"/>
        <v>38.503301540719001</v>
      </c>
      <c r="AI10" s="740">
        <v>46100</v>
      </c>
      <c r="AJ10" s="283">
        <f t="shared" si="11"/>
        <v>145971.09158219863</v>
      </c>
      <c r="AK10" s="407"/>
      <c r="AL10" s="67"/>
      <c r="AM10" s="67"/>
      <c r="AN10" s="67"/>
      <c r="AO10" s="67"/>
      <c r="AP10" s="67"/>
    </row>
    <row r="11" spans="1:42" s="5" customFormat="1">
      <c r="A11" s="428">
        <f>'1-συμβολαια'!A11</f>
        <v>0</v>
      </c>
      <c r="B11" s="304"/>
      <c r="C11" s="405" t="str">
        <f>'1-συμβολαια'!C11</f>
        <v>αγορά εργοστασίου ;;;??? μ2</v>
      </c>
      <c r="D11" s="278" t="str">
        <f>'4-πολλυπρ'!D11</f>
        <v>;;;???</v>
      </c>
      <c r="E11" s="278" t="str">
        <f>'4-πολλυπρ'!I11</f>
        <v>219-16</v>
      </c>
      <c r="F11" s="278">
        <f>'14-βιβλΕσ'!O11</f>
        <v>16797.666499999999</v>
      </c>
      <c r="G11" s="262">
        <f>'14-βιβλΕσ'!Q11</f>
        <v>230</v>
      </c>
      <c r="H11" s="262">
        <f t="shared" si="0"/>
        <v>17027.666499999999</v>
      </c>
      <c r="I11" s="406">
        <f t="shared" si="1"/>
        <v>49.971141599413059</v>
      </c>
      <c r="J11" s="262">
        <f>'8-κ-15-17'!AG11</f>
        <v>0</v>
      </c>
      <c r="K11" s="406">
        <f t="shared" si="2"/>
        <v>0</v>
      </c>
      <c r="L11" s="262">
        <f>'14-βιβλΕσ'!R11</f>
        <v>3290</v>
      </c>
      <c r="M11" s="406">
        <f t="shared" si="3"/>
        <v>9.6551724137931032</v>
      </c>
      <c r="N11" s="262">
        <f>('14-βιβλΕσ'!N11+'14-βιβλΕσ'!O11+'14-βιβλΕσ'!R11)*30%</f>
        <v>34860.332999999991</v>
      </c>
      <c r="O11" s="406">
        <f t="shared" si="4"/>
        <v>102.304719002201</v>
      </c>
      <c r="P11" s="411"/>
      <c r="Q11" s="411"/>
      <c r="R11" s="411"/>
      <c r="S11" s="411"/>
      <c r="T11" s="411"/>
      <c r="U11" s="264">
        <f t="shared" si="12"/>
        <v>116431.10999999999</v>
      </c>
      <c r="V11" s="372">
        <f t="shared" si="5"/>
        <v>341.69071166544381</v>
      </c>
      <c r="W11" s="262">
        <f t="shared" si="13"/>
        <v>116431.10999999999</v>
      </c>
      <c r="X11" s="406">
        <f t="shared" si="6"/>
        <v>341.69071166544381</v>
      </c>
      <c r="Y11" s="264">
        <v>1295394.5290264501</v>
      </c>
      <c r="Z11" s="411"/>
      <c r="AA11" s="411"/>
      <c r="AB11" s="411"/>
      <c r="AC11" s="262">
        <f>'1-συμβολαια'!M11+'1-συμβολαια'!Q11+'8-κ-15-17'!AE11+'14-βιβλΕσ'!L11+'14-βιβλΕσ'!Q11+'14-βιβλΕσ'!R11</f>
        <v>116431.10999999999</v>
      </c>
      <c r="AD11" s="406">
        <f t="shared" si="7"/>
        <v>341.69071166544381</v>
      </c>
      <c r="AE11" s="262">
        <f>'1-συμβολαια'!N11+'8-κ-15-17'!AF11</f>
        <v>0</v>
      </c>
      <c r="AF11" s="406">
        <f t="shared" si="8"/>
        <v>0</v>
      </c>
      <c r="AG11" s="262">
        <f t="shared" si="9"/>
        <v>116431.10999999999</v>
      </c>
      <c r="AH11" s="406">
        <f t="shared" si="10"/>
        <v>341.69071166544381</v>
      </c>
      <c r="AI11" s="370"/>
      <c r="AJ11" s="283">
        <f t="shared" si="11"/>
        <v>1295394.5290264501</v>
      </c>
      <c r="AK11" s="407"/>
      <c r="AL11" s="67"/>
      <c r="AM11" s="67"/>
      <c r="AN11" s="67"/>
      <c r="AO11" s="67"/>
      <c r="AP11" s="67"/>
    </row>
    <row r="12" spans="1:42" s="5" customFormat="1" ht="12" thickBot="1">
      <c r="A12" s="484">
        <f>'1-συμβολαια'!A12</f>
        <v>0</v>
      </c>
      <c r="B12" s="341"/>
      <c r="C12" s="356" t="str">
        <f>'1-συμβολαια'!C12</f>
        <v>αγορά εργοστασίου ΕΞΟΠΛΙΣΜΟΣ</v>
      </c>
      <c r="D12" s="342" t="str">
        <f>'4-πολλυπρ'!D12</f>
        <v>;;;???</v>
      </c>
      <c r="E12" s="342" t="str">
        <f>'4-πολλυπρ'!I12</f>
        <v>219-16</v>
      </c>
      <c r="F12" s="342">
        <f>'14-βιβλΕσ'!O12</f>
        <v>10130.999</v>
      </c>
      <c r="G12" s="344">
        <f>'14-βιβλΕσ'!Q12</f>
        <v>230</v>
      </c>
      <c r="H12" s="344">
        <f t="shared" si="0"/>
        <v>10360.999</v>
      </c>
      <c r="I12" s="398">
        <f t="shared" si="1"/>
        <v>30.406453411592075</v>
      </c>
      <c r="J12" s="344">
        <f>'8-κ-15-17'!AG12</f>
        <v>0</v>
      </c>
      <c r="K12" s="398">
        <f t="shared" si="2"/>
        <v>0</v>
      </c>
      <c r="L12" s="344">
        <f>'14-βιβλΕσ'!R12</f>
        <v>760</v>
      </c>
      <c r="M12" s="398">
        <f t="shared" si="3"/>
        <v>2.2303741746148202</v>
      </c>
      <c r="N12" s="344">
        <f>('14-βιβλΕσ'!N12+'14-βιβλΕσ'!O12+'14-βιβλΕσ'!R12)*30%</f>
        <v>20767.998</v>
      </c>
      <c r="O12" s="398">
        <f t="shared" si="4"/>
        <v>60.947903154805573</v>
      </c>
      <c r="P12" s="736"/>
      <c r="Q12" s="736"/>
      <c r="R12" s="736"/>
      <c r="S12" s="736"/>
      <c r="T12" s="736"/>
      <c r="U12" s="344">
        <f t="shared" si="12"/>
        <v>69456.66</v>
      </c>
      <c r="V12" s="398">
        <f t="shared" si="5"/>
        <v>203.83465884079237</v>
      </c>
      <c r="W12" s="262">
        <f t="shared" si="13"/>
        <v>69456.66</v>
      </c>
      <c r="X12" s="398">
        <f t="shared" si="6"/>
        <v>203.83465884079237</v>
      </c>
      <c r="Y12" s="344">
        <v>772764.06081201334</v>
      </c>
      <c r="Z12" s="736"/>
      <c r="AA12" s="736"/>
      <c r="AB12" s="736"/>
      <c r="AC12" s="344">
        <f>'1-συμβολαια'!M12+'1-συμβολαια'!Q12+'8-κ-15-17'!AE12+'14-βιβλΕσ'!L12+'14-βιβλΕσ'!Q12+'14-βιβλΕσ'!R12</f>
        <v>69456.66</v>
      </c>
      <c r="AD12" s="398">
        <f t="shared" si="7"/>
        <v>203.83465884079237</v>
      </c>
      <c r="AE12" s="344">
        <f>'1-συμβολαια'!N12+'8-κ-15-17'!AF12</f>
        <v>0</v>
      </c>
      <c r="AF12" s="398">
        <f t="shared" si="8"/>
        <v>0</v>
      </c>
      <c r="AG12" s="344">
        <f t="shared" si="9"/>
        <v>69456.66</v>
      </c>
      <c r="AH12" s="398">
        <f t="shared" si="10"/>
        <v>203.83465884079237</v>
      </c>
      <c r="AI12" s="373"/>
      <c r="AJ12" s="374">
        <f t="shared" si="11"/>
        <v>772764.06081201334</v>
      </c>
      <c r="AK12" s="408"/>
      <c r="AL12" s="67"/>
      <c r="AM12" s="67"/>
      <c r="AN12" s="67"/>
      <c r="AO12" s="67"/>
      <c r="AP12" s="67"/>
    </row>
    <row r="13" spans="1:42" s="5" customFormat="1" ht="12" thickBot="1">
      <c r="A13" s="493" t="str">
        <f>'1-συμβολαια'!A13</f>
        <v>3ο</v>
      </c>
      <c r="B13" s="506">
        <f>'1-συμβολαια'!B13</f>
        <v>30149</v>
      </c>
      <c r="C13" s="494" t="str">
        <f>'1-συμβολαια'!C13</f>
        <v>πληρεξούσιο</v>
      </c>
      <c r="D13" s="496" t="str">
        <f>'4-πολλυπρ'!D13</f>
        <v>219-16</v>
      </c>
      <c r="E13" s="496" t="str">
        <f>'4-πολλυπρ'!I13</f>
        <v>219-16</v>
      </c>
      <c r="F13" s="496">
        <f>'14-βιβλΕσ'!O13</f>
        <v>-0.5</v>
      </c>
      <c r="G13" s="495">
        <f>'14-βιβλΕσ'!Q13</f>
        <v>88</v>
      </c>
      <c r="H13" s="495">
        <f t="shared" si="0"/>
        <v>87.5</v>
      </c>
      <c r="I13" s="735">
        <f t="shared" si="1"/>
        <v>0.25678650036683787</v>
      </c>
      <c r="J13" s="495">
        <f>'8-κ-15-17'!AG13</f>
        <v>0</v>
      </c>
      <c r="K13" s="735">
        <f t="shared" si="2"/>
        <v>0</v>
      </c>
      <c r="L13" s="495">
        <f>'14-βιβλΕσ'!R13</f>
        <v>620</v>
      </c>
      <c r="M13" s="735">
        <f t="shared" si="3"/>
        <v>1.8195157740278798</v>
      </c>
      <c r="N13" s="495">
        <f>('14-βιβλΕσ'!N13+'14-βιβλΕσ'!O13+'14-βιβλΕσ'!R13)*30%</f>
        <v>190.2</v>
      </c>
      <c r="O13" s="735">
        <f t="shared" si="4"/>
        <v>0.55818048422597211</v>
      </c>
      <c r="P13" s="737"/>
      <c r="Q13" s="737"/>
      <c r="R13" s="737"/>
      <c r="S13" s="737"/>
      <c r="T13" s="737"/>
      <c r="U13" s="495">
        <f t="shared" si="12"/>
        <v>722</v>
      </c>
      <c r="V13" s="735">
        <f t="shared" si="5"/>
        <v>2.1188554658840792</v>
      </c>
      <c r="W13" s="344">
        <f t="shared" si="13"/>
        <v>722</v>
      </c>
      <c r="X13" s="735">
        <f t="shared" si="6"/>
        <v>2.1188554658840792</v>
      </c>
      <c r="Y13" s="495">
        <v>8032.8603751789105</v>
      </c>
      <c r="Z13" s="737"/>
      <c r="AA13" s="737"/>
      <c r="AB13" s="737"/>
      <c r="AC13" s="495">
        <f>'1-συμβολαια'!M13+'1-συμβολαια'!Q13+'8-κ-15-17'!AE13+'14-βιβλΕσ'!L13+'14-βιβλΕσ'!Q13+'14-βιβλΕσ'!R13+20</f>
        <v>1568</v>
      </c>
      <c r="AD13" s="735">
        <f t="shared" si="7"/>
        <v>4.6016140865737345</v>
      </c>
      <c r="AE13" s="495">
        <f>'1-συμβολαια'!N13+'8-κ-15-17'!AF13</f>
        <v>846</v>
      </c>
      <c r="AF13" s="735">
        <f t="shared" si="8"/>
        <v>2.4827586206896552</v>
      </c>
      <c r="AG13" s="495">
        <f t="shared" si="9"/>
        <v>722</v>
      </c>
      <c r="AH13" s="735">
        <f t="shared" si="10"/>
        <v>2.1188554658840792</v>
      </c>
      <c r="AI13" s="744">
        <v>46100</v>
      </c>
      <c r="AJ13" s="514">
        <f t="shared" si="11"/>
        <v>8032.8603751789105</v>
      </c>
      <c r="AK13" s="745"/>
      <c r="AL13" s="67"/>
      <c r="AM13" s="67"/>
      <c r="AN13" s="67"/>
      <c r="AO13" s="67"/>
      <c r="AP13" s="67"/>
    </row>
    <row r="14" spans="1:42" s="5" customFormat="1">
      <c r="A14" s="339" t="str">
        <f>'1-συμβολαια'!A14</f>
        <v>4ο</v>
      </c>
      <c r="B14" s="304">
        <f>'1-συμβολαια'!B14</f>
        <v>30412</v>
      </c>
      <c r="C14" s="405" t="str">
        <f>'1-συμβολαια'!C14</f>
        <v>υποθήκη [έναντι του δανείου 375-29/07/1982τραπ</v>
      </c>
      <c r="D14" s="278" t="str">
        <f>'4-πολλυπρ'!D14</f>
        <v xml:space="preserve">τραπεζα [= </v>
      </c>
      <c r="E14" s="278" t="str">
        <f>'4-πολλυπρ'!I14</f>
        <v>219-16</v>
      </c>
      <c r="F14" s="278">
        <f>'14-βιβλΕσ'!O14</f>
        <v>156</v>
      </c>
      <c r="G14" s="262">
        <f>'14-βιβλΕσ'!Q14</f>
        <v>369</v>
      </c>
      <c r="H14" s="262">
        <f t="shared" si="0"/>
        <v>525</v>
      </c>
      <c r="I14" s="406">
        <f t="shared" si="1"/>
        <v>1.5407190022010271</v>
      </c>
      <c r="J14" s="262">
        <f>'8-κ-15-17'!AG14</f>
        <v>300.00000000000023</v>
      </c>
      <c r="K14" s="406">
        <f t="shared" si="2"/>
        <v>0.88041085840058764</v>
      </c>
      <c r="L14" s="262">
        <f>'14-βιβλΕσ'!R14</f>
        <v>4170</v>
      </c>
      <c r="M14" s="406">
        <f t="shared" si="3"/>
        <v>12.237710931768158</v>
      </c>
      <c r="N14" s="262">
        <f>('14-βιβλΕσ'!N14+'14-βιβλΕσ'!O14+'14-βιβλΕσ'!R14)*30%</f>
        <v>2254.1999999999998</v>
      </c>
      <c r="O14" s="406">
        <f t="shared" si="4"/>
        <v>6.6154071900220099</v>
      </c>
      <c r="P14" s="409"/>
      <c r="Q14" s="409"/>
      <c r="R14" s="409"/>
      <c r="S14" s="409"/>
      <c r="T14" s="409"/>
      <c r="U14" s="262">
        <f t="shared" si="12"/>
        <v>7183</v>
      </c>
      <c r="V14" s="406">
        <f t="shared" si="5"/>
        <v>21.079970652971387</v>
      </c>
      <c r="W14" s="262">
        <f t="shared" si="13"/>
        <v>7183</v>
      </c>
      <c r="X14" s="406">
        <f t="shared" si="6"/>
        <v>21.079970652971387</v>
      </c>
      <c r="Y14" s="262">
        <v>68364.261391653461</v>
      </c>
      <c r="Z14" s="409"/>
      <c r="AA14" s="409"/>
      <c r="AB14" s="409"/>
      <c r="AC14" s="262">
        <f>'1-συμβολαια'!M14+'1-συμβολαια'!Q14+'8-κ-15-17'!AE14+'14-βιβλΕσ'!L14+'14-βιβλΕσ'!Q14+'14-βιβλΕσ'!R14+296</f>
        <v>11379</v>
      </c>
      <c r="AD14" s="406">
        <f t="shared" si="7"/>
        <v>33.393983859134259</v>
      </c>
      <c r="AE14" s="262">
        <f>'1-συμβολαια'!N14+'8-κ-15-17'!AF14</f>
        <v>4196</v>
      </c>
      <c r="AF14" s="406">
        <f t="shared" si="8"/>
        <v>12.314013206162876</v>
      </c>
      <c r="AG14" s="262">
        <f t="shared" si="9"/>
        <v>7183</v>
      </c>
      <c r="AH14" s="406">
        <f t="shared" si="10"/>
        <v>21.079970652971387</v>
      </c>
      <c r="AI14" s="740">
        <v>46100</v>
      </c>
      <c r="AJ14" s="283">
        <f t="shared" si="11"/>
        <v>68364.261391653461</v>
      </c>
      <c r="AK14" s="741"/>
      <c r="AL14" s="67"/>
      <c r="AM14" s="67"/>
      <c r="AN14" s="67"/>
      <c r="AO14" s="67"/>
      <c r="AP14" s="67"/>
    </row>
    <row r="15" spans="1:42" s="5" customFormat="1">
      <c r="A15" s="339" t="str">
        <f>'1-συμβολαια'!A15</f>
        <v>389τραπ</v>
      </c>
      <c r="B15" s="304"/>
      <c r="C15" s="405" t="str">
        <f>'1-συμβολαια'!C15</f>
        <v>δάνειο</v>
      </c>
      <c r="D15" s="278" t="str">
        <f>'4-πολλυπρ'!D15</f>
        <v xml:space="preserve">τραπεζα [= </v>
      </c>
      <c r="E15" s="278" t="str">
        <f>'4-πολλυπρ'!I15</f>
        <v>219-16</v>
      </c>
      <c r="F15" s="278">
        <f>'14-βιβλΕσ'!O15</f>
        <v>17337.5</v>
      </c>
      <c r="G15" s="262">
        <f>'14-βιβλΕσ'!Q15</f>
        <v>200</v>
      </c>
      <c r="H15" s="262">
        <f t="shared" si="0"/>
        <v>17537.5</v>
      </c>
      <c r="I15" s="406">
        <f t="shared" si="1"/>
        <v>51.467351430667648</v>
      </c>
      <c r="J15" s="262">
        <f>'8-κ-15-17'!AG15</f>
        <v>130000.00000000001</v>
      </c>
      <c r="K15" s="406">
        <f t="shared" si="2"/>
        <v>381.5113719735877</v>
      </c>
      <c r="L15" s="262">
        <f>'14-βιβλΕσ'!R15</f>
        <v>300</v>
      </c>
      <c r="M15" s="406">
        <f t="shared" si="3"/>
        <v>0.88041085840058697</v>
      </c>
      <c r="N15" s="262">
        <f>('14-βιβλΕσ'!N15+'14-βιβλΕσ'!O15+'14-βιβλΕσ'!R15)*30%</f>
        <v>34983</v>
      </c>
      <c r="O15" s="406">
        <f t="shared" si="4"/>
        <v>102.66471019809244</v>
      </c>
      <c r="P15" s="411"/>
      <c r="Q15" s="411"/>
      <c r="R15" s="411"/>
      <c r="S15" s="411"/>
      <c r="T15" s="411"/>
      <c r="U15" s="264">
        <f t="shared" si="12"/>
        <v>246810</v>
      </c>
      <c r="V15" s="372">
        <f t="shared" si="5"/>
        <v>724.31401320616283</v>
      </c>
      <c r="W15" s="262">
        <f t="shared" si="13"/>
        <v>246810</v>
      </c>
      <c r="X15" s="406">
        <f t="shared" si="6"/>
        <v>724.31401320616283</v>
      </c>
      <c r="Y15" s="264">
        <v>2349016.1985345939</v>
      </c>
      <c r="Z15" s="411"/>
      <c r="AA15" s="411"/>
      <c r="AB15" s="411"/>
      <c r="AC15" s="262">
        <f>'1-συμβολαια'!M15+'1-συμβολαια'!Q15+'8-κ-15-17'!AE15+'14-βιβλΕσ'!L15+'14-βιβλΕσ'!Q15+'14-βιβλΕσ'!R15</f>
        <v>246810</v>
      </c>
      <c r="AD15" s="406">
        <f t="shared" si="7"/>
        <v>724.31401320616283</v>
      </c>
      <c r="AE15" s="262">
        <f>'1-συμβολαια'!N15+'8-κ-15-17'!AF15</f>
        <v>0</v>
      </c>
      <c r="AF15" s="406">
        <f t="shared" si="8"/>
        <v>0</v>
      </c>
      <c r="AG15" s="262">
        <f t="shared" si="9"/>
        <v>246810</v>
      </c>
      <c r="AH15" s="406">
        <f t="shared" si="10"/>
        <v>724.31401320616283</v>
      </c>
      <c r="AI15" s="370"/>
      <c r="AJ15" s="283">
        <f t="shared" si="11"/>
        <v>2349016.1985345939</v>
      </c>
      <c r="AK15" s="407"/>
      <c r="AL15" s="67"/>
      <c r="AM15" s="67"/>
      <c r="AN15" s="67"/>
      <c r="AO15" s="67"/>
      <c r="AP15" s="67"/>
    </row>
    <row r="16" spans="1:42" s="5" customFormat="1">
      <c r="A16" s="339">
        <f>'1-συμβολαια'!A16</f>
        <v>0</v>
      </c>
      <c r="B16" s="304"/>
      <c r="C16" s="405" t="str">
        <f>'1-συμβολαια'!C16</f>
        <v>υποθήκη δανείου</v>
      </c>
      <c r="D16" s="278" t="str">
        <f>'4-πολλυπρ'!D16</f>
        <v xml:space="preserve">τραπεζα [= </v>
      </c>
      <c r="E16" s="278" t="str">
        <f>'4-πολλυπρ'!I16</f>
        <v>219-16</v>
      </c>
      <c r="F16" s="278">
        <f>'14-βιβλΕσ'!O16</f>
        <v>21170.83295</v>
      </c>
      <c r="G16" s="262">
        <f>'14-βιβλΕσ'!Q16</f>
        <v>230</v>
      </c>
      <c r="H16" s="262">
        <f t="shared" si="0"/>
        <v>21400.83295</v>
      </c>
      <c r="I16" s="406">
        <f t="shared" si="1"/>
        <v>62.805085693323548</v>
      </c>
      <c r="J16" s="262">
        <f>'8-κ-15-17'!AG16</f>
        <v>158888.88600000003</v>
      </c>
      <c r="K16" s="406">
        <f t="shared" si="2"/>
        <v>466.29166837857673</v>
      </c>
      <c r="L16" s="262">
        <f>'14-βιβλΕσ'!R16</f>
        <v>840</v>
      </c>
      <c r="M16" s="406">
        <f t="shared" si="3"/>
        <v>2.4651504035216436</v>
      </c>
      <c r="N16" s="262">
        <f>('14-βιβλΕσ'!N16+'14-βιβλΕσ'!O16+'14-βιβλΕσ'!R16)*30%</f>
        <v>43081.665899999993</v>
      </c>
      <c r="O16" s="406">
        <f t="shared" si="4"/>
        <v>126.43188818782096</v>
      </c>
      <c r="P16" s="411"/>
      <c r="Q16" s="411"/>
      <c r="R16" s="411"/>
      <c r="S16" s="411"/>
      <c r="T16" s="411"/>
      <c r="U16" s="264">
        <f t="shared" si="12"/>
        <v>302724.43900000001</v>
      </c>
      <c r="V16" s="372">
        <f t="shared" si="5"/>
        <v>888.40627732942039</v>
      </c>
      <c r="W16" s="262">
        <f t="shared" si="13"/>
        <v>302724.43900000001</v>
      </c>
      <c r="X16" s="406">
        <f t="shared" si="6"/>
        <v>888.40627732942039</v>
      </c>
      <c r="Y16" s="264">
        <v>2881182.3301458531</v>
      </c>
      <c r="Z16" s="411"/>
      <c r="AA16" s="411"/>
      <c r="AB16" s="411"/>
      <c r="AC16" s="262">
        <f>'1-συμβολαια'!M16+'1-συμβολαια'!Q16+'8-κ-15-17'!AE16+'14-βιβλΕσ'!L16+'14-βιβλΕσ'!Q16+'14-βιβλΕσ'!R16</f>
        <v>302724.43900000001</v>
      </c>
      <c r="AD16" s="406">
        <f t="shared" si="7"/>
        <v>888.40627732942039</v>
      </c>
      <c r="AE16" s="262">
        <f>'1-συμβολαια'!N16+'8-κ-15-17'!AF16</f>
        <v>0</v>
      </c>
      <c r="AF16" s="406">
        <f t="shared" si="8"/>
        <v>0</v>
      </c>
      <c r="AG16" s="262">
        <f t="shared" si="9"/>
        <v>302724.43900000001</v>
      </c>
      <c r="AH16" s="406">
        <f t="shared" si="10"/>
        <v>888.40627732942039</v>
      </c>
      <c r="AI16" s="370"/>
      <c r="AJ16" s="283">
        <f t="shared" si="11"/>
        <v>2881182.3301458531</v>
      </c>
      <c r="AK16" s="407"/>
      <c r="AL16" s="67"/>
      <c r="AM16" s="67"/>
      <c r="AN16" s="67"/>
      <c r="AO16" s="67"/>
      <c r="AP16" s="67"/>
    </row>
    <row r="17" spans="1:42" s="5" customFormat="1" ht="12" thickBot="1">
      <c r="A17" s="340">
        <f>'1-συμβολαια'!A17</f>
        <v>0</v>
      </c>
      <c r="B17" s="341"/>
      <c r="C17" s="356" t="str">
        <f>'1-συμβολαια'!C17</f>
        <v>τόκοι δανείου</v>
      </c>
      <c r="D17" s="342" t="str">
        <f>'4-πολλυπρ'!D17</f>
        <v xml:space="preserve">τραπεζα [= </v>
      </c>
      <c r="E17" s="342" t="str">
        <f>'4-πολλυπρ'!I17</f>
        <v>219-16</v>
      </c>
      <c r="F17" s="342">
        <f>'14-βιβλΕσ'!O17</f>
        <v>38420.832949999996</v>
      </c>
      <c r="G17" s="344">
        <f>'14-βιβλΕσ'!Q17</f>
        <v>200</v>
      </c>
      <c r="H17" s="344">
        <f t="shared" si="0"/>
        <v>38620.832949999996</v>
      </c>
      <c r="I17" s="398">
        <f t="shared" si="1"/>
        <v>113.34066896551722</v>
      </c>
      <c r="J17" s="344">
        <f>'8-κ-15-17'!AG17</f>
        <v>288888.886</v>
      </c>
      <c r="K17" s="398">
        <f t="shared" si="2"/>
        <v>847.80304035216432</v>
      </c>
      <c r="L17" s="344">
        <f>'14-βιβλΕσ'!R17</f>
        <v>0</v>
      </c>
      <c r="M17" s="398">
        <f t="shared" si="3"/>
        <v>0</v>
      </c>
      <c r="N17" s="344">
        <f>('14-βιβλΕσ'!N17+'14-βιβλΕσ'!O17+'14-βιβλΕσ'!R17)*30%</f>
        <v>77059.665900000007</v>
      </c>
      <c r="O17" s="398">
        <f t="shared" si="4"/>
        <v>226.14722201027149</v>
      </c>
      <c r="P17" s="736"/>
      <c r="Q17" s="736"/>
      <c r="R17" s="736"/>
      <c r="S17" s="736"/>
      <c r="T17" s="736"/>
      <c r="U17" s="344">
        <f t="shared" si="12"/>
        <v>545954.43900000001</v>
      </c>
      <c r="V17" s="398">
        <f t="shared" si="5"/>
        <v>1602.2140542920031</v>
      </c>
      <c r="W17" s="344">
        <f t="shared" si="13"/>
        <v>545954.43900000001</v>
      </c>
      <c r="X17" s="398">
        <f t="shared" si="6"/>
        <v>1602.2140542920031</v>
      </c>
      <c r="Y17" s="344">
        <v>5196125.8493289007</v>
      </c>
      <c r="Z17" s="736"/>
      <c r="AA17" s="736"/>
      <c r="AB17" s="736"/>
      <c r="AC17" s="344">
        <f>'1-συμβολαια'!M17+'1-συμβολαια'!Q17+'8-κ-15-17'!AE17+'14-βιβλΕσ'!L17+'14-βιβλΕσ'!Q17+'14-βιβλΕσ'!R17</f>
        <v>545954.43900000001</v>
      </c>
      <c r="AD17" s="398">
        <f t="shared" si="7"/>
        <v>1602.2140542920031</v>
      </c>
      <c r="AE17" s="344">
        <f>'1-συμβολαια'!N17+'8-κ-15-17'!AF17</f>
        <v>0</v>
      </c>
      <c r="AF17" s="398">
        <f t="shared" si="8"/>
        <v>0</v>
      </c>
      <c r="AG17" s="344">
        <f t="shared" si="9"/>
        <v>545954.43900000001</v>
      </c>
      <c r="AH17" s="398">
        <f t="shared" si="10"/>
        <v>1602.2140542920031</v>
      </c>
      <c r="AI17" s="373"/>
      <c r="AJ17" s="374">
        <f t="shared" si="11"/>
        <v>5196125.8493289007</v>
      </c>
      <c r="AK17" s="407"/>
      <c r="AL17" s="67"/>
      <c r="AM17" s="67"/>
      <c r="AN17" s="67"/>
      <c r="AO17" s="67"/>
      <c r="AP17" s="67"/>
    </row>
    <row r="18" spans="1:42" s="5" customFormat="1">
      <c r="A18" s="428" t="str">
        <f>'1-συμβολαια'!A18</f>
        <v>5ο</v>
      </c>
      <c r="B18" s="304">
        <f>'1-συμβολαια'!B18</f>
        <v>32394</v>
      </c>
      <c r="C18" s="405" t="str">
        <f>'1-συμβολαια'!C18</f>
        <v>μίσθωσις νταμάρι  Παναγία -'';;;???'' 29στρ 3έτη [1000/έτος/στρ</v>
      </c>
      <c r="D18" s="278" t="str">
        <f>'4-πολλυπρ'!D18</f>
        <v>κοινότηταΠαναγιας [= ματσανηςΓεωργιος</v>
      </c>
      <c r="E18" s="278" t="str">
        <f>'4-πολλυπρ'!I18</f>
        <v>219-16</v>
      </c>
      <c r="F18" s="278">
        <f>'14-βιβλΕσ'!O18</f>
        <v>1456.1000000000004</v>
      </c>
      <c r="G18" s="262">
        <f>'14-βιβλΕσ'!Q18</f>
        <v>930</v>
      </c>
      <c r="H18" s="262">
        <f t="shared" si="0"/>
        <v>2386.1000000000004</v>
      </c>
      <c r="I18" s="406">
        <f t="shared" si="1"/>
        <v>7.0024944974321359</v>
      </c>
      <c r="J18" s="262">
        <f>'8-κ-15-17'!AG18</f>
        <v>-572</v>
      </c>
      <c r="K18" s="406">
        <f t="shared" si="2"/>
        <v>-1.6786500366837858</v>
      </c>
      <c r="L18" s="262">
        <f>'14-βιβλΕσ'!R18</f>
        <v>10420</v>
      </c>
      <c r="M18" s="406">
        <f t="shared" si="3"/>
        <v>30.579603815113721</v>
      </c>
      <c r="N18" s="262">
        <f>('14-βιβλΕσ'!N18+'14-βιβλΕσ'!O18+'14-βιβλΕσ'!R18)*30%</f>
        <v>8717.4</v>
      </c>
      <c r="O18" s="406">
        <f t="shared" si="4"/>
        <v>25.582978723404253</v>
      </c>
      <c r="P18" s="409"/>
      <c r="Q18" s="409"/>
      <c r="R18" s="409"/>
      <c r="S18" s="409"/>
      <c r="T18" s="409"/>
      <c r="U18" s="262">
        <f t="shared" si="12"/>
        <v>29416</v>
      </c>
      <c r="V18" s="406">
        <f t="shared" si="5"/>
        <v>86.327219369038886</v>
      </c>
      <c r="W18" s="262">
        <f t="shared" si="13"/>
        <v>29416</v>
      </c>
      <c r="X18" s="406">
        <f t="shared" si="6"/>
        <v>86.327219369038886</v>
      </c>
      <c r="Y18" s="262">
        <v>90650.39757022736</v>
      </c>
      <c r="Z18" s="409"/>
      <c r="AA18" s="409"/>
      <c r="AB18" s="409"/>
      <c r="AC18" s="262">
        <f>'1-συμβολαια'!M18+'1-συμβολαια'!Q18+'8-κ-15-17'!AE18+'14-βιβλΕσ'!L18+'14-βιβλΕσ'!Q18+'14-βιβλΕσ'!R18+500</f>
        <v>46936</v>
      </c>
      <c r="AD18" s="406">
        <f t="shared" si="7"/>
        <v>137.74321349963316</v>
      </c>
      <c r="AE18" s="262">
        <f>'1-συμβολαια'!N18+'8-κ-15-17'!AF18</f>
        <v>17520</v>
      </c>
      <c r="AF18" s="406">
        <f t="shared" si="8"/>
        <v>51.415994130594278</v>
      </c>
      <c r="AG18" s="262">
        <f t="shared" si="9"/>
        <v>29416</v>
      </c>
      <c r="AH18" s="406">
        <f t="shared" si="10"/>
        <v>86.327219369038886</v>
      </c>
      <c r="AI18" s="370">
        <v>46100</v>
      </c>
      <c r="AJ18" s="283">
        <f t="shared" si="11"/>
        <v>90650.39757022736</v>
      </c>
      <c r="AK18" s="407"/>
      <c r="AL18" s="67"/>
      <c r="AM18" s="67"/>
      <c r="AN18" s="67"/>
      <c r="AO18" s="67"/>
      <c r="AP18" s="67"/>
    </row>
    <row r="19" spans="1:42" s="5" customFormat="1">
      <c r="A19" s="428">
        <f>'1-συμβολαια'!A19</f>
        <v>0</v>
      </c>
      <c r="B19" s="304"/>
      <c r="C19" s="405" t="str">
        <f>'1-συμβολαια'!C19</f>
        <v>μίσθωση … ΚΤΙΡΙΑΚΑ &amp; τεχνικές εγκαταστάσεις &amp; ΚΛΠ</v>
      </c>
      <c r="D19" s="278" t="str">
        <f>'4-πολλυπρ'!D19</f>
        <v>κοινότηταΠαναγιας [= ματσανηςΓεωργιος</v>
      </c>
      <c r="E19" s="278" t="str">
        <f>'4-πολλυπρ'!I19</f>
        <v>219-16</v>
      </c>
      <c r="F19" s="278">
        <f>'14-βιβλΕσ'!O19</f>
        <v>17460.5</v>
      </c>
      <c r="G19" s="262">
        <f>'14-βιβλΕσ'!Q19</f>
        <v>500</v>
      </c>
      <c r="H19" s="262">
        <f t="shared" si="0"/>
        <v>17960.5</v>
      </c>
      <c r="I19" s="406">
        <f t="shared" si="1"/>
        <v>52.708730741012474</v>
      </c>
      <c r="J19" s="262">
        <f>'8-κ-15-17'!AG19</f>
        <v>130000.00000000001</v>
      </c>
      <c r="K19" s="406">
        <f t="shared" si="2"/>
        <v>381.5113719735877</v>
      </c>
      <c r="L19" s="262">
        <f>'14-βιβλΕσ'!R19</f>
        <v>1100</v>
      </c>
      <c r="M19" s="406">
        <f t="shared" si="3"/>
        <v>3.2281731474688189</v>
      </c>
      <c r="N19" s="262">
        <f>('14-βιβλΕσ'!N19+'14-βιβλΕσ'!O19+'14-βιβλΕσ'!R19)*30%</f>
        <v>37653</v>
      </c>
      <c r="O19" s="406">
        <f t="shared" si="4"/>
        <v>110.50036683785767</v>
      </c>
      <c r="P19" s="411"/>
      <c r="Q19" s="411"/>
      <c r="R19" s="411"/>
      <c r="S19" s="411"/>
      <c r="T19" s="411"/>
      <c r="U19" s="264">
        <f t="shared" si="12"/>
        <v>256010</v>
      </c>
      <c r="V19" s="372">
        <f t="shared" si="5"/>
        <v>751.31327953044752</v>
      </c>
      <c r="W19" s="262">
        <f t="shared" si="13"/>
        <v>256010</v>
      </c>
      <c r="X19" s="406">
        <f t="shared" si="6"/>
        <v>751.31327953044752</v>
      </c>
      <c r="Y19" s="264">
        <v>788938.27447490836</v>
      </c>
      <c r="Z19" s="411"/>
      <c r="AA19" s="411"/>
      <c r="AB19" s="411"/>
      <c r="AC19" s="262">
        <f>'1-συμβολαια'!M19+'1-συμβολαια'!Q19+'8-κ-15-17'!AE19+'14-βιβλΕσ'!L19+'14-βιβλΕσ'!Q19+'14-βιβλΕσ'!R19</f>
        <v>256010</v>
      </c>
      <c r="AD19" s="406">
        <f t="shared" si="7"/>
        <v>751.31327953044752</v>
      </c>
      <c r="AE19" s="262">
        <f>'1-συμβολαια'!N19+'8-κ-15-17'!AF19</f>
        <v>0</v>
      </c>
      <c r="AF19" s="406">
        <f t="shared" si="8"/>
        <v>0</v>
      </c>
      <c r="AG19" s="262">
        <f t="shared" si="9"/>
        <v>256010</v>
      </c>
      <c r="AH19" s="406">
        <f t="shared" si="10"/>
        <v>751.31327953044752</v>
      </c>
      <c r="AI19" s="370"/>
      <c r="AJ19" s="283">
        <f t="shared" si="11"/>
        <v>788938.27447490836</v>
      </c>
      <c r="AK19" s="407"/>
      <c r="AL19" s="67"/>
      <c r="AM19" s="67"/>
      <c r="AN19" s="67"/>
      <c r="AO19" s="67"/>
      <c r="AP19" s="67"/>
    </row>
    <row r="20" spans="1:42" s="5" customFormat="1">
      <c r="A20" s="428">
        <f>'1-συμβολαια'!A20</f>
        <v>0</v>
      </c>
      <c r="B20" s="304"/>
      <c r="C20" s="405" t="str">
        <f>'1-συμβολαια'!C20</f>
        <v>μίσθωση … ΕΡΕΥΝΗΤΙΚΕΣ εργασίες</v>
      </c>
      <c r="D20" s="278" t="str">
        <f>'4-πολλυπρ'!D20</f>
        <v>κοινότηταΠαναγιας [= ματσανηςΓεωργιος</v>
      </c>
      <c r="E20" s="278" t="str">
        <f>'4-πολλυπρ'!I20</f>
        <v>219-16</v>
      </c>
      <c r="F20" s="278">
        <f>'14-βιβλΕσ'!O20</f>
        <v>5960.4994249999991</v>
      </c>
      <c r="G20" s="262">
        <f>'14-βιβλΕσ'!Q20</f>
        <v>500</v>
      </c>
      <c r="H20" s="262">
        <f t="shared" si="0"/>
        <v>6460.4994249999991</v>
      </c>
      <c r="I20" s="406">
        <f t="shared" si="1"/>
        <v>18.959646148202491</v>
      </c>
      <c r="J20" s="262">
        <f>'8-κ-15-17'!AG20</f>
        <v>43333.329000000005</v>
      </c>
      <c r="K20" s="406">
        <f t="shared" si="2"/>
        <v>127.1704446074835</v>
      </c>
      <c r="L20" s="262">
        <f>'14-βιβλΕσ'!R20</f>
        <v>1100</v>
      </c>
      <c r="M20" s="406">
        <f t="shared" si="3"/>
        <v>3.2281731474688189</v>
      </c>
      <c r="N20" s="262">
        <f>('14-βιβλΕσ'!N20+'14-βιβλΕσ'!O20+'14-βιβλΕσ'!R20)*30%</f>
        <v>13407.99885</v>
      </c>
      <c r="O20" s="406">
        <f t="shared" si="4"/>
        <v>39.348492589875278</v>
      </c>
      <c r="P20" s="411"/>
      <c r="Q20" s="411"/>
      <c r="R20" s="411"/>
      <c r="S20" s="411"/>
      <c r="T20" s="411"/>
      <c r="U20" s="264">
        <f t="shared" si="12"/>
        <v>88526.658500000005</v>
      </c>
      <c r="V20" s="372">
        <f t="shared" si="5"/>
        <v>259.79943800440208</v>
      </c>
      <c r="W20" s="262">
        <f t="shared" si="13"/>
        <v>88526.658500000005</v>
      </c>
      <c r="X20" s="406">
        <f t="shared" si="6"/>
        <v>259.79943800440208</v>
      </c>
      <c r="Y20" s="264">
        <v>272809.92618264735</v>
      </c>
      <c r="Z20" s="411"/>
      <c r="AA20" s="411"/>
      <c r="AB20" s="411"/>
      <c r="AC20" s="262">
        <f>'1-συμβολαια'!M20+'1-συμβολαια'!Q20+'8-κ-15-17'!AE20+'14-βιβλΕσ'!L20+'14-βιβλΕσ'!Q20+'14-βιβλΕσ'!R20</f>
        <v>88526.658500000005</v>
      </c>
      <c r="AD20" s="406">
        <f t="shared" si="7"/>
        <v>259.79943800440208</v>
      </c>
      <c r="AE20" s="262">
        <f>'1-συμβολαια'!N20+'8-κ-15-17'!AF20</f>
        <v>0</v>
      </c>
      <c r="AF20" s="406">
        <f t="shared" si="8"/>
        <v>0</v>
      </c>
      <c r="AG20" s="262">
        <f t="shared" si="9"/>
        <v>88526.658500000005</v>
      </c>
      <c r="AH20" s="406">
        <f t="shared" si="10"/>
        <v>259.79943800440208</v>
      </c>
      <c r="AI20" s="370"/>
      <c r="AJ20" s="283">
        <f t="shared" si="11"/>
        <v>272809.92618264735</v>
      </c>
      <c r="AK20" s="407"/>
      <c r="AL20" s="67"/>
      <c r="AM20" s="67"/>
      <c r="AN20" s="67"/>
      <c r="AO20" s="67"/>
      <c r="AP20" s="67"/>
    </row>
    <row r="21" spans="1:42" s="5" customFormat="1" ht="12" thickBot="1">
      <c r="A21" s="484">
        <f>'1-συμβολαια'!A21</f>
        <v>0</v>
      </c>
      <c r="B21" s="341"/>
      <c r="C21" s="356" t="str">
        <f>'1-συμβολαια'!C21</f>
        <v>μίσθωση ….. κόστος έργων αποκατάστασης</v>
      </c>
      <c r="D21" s="342" t="str">
        <f>'4-πολλυπρ'!D21</f>
        <v>κοινότηταΠαναγιας [= ματσανηςΓεωργιος</v>
      </c>
      <c r="E21" s="342" t="str">
        <f>'4-πολλυπρ'!I21</f>
        <v>219-16</v>
      </c>
      <c r="F21" s="342">
        <f>'14-βιβλΕσ'!O21</f>
        <v>10560.5</v>
      </c>
      <c r="G21" s="344">
        <f>'14-βιβλΕσ'!Q21</f>
        <v>500</v>
      </c>
      <c r="H21" s="344">
        <f t="shared" si="0"/>
        <v>11060.5</v>
      </c>
      <c r="I21" s="398">
        <f t="shared" si="1"/>
        <v>32.45928099779897</v>
      </c>
      <c r="J21" s="344">
        <f>'8-κ-15-17'!AG21</f>
        <v>78000</v>
      </c>
      <c r="K21" s="398">
        <f t="shared" si="2"/>
        <v>228.90682318415261</v>
      </c>
      <c r="L21" s="344">
        <f>'14-βιβλΕσ'!R21</f>
        <v>1100</v>
      </c>
      <c r="M21" s="398">
        <f t="shared" si="3"/>
        <v>3.2281731474688189</v>
      </c>
      <c r="N21" s="344">
        <f>('14-βιβλΕσ'!N21+'14-βιβλΕσ'!O21+'14-βιβλΕσ'!R21)*30%</f>
        <v>22608</v>
      </c>
      <c r="O21" s="398">
        <f t="shared" si="4"/>
        <v>66.347762289068228</v>
      </c>
      <c r="P21" s="736"/>
      <c r="Q21" s="736"/>
      <c r="R21" s="736"/>
      <c r="S21" s="736"/>
      <c r="T21" s="736"/>
      <c r="U21" s="344">
        <f t="shared" si="12"/>
        <v>153860</v>
      </c>
      <c r="V21" s="398">
        <f t="shared" si="5"/>
        <v>451.53338224504768</v>
      </c>
      <c r="W21" s="344">
        <f t="shared" si="13"/>
        <v>153860</v>
      </c>
      <c r="X21" s="398">
        <f t="shared" si="6"/>
        <v>451.53338224504768</v>
      </c>
      <c r="Y21" s="344">
        <v>474145.70880320843</v>
      </c>
      <c r="Z21" s="736"/>
      <c r="AA21" s="736"/>
      <c r="AB21" s="736"/>
      <c r="AC21" s="344">
        <f>'1-συμβολαια'!M21+'1-συμβολαια'!Q21+'8-κ-15-17'!AE21+'14-βιβλΕσ'!L21+'14-βιβλΕσ'!Q21+'14-βιβλΕσ'!R21</f>
        <v>153860</v>
      </c>
      <c r="AD21" s="398">
        <f t="shared" si="7"/>
        <v>451.53338224504768</v>
      </c>
      <c r="AE21" s="344">
        <f>'1-συμβολαια'!N21+'8-κ-15-17'!AF21</f>
        <v>0</v>
      </c>
      <c r="AF21" s="398">
        <f t="shared" si="8"/>
        <v>0</v>
      </c>
      <c r="AG21" s="344">
        <f t="shared" si="9"/>
        <v>153860</v>
      </c>
      <c r="AH21" s="398">
        <f t="shared" si="10"/>
        <v>451.53338224504768</v>
      </c>
      <c r="AI21" s="373"/>
      <c r="AJ21" s="374">
        <f t="shared" si="11"/>
        <v>474145.70880320843</v>
      </c>
      <c r="AK21" s="408"/>
      <c r="AL21" s="67"/>
      <c r="AM21" s="67"/>
      <c r="AN21" s="67"/>
      <c r="AO21" s="67"/>
      <c r="AP21" s="67"/>
    </row>
    <row r="22" spans="1:42" s="5" customFormat="1">
      <c r="A22" s="339" t="str">
        <f>'1-συμβολαια'!A22</f>
        <v>6ο</v>
      </c>
      <c r="B22" s="304">
        <f>'1-συμβολαια'!B22</f>
        <v>33008</v>
      </c>
      <c r="C22" s="405" t="str">
        <f>'1-συμβολαια'!C22</f>
        <v>;;;???ΑΕ σύσταση από ΜΕΤΑΤΡΟΠΗ ατομικής [= 40.000.000δρχ</v>
      </c>
      <c r="D22" s="278" t="str">
        <f>'4-πολλυπρ'!D22</f>
        <v>219-16</v>
      </c>
      <c r="E22" s="278" t="str">
        <f>'4-πολλυπρ'!I22</f>
        <v>219-16</v>
      </c>
      <c r="F22" s="278">
        <f>'14-βιβλΕσ'!O22</f>
        <v>3646</v>
      </c>
      <c r="G22" s="262">
        <f>'14-βιβλΕσ'!Q22</f>
        <v>2703</v>
      </c>
      <c r="H22" s="262">
        <f t="shared" ref="H22" si="14">F22+G22</f>
        <v>6349</v>
      </c>
      <c r="I22" s="406">
        <f t="shared" ref="I22" si="15">H22/340.75</f>
        <v>18.632428466617753</v>
      </c>
      <c r="J22" s="262">
        <f>'8-κ-15-17'!AG22</f>
        <v>0</v>
      </c>
      <c r="K22" s="406">
        <f t="shared" ref="K22" si="16">J22/340.75</f>
        <v>0</v>
      </c>
      <c r="L22" s="262">
        <f>'14-βιβλΕσ'!R22</f>
        <v>49561</v>
      </c>
      <c r="M22" s="406">
        <f t="shared" ref="M22" si="17">L22/340.75</f>
        <v>145.44680851063831</v>
      </c>
      <c r="N22" s="262">
        <f>('14-βιβλΕσ'!N22+'14-βιβλΕσ'!O22+'14-βιβλΕσ'!R22)*30%</f>
        <v>26870.1</v>
      </c>
      <c r="O22" s="406">
        <f t="shared" ref="O22" si="18">N22/340.75</f>
        <v>78.855759354365361</v>
      </c>
      <c r="P22" s="409"/>
      <c r="Q22" s="409"/>
      <c r="R22" s="409"/>
      <c r="S22" s="409"/>
      <c r="T22" s="409"/>
      <c r="U22" s="262">
        <f t="shared" si="12"/>
        <v>92270</v>
      </c>
      <c r="V22" s="406">
        <f t="shared" si="5"/>
        <v>270.78503301540718</v>
      </c>
      <c r="W22" s="262">
        <f t="shared" si="13"/>
        <v>92270</v>
      </c>
      <c r="X22" s="406">
        <f t="shared" ref="X22" si="19">W22/340.75</f>
        <v>270.78503301540718</v>
      </c>
      <c r="Y22" s="262">
        <v>200982.50688773423</v>
      </c>
      <c r="Z22" s="409"/>
      <c r="AA22" s="409"/>
      <c r="AB22" s="409"/>
      <c r="AC22" s="262">
        <f>'1-συμβολαια'!M22+'1-συμβολαια'!Q22+'8-κ-15-17'!AE22+'14-βιβλΕσ'!L22+'14-βιβλΕσ'!Q22+'14-βιβλΕσ'!R22+500</f>
        <v>137770</v>
      </c>
      <c r="AD22" s="406">
        <f t="shared" ref="AD22" si="20">AC22/340.75</f>
        <v>404.31401320616288</v>
      </c>
      <c r="AE22" s="262">
        <f>'1-συμβολαια'!N22+'8-κ-15-17'!AF22</f>
        <v>45500</v>
      </c>
      <c r="AF22" s="406">
        <f t="shared" ref="AF22:AH22" si="21">AE22/340.75</f>
        <v>133.52898019075568</v>
      </c>
      <c r="AG22" s="262">
        <f t="shared" ref="AG22" si="22">AC22-AE22</f>
        <v>92270</v>
      </c>
      <c r="AH22" s="406">
        <f t="shared" si="21"/>
        <v>270.78503301540718</v>
      </c>
      <c r="AI22" s="740">
        <v>46100</v>
      </c>
      <c r="AJ22" s="283">
        <f t="shared" ref="AJ22" si="23">Y22+AB22</f>
        <v>200982.50688773423</v>
      </c>
      <c r="AK22" s="741"/>
      <c r="AL22" s="67"/>
      <c r="AM22" s="67"/>
      <c r="AN22" s="67"/>
      <c r="AO22" s="67"/>
      <c r="AP22" s="67"/>
    </row>
    <row r="23" spans="1:42" s="5" customFormat="1" ht="12" thickBot="1">
      <c r="A23" s="340">
        <f>'1-συμβολαια'!A23</f>
        <v>0</v>
      </c>
      <c r="B23" s="341"/>
      <c r="C23" s="356" t="str">
        <f>'1-συμβολαια'!C23</f>
        <v>πληρεξουσιότητα</v>
      </c>
      <c r="D23" s="342" t="str">
        <f>'4-πολλυπρ'!D23</f>
        <v>219-16</v>
      </c>
      <c r="E23" s="342" t="str">
        <f>'4-πολλυπρ'!I23</f>
        <v>219-16</v>
      </c>
      <c r="F23" s="342">
        <f>'14-βιβλΕσ'!O23</f>
        <v>1045</v>
      </c>
      <c r="G23" s="344">
        <f>'14-βιβλΕσ'!Q23</f>
        <v>100</v>
      </c>
      <c r="H23" s="344">
        <f t="shared" ref="H23:H46" si="24">F23+G23</f>
        <v>1145</v>
      </c>
      <c r="I23" s="398">
        <f t="shared" ref="I23:I45" si="25">H23/340.75</f>
        <v>3.3602347762289067</v>
      </c>
      <c r="J23" s="344">
        <f>'8-κ-15-17'!AG23</f>
        <v>0</v>
      </c>
      <c r="K23" s="398">
        <f t="shared" ref="K23:K45" si="26">J23/340.75</f>
        <v>0</v>
      </c>
      <c r="L23" s="344">
        <f>'14-βιβλΕσ'!R23</f>
        <v>0</v>
      </c>
      <c r="M23" s="398">
        <f t="shared" ref="M23:M45" si="27">L23/340.75</f>
        <v>0</v>
      </c>
      <c r="N23" s="344">
        <f>('14-βιβλΕσ'!N23+'14-βιβλΕσ'!O23+'14-βιβλΕσ'!R23)*30%</f>
        <v>5325</v>
      </c>
      <c r="O23" s="398">
        <f t="shared" ref="O23:O45" si="28">N23/340.75</f>
        <v>15.627292736610418</v>
      </c>
      <c r="P23" s="736"/>
      <c r="Q23" s="736"/>
      <c r="R23" s="736"/>
      <c r="S23" s="736"/>
      <c r="T23" s="736"/>
      <c r="U23" s="344">
        <f t="shared" ref="U23:U45" si="29">AG23</f>
        <v>17850</v>
      </c>
      <c r="V23" s="398">
        <f t="shared" ref="V23:V45" si="30">U23/340.75</f>
        <v>52.384446074834926</v>
      </c>
      <c r="W23" s="344">
        <f t="shared" si="13"/>
        <v>17850</v>
      </c>
      <c r="X23" s="398">
        <f t="shared" ref="X23:X45" si="31">W23/340.75</f>
        <v>52.384446074834926</v>
      </c>
      <c r="Y23" s="344">
        <v>38880.868624103736</v>
      </c>
      <c r="Z23" s="736"/>
      <c r="AA23" s="736"/>
      <c r="AB23" s="736"/>
      <c r="AC23" s="344">
        <f>'1-συμβολαια'!M23+'1-συμβολαια'!Q23+'8-κ-15-17'!AE23+'14-βιβλΕσ'!L23+'14-βιβλΕσ'!Q23+'14-βιβλΕσ'!R23</f>
        <v>17850</v>
      </c>
      <c r="AD23" s="398">
        <f t="shared" ref="AD23:AD45" si="32">AC23/340.75</f>
        <v>52.384446074834926</v>
      </c>
      <c r="AE23" s="344">
        <f>'1-συμβολαια'!N23+'8-κ-15-17'!AF23</f>
        <v>0</v>
      </c>
      <c r="AF23" s="398">
        <f t="shared" ref="AF23:AF45" si="33">AE23/340.75</f>
        <v>0</v>
      </c>
      <c r="AG23" s="344">
        <f t="shared" ref="AG23:AG45" si="34">AC23-AE23</f>
        <v>17850</v>
      </c>
      <c r="AH23" s="398">
        <f t="shared" ref="AH23:AH45" si="35">AG23/340.75</f>
        <v>52.384446074834926</v>
      </c>
      <c r="AI23" s="373"/>
      <c r="AJ23" s="374">
        <f t="shared" ref="AJ23:AJ46" si="36">Y23+AB23</f>
        <v>38880.868624103736</v>
      </c>
      <c r="AK23" s="408"/>
      <c r="AL23" s="67"/>
      <c r="AM23" s="67"/>
      <c r="AN23" s="67"/>
      <c r="AO23" s="67"/>
      <c r="AP23" s="67"/>
    </row>
    <row r="24" spans="1:42" s="5" customFormat="1">
      <c r="A24" s="428" t="str">
        <f>'1-συμβολαια'!A24</f>
        <v>7ο</v>
      </c>
      <c r="B24" s="304">
        <f>'1-συμβολαια'!B24</f>
        <v>33401</v>
      </c>
      <c r="C24" s="405" t="str">
        <f>'1-συμβολαια'!C24</f>
        <v>;;;??? υποθήκης ΕΞΑΛΕΙΨΗ</v>
      </c>
      <c r="D24" s="278" t="str">
        <f>'4-πολλυπρ'!D24</f>
        <v xml:space="preserve">τραπεζα [= </v>
      </c>
      <c r="E24" s="278">
        <f>'4-πολλυπρ'!I24</f>
        <v>0</v>
      </c>
      <c r="F24" s="278">
        <f>'14-βιβλΕσ'!O24</f>
        <v>66</v>
      </c>
      <c r="G24" s="262">
        <f>'14-βιβλΕσ'!Q24</f>
        <v>457</v>
      </c>
      <c r="H24" s="262">
        <f t="shared" si="24"/>
        <v>523</v>
      </c>
      <c r="I24" s="406">
        <f t="shared" si="25"/>
        <v>1.5348495964783566</v>
      </c>
      <c r="J24" s="262">
        <f>'8-κ-15-17'!AG24</f>
        <v>0</v>
      </c>
      <c r="K24" s="406">
        <f t="shared" si="26"/>
        <v>0</v>
      </c>
      <c r="L24" s="262">
        <f>'14-βιβλΕσ'!R24</f>
        <v>8590</v>
      </c>
      <c r="M24" s="406">
        <f t="shared" si="27"/>
        <v>25.209097578870139</v>
      </c>
      <c r="N24" s="262">
        <f>('14-βιβλΕσ'!N24+'14-βιβλΕσ'!O24+'14-βιβλΕσ'!R24)*30%</f>
        <v>3069</v>
      </c>
      <c r="O24" s="406">
        <f t="shared" si="28"/>
        <v>9.0066030814380049</v>
      </c>
      <c r="P24" s="409"/>
      <c r="Q24" s="409"/>
      <c r="R24" s="409"/>
      <c r="S24" s="409"/>
      <c r="T24" s="409"/>
      <c r="U24" s="262">
        <f t="shared" si="29"/>
        <v>10687</v>
      </c>
      <c r="V24" s="406">
        <f t="shared" si="30"/>
        <v>31.363169479090242</v>
      </c>
      <c r="W24" s="262">
        <f t="shared" si="13"/>
        <v>10687</v>
      </c>
      <c r="X24" s="406">
        <f t="shared" si="31"/>
        <v>31.363169479090242</v>
      </c>
      <c r="Y24" s="262">
        <v>16894.189212067031</v>
      </c>
      <c r="Z24" s="409"/>
      <c r="AA24" s="409"/>
      <c r="AB24" s="409"/>
      <c r="AC24" s="262">
        <f>'1-συμβολαια'!M24+'1-συμβολαια'!Q24+'8-κ-15-17'!AE24+'14-βιβλΕσ'!L24+'14-βιβλΕσ'!Q24+'14-βιβλΕσ'!R24+50</f>
        <v>12217</v>
      </c>
      <c r="AD24" s="406">
        <f t="shared" si="32"/>
        <v>35.853264856933237</v>
      </c>
      <c r="AE24" s="262">
        <f>'1-συμβολαια'!N24+'8-κ-15-17'!AF24</f>
        <v>1530</v>
      </c>
      <c r="AF24" s="406">
        <f t="shared" si="33"/>
        <v>4.4900953778429935</v>
      </c>
      <c r="AG24" s="262">
        <f t="shared" si="34"/>
        <v>10687</v>
      </c>
      <c r="AH24" s="406">
        <f t="shared" si="35"/>
        <v>31.363169479090242</v>
      </c>
      <c r="AI24" s="740">
        <v>46100</v>
      </c>
      <c r="AJ24" s="283">
        <f t="shared" si="36"/>
        <v>16894.189212067031</v>
      </c>
      <c r="AK24" s="741"/>
      <c r="AL24" s="67"/>
      <c r="AM24" s="67"/>
      <c r="AN24" s="67"/>
      <c r="AO24" s="67"/>
      <c r="AP24" s="67"/>
    </row>
    <row r="25" spans="1:42" s="5" customFormat="1">
      <c r="A25" s="428">
        <f>'1-συμβολαια'!A25</f>
        <v>0</v>
      </c>
      <c r="B25" s="304"/>
      <c r="C25" s="405" t="str">
        <f>'1-συμβολαια'!C25</f>
        <v>υποθήκης 375τραπ29/7/82 ΕΞΑΛΕΙΨΗ</v>
      </c>
      <c r="D25" s="278" t="str">
        <f>'4-πολλυπρ'!D25</f>
        <v xml:space="preserve">τραπεζα [= </v>
      </c>
      <c r="E25" s="278">
        <f>'4-πολλυπρ'!I25</f>
        <v>0</v>
      </c>
      <c r="F25" s="278">
        <f>'14-βιβλΕσ'!O25</f>
        <v>110</v>
      </c>
      <c r="G25" s="262">
        <f>'14-βιβλΕσ'!Q25</f>
        <v>110</v>
      </c>
      <c r="H25" s="262">
        <f t="shared" si="24"/>
        <v>220</v>
      </c>
      <c r="I25" s="406">
        <f t="shared" si="25"/>
        <v>0.64563462949376371</v>
      </c>
      <c r="J25" s="262">
        <f>'8-κ-15-17'!AG25</f>
        <v>0</v>
      </c>
      <c r="K25" s="406">
        <f t="shared" si="26"/>
        <v>0</v>
      </c>
      <c r="L25" s="262">
        <f>'14-βιβλΕσ'!R25</f>
        <v>2130</v>
      </c>
      <c r="M25" s="406">
        <f t="shared" si="27"/>
        <v>6.2509170946441674</v>
      </c>
      <c r="N25" s="262">
        <f>('14-βιβλΕσ'!N25+'14-βιβλΕσ'!O25+'14-βιβλΕσ'!R25)*30%</f>
        <v>1299</v>
      </c>
      <c r="O25" s="406">
        <f t="shared" si="28"/>
        <v>3.8121790168745413</v>
      </c>
      <c r="P25" s="411"/>
      <c r="Q25" s="411"/>
      <c r="R25" s="411"/>
      <c r="S25" s="411"/>
      <c r="T25" s="411"/>
      <c r="U25" s="264">
        <f t="shared" si="29"/>
        <v>4440</v>
      </c>
      <c r="V25" s="372">
        <f t="shared" si="30"/>
        <v>13.030080704328686</v>
      </c>
      <c r="W25" s="262">
        <f t="shared" si="13"/>
        <v>4440</v>
      </c>
      <c r="X25" s="406">
        <f t="shared" si="31"/>
        <v>13.030080704328686</v>
      </c>
      <c r="Y25" s="264">
        <v>7018.8266212760891</v>
      </c>
      <c r="Z25" s="411"/>
      <c r="AA25" s="411"/>
      <c r="AB25" s="411"/>
      <c r="AC25" s="262">
        <f>'1-συμβολαια'!M25+'1-συμβολαια'!Q25+'8-κ-15-17'!AE25+'14-βιβλΕσ'!L25+'14-βιβλΕσ'!Q25+'14-βιβλΕσ'!R25</f>
        <v>4440</v>
      </c>
      <c r="AD25" s="406">
        <f t="shared" si="32"/>
        <v>13.030080704328686</v>
      </c>
      <c r="AE25" s="262">
        <f>'1-συμβολαια'!N25+'8-κ-15-17'!AF25</f>
        <v>0</v>
      </c>
      <c r="AF25" s="406">
        <f t="shared" si="33"/>
        <v>0</v>
      </c>
      <c r="AG25" s="262">
        <f t="shared" si="34"/>
        <v>4440</v>
      </c>
      <c r="AH25" s="406">
        <f t="shared" si="35"/>
        <v>13.030080704328686</v>
      </c>
      <c r="AI25" s="370"/>
      <c r="AJ25" s="283">
        <f t="shared" si="36"/>
        <v>7018.8266212760891</v>
      </c>
      <c r="AK25" s="407"/>
      <c r="AL25" s="67"/>
      <c r="AM25" s="67"/>
      <c r="AN25" s="67"/>
      <c r="AO25" s="67"/>
      <c r="AP25" s="67"/>
    </row>
    <row r="26" spans="1:42" s="5" customFormat="1">
      <c r="A26" s="428">
        <f>'1-συμβολαια'!A26</f>
        <v>0</v>
      </c>
      <c r="B26" s="304"/>
      <c r="C26" s="405" t="str">
        <f>'1-συμβολαια'!C26</f>
        <v>δάνειο 375τραπ 9/7/82 ΕΞΟΦΛΗΣΗ</v>
      </c>
      <c r="D26" s="278" t="str">
        <f>'4-πολλυπρ'!D26</f>
        <v xml:space="preserve">τραπεζα [= </v>
      </c>
      <c r="E26" s="278">
        <f>'4-πολλυπρ'!I26</f>
        <v>0</v>
      </c>
      <c r="F26" s="278">
        <f>'14-βιβλΕσ'!O26</f>
        <v>110</v>
      </c>
      <c r="G26" s="262">
        <f>'14-βιβλΕσ'!Q26</f>
        <v>50</v>
      </c>
      <c r="H26" s="262">
        <f t="shared" si="24"/>
        <v>160</v>
      </c>
      <c r="I26" s="406">
        <f t="shared" si="25"/>
        <v>0.46955245781364635</v>
      </c>
      <c r="J26" s="262">
        <f>'8-κ-15-17'!AG26</f>
        <v>0</v>
      </c>
      <c r="K26" s="406">
        <f t="shared" si="26"/>
        <v>0</v>
      </c>
      <c r="L26" s="262">
        <f>'14-βιβλΕσ'!R26</f>
        <v>0</v>
      </c>
      <c r="M26" s="406">
        <f t="shared" si="27"/>
        <v>0</v>
      </c>
      <c r="N26" s="262">
        <f>('14-βιβλΕσ'!N26+'14-βιβλΕσ'!O26+'14-βιβλΕσ'!R26)*30%</f>
        <v>390</v>
      </c>
      <c r="O26" s="406">
        <f t="shared" si="28"/>
        <v>1.1445341159207629</v>
      </c>
      <c r="P26" s="411"/>
      <c r="Q26" s="411"/>
      <c r="R26" s="411"/>
      <c r="S26" s="411"/>
      <c r="T26" s="411"/>
      <c r="U26" s="264">
        <f t="shared" si="29"/>
        <v>1350</v>
      </c>
      <c r="V26" s="372">
        <f t="shared" si="30"/>
        <v>3.9618488628026411</v>
      </c>
      <c r="W26" s="262">
        <f t="shared" si="13"/>
        <v>1350</v>
      </c>
      <c r="X26" s="406">
        <f t="shared" si="31"/>
        <v>3.9618488628026411</v>
      </c>
      <c r="Y26" s="264">
        <v>2134.1026889015125</v>
      </c>
      <c r="Z26" s="411"/>
      <c r="AA26" s="411"/>
      <c r="AB26" s="411"/>
      <c r="AC26" s="262">
        <f>'1-συμβολαια'!M26+'1-συμβολαια'!Q26+'8-κ-15-17'!AE26+'14-βιβλΕσ'!L26+'14-βιβλΕσ'!Q26+'14-βιβλΕσ'!R26</f>
        <v>1350</v>
      </c>
      <c r="AD26" s="406">
        <f t="shared" si="32"/>
        <v>3.9618488628026411</v>
      </c>
      <c r="AE26" s="262">
        <f>'1-συμβολαια'!N26+'8-κ-15-17'!AF26</f>
        <v>0</v>
      </c>
      <c r="AF26" s="406">
        <f t="shared" si="33"/>
        <v>0</v>
      </c>
      <c r="AG26" s="262">
        <f t="shared" si="34"/>
        <v>1350</v>
      </c>
      <c r="AH26" s="406">
        <f t="shared" si="35"/>
        <v>3.9618488628026411</v>
      </c>
      <c r="AI26" s="370"/>
      <c r="AJ26" s="283">
        <f t="shared" si="36"/>
        <v>2134.1026889015125</v>
      </c>
      <c r="AK26" s="407"/>
      <c r="AL26" s="67"/>
      <c r="AM26" s="67"/>
      <c r="AN26" s="67"/>
      <c r="AO26" s="67"/>
      <c r="AP26" s="67"/>
    </row>
    <row r="27" spans="1:42" s="5" customFormat="1">
      <c r="A27" s="428">
        <f>'1-συμβολαια'!A27</f>
        <v>0</v>
      </c>
      <c r="B27" s="304"/>
      <c r="C27" s="405" t="str">
        <f>'1-συμβολαια'!C27</f>
        <v>τόκοι δανείου 375τραπ {= προπληρωθέντες VS υπερΠληρωθέντες</v>
      </c>
      <c r="D27" s="278" t="str">
        <f>'4-πολλυπρ'!D27</f>
        <v xml:space="preserve">τραπεζα [= </v>
      </c>
      <c r="E27" s="278">
        <f>'4-πολλυπρ'!I27</f>
        <v>0</v>
      </c>
      <c r="F27" s="278">
        <f>'14-βιβλΕσ'!O27</f>
        <v>2127.166475</v>
      </c>
      <c r="G27" s="262">
        <f>'14-βιβλΕσ'!Q27</f>
        <v>500</v>
      </c>
      <c r="H27" s="262">
        <f t="shared" si="24"/>
        <v>2627.166475</v>
      </c>
      <c r="I27" s="406">
        <f t="shared" si="25"/>
        <v>7.709952971386647</v>
      </c>
      <c r="J27" s="262">
        <f>'8-κ-15-17'!AG27</f>
        <v>14444.443000000001</v>
      </c>
      <c r="K27" s="406">
        <f t="shared" si="26"/>
        <v>42.390148202494501</v>
      </c>
      <c r="L27" s="262">
        <f>'14-βιβλΕσ'!R27</f>
        <v>0</v>
      </c>
      <c r="M27" s="406">
        <f t="shared" si="27"/>
        <v>0</v>
      </c>
      <c r="N27" s="262">
        <f>('14-βιβλΕσ'!N27+'14-βιβλΕσ'!O27+'14-βιβλΕσ'!R27)*30%</f>
        <v>4376.33295</v>
      </c>
      <c r="O27" s="406">
        <f t="shared" si="28"/>
        <v>12.84323683052091</v>
      </c>
      <c r="P27" s="411"/>
      <c r="Q27" s="411"/>
      <c r="R27" s="411"/>
      <c r="S27" s="411"/>
      <c r="T27" s="411"/>
      <c r="U27" s="264">
        <f t="shared" si="29"/>
        <v>29532.219499999999</v>
      </c>
      <c r="V27" s="372">
        <f t="shared" si="30"/>
        <v>86.668289068231843</v>
      </c>
      <c r="W27" s="262">
        <f t="shared" si="13"/>
        <v>29532.219499999999</v>
      </c>
      <c r="X27" s="406">
        <f t="shared" si="31"/>
        <v>86.668289068231843</v>
      </c>
      <c r="Y27" s="264">
        <v>46685.028921614648</v>
      </c>
      <c r="Z27" s="411"/>
      <c r="AA27" s="411"/>
      <c r="AB27" s="411"/>
      <c r="AC27" s="262">
        <f>'1-συμβολαια'!M27+'1-συμβολαια'!Q27+'8-κ-15-17'!AE27+'14-βιβλΕσ'!L27+'14-βιβλΕσ'!Q27+'14-βιβλΕσ'!R27</f>
        <v>29532.219499999999</v>
      </c>
      <c r="AD27" s="406">
        <f t="shared" si="32"/>
        <v>86.668289068231843</v>
      </c>
      <c r="AE27" s="262">
        <f>'1-συμβολαια'!N27+'8-κ-15-17'!AF27</f>
        <v>0</v>
      </c>
      <c r="AF27" s="406">
        <f t="shared" si="33"/>
        <v>0</v>
      </c>
      <c r="AG27" s="262">
        <f t="shared" si="34"/>
        <v>29532.219499999999</v>
      </c>
      <c r="AH27" s="406">
        <f t="shared" si="35"/>
        <v>86.668289068231843</v>
      </c>
      <c r="AI27" s="370"/>
      <c r="AJ27" s="283">
        <f t="shared" si="36"/>
        <v>46685.028921614648</v>
      </c>
      <c r="AK27" s="407"/>
      <c r="AL27" s="67"/>
      <c r="AM27" s="67"/>
      <c r="AN27" s="67"/>
      <c r="AO27" s="67"/>
      <c r="AP27" s="67"/>
    </row>
    <row r="28" spans="1:42" s="5" customFormat="1">
      <c r="A28" s="428">
        <f>'1-συμβολαια'!A28</f>
        <v>0</v>
      </c>
      <c r="B28" s="304"/>
      <c r="C28" s="405" t="str">
        <f>'1-συμβολαια'!C28</f>
        <v>υποθήκης 389τραπ29/7/82 ΕΞΑΛΕΙΨΗ</v>
      </c>
      <c r="D28" s="278" t="str">
        <f>'4-πολλυπρ'!D28</f>
        <v xml:space="preserve">τραπεζα [= </v>
      </c>
      <c r="E28" s="278">
        <f>'4-πολλυπρ'!I28</f>
        <v>0</v>
      </c>
      <c r="F28" s="278">
        <f>'14-βιβλΕσ'!O28</f>
        <v>110</v>
      </c>
      <c r="G28" s="262">
        <f>'14-βιβλΕσ'!Q28</f>
        <v>110</v>
      </c>
      <c r="H28" s="262">
        <f t="shared" si="24"/>
        <v>220</v>
      </c>
      <c r="I28" s="406">
        <f t="shared" si="25"/>
        <v>0.64563462949376371</v>
      </c>
      <c r="J28" s="262">
        <f>'8-κ-15-17'!AG28</f>
        <v>0</v>
      </c>
      <c r="K28" s="406">
        <f t="shared" si="26"/>
        <v>0</v>
      </c>
      <c r="L28" s="262">
        <f>'14-βιβλΕσ'!R28</f>
        <v>2130</v>
      </c>
      <c r="M28" s="406">
        <f t="shared" si="27"/>
        <v>6.2509170946441674</v>
      </c>
      <c r="N28" s="262">
        <f>('14-βιβλΕσ'!N28+'14-βιβλΕσ'!O28+'14-βιβλΕσ'!R28)*30%</f>
        <v>1299</v>
      </c>
      <c r="O28" s="406">
        <f t="shared" si="28"/>
        <v>3.8121790168745413</v>
      </c>
      <c r="P28" s="411"/>
      <c r="Q28" s="411"/>
      <c r="R28" s="411"/>
      <c r="S28" s="411"/>
      <c r="T28" s="411"/>
      <c r="U28" s="264">
        <f t="shared" si="29"/>
        <v>4440</v>
      </c>
      <c r="V28" s="372">
        <f t="shared" si="30"/>
        <v>13.030080704328686</v>
      </c>
      <c r="W28" s="262">
        <f t="shared" si="13"/>
        <v>4440</v>
      </c>
      <c r="X28" s="406">
        <f t="shared" si="31"/>
        <v>13.030080704328686</v>
      </c>
      <c r="Y28" s="264">
        <v>7018.8266212760891</v>
      </c>
      <c r="Z28" s="411"/>
      <c r="AA28" s="411"/>
      <c r="AB28" s="411"/>
      <c r="AC28" s="262">
        <f>'1-συμβολαια'!M28+'1-συμβολαια'!Q28+'8-κ-15-17'!AE28+'14-βιβλΕσ'!L28+'14-βιβλΕσ'!Q28+'14-βιβλΕσ'!R28</f>
        <v>4440</v>
      </c>
      <c r="AD28" s="406">
        <f t="shared" si="32"/>
        <v>13.030080704328686</v>
      </c>
      <c r="AE28" s="262">
        <f>'1-συμβολαια'!N28+'8-κ-15-17'!AF28</f>
        <v>0</v>
      </c>
      <c r="AF28" s="406">
        <f t="shared" si="33"/>
        <v>0</v>
      </c>
      <c r="AG28" s="262">
        <f t="shared" si="34"/>
        <v>4440</v>
      </c>
      <c r="AH28" s="406">
        <f t="shared" si="35"/>
        <v>13.030080704328686</v>
      </c>
      <c r="AI28" s="370"/>
      <c r="AJ28" s="283">
        <f t="shared" si="36"/>
        <v>7018.8266212760891</v>
      </c>
      <c r="AK28" s="407"/>
      <c r="AL28" s="67"/>
      <c r="AM28" s="67"/>
      <c r="AN28" s="67"/>
      <c r="AO28" s="67"/>
      <c r="AP28" s="67"/>
    </row>
    <row r="29" spans="1:42" s="5" customFormat="1">
      <c r="A29" s="428">
        <f>'1-συμβολαια'!A29</f>
        <v>0</v>
      </c>
      <c r="B29" s="304"/>
      <c r="C29" s="405" t="str">
        <f>'1-συμβολαια'!C29</f>
        <v>δάνειο 389τραπ29/7/82 ΕΞΟΦΛΗΣΗ</v>
      </c>
      <c r="D29" s="278" t="str">
        <f>'4-πολλυπρ'!D29</f>
        <v xml:space="preserve">τραπεζα [= </v>
      </c>
      <c r="E29" s="278">
        <f>'4-πολλυπρ'!I29</f>
        <v>0</v>
      </c>
      <c r="F29" s="278">
        <f>'14-βιβλΕσ'!O29</f>
        <v>110</v>
      </c>
      <c r="G29" s="262">
        <f>'14-βιβλΕσ'!Q29</f>
        <v>50</v>
      </c>
      <c r="H29" s="262">
        <f t="shared" si="24"/>
        <v>160</v>
      </c>
      <c r="I29" s="406">
        <f t="shared" si="25"/>
        <v>0.46955245781364635</v>
      </c>
      <c r="J29" s="262">
        <f>'8-κ-15-17'!AG29</f>
        <v>0</v>
      </c>
      <c r="K29" s="406">
        <f t="shared" si="26"/>
        <v>0</v>
      </c>
      <c r="L29" s="262">
        <f>'14-βιβλΕσ'!R29</f>
        <v>0</v>
      </c>
      <c r="M29" s="406">
        <f t="shared" si="27"/>
        <v>0</v>
      </c>
      <c r="N29" s="262">
        <f>('14-βιβλΕσ'!N29+'14-βιβλΕσ'!O29+'14-βιβλΕσ'!R29)*30%</f>
        <v>390</v>
      </c>
      <c r="O29" s="406">
        <f t="shared" si="28"/>
        <v>1.1445341159207629</v>
      </c>
      <c r="P29" s="411"/>
      <c r="Q29" s="411"/>
      <c r="R29" s="411"/>
      <c r="S29" s="411"/>
      <c r="T29" s="411"/>
      <c r="U29" s="264">
        <f t="shared" si="29"/>
        <v>1350</v>
      </c>
      <c r="V29" s="372">
        <f t="shared" si="30"/>
        <v>3.9618488628026411</v>
      </c>
      <c r="W29" s="262">
        <f t="shared" si="13"/>
        <v>1350</v>
      </c>
      <c r="X29" s="406">
        <f t="shared" si="31"/>
        <v>3.9618488628026411</v>
      </c>
      <c r="Y29" s="264">
        <v>2134.1026889015125</v>
      </c>
      <c r="Z29" s="411"/>
      <c r="AA29" s="411"/>
      <c r="AB29" s="411"/>
      <c r="AC29" s="262">
        <f>'1-συμβολαια'!M29+'1-συμβολαια'!Q29+'8-κ-15-17'!AE29+'14-βιβλΕσ'!L29+'14-βιβλΕσ'!Q29+'14-βιβλΕσ'!R29</f>
        <v>1350</v>
      </c>
      <c r="AD29" s="406">
        <f t="shared" si="32"/>
        <v>3.9618488628026411</v>
      </c>
      <c r="AE29" s="262">
        <f>'1-συμβολαια'!N29+'8-κ-15-17'!AF29</f>
        <v>0</v>
      </c>
      <c r="AF29" s="406">
        <f t="shared" si="33"/>
        <v>0</v>
      </c>
      <c r="AG29" s="262">
        <f t="shared" si="34"/>
        <v>1350</v>
      </c>
      <c r="AH29" s="406">
        <f t="shared" si="35"/>
        <v>3.9618488628026411</v>
      </c>
      <c r="AI29" s="370"/>
      <c r="AJ29" s="283">
        <f t="shared" si="36"/>
        <v>2134.1026889015125</v>
      </c>
      <c r="AK29" s="407"/>
      <c r="AL29" s="67"/>
      <c r="AM29" s="67"/>
      <c r="AN29" s="67"/>
      <c r="AO29" s="67"/>
      <c r="AP29" s="67"/>
    </row>
    <row r="30" spans="1:42" s="5" customFormat="1" ht="12" thickBot="1">
      <c r="A30" s="484">
        <f>'1-συμβολαια'!A30</f>
        <v>0</v>
      </c>
      <c r="B30" s="341"/>
      <c r="C30" s="356" t="str">
        <f>'1-συμβολαια'!C30</f>
        <v>τόκοι δανείου 389τραπ {= προπληρωθέντες VS υπερΠληρωθέντες</v>
      </c>
      <c r="D30" s="342" t="str">
        <f>'4-πολλυπρ'!D30</f>
        <v xml:space="preserve">τραπεζα [= </v>
      </c>
      <c r="E30" s="342">
        <f>'4-πολλυπρ'!I30</f>
        <v>0</v>
      </c>
      <c r="F30" s="342">
        <f>'14-βιβλΕσ'!O30</f>
        <v>4043.83295</v>
      </c>
      <c r="G30" s="344">
        <f>'14-βιβλΕσ'!Q30</f>
        <v>500</v>
      </c>
      <c r="H30" s="344">
        <f t="shared" si="24"/>
        <v>4543.83295</v>
      </c>
      <c r="I30" s="398">
        <f t="shared" si="25"/>
        <v>13.33479955979457</v>
      </c>
      <c r="J30" s="344">
        <f>'8-κ-15-17'!AG30</f>
        <v>28888.886000000002</v>
      </c>
      <c r="K30" s="398">
        <f t="shared" si="26"/>
        <v>84.780296404989002</v>
      </c>
      <c r="L30" s="344">
        <f>'14-βιβλΕσ'!R30</f>
        <v>0</v>
      </c>
      <c r="M30" s="398">
        <f t="shared" si="27"/>
        <v>0</v>
      </c>
      <c r="N30" s="344">
        <f>('14-βιβλΕσ'!N30+'14-βιβλΕσ'!O30+'14-βιβλΕσ'!R30)*30%</f>
        <v>8209.6659</v>
      </c>
      <c r="O30" s="398">
        <f t="shared" si="28"/>
        <v>24.092930007336758</v>
      </c>
      <c r="P30" s="736"/>
      <c r="Q30" s="736"/>
      <c r="R30" s="736"/>
      <c r="S30" s="736"/>
      <c r="T30" s="736"/>
      <c r="U30" s="344">
        <f t="shared" si="29"/>
        <v>56754.438999999998</v>
      </c>
      <c r="V30" s="398">
        <f t="shared" si="30"/>
        <v>166.55741452677916</v>
      </c>
      <c r="W30" s="344">
        <f t="shared" si="13"/>
        <v>56754.438999999998</v>
      </c>
      <c r="X30" s="398">
        <f t="shared" si="31"/>
        <v>166.55741452677916</v>
      </c>
      <c r="Y30" s="344">
        <v>89718.371019997881</v>
      </c>
      <c r="Z30" s="736"/>
      <c r="AA30" s="736"/>
      <c r="AB30" s="736"/>
      <c r="AC30" s="344">
        <f>'1-συμβολαια'!M30+'1-συμβολαια'!Q30+'8-κ-15-17'!AE30+'14-βιβλΕσ'!L30+'14-βιβλΕσ'!Q30+'14-βιβλΕσ'!R30</f>
        <v>56754.438999999998</v>
      </c>
      <c r="AD30" s="398">
        <f t="shared" si="32"/>
        <v>166.55741452677916</v>
      </c>
      <c r="AE30" s="344">
        <f>'1-συμβολαια'!N30+'8-κ-15-17'!AF30</f>
        <v>0</v>
      </c>
      <c r="AF30" s="398">
        <f t="shared" si="33"/>
        <v>0</v>
      </c>
      <c r="AG30" s="344">
        <f t="shared" si="34"/>
        <v>56754.438999999998</v>
      </c>
      <c r="AH30" s="398">
        <f t="shared" si="35"/>
        <v>166.55741452677916</v>
      </c>
      <c r="AI30" s="373"/>
      <c r="AJ30" s="374">
        <f t="shared" si="36"/>
        <v>89718.371019997881</v>
      </c>
      <c r="AK30" s="408"/>
      <c r="AL30" s="67"/>
      <c r="AM30" s="67"/>
      <c r="AN30" s="67"/>
      <c r="AO30" s="67"/>
      <c r="AP30" s="67"/>
    </row>
    <row r="31" spans="1:42" s="5" customFormat="1">
      <c r="A31" s="339" t="str">
        <f>'1-συμβολαια'!A31</f>
        <v>8ο</v>
      </c>
      <c r="B31" s="304">
        <f>'1-συμβολαια'!B31</f>
        <v>33515</v>
      </c>
      <c r="C31" s="405" t="str">
        <f>'1-συμβολαια'!C31</f>
        <v>μίσθωσης νταμάρι …. ΠΑΡΑΤΑΣΗ 3έτη</v>
      </c>
      <c r="D31" s="278" t="str">
        <f>'4-πολλυπρ'!D31</f>
        <v>219-16</v>
      </c>
      <c r="E31" s="278">
        <f>'4-πολλυπρ'!I31</f>
        <v>0</v>
      </c>
      <c r="F31" s="278">
        <f>'14-βιβλΕσ'!O31</f>
        <v>2009.9833250000001</v>
      </c>
      <c r="G31" s="262">
        <f>'14-βιβλΕσ'!Q31</f>
        <v>0</v>
      </c>
      <c r="H31" s="262">
        <f t="shared" si="24"/>
        <v>2009.9833250000001</v>
      </c>
      <c r="I31" s="406">
        <f t="shared" si="25"/>
        <v>5.8987038151137199</v>
      </c>
      <c r="J31" s="262">
        <f>'8-κ-15-17'!AG31</f>
        <v>12566.541000000001</v>
      </c>
      <c r="K31" s="406">
        <f t="shared" si="26"/>
        <v>36.879063829787235</v>
      </c>
      <c r="L31" s="262">
        <f>'14-βιβλΕσ'!R31</f>
        <v>8270</v>
      </c>
      <c r="M31" s="406">
        <f t="shared" si="27"/>
        <v>24.269992663242846</v>
      </c>
      <c r="N31" s="262">
        <f>('14-βιβλΕσ'!N31+'14-βιβλΕσ'!O31+'14-βιβλΕσ'!R31)*30%</f>
        <v>6178.9666500000003</v>
      </c>
      <c r="O31" s="406">
        <f t="shared" si="28"/>
        <v>18.133431107850331</v>
      </c>
      <c r="P31" s="409"/>
      <c r="Q31" s="409"/>
      <c r="R31" s="409"/>
      <c r="S31" s="409"/>
      <c r="T31" s="409"/>
      <c r="U31" s="262">
        <f t="shared" si="29"/>
        <v>33163.0965</v>
      </c>
      <c r="V31" s="406">
        <f t="shared" si="30"/>
        <v>97.323834189288334</v>
      </c>
      <c r="W31" s="262">
        <f t="shared" si="13"/>
        <v>33163.0965</v>
      </c>
      <c r="X31" s="406">
        <f t="shared" si="31"/>
        <v>97.323834189288334</v>
      </c>
      <c r="Y31" s="262">
        <v>46887.521461483346</v>
      </c>
      <c r="Z31" s="409"/>
      <c r="AA31" s="409"/>
      <c r="AB31" s="409"/>
      <c r="AC31" s="262">
        <f>'1-συμβολαια'!M31+'1-συμβολαια'!Q31+'8-κ-15-17'!AE31+'14-βιβλΕσ'!L31+'14-βιβλΕσ'!Q31+'14-βιβλΕσ'!R31+280</f>
        <v>35243.0965</v>
      </c>
      <c r="AD31" s="406">
        <f t="shared" si="32"/>
        <v>103.42801614086574</v>
      </c>
      <c r="AE31" s="262">
        <f>'1-συμβολαια'!N31+'8-κ-15-17'!AF31</f>
        <v>2080</v>
      </c>
      <c r="AF31" s="406">
        <f t="shared" si="33"/>
        <v>6.1041819515774032</v>
      </c>
      <c r="AG31" s="262">
        <f t="shared" si="34"/>
        <v>33163.0965</v>
      </c>
      <c r="AH31" s="406">
        <f t="shared" si="35"/>
        <v>97.323834189288334</v>
      </c>
      <c r="AI31" s="740">
        <v>46100</v>
      </c>
      <c r="AJ31" s="283">
        <f t="shared" si="36"/>
        <v>46887.521461483346</v>
      </c>
      <c r="AK31" s="741"/>
      <c r="AL31" s="67"/>
      <c r="AM31" s="67"/>
      <c r="AN31" s="67"/>
      <c r="AO31" s="67"/>
      <c r="AP31" s="67"/>
    </row>
    <row r="32" spans="1:42" s="5" customFormat="1" ht="14.25" thickBot="1">
      <c r="A32" s="340">
        <f>'1-συμβολαια'!A32</f>
        <v>0</v>
      </c>
      <c r="B32" s="341"/>
      <c r="C32" s="591" t="str">
        <f>'1-συμβολαια'!C32</f>
        <v>ΧΑΟΣ= κλείσιμο &amp; εκ ΝΕΟΥ</v>
      </c>
      <c r="D32" s="342">
        <f>'4-πολλυπρ'!D32</f>
        <v>0</v>
      </c>
      <c r="E32" s="342">
        <f>'4-πολλυπρ'!I32</f>
        <v>0</v>
      </c>
      <c r="F32" s="342">
        <f>'14-βιβλΕσ'!O32</f>
        <v>0</v>
      </c>
      <c r="G32" s="344">
        <f>'14-βιβλΕσ'!Q32</f>
        <v>0</v>
      </c>
      <c r="H32" s="344">
        <f t="shared" si="24"/>
        <v>0</v>
      </c>
      <c r="I32" s="617"/>
      <c r="J32" s="596"/>
      <c r="K32" s="617"/>
      <c r="L32" s="596"/>
      <c r="M32" s="617"/>
      <c r="N32" s="596"/>
      <c r="O32" s="617"/>
      <c r="P32" s="596"/>
      <c r="Q32" s="596"/>
      <c r="R32" s="596"/>
      <c r="S32" s="596"/>
      <c r="T32" s="596"/>
      <c r="U32" s="603"/>
      <c r="V32" s="738"/>
      <c r="W32" s="344">
        <f t="shared" si="13"/>
        <v>0</v>
      </c>
      <c r="X32" s="739"/>
      <c r="Y32" s="603">
        <v>0</v>
      </c>
      <c r="Z32" s="603"/>
      <c r="AA32" s="603"/>
      <c r="AB32" s="603"/>
      <c r="AC32" s="615"/>
      <c r="AD32" s="739"/>
      <c r="AE32" s="615"/>
      <c r="AF32" s="739"/>
      <c r="AG32" s="742"/>
      <c r="AH32" s="743"/>
      <c r="AI32" s="748"/>
      <c r="AJ32" s="374">
        <f t="shared" si="36"/>
        <v>0</v>
      </c>
      <c r="AK32" s="749"/>
      <c r="AL32" s="67"/>
      <c r="AM32" s="67"/>
      <c r="AN32" s="67"/>
      <c r="AO32" s="67"/>
      <c r="AP32" s="67"/>
    </row>
    <row r="33" spans="1:42" s="5" customFormat="1">
      <c r="A33" s="428" t="str">
        <f>'1-συμβολαια'!A33</f>
        <v>9ο</v>
      </c>
      <c r="B33" s="304">
        <f>'1-συμβολαια'!B33</f>
        <v>33675</v>
      </c>
      <c r="C33" s="405" t="str">
        <f>'1-συμβολαια'!C33</f>
        <v xml:space="preserve">υποθήκη </v>
      </c>
      <c r="D33" s="278" t="str">
        <f>'4-πολλυπρ'!D33</f>
        <v xml:space="preserve">τραπεζα [= </v>
      </c>
      <c r="E33" s="278" t="str">
        <f>'4-πολλυπρ'!I33</f>
        <v>219-16</v>
      </c>
      <c r="F33" s="278">
        <f>'14-βιβλΕσ'!O33</f>
        <v>533</v>
      </c>
      <c r="G33" s="262">
        <f>'14-βιβλΕσ'!Q33</f>
        <v>828</v>
      </c>
      <c r="H33" s="262">
        <f t="shared" si="24"/>
        <v>1361</v>
      </c>
      <c r="I33" s="406">
        <f t="shared" si="25"/>
        <v>3.9941305942773293</v>
      </c>
      <c r="J33" s="262">
        <f>'8-κ-15-17'!AG33</f>
        <v>0</v>
      </c>
      <c r="K33" s="406">
        <f t="shared" si="26"/>
        <v>0</v>
      </c>
      <c r="L33" s="262">
        <f>'14-βιβλΕσ'!R33</f>
        <v>8700</v>
      </c>
      <c r="M33" s="406">
        <f t="shared" si="27"/>
        <v>25.531914893617021</v>
      </c>
      <c r="N33" s="262">
        <f>('14-βιβλΕσ'!N33+'14-βιβλΕσ'!O33+'14-βιβλΕσ'!R33)*30%</f>
        <v>5172</v>
      </c>
      <c r="O33" s="406">
        <f t="shared" si="28"/>
        <v>15.178283198826119</v>
      </c>
      <c r="P33" s="409"/>
      <c r="Q33" s="409"/>
      <c r="R33" s="409"/>
      <c r="S33" s="409"/>
      <c r="T33" s="409"/>
      <c r="U33" s="264">
        <f t="shared" si="29"/>
        <v>16908</v>
      </c>
      <c r="V33" s="372">
        <f t="shared" si="30"/>
        <v>49.619955979457082</v>
      </c>
      <c r="W33" s="262">
        <f t="shared" si="13"/>
        <v>16908</v>
      </c>
      <c r="X33" s="406">
        <f t="shared" si="31"/>
        <v>49.619955979457082</v>
      </c>
      <c r="Y33" s="264">
        <v>20791.951882060013</v>
      </c>
      <c r="Z33" s="411"/>
      <c r="AA33" s="411"/>
      <c r="AB33" s="411"/>
      <c r="AC33" s="262">
        <f>'1-συμβολαια'!M33+'1-συμβολαια'!Q33+'8-κ-15-17'!AE33+'14-βιβλΕσ'!L33+'14-βιβλΕσ'!Q33+'14-βιβλΕσ'!R33+1140</f>
        <v>23708</v>
      </c>
      <c r="AD33" s="406">
        <f t="shared" si="32"/>
        <v>69.575935436537051</v>
      </c>
      <c r="AE33" s="262">
        <f>'1-συμβολαια'!N33+'8-κ-15-17'!AF33</f>
        <v>6800</v>
      </c>
      <c r="AF33" s="406">
        <f t="shared" si="33"/>
        <v>19.95597945707997</v>
      </c>
      <c r="AG33" s="262">
        <f t="shared" si="34"/>
        <v>16908</v>
      </c>
      <c r="AH33" s="406">
        <f t="shared" si="35"/>
        <v>49.619955979457082</v>
      </c>
      <c r="AI33" s="740">
        <v>46100</v>
      </c>
      <c r="AJ33" s="283">
        <f t="shared" si="36"/>
        <v>20791.951882060013</v>
      </c>
      <c r="AK33" s="741"/>
      <c r="AL33" s="67"/>
      <c r="AM33" s="67"/>
      <c r="AN33" s="67"/>
      <c r="AO33" s="67"/>
      <c r="AP33" s="67"/>
    </row>
    <row r="34" spans="1:42" s="5" customFormat="1">
      <c r="A34" s="428" t="str">
        <f>'1-συμβολαια'!A34</f>
        <v>794-1-2-3τραπ</v>
      </c>
      <c r="B34" s="304"/>
      <c r="C34" s="405" t="str">
        <f>'1-συμβολαια'!C34</f>
        <v>υποθήκες δανείων [7/8/89-25/1/1991-8/3/1991-22/11/1991</v>
      </c>
      <c r="D34" s="278" t="str">
        <f>'4-πολλυπρ'!D34</f>
        <v xml:space="preserve">τραπεζα [= </v>
      </c>
      <c r="E34" s="278" t="str">
        <f>'4-πολλυπρ'!I34</f>
        <v>219-16</v>
      </c>
      <c r="F34" s="278">
        <f>'14-βιβλΕσ'!O34</f>
        <v>126710.499425</v>
      </c>
      <c r="G34" s="262">
        <f>'14-βιβλΕσ'!Q34</f>
        <v>1060</v>
      </c>
      <c r="H34" s="262">
        <f t="shared" si="24"/>
        <v>127770.499425</v>
      </c>
      <c r="I34" s="406">
        <f t="shared" si="25"/>
        <v>374.96845025678653</v>
      </c>
      <c r="J34" s="262">
        <f>'8-κ-15-17'!AG34</f>
        <v>953333.32900000003</v>
      </c>
      <c r="K34" s="406">
        <f t="shared" si="26"/>
        <v>2797.7500484225975</v>
      </c>
      <c r="L34" s="262">
        <f>'14-βιβλΕσ'!R34</f>
        <v>4340</v>
      </c>
      <c r="M34" s="406">
        <f t="shared" si="27"/>
        <v>12.736610418195157</v>
      </c>
      <c r="N34" s="262">
        <f>('14-βιβλΕσ'!N34+'14-βιβλΕσ'!O34+'14-βιβλΕσ'!R34)*30%</f>
        <v>255834.99884999997</v>
      </c>
      <c r="O34" s="406">
        <f t="shared" si="28"/>
        <v>750.79970315480546</v>
      </c>
      <c r="P34" s="411"/>
      <c r="Q34" s="411"/>
      <c r="R34" s="411"/>
      <c r="S34" s="411"/>
      <c r="T34" s="411"/>
      <c r="U34" s="264">
        <f t="shared" si="29"/>
        <v>1807176.6584999999</v>
      </c>
      <c r="V34" s="372">
        <f t="shared" si="30"/>
        <v>5303.5265106382976</v>
      </c>
      <c r="W34" s="262">
        <f t="shared" si="13"/>
        <v>1807176.6584999999</v>
      </c>
      <c r="X34" s="406">
        <f t="shared" si="31"/>
        <v>5303.5265106382976</v>
      </c>
      <c r="Y34" s="264">
        <v>2222304.8335648146</v>
      </c>
      <c r="Z34" s="411"/>
      <c r="AA34" s="411"/>
      <c r="AB34" s="411"/>
      <c r="AC34" s="262">
        <f>'1-συμβολαια'!M34+'1-συμβολαια'!Q34+'8-κ-15-17'!AE34+'14-βιβλΕσ'!L34+'14-βιβλΕσ'!Q34+'14-βιβλΕσ'!R34</f>
        <v>1807176.6584999999</v>
      </c>
      <c r="AD34" s="406">
        <f t="shared" si="32"/>
        <v>5303.5265106382976</v>
      </c>
      <c r="AE34" s="262">
        <f>'1-συμβολαια'!N34+'8-κ-15-17'!AF34</f>
        <v>0</v>
      </c>
      <c r="AF34" s="406">
        <f t="shared" si="33"/>
        <v>0</v>
      </c>
      <c r="AG34" s="262">
        <f t="shared" si="34"/>
        <v>1807176.6584999999</v>
      </c>
      <c r="AH34" s="406">
        <f t="shared" si="35"/>
        <v>5303.5265106382976</v>
      </c>
      <c r="AI34" s="370"/>
      <c r="AJ34" s="283">
        <f t="shared" si="36"/>
        <v>2222304.8335648146</v>
      </c>
      <c r="AK34" s="407"/>
      <c r="AL34" s="67"/>
      <c r="AM34" s="67"/>
      <c r="AN34" s="67"/>
      <c r="AO34" s="67"/>
      <c r="AP34" s="67"/>
    </row>
    <row r="35" spans="1:42" s="5" customFormat="1">
      <c r="A35" s="428">
        <f>'1-συμβολαια'!A35</f>
        <v>0</v>
      </c>
      <c r="B35" s="304"/>
      <c r="C35" s="405" t="str">
        <f>'1-συμβολαια'!C35</f>
        <v>δάνεια ανωτέρω υποθηκών</v>
      </c>
      <c r="D35" s="278" t="str">
        <f>'4-πολλυπρ'!D35</f>
        <v xml:space="preserve">τραπεζα [= </v>
      </c>
      <c r="E35" s="278" t="str">
        <f>'4-πολλυπρ'!I35</f>
        <v>219-16</v>
      </c>
      <c r="F35" s="278">
        <f>'14-βιβλΕσ'!O35</f>
        <v>105435.5</v>
      </c>
      <c r="G35" s="262">
        <f>'14-βιβλΕσ'!Q35</f>
        <v>1000</v>
      </c>
      <c r="H35" s="262">
        <f t="shared" si="24"/>
        <v>106435.5</v>
      </c>
      <c r="I35" s="406">
        <f t="shared" si="25"/>
        <v>312.35656639765222</v>
      </c>
      <c r="J35" s="262">
        <f>'8-κ-15-17'!AG35</f>
        <v>793000.00000000012</v>
      </c>
      <c r="K35" s="406">
        <f t="shared" si="26"/>
        <v>2327.2193690388854</v>
      </c>
      <c r="L35" s="262">
        <f>'14-βιβλΕσ'!R35</f>
        <v>0</v>
      </c>
      <c r="M35" s="406">
        <f t="shared" si="27"/>
        <v>0</v>
      </c>
      <c r="N35" s="262">
        <f>('14-βιβλΕσ'!N35+'14-βιβλΕσ'!O35+'14-βιβλΕσ'!R35)*30%</f>
        <v>211623</v>
      </c>
      <c r="O35" s="406">
        <f t="shared" si="28"/>
        <v>621.05062362435808</v>
      </c>
      <c r="P35" s="411"/>
      <c r="Q35" s="411"/>
      <c r="R35" s="411"/>
      <c r="S35" s="411"/>
      <c r="T35" s="411"/>
      <c r="U35" s="264">
        <f t="shared" si="29"/>
        <v>1499410</v>
      </c>
      <c r="V35" s="372">
        <f t="shared" si="30"/>
        <v>4400.3228173147472</v>
      </c>
      <c r="W35" s="262">
        <f t="shared" si="13"/>
        <v>1499410</v>
      </c>
      <c r="X35" s="406">
        <f t="shared" si="31"/>
        <v>4400.3228173147472</v>
      </c>
      <c r="Y35" s="264">
        <v>1843840.8192263753</v>
      </c>
      <c r="Z35" s="411"/>
      <c r="AA35" s="411"/>
      <c r="AB35" s="411"/>
      <c r="AC35" s="262">
        <f>'1-συμβολαια'!M35+'1-συμβολαια'!Q35+'8-κ-15-17'!AE35+'14-βιβλΕσ'!L35+'14-βιβλΕσ'!Q35+'14-βιβλΕσ'!R35</f>
        <v>1499410</v>
      </c>
      <c r="AD35" s="406">
        <f t="shared" si="32"/>
        <v>4400.3228173147472</v>
      </c>
      <c r="AE35" s="262">
        <f>'1-συμβολαια'!N35+'8-κ-15-17'!AF35</f>
        <v>0</v>
      </c>
      <c r="AF35" s="406">
        <f t="shared" si="33"/>
        <v>0</v>
      </c>
      <c r="AG35" s="262">
        <f t="shared" si="34"/>
        <v>1499410</v>
      </c>
      <c r="AH35" s="406">
        <f t="shared" si="35"/>
        <v>4400.3228173147472</v>
      </c>
      <c r="AI35" s="370"/>
      <c r="AJ35" s="283">
        <f t="shared" si="36"/>
        <v>1843840.8192263753</v>
      </c>
      <c r="AK35" s="407"/>
      <c r="AL35" s="67"/>
      <c r="AM35" s="67"/>
      <c r="AN35" s="67"/>
      <c r="AO35" s="67"/>
      <c r="AP35" s="67"/>
    </row>
    <row r="36" spans="1:42" s="5" customFormat="1" ht="12" thickBot="1">
      <c r="A36" s="484">
        <f>'1-συμβολαια'!A36</f>
        <v>0</v>
      </c>
      <c r="B36" s="341"/>
      <c r="C36" s="356" t="str">
        <f>'1-συμβολαια'!C36</f>
        <v>τόκοι  ανωτέρω δανείων προπληρωθέντες</v>
      </c>
      <c r="D36" s="342" t="str">
        <f>'4-πολλυπρ'!D36</f>
        <v xml:space="preserve">τραπεζα [= </v>
      </c>
      <c r="E36" s="342" t="str">
        <f>'4-πολλυπρ'!I36</f>
        <v>219-16</v>
      </c>
      <c r="F36" s="342">
        <f>'14-βιβλΕσ'!O36</f>
        <v>230210.49942499999</v>
      </c>
      <c r="G36" s="344">
        <f>'14-βιβλΕσ'!Q36</f>
        <v>1000</v>
      </c>
      <c r="H36" s="344">
        <f t="shared" si="24"/>
        <v>231210.49942499999</v>
      </c>
      <c r="I36" s="398">
        <f t="shared" si="25"/>
        <v>678.53411423330886</v>
      </c>
      <c r="J36" s="344">
        <f>'8-κ-15-17'!AG36</f>
        <v>1733333.3290000001</v>
      </c>
      <c r="K36" s="398">
        <f t="shared" si="26"/>
        <v>5086.818280264124</v>
      </c>
      <c r="L36" s="344">
        <f>'14-βιβλΕσ'!R36</f>
        <v>0</v>
      </c>
      <c r="M36" s="398">
        <f t="shared" si="27"/>
        <v>0</v>
      </c>
      <c r="N36" s="344">
        <f>('14-βιβλΕσ'!N36+'14-βιβλΕσ'!O36+'14-βιβλΕσ'!R36)*30%</f>
        <v>461172.99884999997</v>
      </c>
      <c r="O36" s="398">
        <f t="shared" si="28"/>
        <v>1353.4057192956711</v>
      </c>
      <c r="P36" s="736"/>
      <c r="Q36" s="736"/>
      <c r="R36" s="736"/>
      <c r="S36" s="736"/>
      <c r="T36" s="736"/>
      <c r="U36" s="344">
        <f t="shared" si="29"/>
        <v>3271576.6585000004</v>
      </c>
      <c r="V36" s="398">
        <f t="shared" si="30"/>
        <v>9601.1053807776971</v>
      </c>
      <c r="W36" s="344">
        <f t="shared" si="13"/>
        <v>3271576.6585000004</v>
      </c>
      <c r="X36" s="398">
        <f t="shared" si="31"/>
        <v>9601.1053807776971</v>
      </c>
      <c r="Y36" s="344">
        <v>4023093.4742135415</v>
      </c>
      <c r="Z36" s="736"/>
      <c r="AA36" s="736"/>
      <c r="AB36" s="736"/>
      <c r="AC36" s="344">
        <f>'1-συμβολαια'!M36+'1-συμβολαια'!Q36+'8-κ-15-17'!AE36+'14-βιβλΕσ'!L36+'14-βιβλΕσ'!Q36+'14-βιβλΕσ'!R36</f>
        <v>3271576.6585000004</v>
      </c>
      <c r="AD36" s="398">
        <f t="shared" si="32"/>
        <v>9601.1053807776971</v>
      </c>
      <c r="AE36" s="344">
        <f>'1-συμβολαια'!N36+'8-κ-15-17'!AF36</f>
        <v>0</v>
      </c>
      <c r="AF36" s="398">
        <f t="shared" si="33"/>
        <v>0</v>
      </c>
      <c r="AG36" s="344">
        <f t="shared" si="34"/>
        <v>3271576.6585000004</v>
      </c>
      <c r="AH36" s="398">
        <f t="shared" si="35"/>
        <v>9601.1053807776971</v>
      </c>
      <c r="AI36" s="373"/>
      <c r="AJ36" s="374">
        <f t="shared" si="36"/>
        <v>4023093.4742135415</v>
      </c>
      <c r="AK36" s="408"/>
      <c r="AL36" s="67"/>
      <c r="AM36" s="67"/>
      <c r="AN36" s="67"/>
      <c r="AO36" s="67"/>
      <c r="AP36" s="67"/>
    </row>
    <row r="37" spans="1:42" s="5" customFormat="1">
      <c r="A37" s="339" t="str">
        <f>'1-συμβολαια'!A37</f>
        <v>10ο</v>
      </c>
      <c r="B37" s="304">
        <f>'1-συμβολαια'!B37</f>
        <v>34890</v>
      </c>
      <c r="C37" s="405" t="str">
        <f>'1-συμβολαια'!C37</f>
        <v>υποθήκη  τοιχόν τόκων</v>
      </c>
      <c r="D37" s="278" t="str">
        <f>'4-πολλυπρ'!D37</f>
        <v xml:space="preserve">τραπεζα [= </v>
      </c>
      <c r="E37" s="278" t="str">
        <f>'4-πολλυπρ'!I37</f>
        <v>219-16</v>
      </c>
      <c r="F37" s="278">
        <f>'14-βιβλΕσ'!O37</f>
        <v>1276</v>
      </c>
      <c r="G37" s="262">
        <f>'14-βιβλΕσ'!Q37</f>
        <v>1759</v>
      </c>
      <c r="H37" s="262">
        <f t="shared" si="24"/>
        <v>3035</v>
      </c>
      <c r="I37" s="406">
        <f t="shared" si="25"/>
        <v>8.9068231841526053</v>
      </c>
      <c r="J37" s="262">
        <f>'8-κ-15-17'!AG37</f>
        <v>0</v>
      </c>
      <c r="K37" s="406">
        <f t="shared" si="26"/>
        <v>0</v>
      </c>
      <c r="L37" s="262">
        <f>'14-βιβλΕσ'!R37</f>
        <v>9620</v>
      </c>
      <c r="M37" s="406">
        <f t="shared" si="27"/>
        <v>28.231841526045489</v>
      </c>
      <c r="N37" s="262">
        <f>('14-βιβλΕσ'!N37+'14-βιβλΕσ'!O37+'14-βιβλΕσ'!R37)*30%</f>
        <v>3972</v>
      </c>
      <c r="O37" s="406">
        <f t="shared" si="28"/>
        <v>11.656639765223771</v>
      </c>
      <c r="P37" s="409"/>
      <c r="Q37" s="409"/>
      <c r="R37" s="409"/>
      <c r="S37" s="409"/>
      <c r="T37" s="409"/>
      <c r="U37" s="262">
        <f t="shared" si="29"/>
        <v>14179</v>
      </c>
      <c r="V37" s="406">
        <f t="shared" si="30"/>
        <v>41.611151870873073</v>
      </c>
      <c r="W37" s="262">
        <f t="shared" si="13"/>
        <v>14179</v>
      </c>
      <c r="X37" s="406">
        <f t="shared" si="31"/>
        <v>41.611151870873073</v>
      </c>
      <c r="Y37" s="262">
        <v>5539.1411952496064</v>
      </c>
      <c r="Z37" s="409"/>
      <c r="AA37" s="409"/>
      <c r="AB37" s="409"/>
      <c r="AC37" s="262">
        <f>'1-συμβολαια'!M37+'1-συμβολαια'!Q37+'8-κ-15-17'!AE37+'14-βιβλΕσ'!L37+'14-βιβλΕσ'!Q37+'14-βιβλΕσ'!R37+1480</f>
        <v>35019</v>
      </c>
      <c r="AD37" s="406">
        <f t="shared" si="32"/>
        <v>102.77035950110051</v>
      </c>
      <c r="AE37" s="262">
        <f>'1-συμβολαια'!N37+'8-κ-15-17'!AF37</f>
        <v>20840</v>
      </c>
      <c r="AF37" s="406">
        <f t="shared" si="33"/>
        <v>61.159207630227442</v>
      </c>
      <c r="AG37" s="262">
        <f t="shared" si="34"/>
        <v>14179</v>
      </c>
      <c r="AH37" s="406">
        <f t="shared" si="35"/>
        <v>41.611151870873073</v>
      </c>
      <c r="AI37" s="740">
        <v>46100</v>
      </c>
      <c r="AJ37" s="283">
        <f t="shared" si="36"/>
        <v>5539.1411952496064</v>
      </c>
      <c r="AK37" s="741"/>
      <c r="AL37" s="67"/>
      <c r="AM37" s="67"/>
      <c r="AN37" s="67"/>
      <c r="AO37" s="67"/>
      <c r="AP37" s="67"/>
    </row>
    <row r="38" spans="1:42" s="5" customFormat="1">
      <c r="A38" s="339" t="str">
        <f>'1-συμβολαια'!A38</f>
        <v>794-4-5τραπ</v>
      </c>
      <c r="B38" s="304"/>
      <c r="C38" s="405" t="str">
        <f>'1-συμβολαια'!C38</f>
        <v>υποθήκες δανείων [27/08/1992-30/10/1992</v>
      </c>
      <c r="D38" s="278" t="str">
        <f>'4-πολλυπρ'!D38</f>
        <v xml:space="preserve">τραπεζα [= </v>
      </c>
      <c r="E38" s="278" t="str">
        <f>'4-πολλυπρ'!I38</f>
        <v>219-16</v>
      </c>
      <c r="F38" s="278">
        <f>'14-βιβλΕσ'!O38</f>
        <v>59119.999000000011</v>
      </c>
      <c r="G38" s="262">
        <f>'14-βιβλΕσ'!Q38</f>
        <v>1080</v>
      </c>
      <c r="H38" s="262">
        <f t="shared" si="24"/>
        <v>60199.999000000011</v>
      </c>
      <c r="I38" s="406">
        <f t="shared" si="25"/>
        <v>176.6691093176816</v>
      </c>
      <c r="J38" s="262">
        <f>'8-κ-15-17'!AG38</f>
        <v>423222.21500000003</v>
      </c>
      <c r="K38" s="406">
        <f t="shared" si="26"/>
        <v>1242.0314453411593</v>
      </c>
      <c r="L38" s="262">
        <f>'14-βιβλΕσ'!R38</f>
        <v>3140</v>
      </c>
      <c r="M38" s="406">
        <f t="shared" si="27"/>
        <v>9.2149669845928095</v>
      </c>
      <c r="N38" s="262">
        <f>('14-βιβλΕσ'!N38+'14-βιβλΕσ'!O38+'14-βιβλΕσ'!R38)*30%</f>
        <v>120775.99800000001</v>
      </c>
      <c r="O38" s="406">
        <f t="shared" si="28"/>
        <v>354.44166691122524</v>
      </c>
      <c r="P38" s="411"/>
      <c r="Q38" s="411"/>
      <c r="R38" s="411"/>
      <c r="S38" s="411"/>
      <c r="T38" s="411"/>
      <c r="U38" s="264">
        <f t="shared" si="29"/>
        <v>826888.875</v>
      </c>
      <c r="V38" s="372">
        <f t="shared" si="30"/>
        <v>2426.6731474688186</v>
      </c>
      <c r="W38" s="262">
        <f t="shared" si="13"/>
        <v>826888.875</v>
      </c>
      <c r="X38" s="406">
        <f t="shared" si="31"/>
        <v>2426.6731474688186</v>
      </c>
      <c r="Y38" s="264">
        <v>323030.83654743648</v>
      </c>
      <c r="Z38" s="411"/>
      <c r="AA38" s="411"/>
      <c r="AB38" s="411"/>
      <c r="AC38" s="262">
        <f>'1-συμβολαια'!M38+'1-συμβολαια'!Q38+'8-κ-15-17'!AE38+'14-βιβλΕσ'!L38+'14-βιβλΕσ'!Q38+'14-βιβλΕσ'!R38</f>
        <v>826888.875</v>
      </c>
      <c r="AD38" s="406">
        <f t="shared" si="32"/>
        <v>2426.6731474688186</v>
      </c>
      <c r="AE38" s="262">
        <f>'1-συμβολαια'!N38+'8-κ-15-17'!AF38</f>
        <v>0</v>
      </c>
      <c r="AF38" s="406">
        <f t="shared" si="33"/>
        <v>0</v>
      </c>
      <c r="AG38" s="262">
        <f t="shared" si="34"/>
        <v>826888.875</v>
      </c>
      <c r="AH38" s="406">
        <f t="shared" si="35"/>
        <v>2426.6731474688186</v>
      </c>
      <c r="AI38" s="370"/>
      <c r="AJ38" s="283">
        <f t="shared" si="36"/>
        <v>323030.83654743648</v>
      </c>
      <c r="AK38" s="407"/>
      <c r="AL38" s="67"/>
      <c r="AM38" s="67"/>
      <c r="AN38" s="67"/>
      <c r="AO38" s="67"/>
      <c r="AP38" s="67"/>
    </row>
    <row r="39" spans="1:42" s="5" customFormat="1">
      <c r="A39" s="339">
        <f>'1-συμβολαια'!A39</f>
        <v>0</v>
      </c>
      <c r="B39" s="304"/>
      <c r="C39" s="405" t="str">
        <f>'1-συμβολαια'!C39</f>
        <v>δάνεια ανωτέρω υποθηκών</v>
      </c>
      <c r="D39" s="278" t="str">
        <f>'4-πολλυπρ'!D39</f>
        <v xml:space="preserve">τραπεζα [= </v>
      </c>
      <c r="E39" s="278" t="str">
        <f>'4-πολλυπρ'!I39</f>
        <v>219-16</v>
      </c>
      <c r="F39" s="278">
        <f>'14-βιβλΕσ'!O39</f>
        <v>49120</v>
      </c>
      <c r="G39" s="262">
        <f>'14-βιβλΕσ'!Q39</f>
        <v>1000</v>
      </c>
      <c r="H39" s="262">
        <f t="shared" si="24"/>
        <v>50120</v>
      </c>
      <c r="I39" s="406">
        <f t="shared" si="25"/>
        <v>147.08730741012474</v>
      </c>
      <c r="J39" s="262">
        <f>'8-κ-15-17'!AG39</f>
        <v>351000.00000000006</v>
      </c>
      <c r="K39" s="406">
        <f t="shared" si="26"/>
        <v>1030.0807043286868</v>
      </c>
      <c r="L39" s="262">
        <f>'14-βιβλΕσ'!R39</f>
        <v>0</v>
      </c>
      <c r="M39" s="406">
        <f t="shared" si="27"/>
        <v>0</v>
      </c>
      <c r="N39" s="262">
        <f>('14-βιβλΕσ'!N39+'14-βιβλΕσ'!O39+'14-βιβλΕσ'!R39)*30%</f>
        <v>99564</v>
      </c>
      <c r="O39" s="406">
        <f t="shared" si="28"/>
        <v>292.1907556859868</v>
      </c>
      <c r="P39" s="411"/>
      <c r="Q39" s="411"/>
      <c r="R39" s="411"/>
      <c r="S39" s="411"/>
      <c r="T39" s="411"/>
      <c r="U39" s="264">
        <f t="shared" si="29"/>
        <v>683880</v>
      </c>
      <c r="V39" s="372">
        <f t="shared" si="30"/>
        <v>2006.984592809978</v>
      </c>
      <c r="W39" s="262">
        <f t="shared" si="13"/>
        <v>683880</v>
      </c>
      <c r="X39" s="406">
        <f t="shared" si="31"/>
        <v>2006.984592809978</v>
      </c>
      <c r="Y39" s="264">
        <v>267163.26120370271</v>
      </c>
      <c r="Z39" s="411"/>
      <c r="AA39" s="411"/>
      <c r="AB39" s="411"/>
      <c r="AC39" s="262">
        <f>'1-συμβολαια'!M39+'1-συμβολαια'!Q39+'8-κ-15-17'!AE39+'14-βιβλΕσ'!L39+'14-βιβλΕσ'!Q39+'14-βιβλΕσ'!R39</f>
        <v>683880</v>
      </c>
      <c r="AD39" s="406">
        <f t="shared" si="32"/>
        <v>2006.984592809978</v>
      </c>
      <c r="AE39" s="262">
        <f>'1-συμβολαια'!N39+'8-κ-15-17'!AF39</f>
        <v>0</v>
      </c>
      <c r="AF39" s="406">
        <f t="shared" si="33"/>
        <v>0</v>
      </c>
      <c r="AG39" s="262">
        <f t="shared" si="34"/>
        <v>683880</v>
      </c>
      <c r="AH39" s="406">
        <f t="shared" si="35"/>
        <v>2006.984592809978</v>
      </c>
      <c r="AI39" s="370"/>
      <c r="AJ39" s="283">
        <f t="shared" si="36"/>
        <v>267163.26120370271</v>
      </c>
      <c r="AK39" s="407"/>
      <c r="AL39" s="67"/>
      <c r="AM39" s="67"/>
      <c r="AN39" s="67"/>
      <c r="AO39" s="67"/>
      <c r="AP39" s="67"/>
    </row>
    <row r="40" spans="1:42" s="5" customFormat="1" ht="12" thickBot="1">
      <c r="A40" s="340">
        <f>'1-συμβολαια'!A40</f>
        <v>0</v>
      </c>
      <c r="B40" s="341"/>
      <c r="C40" s="356" t="str">
        <f>'1-συμβολαια'!C40</f>
        <v>τόκοι  ανωτέρω δανείων προπληρωθέντες</v>
      </c>
      <c r="D40" s="342" t="str">
        <f>'4-πολλυπρ'!D40</f>
        <v xml:space="preserve">τραπεζα [= </v>
      </c>
      <c r="E40" s="342" t="str">
        <f>'4-πολλυπρ'!I40</f>
        <v>219-16</v>
      </c>
      <c r="F40" s="342">
        <f>'14-βιβλΕσ'!O40</f>
        <v>100519.999</v>
      </c>
      <c r="G40" s="344">
        <f>'14-βιβλΕσ'!Q40</f>
        <v>1000</v>
      </c>
      <c r="H40" s="344">
        <f t="shared" si="24"/>
        <v>101519.999</v>
      </c>
      <c r="I40" s="398">
        <f t="shared" si="25"/>
        <v>297.93103154805573</v>
      </c>
      <c r="J40" s="344">
        <f>'8-κ-15-17'!AG40</f>
        <v>722222.21500000008</v>
      </c>
      <c r="K40" s="398">
        <f t="shared" si="26"/>
        <v>2119.5076008804112</v>
      </c>
      <c r="L40" s="344">
        <f>'14-βιβλΕσ'!R40</f>
        <v>0</v>
      </c>
      <c r="M40" s="398">
        <f t="shared" si="27"/>
        <v>0</v>
      </c>
      <c r="N40" s="344">
        <f>('14-βιβλΕσ'!N40+'14-βιβλΕσ'!O40+'14-βιβλΕσ'!R40)*30%</f>
        <v>202363.99799999999</v>
      </c>
      <c r="O40" s="398">
        <f t="shared" si="28"/>
        <v>593.87820396184884</v>
      </c>
      <c r="P40" s="736"/>
      <c r="Q40" s="736"/>
      <c r="R40" s="736"/>
      <c r="S40" s="736"/>
      <c r="T40" s="736"/>
      <c r="U40" s="344">
        <f t="shared" si="29"/>
        <v>1397768.8750000002</v>
      </c>
      <c r="V40" s="398">
        <f t="shared" si="30"/>
        <v>4102.0363169479097</v>
      </c>
      <c r="W40" s="344">
        <f t="shared" si="13"/>
        <v>1397768.8750000002</v>
      </c>
      <c r="X40" s="398">
        <f t="shared" si="31"/>
        <v>4102.0363169479097</v>
      </c>
      <c r="Y40" s="344">
        <v>546049.73248819984</v>
      </c>
      <c r="Z40" s="736"/>
      <c r="AA40" s="736"/>
      <c r="AB40" s="736"/>
      <c r="AC40" s="344">
        <f>'1-συμβολαια'!M40+'1-συμβολαια'!Q40+'8-κ-15-17'!AE40+'14-βιβλΕσ'!L40+'14-βιβλΕσ'!Q40+'14-βιβλΕσ'!R40</f>
        <v>1397768.8750000002</v>
      </c>
      <c r="AD40" s="398">
        <f t="shared" si="32"/>
        <v>4102.0363169479097</v>
      </c>
      <c r="AE40" s="344">
        <f>'1-συμβολαια'!N40+'8-κ-15-17'!AF40</f>
        <v>0</v>
      </c>
      <c r="AF40" s="398">
        <f t="shared" si="33"/>
        <v>0</v>
      </c>
      <c r="AG40" s="344">
        <f t="shared" si="34"/>
        <v>1397768.8750000002</v>
      </c>
      <c r="AH40" s="398">
        <f t="shared" si="35"/>
        <v>4102.0363169479097</v>
      </c>
      <c r="AI40" s="373"/>
      <c r="AJ40" s="374">
        <f t="shared" si="36"/>
        <v>546049.73248819984</v>
      </c>
      <c r="AK40" s="408"/>
      <c r="AL40" s="67"/>
      <c r="AM40" s="67"/>
      <c r="AN40" s="67"/>
      <c r="AO40" s="67"/>
      <c r="AP40" s="67"/>
    </row>
    <row r="41" spans="1:42" s="5" customFormat="1">
      <c r="A41" s="428" t="str">
        <f>'1-συμβολαια'!A41</f>
        <v>11ο</v>
      </c>
      <c r="B41" s="304">
        <f>'1-συμβολαια'!B41</f>
        <v>34962</v>
      </c>
      <c r="C41" s="405" t="str">
        <f>'1-συμβολαια'!C41</f>
        <v>μίσθωσις νταμάρι  Λιμένας -'';;;???'' 24,526στρ 3έτη [8000/έτος/στρ</v>
      </c>
      <c r="D41" s="278" t="str">
        <f>'4-πολλυπρ'!D41</f>
        <v>δημοςΘασου [= μερεσηςΕλευθεριος</v>
      </c>
      <c r="E41" s="278" t="str">
        <f>'4-πολλυπρ'!I41</f>
        <v>219-16</v>
      </c>
      <c r="F41" s="278">
        <f>'14-βιβλΕσ'!O41</f>
        <v>2872.5232000000005</v>
      </c>
      <c r="G41" s="262">
        <f>'14-βιβλΕσ'!Q41</f>
        <v>1189</v>
      </c>
      <c r="H41" s="262">
        <f t="shared" si="24"/>
        <v>4061.5232000000005</v>
      </c>
      <c r="I41" s="406">
        <f t="shared" si="25"/>
        <v>11.919363756419664</v>
      </c>
      <c r="J41" s="262">
        <f>'8-κ-15-17'!AG41</f>
        <v>7652.112000000001</v>
      </c>
      <c r="K41" s="406">
        <f t="shared" si="26"/>
        <v>22.456674981658111</v>
      </c>
      <c r="L41" s="262">
        <f>'14-βιβλΕσ'!R41</f>
        <v>13760</v>
      </c>
      <c r="M41" s="406">
        <f t="shared" si="27"/>
        <v>40.381511371973588</v>
      </c>
      <c r="N41" s="262">
        <f>('14-βιβλΕσ'!N41+'14-βιβλΕσ'!O41+'14-βιβλΕσ'!R41)*30%</f>
        <v>8941.0463999999993</v>
      </c>
      <c r="O41" s="406">
        <f t="shared" si="28"/>
        <v>26.239314453411591</v>
      </c>
      <c r="P41" s="409"/>
      <c r="Q41" s="409"/>
      <c r="R41" s="409"/>
      <c r="S41" s="409"/>
      <c r="T41" s="409"/>
      <c r="U41" s="262">
        <f t="shared" si="29"/>
        <v>38444.600000000006</v>
      </c>
      <c r="V41" s="406">
        <f t="shared" si="30"/>
        <v>112.82347762289069</v>
      </c>
      <c r="W41" s="262">
        <f t="shared" si="13"/>
        <v>38444.600000000006</v>
      </c>
      <c r="X41" s="406">
        <f t="shared" si="31"/>
        <v>112.82347762289069</v>
      </c>
      <c r="Y41" s="262">
        <v>14317.349833931978</v>
      </c>
      <c r="Z41" s="409"/>
      <c r="AA41" s="409"/>
      <c r="AB41" s="409"/>
      <c r="AC41" s="262">
        <f>'1-συμβολαια'!M41+'1-συμβολαια'!Q41+'8-κ-15-17'!AE41+'14-βιβλΕσ'!L41+'14-βιβλΕσ'!Q41+'14-βιβλΕσ'!R41+800</f>
        <v>67344.600000000006</v>
      </c>
      <c r="AD41" s="406">
        <f t="shared" si="32"/>
        <v>197.63639031548058</v>
      </c>
      <c r="AE41" s="262">
        <f>'1-συμβολαια'!N41+'8-κ-15-17'!AF41</f>
        <v>28900</v>
      </c>
      <c r="AF41" s="406">
        <f t="shared" si="33"/>
        <v>84.812912692589876</v>
      </c>
      <c r="AG41" s="262">
        <f t="shared" si="34"/>
        <v>38444.600000000006</v>
      </c>
      <c r="AH41" s="406">
        <f t="shared" si="35"/>
        <v>112.82347762289069</v>
      </c>
      <c r="AI41" s="740">
        <v>46100</v>
      </c>
      <c r="AJ41" s="283">
        <f t="shared" si="36"/>
        <v>14317.349833931978</v>
      </c>
      <c r="AK41" s="741"/>
      <c r="AL41" s="67"/>
      <c r="AM41" s="67"/>
      <c r="AN41" s="67"/>
      <c r="AO41" s="67"/>
      <c r="AP41" s="67"/>
    </row>
    <row r="42" spans="1:42" s="5" customFormat="1">
      <c r="A42" s="428">
        <f>'1-συμβολαια'!A42</f>
        <v>0</v>
      </c>
      <c r="B42" s="304"/>
      <c r="C42" s="405" t="str">
        <f>'1-συμβολαια'!C42</f>
        <v>μίσθωση … ΚΤΙΡΙΑΚΑ &amp; τεχνικές εγκαταστάσεις &amp; ΚΛΠ</v>
      </c>
      <c r="D42" s="278" t="str">
        <f>'4-πολλυπρ'!D42</f>
        <v>δημοςΘασου [= μερεσηςΕλευθεριος</v>
      </c>
      <c r="E42" s="278" t="str">
        <f>'4-πολλυπρ'!I42</f>
        <v>219-16</v>
      </c>
      <c r="F42" s="278">
        <f>'14-βιβλΕσ'!O42</f>
        <v>90520</v>
      </c>
      <c r="G42" s="262">
        <f>'14-βιβλΕσ'!Q42</f>
        <v>1000</v>
      </c>
      <c r="H42" s="262">
        <f t="shared" si="24"/>
        <v>91520</v>
      </c>
      <c r="I42" s="406">
        <f t="shared" si="25"/>
        <v>268.5840058694057</v>
      </c>
      <c r="J42" s="262">
        <f>'8-κ-15-17'!AG42</f>
        <v>642200</v>
      </c>
      <c r="K42" s="406">
        <f t="shared" si="26"/>
        <v>1884.6661775495231</v>
      </c>
      <c r="L42" s="262">
        <f>'14-βιβλΕσ'!R42</f>
        <v>20</v>
      </c>
      <c r="M42" s="406">
        <f t="shared" si="27"/>
        <v>5.8694057226705794E-2</v>
      </c>
      <c r="N42" s="262">
        <f>('14-βιβλΕσ'!N42+'14-βιβλΕσ'!O42+'14-βιβλΕσ'!R42)*30%</f>
        <v>186030</v>
      </c>
      <c r="O42" s="406">
        <f t="shared" si="28"/>
        <v>545.94277329420402</v>
      </c>
      <c r="P42" s="411"/>
      <c r="Q42" s="411"/>
      <c r="R42" s="411"/>
      <c r="S42" s="411"/>
      <c r="T42" s="411"/>
      <c r="U42" s="264">
        <f t="shared" si="29"/>
        <v>1263300</v>
      </c>
      <c r="V42" s="372">
        <f t="shared" si="30"/>
        <v>3707.4101247248718</v>
      </c>
      <c r="W42" s="262">
        <f t="shared" si="13"/>
        <v>1263300</v>
      </c>
      <c r="X42" s="406">
        <f t="shared" si="31"/>
        <v>3707.4101247248718</v>
      </c>
      <c r="Y42" s="264">
        <v>470472.00504638569</v>
      </c>
      <c r="Z42" s="411"/>
      <c r="AA42" s="411"/>
      <c r="AB42" s="411"/>
      <c r="AC42" s="262">
        <f>'1-συμβολαια'!M42+'1-συμβολαια'!Q42+'8-κ-15-17'!AE42+'14-βιβλΕσ'!L42+'14-βιβλΕσ'!Q42+'14-βιβλΕσ'!R42</f>
        <v>1271100</v>
      </c>
      <c r="AD42" s="406">
        <f t="shared" si="32"/>
        <v>3730.300807043287</v>
      </c>
      <c r="AE42" s="262">
        <f>'1-συμβολαια'!N42+'8-κ-15-17'!AF42</f>
        <v>7800</v>
      </c>
      <c r="AF42" s="406">
        <f t="shared" si="33"/>
        <v>22.890682318415262</v>
      </c>
      <c r="AG42" s="262">
        <f t="shared" si="34"/>
        <v>1263300</v>
      </c>
      <c r="AH42" s="406">
        <f t="shared" si="35"/>
        <v>3707.4101247248718</v>
      </c>
      <c r="AI42" s="370"/>
      <c r="AJ42" s="283">
        <f t="shared" si="36"/>
        <v>470472.00504638569</v>
      </c>
      <c r="AK42" s="407"/>
      <c r="AL42" s="67"/>
      <c r="AM42" s="67"/>
      <c r="AN42" s="67"/>
      <c r="AO42" s="67"/>
      <c r="AP42" s="67"/>
    </row>
    <row r="43" spans="1:42" s="5" customFormat="1">
      <c r="A43" s="428">
        <f>'1-συμβολαια'!A43</f>
        <v>0</v>
      </c>
      <c r="B43" s="304"/>
      <c r="C43" s="405" t="str">
        <f>'1-συμβολαια'!C43</f>
        <v>μίσθωση … ΕΡΕΥΝΗΤΙΚΕΣ εργασίες</v>
      </c>
      <c r="D43" s="278" t="str">
        <f>'4-πολλυπρ'!D43</f>
        <v>δημοςΘασου [= μερεσηςΕλευθεριος</v>
      </c>
      <c r="E43" s="278" t="str">
        <f>'4-πολλυπρ'!I43</f>
        <v>219-16</v>
      </c>
      <c r="F43" s="278">
        <f>'14-βιβλΕσ'!O43</f>
        <v>6519.9994000000006</v>
      </c>
      <c r="G43" s="262">
        <f>'14-βιβλΕσ'!Q43</f>
        <v>1000</v>
      </c>
      <c r="H43" s="262">
        <f t="shared" si="24"/>
        <v>7519.9994000000006</v>
      </c>
      <c r="I43" s="406">
        <f t="shared" si="25"/>
        <v>22.068963756419663</v>
      </c>
      <c r="J43" s="262">
        <f>'8-κ-15-17'!AG43</f>
        <v>43333.329000000005</v>
      </c>
      <c r="K43" s="406">
        <f t="shared" si="26"/>
        <v>127.1704446074835</v>
      </c>
      <c r="L43" s="262">
        <f>'14-βιβλΕσ'!R43</f>
        <v>20</v>
      </c>
      <c r="M43" s="406">
        <f t="shared" si="27"/>
        <v>5.8694057226705794E-2</v>
      </c>
      <c r="N43" s="262">
        <f>('14-βιβλΕσ'!N43+'14-βιβλΕσ'!O43+'14-βιβλΕσ'!R43)*30%</f>
        <v>18029.998799999998</v>
      </c>
      <c r="O43" s="406">
        <f t="shared" si="28"/>
        <v>52.912689068231835</v>
      </c>
      <c r="P43" s="411"/>
      <c r="Q43" s="411"/>
      <c r="R43" s="411"/>
      <c r="S43" s="411"/>
      <c r="T43" s="411"/>
      <c r="U43" s="264">
        <f t="shared" si="29"/>
        <v>104433.32500000001</v>
      </c>
      <c r="V43" s="372">
        <f t="shared" si="30"/>
        <v>306.48077769625831</v>
      </c>
      <c r="W43" s="262">
        <f t="shared" si="13"/>
        <v>104433.32500000001</v>
      </c>
      <c r="X43" s="406">
        <f t="shared" si="31"/>
        <v>306.48077769625831</v>
      </c>
      <c r="Y43" s="264">
        <v>38892.547935099166</v>
      </c>
      <c r="Z43" s="411"/>
      <c r="AA43" s="411"/>
      <c r="AB43" s="411"/>
      <c r="AC43" s="262">
        <f>'1-συμβολαια'!M43+'1-συμβολαια'!Q43+'8-κ-15-17'!AE43+'14-βιβλΕσ'!L43+'14-βιβλΕσ'!Q43+'14-βιβλΕσ'!R43</f>
        <v>104433.32500000001</v>
      </c>
      <c r="AD43" s="406">
        <f t="shared" si="32"/>
        <v>306.48077769625831</v>
      </c>
      <c r="AE43" s="262">
        <f>'1-συμβολαια'!N43+'8-κ-15-17'!AF43</f>
        <v>0</v>
      </c>
      <c r="AF43" s="406">
        <f t="shared" si="33"/>
        <v>0</v>
      </c>
      <c r="AG43" s="262">
        <f t="shared" si="34"/>
        <v>104433.32500000001</v>
      </c>
      <c r="AH43" s="406">
        <f t="shared" si="35"/>
        <v>306.48077769625831</v>
      </c>
      <c r="AI43" s="370"/>
      <c r="AJ43" s="283">
        <f t="shared" si="36"/>
        <v>38892.547935099166</v>
      </c>
      <c r="AK43" s="407"/>
      <c r="AL43" s="67"/>
      <c r="AM43" s="67"/>
      <c r="AN43" s="67"/>
      <c r="AO43" s="67"/>
      <c r="AP43" s="67"/>
    </row>
    <row r="44" spans="1:42" s="5" customFormat="1" ht="12" thickBot="1">
      <c r="A44" s="484">
        <f>'1-συμβολαια'!A44</f>
        <v>0</v>
      </c>
      <c r="B44" s="341"/>
      <c r="C44" s="356" t="str">
        <f>'1-συμβολαια'!C44</f>
        <v>μίσθωση ….. κόστος έργων αποκατάστασης</v>
      </c>
      <c r="D44" s="342" t="str">
        <f>'4-πολλυπρ'!D44</f>
        <v>δημοςΘασου [= μερεσηςΕλευθεριος</v>
      </c>
      <c r="E44" s="342" t="str">
        <f>'4-πολλυπρ'!I44</f>
        <v>219-16</v>
      </c>
      <c r="F44" s="342">
        <f>'14-βιβλΕσ'!O44</f>
        <v>11320</v>
      </c>
      <c r="G44" s="344">
        <f>'14-βιβλΕσ'!Q44</f>
        <v>1000</v>
      </c>
      <c r="H44" s="344">
        <f t="shared" si="24"/>
        <v>12320</v>
      </c>
      <c r="I44" s="398">
        <f t="shared" si="25"/>
        <v>36.155539251650772</v>
      </c>
      <c r="J44" s="344">
        <f>'8-κ-15-17'!AG44</f>
        <v>78000</v>
      </c>
      <c r="K44" s="398">
        <f t="shared" si="26"/>
        <v>228.90682318415261</v>
      </c>
      <c r="L44" s="344">
        <f>'14-βιβλΕσ'!R44</f>
        <v>20</v>
      </c>
      <c r="M44" s="398">
        <f t="shared" si="27"/>
        <v>5.8694057226705794E-2</v>
      </c>
      <c r="N44" s="344">
        <f>('14-βιβλΕσ'!N44+'14-βιβλΕσ'!O44+'14-βιβλΕσ'!R44)*30%</f>
        <v>27630</v>
      </c>
      <c r="O44" s="398">
        <f t="shared" si="28"/>
        <v>81.08584005869406</v>
      </c>
      <c r="P44" s="736"/>
      <c r="Q44" s="736"/>
      <c r="R44" s="736"/>
      <c r="S44" s="736"/>
      <c r="T44" s="736"/>
      <c r="U44" s="344">
        <f t="shared" si="29"/>
        <v>171100</v>
      </c>
      <c r="V44" s="398">
        <f t="shared" si="30"/>
        <v>502.12765957446811</v>
      </c>
      <c r="W44" s="344">
        <f t="shared" si="13"/>
        <v>171100</v>
      </c>
      <c r="X44" s="398">
        <f t="shared" si="31"/>
        <v>502.12765957446811</v>
      </c>
      <c r="Y44" s="344">
        <v>63720.224858257388</v>
      </c>
      <c r="Z44" s="736"/>
      <c r="AA44" s="736"/>
      <c r="AB44" s="736"/>
      <c r="AC44" s="344">
        <f>'1-συμβολαια'!M44+'1-συμβολαια'!Q44+'8-κ-15-17'!AE44+'14-βιβλΕσ'!L44+'14-βιβλΕσ'!Q44+'14-βιβλΕσ'!R44</f>
        <v>171100</v>
      </c>
      <c r="AD44" s="398">
        <f t="shared" si="32"/>
        <v>502.12765957446811</v>
      </c>
      <c r="AE44" s="344">
        <f>'1-συμβολαια'!N44+'8-κ-15-17'!AF44</f>
        <v>0</v>
      </c>
      <c r="AF44" s="398">
        <f t="shared" si="33"/>
        <v>0</v>
      </c>
      <c r="AG44" s="344">
        <f t="shared" si="34"/>
        <v>171100</v>
      </c>
      <c r="AH44" s="398">
        <f t="shared" si="35"/>
        <v>502.12765957446811</v>
      </c>
      <c r="AI44" s="373"/>
      <c r="AJ44" s="374">
        <f t="shared" si="36"/>
        <v>63720.224858257388</v>
      </c>
      <c r="AK44" s="408"/>
      <c r="AL44" s="67"/>
      <c r="AM44" s="67"/>
      <c r="AN44" s="67"/>
      <c r="AO44" s="67"/>
      <c r="AP44" s="67"/>
    </row>
    <row r="45" spans="1:42" s="5" customFormat="1">
      <c r="A45" s="339" t="str">
        <f>'1-συμβολαια'!A45</f>
        <v>12ο</v>
      </c>
      <c r="B45" s="304">
        <f>'1-συμβολαια'!B45</f>
        <v>35185</v>
      </c>
      <c r="C45" s="405" t="str">
        <f>'1-συμβολαια'!C45</f>
        <v>μίσθωσης νταμάρι ... &amp; ... ΠΑΡΑΤΑΣΗ 3έτη</v>
      </c>
      <c r="D45" s="278" t="str">
        <f>'4-πολλυπρ'!D45</f>
        <v>219-16</v>
      </c>
      <c r="E45" s="278">
        <f>'4-πολλυπρ'!I45</f>
        <v>0</v>
      </c>
      <c r="F45" s="278">
        <f>'14-βιβλΕσ'!O45</f>
        <v>2396.6</v>
      </c>
      <c r="G45" s="262">
        <f>'14-βιβλΕσ'!Q45</f>
        <v>1740</v>
      </c>
      <c r="H45" s="262">
        <f t="shared" si="24"/>
        <v>4136.6000000000004</v>
      </c>
      <c r="I45" s="406">
        <f t="shared" si="25"/>
        <v>12.13969185619956</v>
      </c>
      <c r="J45" s="262">
        <f>'8-κ-15-17'!AG45</f>
        <v>12441.000000000002</v>
      </c>
      <c r="K45" s="406">
        <f t="shared" si="26"/>
        <v>36.510638297872347</v>
      </c>
      <c r="L45" s="262">
        <f>'14-βιβλΕσ'!R45</f>
        <v>9950</v>
      </c>
      <c r="M45" s="406">
        <f t="shared" si="27"/>
        <v>29.200293470286134</v>
      </c>
      <c r="N45" s="262">
        <f>('14-βιβλΕσ'!N45+'14-βιβλΕσ'!O45+'14-βιβλΕσ'!R45)*30%</f>
        <v>7261.2</v>
      </c>
      <c r="O45" s="406">
        <f t="shared" si="28"/>
        <v>21.309464416727806</v>
      </c>
      <c r="P45" s="409"/>
      <c r="Q45" s="409"/>
      <c r="R45" s="409"/>
      <c r="S45" s="409"/>
      <c r="T45" s="409"/>
      <c r="U45" s="262">
        <f t="shared" si="29"/>
        <v>38385</v>
      </c>
      <c r="V45" s="406">
        <f t="shared" si="30"/>
        <v>112.64856933235509</v>
      </c>
      <c r="W45" s="262">
        <f t="shared" si="13"/>
        <v>38385</v>
      </c>
      <c r="X45" s="406">
        <f t="shared" si="31"/>
        <v>112.64856933235509</v>
      </c>
      <c r="Y45" s="262">
        <v>12102.204854606691</v>
      </c>
      <c r="Z45" s="409"/>
      <c r="AA45" s="409"/>
      <c r="AB45" s="409"/>
      <c r="AC45" s="262">
        <f>'1-συμβολαια'!M45+'1-συμβολαια'!Q45+'8-κ-15-17'!AE45+'14-βιβλΕσ'!L45+'14-βιβλΕσ'!Q45+'14-βιβλΕσ'!R45+100</f>
        <v>42795</v>
      </c>
      <c r="AD45" s="406">
        <f t="shared" si="32"/>
        <v>125.59060895084373</v>
      </c>
      <c r="AE45" s="262">
        <f>'1-συμβολαια'!N45+'8-κ-15-17'!AF45</f>
        <v>4410</v>
      </c>
      <c r="AF45" s="406">
        <f t="shared" si="33"/>
        <v>12.942039618488629</v>
      </c>
      <c r="AG45" s="262">
        <f t="shared" si="34"/>
        <v>38385</v>
      </c>
      <c r="AH45" s="406">
        <f t="shared" si="35"/>
        <v>112.64856933235509</v>
      </c>
      <c r="AI45" s="740">
        <v>46100</v>
      </c>
      <c r="AJ45" s="283">
        <f t="shared" si="36"/>
        <v>12102.204854606691</v>
      </c>
      <c r="AK45" s="741"/>
      <c r="AL45" s="67"/>
      <c r="AM45" s="67"/>
      <c r="AN45" s="67"/>
      <c r="AO45" s="67"/>
      <c r="AP45" s="67"/>
    </row>
    <row r="46" spans="1:42" s="5" customFormat="1" ht="12" thickBot="1">
      <c r="A46" s="340">
        <f>'1-συμβολαια'!A46</f>
        <v>0</v>
      </c>
      <c r="B46" s="341"/>
      <c r="C46" s="591" t="str">
        <f>'1-συμβολαια'!C46</f>
        <v>ΧΑΟΣ= κλείσιμο &amp; εκ ΝΕΟΥ</v>
      </c>
      <c r="D46" s="342">
        <f>'4-πολλυπρ'!D46</f>
        <v>0</v>
      </c>
      <c r="E46" s="342">
        <f>'4-πολλυπρ'!I46</f>
        <v>0</v>
      </c>
      <c r="F46" s="342">
        <f>'14-βιβλΕσ'!O46</f>
        <v>0</v>
      </c>
      <c r="G46" s="344">
        <f>'14-βιβλΕσ'!Q46</f>
        <v>0</v>
      </c>
      <c r="H46" s="344">
        <f t="shared" si="24"/>
        <v>0</v>
      </c>
      <c r="I46" s="617"/>
      <c r="J46" s="596"/>
      <c r="K46" s="617"/>
      <c r="L46" s="596"/>
      <c r="M46" s="617"/>
      <c r="N46" s="596"/>
      <c r="O46" s="617"/>
      <c r="P46" s="596"/>
      <c r="Q46" s="596"/>
      <c r="R46" s="596"/>
      <c r="S46" s="596"/>
      <c r="T46" s="596"/>
      <c r="U46" s="603"/>
      <c r="V46" s="738"/>
      <c r="W46" s="615"/>
      <c r="X46" s="739"/>
      <c r="Y46" s="603">
        <v>0</v>
      </c>
      <c r="Z46" s="603"/>
      <c r="AA46" s="603"/>
      <c r="AB46" s="603"/>
      <c r="AC46" s="615"/>
      <c r="AD46" s="739"/>
      <c r="AE46" s="615"/>
      <c r="AF46" s="739"/>
      <c r="AG46" s="615"/>
      <c r="AH46" s="739"/>
      <c r="AI46" s="373"/>
      <c r="AJ46" s="374">
        <f t="shared" si="36"/>
        <v>0</v>
      </c>
      <c r="AK46" s="408"/>
      <c r="AL46" s="67"/>
      <c r="AM46" s="67"/>
      <c r="AN46" s="67"/>
      <c r="AO46" s="67"/>
      <c r="AP46" s="67"/>
    </row>
    <row r="47" spans="1:42">
      <c r="A47" s="1011" t="s">
        <v>35</v>
      </c>
      <c r="B47" s="1012"/>
      <c r="C47" s="1012"/>
      <c r="D47" s="1012"/>
      <c r="E47" s="1013"/>
      <c r="F47" s="244">
        <f t="shared" ref="F47:O47" si="37">SUM(F3:F46)</f>
        <v>1128189.8640250002</v>
      </c>
      <c r="G47" s="244">
        <f t="shared" si="37"/>
        <v>28273</v>
      </c>
      <c r="H47" s="244">
        <f t="shared" si="37"/>
        <v>1156462.8640250002</v>
      </c>
      <c r="I47" s="37">
        <f t="shared" si="37"/>
        <v>3393.8748760821709</v>
      </c>
      <c r="J47" s="244">
        <f t="shared" si="37"/>
        <v>8263758.7019999996</v>
      </c>
      <c r="K47" s="37">
        <f t="shared" si="37"/>
        <v>24251.676308143804</v>
      </c>
      <c r="L47" s="244">
        <f t="shared" si="37"/>
        <v>159276</v>
      </c>
      <c r="M47" s="37">
        <f t="shared" si="37"/>
        <v>467.42773294203965</v>
      </c>
      <c r="N47" s="244">
        <f t="shared" si="37"/>
        <v>2345067.0280499998</v>
      </c>
      <c r="O47" s="37">
        <f t="shared" si="37"/>
        <v>6882.0749172413789</v>
      </c>
      <c r="P47" s="409"/>
      <c r="Q47" s="409"/>
      <c r="R47" s="409"/>
      <c r="S47" s="409"/>
      <c r="T47" s="409"/>
      <c r="U47" s="244">
        <f>SUM(U3:U46)</f>
        <v>16105758.795499999</v>
      </c>
      <c r="V47" s="37">
        <f>SUM(V3:V46)</f>
        <v>47265.61642112986</v>
      </c>
      <c r="W47" s="244">
        <f>SUM(W3:W46)</f>
        <v>16105758.795499999</v>
      </c>
      <c r="X47" s="37">
        <f>SUM(X3:X46)</f>
        <v>47265.61642112986</v>
      </c>
      <c r="Y47" s="244">
        <f>SUM(Y3:Y46)</f>
        <v>54653794.733593918</v>
      </c>
      <c r="Z47" s="411"/>
      <c r="AA47" s="411"/>
      <c r="AB47" s="411"/>
      <c r="AC47" s="244">
        <f t="shared" ref="AC47:AH47" si="38">SUM(AC3:AC46)</f>
        <v>16258564.795499999</v>
      </c>
      <c r="AD47" s="37">
        <f t="shared" si="38"/>
        <v>47714.056626559053</v>
      </c>
      <c r="AE47" s="244">
        <f t="shared" si="38"/>
        <v>152806</v>
      </c>
      <c r="AF47" s="37">
        <f t="shared" si="38"/>
        <v>448.44020542920032</v>
      </c>
      <c r="AG47" s="244">
        <f t="shared" si="38"/>
        <v>16105758.795499999</v>
      </c>
      <c r="AH47" s="37">
        <f t="shared" si="38"/>
        <v>47265.61642112986</v>
      </c>
      <c r="AI47" s="37"/>
      <c r="AJ47" s="244">
        <f>SUM(AJ3:AJ46)</f>
        <v>54653794.733593918</v>
      </c>
    </row>
    <row r="48" spans="1:42">
      <c r="L48" s="69"/>
      <c r="M48" s="69"/>
      <c r="N48" s="69"/>
      <c r="O48" s="69"/>
    </row>
    <row r="49" spans="12:49">
      <c r="L49" s="127"/>
      <c r="M49" s="127"/>
      <c r="N49" s="127"/>
      <c r="O49" s="127"/>
      <c r="AC49" s="127"/>
      <c r="AD49" s="127"/>
    </row>
    <row r="50" spans="12:49">
      <c r="AC50" s="128"/>
      <c r="AD50" s="128"/>
    </row>
    <row r="53" spans="12:49" ht="15">
      <c r="AL53" s="115"/>
      <c r="AM53" s="105"/>
      <c r="AN53" s="105"/>
      <c r="AO53" s="105"/>
      <c r="AP53" s="115"/>
    </row>
    <row r="54" spans="12:49" ht="15">
      <c r="AL54" s="116"/>
      <c r="AM54" s="116"/>
      <c r="AN54" s="116"/>
      <c r="AO54" s="116"/>
      <c r="AP54" s="116"/>
      <c r="AQ54" s="115"/>
      <c r="AR54" s="115"/>
      <c r="AS54" s="115"/>
      <c r="AT54" s="115"/>
      <c r="AU54" s="115"/>
      <c r="AV54" s="115"/>
      <c r="AW54" s="115"/>
    </row>
    <row r="55" spans="12:49" ht="15.75">
      <c r="AL55" s="115"/>
      <c r="AM55" s="117"/>
      <c r="AN55" s="117"/>
      <c r="AO55" s="117"/>
      <c r="AP55" s="117"/>
      <c r="AQ55" s="118"/>
      <c r="AR55" s="118"/>
      <c r="AS55" s="118"/>
      <c r="AT55" s="118"/>
      <c r="AU55" s="118"/>
      <c r="AV55" s="118"/>
      <c r="AW55" s="118"/>
    </row>
    <row r="56" spans="12:49" ht="15.75">
      <c r="AL56" s="115"/>
      <c r="AM56" s="119"/>
      <c r="AN56" s="119"/>
      <c r="AO56" s="119"/>
      <c r="AP56" s="119"/>
      <c r="AQ56" s="118"/>
      <c r="AR56" s="118"/>
      <c r="AS56" s="118"/>
      <c r="AT56" s="118"/>
      <c r="AU56" s="118"/>
      <c r="AV56" s="118"/>
      <c r="AW56" s="118"/>
    </row>
    <row r="57" spans="12:49" ht="15.75"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</row>
    <row r="58" spans="12:49" ht="15.75">
      <c r="AL58" s="118"/>
      <c r="AM58" s="118"/>
      <c r="AN58" s="118"/>
      <c r="AO58" s="118"/>
      <c r="AP58" s="118"/>
      <c r="AQ58" s="120"/>
      <c r="AR58" s="120"/>
      <c r="AS58" s="120"/>
      <c r="AT58" s="120"/>
      <c r="AU58" s="120"/>
      <c r="AV58" s="120"/>
      <c r="AW58" s="118"/>
    </row>
    <row r="59" spans="12:49" ht="15.75"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</row>
    <row r="60" spans="12:49" ht="15.75"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</row>
    <row r="61" spans="12:49" ht="15.75"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  <c r="AW61" s="118"/>
    </row>
    <row r="62" spans="12:49" ht="15.75"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</row>
    <row r="63" spans="12:49" ht="15.75">
      <c r="AL63" s="118"/>
      <c r="AM63" s="118"/>
      <c r="AN63" s="118"/>
      <c r="AO63" s="118"/>
      <c r="AP63" s="118"/>
      <c r="AQ63" s="118"/>
      <c r="AR63" s="118"/>
      <c r="AS63" s="118"/>
      <c r="AT63" s="118"/>
      <c r="AU63" s="118"/>
      <c r="AV63" s="118"/>
      <c r="AW63" s="118"/>
    </row>
    <row r="64" spans="12:49" ht="15"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</row>
    <row r="65" spans="38:49" ht="15"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</row>
    <row r="66" spans="38:49" ht="15"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</row>
    <row r="67" spans="38:49" ht="15"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</row>
    <row r="68" spans="38:49" ht="15"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</row>
    <row r="69" spans="38:49" ht="15"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</row>
    <row r="70" spans="38:49" ht="15"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</row>
    <row r="71" spans="38:49" ht="15"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</row>
    <row r="72" spans="38:49" ht="15"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</row>
    <row r="73" spans="38:49" ht="15"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</row>
    <row r="74" spans="38:49" ht="15"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</row>
    <row r="75" spans="38:49" ht="15"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</row>
    <row r="76" spans="38:49" ht="15"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</row>
    <row r="77" spans="38:49" ht="15"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</row>
    <row r="78" spans="38:49" ht="15"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</row>
    <row r="79" spans="38:49" ht="15"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</row>
    <row r="80" spans="38:49" ht="15"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</row>
    <row r="81" spans="38:49" ht="15"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</row>
    <row r="82" spans="38:49" ht="15"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</row>
    <row r="83" spans="38:49" ht="15"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</row>
    <row r="84" spans="38:49" ht="15"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</row>
    <row r="85" spans="38:49" ht="15.75" customHeight="1"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</row>
    <row r="86" spans="38:49" ht="15"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</row>
    <row r="87" spans="38:49" ht="15"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</row>
    <row r="88" spans="38:49" ht="15.75">
      <c r="AL88" s="115"/>
      <c r="AM88" s="115"/>
      <c r="AN88" s="115"/>
      <c r="AO88" s="115"/>
      <c r="AP88" s="115"/>
      <c r="AQ88" s="121"/>
      <c r="AR88" s="121"/>
      <c r="AS88" s="121"/>
      <c r="AT88" s="121"/>
      <c r="AU88" s="121"/>
      <c r="AV88" s="121"/>
      <c r="AW88" s="121"/>
    </row>
    <row r="89" spans="38:49" ht="15.75" customHeight="1">
      <c r="AL89" s="115"/>
      <c r="AM89" s="115"/>
      <c r="AN89" s="115"/>
      <c r="AO89" s="115"/>
      <c r="AP89" s="115"/>
      <c r="AQ89" s="121"/>
      <c r="AR89" s="121"/>
      <c r="AS89" s="121"/>
      <c r="AT89" s="121"/>
      <c r="AU89" s="121"/>
      <c r="AV89" s="121"/>
      <c r="AW89" s="121"/>
    </row>
    <row r="90" spans="38:49" ht="15"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</row>
    <row r="91" spans="38:49" ht="15"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</row>
    <row r="92" spans="38:49" ht="15"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</row>
    <row r="93" spans="38:49" ht="15"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</row>
    <row r="94" spans="38:49" ht="15"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</row>
    <row r="95" spans="38:49" ht="15"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</row>
    <row r="96" spans="38:49" ht="15"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</row>
    <row r="97" spans="38:49" ht="15"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</row>
    <row r="98" spans="38:49" ht="15"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</row>
    <row r="99" spans="38:49" ht="15"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</row>
    <row r="100" spans="38:49" ht="15.75">
      <c r="AL100" s="115"/>
      <c r="AM100" s="115"/>
      <c r="AN100" s="115"/>
      <c r="AO100" s="115"/>
      <c r="AP100" s="115"/>
      <c r="AQ100" s="1022"/>
      <c r="AR100" s="1022"/>
      <c r="AS100" s="1022"/>
      <c r="AT100" s="120"/>
      <c r="AU100" s="120"/>
      <c r="AV100" s="120"/>
      <c r="AW100" s="115"/>
    </row>
    <row r="101" spans="38:49" ht="15.75">
      <c r="AL101" s="115"/>
      <c r="AM101" s="115"/>
      <c r="AN101" s="115"/>
      <c r="AO101" s="115"/>
      <c r="AP101" s="115"/>
      <c r="AQ101" s="973"/>
      <c r="AR101" s="973"/>
      <c r="AS101" s="973"/>
      <c r="AT101" s="973"/>
      <c r="AU101" s="115"/>
      <c r="AV101" s="115"/>
      <c r="AW101" s="115"/>
    </row>
    <row r="102" spans="38:49" ht="15.75">
      <c r="AL102" s="115"/>
      <c r="AM102" s="115"/>
      <c r="AN102" s="115"/>
      <c r="AO102" s="115"/>
      <c r="AP102" s="115"/>
      <c r="AQ102" s="1022"/>
      <c r="AR102" s="1022"/>
      <c r="AS102" s="1022"/>
      <c r="AT102" s="1022"/>
      <c r="AU102" s="1022"/>
      <c r="AV102" s="115"/>
      <c r="AW102" s="115"/>
    </row>
    <row r="103" spans="38:49" ht="15"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</row>
    <row r="104" spans="38:49" ht="15"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</row>
    <row r="105" spans="38:49" ht="15"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</row>
    <row r="106" spans="38:49" ht="15"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</row>
    <row r="107" spans="38:49" ht="15"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</row>
    <row r="108" spans="38:49" ht="15"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</row>
    <row r="109" spans="38:49" ht="15"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</row>
    <row r="110" spans="38:49" ht="15"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</row>
    <row r="111" spans="38:49" ht="15"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</row>
    <row r="112" spans="38:49" ht="15"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</row>
    <row r="113" spans="38:49" ht="15"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</row>
    <row r="114" spans="38:49" ht="15"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</row>
    <row r="115" spans="38:49" ht="15"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</row>
    <row r="116" spans="38:49" ht="15"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</row>
    <row r="117" spans="38:49" ht="15"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</row>
  </sheetData>
  <mergeCells count="22">
    <mergeCell ref="AQ100:AS100"/>
    <mergeCell ref="AQ101:AT101"/>
    <mergeCell ref="AQ102:AU102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47:E47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V80"/>
  <sheetViews>
    <sheetView workbookViewId="0">
      <pane ySplit="1" topLeftCell="A2" activePane="bottomLeft" state="frozen"/>
      <selection pane="bottomLeft" activeCell="D2" sqref="D2:I44"/>
    </sheetView>
  </sheetViews>
  <sheetFormatPr defaultRowHeight="11.25"/>
  <cols>
    <col min="1" max="1" width="15.85546875" style="3" bestFit="1" customWidth="1"/>
    <col min="2" max="2" width="49.14062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10" width="9.140625" style="3"/>
    <col min="11" max="11" width="11.140625" style="3" bestFit="1" customWidth="1"/>
    <col min="12" max="13" width="9.140625" style="3"/>
    <col min="14" max="14" width="9.140625" style="2"/>
    <col min="15" max="15" width="13.140625" style="3" bestFit="1" customWidth="1"/>
    <col min="16" max="16" width="12.140625" style="3" bestFit="1" customWidth="1"/>
    <col min="17" max="17" width="9.140625" style="3"/>
    <col min="18" max="18" width="40.5703125" style="3" bestFit="1" customWidth="1"/>
    <col min="19" max="19" width="14.85546875" style="3" customWidth="1"/>
    <col min="20" max="20" width="15.7109375" style="3" bestFit="1" customWidth="1"/>
    <col min="21" max="21" width="19.42578125" style="3" customWidth="1"/>
    <col min="22" max="16384" width="9.140625" style="3"/>
  </cols>
  <sheetData>
    <row r="1" spans="1:22" ht="12" thickBot="1">
      <c r="A1" s="251"/>
      <c r="B1" s="251"/>
      <c r="C1" s="419"/>
      <c r="D1" s="251" t="s">
        <v>303</v>
      </c>
      <c r="E1" s="251" t="s">
        <v>304</v>
      </c>
      <c r="F1" s="251" t="s">
        <v>305</v>
      </c>
      <c r="G1" s="251" t="s">
        <v>306</v>
      </c>
      <c r="H1" s="251" t="s">
        <v>307</v>
      </c>
      <c r="I1" s="251" t="s">
        <v>308</v>
      </c>
      <c r="J1" s="472" t="s">
        <v>309</v>
      </c>
      <c r="K1" s="772" t="s">
        <v>310</v>
      </c>
      <c r="L1" s="773"/>
      <c r="M1" s="774"/>
      <c r="N1" s="473"/>
      <c r="O1" s="780" t="s">
        <v>382</v>
      </c>
      <c r="P1" s="781"/>
      <c r="Q1" s="781"/>
      <c r="R1" s="775" t="s">
        <v>311</v>
      </c>
      <c r="S1" s="775"/>
      <c r="T1" s="775"/>
      <c r="U1" s="775"/>
      <c r="V1" s="776"/>
    </row>
    <row r="2" spans="1:22">
      <c r="A2" s="474" t="str">
        <f>'1-συμβολαια'!A3</f>
        <v>93τραπ &amp; σημ</v>
      </c>
      <c r="B2" s="288" t="str">
        <f>'1-συμβολαια'!C3</f>
        <v>δάνειο</v>
      </c>
      <c r="C2" s="468">
        <f>'1-συμβολαια'!D3</f>
        <v>24000000</v>
      </c>
      <c r="D2" s="469"/>
      <c r="E2" s="469"/>
      <c r="F2" s="469"/>
      <c r="G2" s="469"/>
      <c r="H2" s="469"/>
      <c r="I2" s="469"/>
      <c r="J2" s="469">
        <f t="shared" ref="J2:J9" si="0">SUM(D2:I2)</f>
        <v>0</v>
      </c>
      <c r="K2" s="470"/>
      <c r="L2" s="469"/>
      <c r="M2" s="469"/>
      <c r="N2" s="471"/>
      <c r="O2" s="469"/>
      <c r="P2" s="469"/>
      <c r="Q2" s="469"/>
      <c r="R2" s="469"/>
      <c r="S2" s="469"/>
      <c r="T2" s="469"/>
      <c r="U2" s="469"/>
      <c r="V2" s="469"/>
    </row>
    <row r="3" spans="1:22">
      <c r="A3" s="438">
        <f>'1-συμβολαια'!A4</f>
        <v>0</v>
      </c>
      <c r="B3" s="67" t="str">
        <f>'1-συμβολαια'!C4</f>
        <v>υποθήκη δανείου</v>
      </c>
      <c r="C3" s="190">
        <f>'1-συμβολαια'!D4</f>
        <v>26666666</v>
      </c>
      <c r="D3" s="70"/>
      <c r="E3" s="70"/>
      <c r="F3" s="70"/>
      <c r="G3" s="70"/>
      <c r="H3" s="70"/>
      <c r="I3" s="70"/>
      <c r="J3" s="70">
        <f t="shared" si="0"/>
        <v>0</v>
      </c>
      <c r="K3" s="570" t="s">
        <v>628</v>
      </c>
      <c r="L3" s="70"/>
      <c r="M3" s="70"/>
      <c r="N3" s="321"/>
      <c r="O3" s="70"/>
      <c r="P3" s="70"/>
      <c r="Q3" s="70"/>
      <c r="R3" s="70"/>
      <c r="S3" s="70"/>
      <c r="T3" s="70"/>
      <c r="U3" s="70"/>
      <c r="V3" s="70"/>
    </row>
    <row r="4" spans="1:22">
      <c r="A4" s="438">
        <f>'1-συμβολαια'!A5</f>
        <v>0</v>
      </c>
      <c r="B4" s="67" t="str">
        <f>'1-συμβολαια'!C5</f>
        <v>τόκοι δανείου {εμπρόθεσμα πληρωθέντες}</v>
      </c>
      <c r="C4" s="190">
        <f>'1-συμβολαια'!D5</f>
        <v>51111111</v>
      </c>
      <c r="D4" s="70"/>
      <c r="E4" s="70"/>
      <c r="F4" s="70"/>
      <c r="G4" s="70"/>
      <c r="H4" s="70"/>
      <c r="I4" s="70"/>
      <c r="J4" s="70">
        <f t="shared" si="0"/>
        <v>0</v>
      </c>
      <c r="K4" s="70"/>
      <c r="L4" s="70"/>
      <c r="M4" s="70"/>
      <c r="N4" s="321"/>
      <c r="O4" s="70"/>
      <c r="P4" s="70"/>
      <c r="Q4" s="70"/>
      <c r="R4" s="70"/>
      <c r="S4" s="70"/>
      <c r="T4" s="70"/>
      <c r="U4" s="70"/>
      <c r="V4" s="70"/>
    </row>
    <row r="5" spans="1:22">
      <c r="A5" s="438" t="str">
        <f>'1-συμβολαια'!A6</f>
        <v>375τραπ</v>
      </c>
      <c r="B5" s="67" t="str">
        <f>'1-συμβολαια'!C6</f>
        <v>δάνειο</v>
      </c>
      <c r="C5" s="190">
        <f>'1-συμβολαια'!D6</f>
        <v>5000000</v>
      </c>
      <c r="D5" s="70"/>
      <c r="E5" s="70"/>
      <c r="F5" s="70"/>
      <c r="G5" s="70"/>
      <c r="H5" s="70"/>
      <c r="I5" s="70"/>
      <c r="J5" s="70">
        <f t="shared" si="0"/>
        <v>0</v>
      </c>
      <c r="K5" s="70"/>
      <c r="L5" s="70"/>
      <c r="M5" s="70"/>
      <c r="N5" s="321"/>
      <c r="O5" s="70"/>
      <c r="P5" s="70"/>
      <c r="Q5" s="70"/>
      <c r="R5" s="70"/>
      <c r="S5" s="70"/>
      <c r="T5" s="70"/>
      <c r="U5" s="70"/>
      <c r="V5" s="70"/>
    </row>
    <row r="6" spans="1:22">
      <c r="A6" s="438">
        <f>'1-συμβολαια'!A7</f>
        <v>0</v>
      </c>
      <c r="B6" s="67" t="str">
        <f>'1-συμβολαια'!C7</f>
        <v>υποθήκη δανείου</v>
      </c>
      <c r="C6" s="190">
        <f>'1-συμβολαια'!D7</f>
        <v>6666666</v>
      </c>
      <c r="D6" s="70"/>
      <c r="E6" s="70"/>
      <c r="F6" s="70"/>
      <c r="G6" s="70"/>
      <c r="H6" s="70"/>
      <c r="I6" s="70"/>
      <c r="J6" s="70">
        <f t="shared" si="0"/>
        <v>0</v>
      </c>
      <c r="K6" s="570" t="s">
        <v>628</v>
      </c>
      <c r="L6" s="70"/>
      <c r="M6" s="70"/>
      <c r="N6" s="321"/>
      <c r="O6" s="70"/>
      <c r="P6" s="70"/>
      <c r="Q6" s="70"/>
      <c r="R6" s="70"/>
      <c r="S6" s="70"/>
      <c r="T6" s="70"/>
      <c r="U6" s="70"/>
      <c r="V6" s="70"/>
    </row>
    <row r="7" spans="1:22">
      <c r="A7" s="438">
        <f>'1-συμβολαια'!A8</f>
        <v>0</v>
      </c>
      <c r="B7" s="67" t="str">
        <f>'1-συμβολαια'!C8</f>
        <v>τόκοι δανείου</v>
      </c>
      <c r="C7" s="190">
        <f>'1-συμβολαια'!D8</f>
        <v>11111111</v>
      </c>
      <c r="D7" s="70"/>
      <c r="E7" s="70"/>
      <c r="F7" s="70"/>
      <c r="G7" s="70"/>
      <c r="H7" s="70"/>
      <c r="I7" s="70"/>
      <c r="J7" s="70">
        <f t="shared" si="0"/>
        <v>0</v>
      </c>
      <c r="K7" s="70"/>
      <c r="L7" s="70"/>
      <c r="M7" s="70"/>
      <c r="N7" s="321"/>
      <c r="O7" s="70"/>
      <c r="P7" s="70"/>
      <c r="Q7" s="70"/>
      <c r="R7" s="70"/>
      <c r="S7" s="70"/>
      <c r="T7" s="70"/>
      <c r="U7" s="70"/>
      <c r="V7" s="70"/>
    </row>
    <row r="8" spans="1:22" ht="12" thickBot="1">
      <c r="A8" s="439" t="str">
        <f>'1-συμβολαια'!A9</f>
        <v>1ο</v>
      </c>
      <c r="B8" s="346" t="str">
        <f>'1-συμβολαια'!C9</f>
        <v>υποθήκη τυχόν αυξήσεως ΤΟΚΩΝ δανείου</v>
      </c>
      <c r="C8" s="419">
        <f>'1-συμβολαια'!D9</f>
        <v>20000</v>
      </c>
      <c r="D8" s="251">
        <v>200</v>
      </c>
      <c r="E8" s="251">
        <v>60</v>
      </c>
      <c r="F8" s="251"/>
      <c r="G8" s="251"/>
      <c r="H8" s="251"/>
      <c r="I8" s="251"/>
      <c r="J8" s="251">
        <f t="shared" si="0"/>
        <v>260</v>
      </c>
      <c r="K8" s="251" t="s">
        <v>532</v>
      </c>
      <c r="L8" s="257" t="s">
        <v>531</v>
      </c>
      <c r="M8" s="251">
        <v>98</v>
      </c>
      <c r="N8" s="420"/>
      <c r="O8" s="251"/>
      <c r="P8" s="251"/>
      <c r="Q8" s="251"/>
      <c r="R8" s="521" t="s">
        <v>541</v>
      </c>
      <c r="S8" s="70"/>
      <c r="T8" s="70"/>
      <c r="U8" s="70"/>
      <c r="V8" s="70"/>
    </row>
    <row r="9" spans="1:22">
      <c r="A9" s="488" t="str">
        <f>'1-συμβολαια'!A10</f>
        <v>2ο</v>
      </c>
      <c r="B9" s="288" t="str">
        <f>'1-συμβολαια'!C10</f>
        <v>αγοραπωλησία οικοπεδου τίμημα = 800.000 Δ.Ο.Υ. =</v>
      </c>
      <c r="C9" s="468">
        <f>'1-συμβολαια'!D10</f>
        <v>1000000</v>
      </c>
      <c r="D9" s="469">
        <v>200</v>
      </c>
      <c r="E9" s="469">
        <v>88</v>
      </c>
      <c r="F9" s="469"/>
      <c r="G9" s="469">
        <v>22</v>
      </c>
      <c r="H9" s="469"/>
      <c r="I9" s="469"/>
      <c r="J9" s="469">
        <f t="shared" si="0"/>
        <v>310</v>
      </c>
      <c r="K9" s="470">
        <v>30160</v>
      </c>
      <c r="L9" s="469">
        <v>139</v>
      </c>
      <c r="M9" s="469">
        <v>89</v>
      </c>
      <c r="N9" s="471"/>
      <c r="O9" s="469"/>
      <c r="P9" s="469"/>
      <c r="Q9" s="469"/>
      <c r="R9" s="469"/>
      <c r="S9" s="70"/>
      <c r="T9" s="70"/>
      <c r="U9" s="70"/>
      <c r="V9" s="70"/>
    </row>
    <row r="10" spans="1:22">
      <c r="A10" s="489">
        <f>'1-συμβολαια'!A11</f>
        <v>0</v>
      </c>
      <c r="B10" s="67" t="str">
        <f>'1-συμβολαια'!C11</f>
        <v>αγορά εργοστασίου ;;;??? μ2</v>
      </c>
      <c r="C10" s="190">
        <f>'1-συμβολαια'!D11</f>
        <v>11111111</v>
      </c>
      <c r="D10" s="70"/>
      <c r="E10" s="70"/>
      <c r="F10" s="70"/>
      <c r="G10" s="70"/>
      <c r="H10" s="70"/>
      <c r="I10" s="70"/>
      <c r="J10" s="70">
        <f t="shared" ref="J10:J19" si="1">SUM(D10:I10)</f>
        <v>0</v>
      </c>
      <c r="K10" s="70"/>
      <c r="L10" s="70"/>
      <c r="M10" s="70"/>
      <c r="N10" s="321"/>
      <c r="O10" s="70"/>
      <c r="P10" s="70"/>
      <c r="Q10" s="70"/>
      <c r="R10" s="70"/>
      <c r="S10" s="70"/>
      <c r="T10" s="70"/>
      <c r="U10" s="70"/>
      <c r="V10" s="70"/>
    </row>
    <row r="11" spans="1:22" ht="12" thickBot="1">
      <c r="A11" s="490">
        <f>'1-συμβολαια'!A12</f>
        <v>0</v>
      </c>
      <c r="B11" s="346" t="str">
        <f>'1-συμβολαια'!C12</f>
        <v>αγορά εργοστασίου ΕΞΟΠΛΙΣΜΟΣ</v>
      </c>
      <c r="C11" s="419">
        <f>'1-συμβολαια'!D12</f>
        <v>6666666</v>
      </c>
      <c r="D11" s="251"/>
      <c r="E11" s="251"/>
      <c r="F11" s="251"/>
      <c r="G11" s="251"/>
      <c r="H11" s="251"/>
      <c r="I11" s="251"/>
      <c r="J11" s="251">
        <f t="shared" si="1"/>
        <v>0</v>
      </c>
      <c r="K11" s="251"/>
      <c r="L11" s="251"/>
      <c r="M11" s="251"/>
      <c r="N11" s="420"/>
      <c r="O11" s="251"/>
      <c r="P11" s="251"/>
      <c r="Q11" s="251"/>
      <c r="R11" s="70"/>
      <c r="S11" s="70"/>
      <c r="T11" s="70"/>
      <c r="U11" s="70"/>
      <c r="V11" s="70"/>
    </row>
    <row r="12" spans="1:22" ht="12" thickBot="1">
      <c r="A12" s="502" t="str">
        <f>'1-συμβολαια'!A13</f>
        <v>3ο</v>
      </c>
      <c r="B12" s="573" t="str">
        <f>'1-συμβολαια'!C13</f>
        <v>πληρεξούσιο</v>
      </c>
      <c r="C12" s="502">
        <f>'1-συμβολαια'!D13</f>
        <v>0</v>
      </c>
      <c r="D12" s="503">
        <v>20</v>
      </c>
      <c r="E12" s="503">
        <v>22</v>
      </c>
      <c r="F12" s="503"/>
      <c r="G12" s="503">
        <v>22</v>
      </c>
      <c r="H12" s="503">
        <v>22</v>
      </c>
      <c r="I12" s="503">
        <v>4</v>
      </c>
      <c r="J12" s="503">
        <f t="shared" si="1"/>
        <v>90</v>
      </c>
      <c r="K12" s="503"/>
      <c r="L12" s="503"/>
      <c r="M12" s="503"/>
      <c r="N12" s="504"/>
      <c r="O12" s="503"/>
      <c r="P12" s="503"/>
      <c r="Q12" s="503"/>
      <c r="R12" s="70"/>
      <c r="S12" s="70"/>
      <c r="T12" s="70"/>
      <c r="U12" s="70"/>
      <c r="V12" s="70"/>
    </row>
    <row r="13" spans="1:22">
      <c r="A13" s="474" t="str">
        <f>'1-συμβολαια'!A14</f>
        <v>4ο</v>
      </c>
      <c r="B13" s="288" t="str">
        <f>'1-συμβολαια'!C14</f>
        <v>υποθήκη [έναντι του δανείου 375-29/07/1982τραπ</v>
      </c>
      <c r="C13" s="468">
        <f>'1-συμβολαια'!D14</f>
        <v>100000</v>
      </c>
      <c r="D13" s="469">
        <v>200</v>
      </c>
      <c r="E13" s="469">
        <v>84</v>
      </c>
      <c r="F13" s="469"/>
      <c r="G13" s="469"/>
      <c r="H13" s="469"/>
      <c r="I13" s="469"/>
      <c r="J13" s="469">
        <f t="shared" si="1"/>
        <v>284</v>
      </c>
      <c r="K13" s="469" t="s">
        <v>542</v>
      </c>
      <c r="L13" s="543" t="s">
        <v>531</v>
      </c>
      <c r="M13" s="469">
        <v>137</v>
      </c>
      <c r="N13" s="471"/>
      <c r="O13" s="469"/>
      <c r="P13" s="469"/>
      <c r="Q13" s="469"/>
      <c r="R13" s="70"/>
      <c r="S13" s="70"/>
      <c r="T13" s="70"/>
      <c r="U13" s="70"/>
      <c r="V13" s="70"/>
    </row>
    <row r="14" spans="1:22">
      <c r="A14" s="438" t="str">
        <f>'1-συμβολαια'!A15</f>
        <v>389τραπ</v>
      </c>
      <c r="B14" s="67" t="str">
        <f>'1-συμβολαια'!C15</f>
        <v>δάνειο</v>
      </c>
      <c r="C14" s="190">
        <f>'1-συμβολαια'!D15</f>
        <v>10000000</v>
      </c>
      <c r="D14" s="70"/>
      <c r="E14" s="70"/>
      <c r="F14" s="70"/>
      <c r="G14" s="70"/>
      <c r="H14" s="70"/>
      <c r="I14" s="70"/>
      <c r="J14" s="70">
        <f t="shared" si="1"/>
        <v>0</v>
      </c>
      <c r="K14" s="70"/>
      <c r="L14" s="70"/>
      <c r="M14" s="70"/>
      <c r="N14" s="321"/>
      <c r="O14" s="70"/>
      <c r="P14" s="70"/>
      <c r="Q14" s="70"/>
      <c r="R14" s="70"/>
      <c r="S14" s="70"/>
      <c r="T14" s="70"/>
      <c r="U14" s="70"/>
      <c r="V14" s="70"/>
    </row>
    <row r="15" spans="1:22">
      <c r="A15" s="438">
        <f>'1-συμβολαια'!A16</f>
        <v>0</v>
      </c>
      <c r="B15" s="67" t="str">
        <f>'1-συμβολαια'!C16</f>
        <v>υποθήκη δανείου</v>
      </c>
      <c r="C15" s="190">
        <f>'1-συμβολαια'!D16</f>
        <v>12222222</v>
      </c>
      <c r="D15" s="70"/>
      <c r="E15" s="70"/>
      <c r="F15" s="70"/>
      <c r="G15" s="70"/>
      <c r="H15" s="70"/>
      <c r="I15" s="70"/>
      <c r="J15" s="70">
        <f t="shared" si="1"/>
        <v>0</v>
      </c>
      <c r="K15" s="570" t="s">
        <v>628</v>
      </c>
      <c r="L15" s="70"/>
      <c r="M15" s="70"/>
      <c r="N15" s="321"/>
      <c r="O15" s="70"/>
      <c r="P15" s="70"/>
      <c r="Q15" s="70"/>
      <c r="R15" s="70"/>
      <c r="S15" s="70"/>
      <c r="T15" s="70"/>
      <c r="U15" s="70"/>
      <c r="V15" s="70"/>
    </row>
    <row r="16" spans="1:22" ht="12" thickBot="1">
      <c r="A16" s="439">
        <f>'1-συμβολαια'!A17</f>
        <v>0</v>
      </c>
      <c r="B16" s="346" t="str">
        <f>'1-συμβολαια'!C17</f>
        <v>τόκοι δανείου</v>
      </c>
      <c r="C16" s="419">
        <f>'1-συμβολαια'!D17</f>
        <v>22222222</v>
      </c>
      <c r="D16" s="251"/>
      <c r="E16" s="251"/>
      <c r="F16" s="251"/>
      <c r="G16" s="251"/>
      <c r="H16" s="251"/>
      <c r="I16" s="251"/>
      <c r="J16" s="251">
        <f t="shared" si="1"/>
        <v>0</v>
      </c>
      <c r="K16" s="251"/>
      <c r="L16" s="251"/>
      <c r="M16" s="251"/>
      <c r="N16" s="420"/>
      <c r="O16" s="251"/>
      <c r="P16" s="251"/>
      <c r="Q16" s="251"/>
      <c r="R16" s="251"/>
      <c r="S16" s="70"/>
      <c r="T16" s="70"/>
      <c r="U16" s="70"/>
      <c r="V16" s="70"/>
    </row>
    <row r="17" spans="1:22">
      <c r="A17" s="488" t="str">
        <f>'1-συμβολαια'!A18</f>
        <v>5ο</v>
      </c>
      <c r="B17" s="288" t="str">
        <f>'1-συμβολαια'!C18</f>
        <v>μίσθωσις νταμάρι  Παναγία -'';;;???'' 29στρ 3έτη [1000/έτος/στρ</v>
      </c>
      <c r="C17" s="468">
        <f>'1-συμβολαια'!D18</f>
        <v>696000</v>
      </c>
      <c r="D17" s="469">
        <v>500</v>
      </c>
      <c r="E17" s="469">
        <v>288</v>
      </c>
      <c r="F17" s="469"/>
      <c r="G17" s="469">
        <v>36</v>
      </c>
      <c r="H17" s="469"/>
      <c r="I17" s="469"/>
      <c r="J17" s="469">
        <f t="shared" si="1"/>
        <v>824</v>
      </c>
      <c r="K17" s="469"/>
      <c r="L17" s="469"/>
      <c r="M17" s="469"/>
      <c r="N17" s="471"/>
      <c r="O17" s="469"/>
      <c r="P17" s="469"/>
      <c r="Q17" s="469"/>
      <c r="R17" s="469"/>
      <c r="S17" s="70"/>
      <c r="T17" s="70"/>
      <c r="U17" s="70"/>
      <c r="V17" s="70"/>
    </row>
    <row r="18" spans="1:22">
      <c r="A18" s="489">
        <f>'1-συμβολαια'!A19</f>
        <v>0</v>
      </c>
      <c r="B18" s="67" t="str">
        <f>'1-συμβολαια'!C19</f>
        <v>μίσθωση … ΚΤΙΡΙΑΚΑ &amp; τεχνικές εγκαταστάσεις &amp; ΚΛΠ</v>
      </c>
      <c r="C18" s="190">
        <f>'1-συμβολαια'!D19</f>
        <v>10000000</v>
      </c>
      <c r="D18" s="70"/>
      <c r="E18" s="70"/>
      <c r="F18" s="70"/>
      <c r="G18" s="70"/>
      <c r="H18" s="70"/>
      <c r="I18" s="70"/>
      <c r="J18" s="70">
        <f t="shared" si="1"/>
        <v>0</v>
      </c>
      <c r="K18" s="70"/>
      <c r="L18" s="70"/>
      <c r="M18" s="70"/>
      <c r="N18" s="321"/>
      <c r="O18" s="70"/>
      <c r="P18" s="70"/>
      <c r="Q18" s="70"/>
      <c r="R18" s="70"/>
      <c r="S18" s="70"/>
      <c r="T18" s="70"/>
      <c r="U18" s="70"/>
      <c r="V18" s="70"/>
    </row>
    <row r="19" spans="1:22">
      <c r="A19" s="489">
        <f>'1-συμβολαια'!A20</f>
        <v>0</v>
      </c>
      <c r="B19" s="67" t="str">
        <f>'1-συμβολαια'!C20</f>
        <v>μίσθωση … ΕΡΕΥΝΗΤΙΚΕΣ εργασίες</v>
      </c>
      <c r="C19" s="264">
        <f>'1-συμβολαια'!D20</f>
        <v>3333333</v>
      </c>
      <c r="D19" s="67"/>
      <c r="E19" s="67"/>
      <c r="F19" s="67"/>
      <c r="G19" s="67"/>
      <c r="H19" s="67"/>
      <c r="I19" s="67"/>
      <c r="J19" s="67">
        <f t="shared" si="1"/>
        <v>0</v>
      </c>
      <c r="K19" s="67"/>
      <c r="L19" s="67"/>
      <c r="M19" s="67"/>
      <c r="N19" s="372"/>
      <c r="O19" s="67"/>
      <c r="P19" s="67"/>
      <c r="Q19" s="67"/>
      <c r="R19" s="67"/>
      <c r="S19" s="70"/>
      <c r="T19" s="70"/>
      <c r="U19" s="70"/>
      <c r="V19" s="70"/>
    </row>
    <row r="20" spans="1:22" ht="12" thickBot="1">
      <c r="A20" s="490">
        <f>'1-συμβολαια'!A21</f>
        <v>0</v>
      </c>
      <c r="B20" s="346" t="str">
        <f>'1-συμβολαια'!C21</f>
        <v>μίσθωση ….. κόστος έργων αποκατάστασης</v>
      </c>
      <c r="C20" s="344">
        <f>'1-συμβολαια'!D21</f>
        <v>6000000</v>
      </c>
      <c r="D20" s="594"/>
      <c r="E20" s="346"/>
      <c r="F20" s="346"/>
      <c r="G20" s="346"/>
      <c r="H20" s="346"/>
      <c r="I20" s="346"/>
      <c r="J20" s="346">
        <f t="shared" ref="J20" si="2">SUM(D20:I20)</f>
        <v>0</v>
      </c>
      <c r="K20" s="346"/>
      <c r="L20" s="346"/>
      <c r="M20" s="346"/>
      <c r="N20" s="398"/>
      <c r="O20" s="346"/>
      <c r="P20" s="346"/>
      <c r="Q20" s="346"/>
      <c r="R20" s="346"/>
      <c r="S20" s="70"/>
      <c r="T20" s="70"/>
      <c r="U20" s="70"/>
      <c r="V20" s="70"/>
    </row>
    <row r="21" spans="1:22">
      <c r="A21" s="474" t="str">
        <f>'1-συμβολαια'!A22</f>
        <v>6ο</v>
      </c>
      <c r="B21" s="288" t="str">
        <f>'1-συμβολαια'!C22</f>
        <v>;;;???ΑΕ σύσταση από ΜΕΤΑΤΡΟΠΗ ατομικής [= 40.000.000δρχ</v>
      </c>
      <c r="C21" s="468">
        <f>'1-συμβολαια'!D22</f>
        <v>0</v>
      </c>
      <c r="D21" s="469">
        <v>500</v>
      </c>
      <c r="E21" s="469">
        <v>756</v>
      </c>
      <c r="F21" s="469"/>
      <c r="G21" s="469">
        <v>1200</v>
      </c>
      <c r="H21" s="469"/>
      <c r="I21" s="469"/>
      <c r="J21" s="469">
        <f t="shared" ref="J21" si="3">SUM(D21:I21)</f>
        <v>2456</v>
      </c>
      <c r="K21" s="470">
        <v>33008</v>
      </c>
      <c r="L21" s="469">
        <v>222</v>
      </c>
      <c r="M21" s="469">
        <v>47</v>
      </c>
      <c r="N21" s="471"/>
      <c r="O21" s="469"/>
      <c r="P21" s="469"/>
      <c r="Q21" s="469"/>
      <c r="R21" s="469"/>
      <c r="S21" s="70"/>
      <c r="T21" s="70"/>
      <c r="U21" s="70"/>
      <c r="V21" s="70"/>
    </row>
    <row r="22" spans="1:22" ht="12" thickBot="1">
      <c r="A22" s="439">
        <f>'1-συμβολαια'!A23</f>
        <v>0</v>
      </c>
      <c r="B22" s="346" t="str">
        <f>'1-συμβολαια'!C23</f>
        <v>πληρεξουσιότητα</v>
      </c>
      <c r="C22" s="419">
        <f>'1-συμβολαια'!D23</f>
        <v>0</v>
      </c>
      <c r="D22" s="251"/>
      <c r="E22" s="251"/>
      <c r="F22" s="251"/>
      <c r="G22" s="251"/>
      <c r="H22" s="251"/>
      <c r="I22" s="251"/>
      <c r="J22" s="251">
        <f t="shared" ref="J22:J37" si="4">SUM(D22:I22)</f>
        <v>0</v>
      </c>
      <c r="K22" s="251"/>
      <c r="L22" s="251"/>
      <c r="M22" s="251"/>
      <c r="N22" s="420"/>
      <c r="O22" s="251"/>
      <c r="P22" s="251"/>
      <c r="Q22" s="251"/>
      <c r="R22" s="251"/>
      <c r="S22" s="70"/>
      <c r="T22" s="70"/>
      <c r="U22" s="70"/>
      <c r="V22" s="70"/>
    </row>
    <row r="23" spans="1:22">
      <c r="A23" s="488" t="str">
        <f>'1-συμβολαια'!A24</f>
        <v>7ο</v>
      </c>
      <c r="B23" s="288" t="str">
        <f>'1-συμβολαια'!C24</f>
        <v>;;;??? υποθήκης ΕΞΑΛΕΙΨΗ</v>
      </c>
      <c r="C23" s="468">
        <f>'1-συμβολαια'!D24</f>
        <v>0</v>
      </c>
      <c r="D23" s="469">
        <v>50</v>
      </c>
      <c r="E23" s="469"/>
      <c r="F23" s="469"/>
      <c r="G23" s="469">
        <v>200</v>
      </c>
      <c r="H23" s="469">
        <v>60</v>
      </c>
      <c r="I23" s="469">
        <v>10</v>
      </c>
      <c r="J23" s="469">
        <f t="shared" si="4"/>
        <v>320</v>
      </c>
      <c r="K23" s="570" t="s">
        <v>628</v>
      </c>
      <c r="L23" s="469"/>
      <c r="M23" s="469"/>
      <c r="N23" s="471"/>
      <c r="O23" s="469"/>
      <c r="P23" s="469"/>
      <c r="Q23" s="469"/>
      <c r="R23" s="569" t="s">
        <v>630</v>
      </c>
      <c r="S23" s="469" t="s">
        <v>629</v>
      </c>
      <c r="T23" s="70"/>
      <c r="U23" s="70"/>
      <c r="V23" s="70"/>
    </row>
    <row r="24" spans="1:22">
      <c r="A24" s="488">
        <f>'1-συμβολαια'!A25</f>
        <v>0</v>
      </c>
      <c r="B24" s="288" t="str">
        <f>'1-συμβολαια'!C25</f>
        <v>υποθήκης 375τραπ29/7/82 ΕΞΑΛΕΙΨΗ</v>
      </c>
      <c r="C24" s="468">
        <f>'1-συμβολαια'!D25</f>
        <v>0</v>
      </c>
      <c r="D24" s="469"/>
      <c r="E24" s="469"/>
      <c r="F24" s="469"/>
      <c r="G24" s="469"/>
      <c r="H24" s="469"/>
      <c r="I24" s="469"/>
      <c r="J24" s="469">
        <f t="shared" si="4"/>
        <v>0</v>
      </c>
      <c r="K24" s="570" t="s">
        <v>628</v>
      </c>
      <c r="L24" s="469"/>
      <c r="M24" s="469"/>
      <c r="N24" s="471"/>
      <c r="O24" s="469"/>
      <c r="P24" s="469"/>
      <c r="Q24" s="469"/>
      <c r="R24" s="469"/>
      <c r="S24" s="70"/>
      <c r="T24" s="70"/>
      <c r="U24" s="70"/>
      <c r="V24" s="70"/>
    </row>
    <row r="25" spans="1:22">
      <c r="A25" s="488">
        <f>'1-συμβολαια'!A26</f>
        <v>0</v>
      </c>
      <c r="B25" s="288" t="str">
        <f>'1-συμβολαια'!C26</f>
        <v>δάνειο 375τραπ 9/7/82 ΕΞΟΦΛΗΣΗ</v>
      </c>
      <c r="C25" s="468">
        <f>'1-συμβολαια'!D26</f>
        <v>0</v>
      </c>
      <c r="D25" s="469"/>
      <c r="E25" s="469"/>
      <c r="F25" s="469"/>
      <c r="G25" s="469"/>
      <c r="H25" s="469"/>
      <c r="I25" s="469"/>
      <c r="J25" s="469">
        <f t="shared" si="4"/>
        <v>0</v>
      </c>
      <c r="K25" s="469"/>
      <c r="L25" s="469"/>
      <c r="M25" s="469"/>
      <c r="N25" s="471"/>
      <c r="O25" s="469"/>
      <c r="P25" s="469"/>
      <c r="Q25" s="469"/>
      <c r="R25" s="469"/>
      <c r="S25" s="70"/>
      <c r="T25" s="70"/>
      <c r="U25" s="70"/>
      <c r="V25" s="70"/>
    </row>
    <row r="26" spans="1:22">
      <c r="A26" s="488">
        <f>'1-συμβολαια'!A27</f>
        <v>0</v>
      </c>
      <c r="B26" s="67" t="str">
        <f>'1-συμβολαια'!C27</f>
        <v>τόκοι δανείου 375τραπ {= προπληρωθέντες VS υπερΠληρωθέντες</v>
      </c>
      <c r="C26" s="190">
        <f>'1-συμβολαια'!D27</f>
        <v>1111111</v>
      </c>
      <c r="D26" s="70"/>
      <c r="E26" s="70"/>
      <c r="F26" s="70"/>
      <c r="G26" s="70"/>
      <c r="H26" s="70"/>
      <c r="I26" s="70"/>
      <c r="J26" s="70">
        <f t="shared" si="4"/>
        <v>0</v>
      </c>
      <c r="K26" s="70"/>
      <c r="L26" s="70"/>
      <c r="M26" s="70"/>
      <c r="N26" s="321"/>
      <c r="O26" s="70"/>
      <c r="P26" s="70"/>
      <c r="Q26" s="70"/>
      <c r="R26" s="70"/>
      <c r="S26" s="70"/>
      <c r="T26" s="70"/>
      <c r="U26" s="70"/>
      <c r="V26" s="70"/>
    </row>
    <row r="27" spans="1:22">
      <c r="A27" s="488">
        <f>'1-συμβολαια'!A28</f>
        <v>0</v>
      </c>
      <c r="B27" s="67" t="str">
        <f>'1-συμβολαια'!C28</f>
        <v>υποθήκης 389τραπ29/7/82 ΕΞΑΛΕΙΨΗ</v>
      </c>
      <c r="C27" s="190">
        <f>'1-συμβολαια'!D28</f>
        <v>0</v>
      </c>
      <c r="D27" s="70"/>
      <c r="E27" s="70"/>
      <c r="F27" s="70"/>
      <c r="G27" s="70"/>
      <c r="H27" s="70"/>
      <c r="I27" s="70"/>
      <c r="J27" s="70">
        <f t="shared" si="4"/>
        <v>0</v>
      </c>
      <c r="K27" s="570" t="s">
        <v>628</v>
      </c>
      <c r="L27" s="70"/>
      <c r="M27" s="70"/>
      <c r="N27" s="321"/>
      <c r="O27" s="70"/>
      <c r="P27" s="70"/>
      <c r="Q27" s="70"/>
      <c r="R27" s="70"/>
      <c r="S27" s="70"/>
      <c r="T27" s="70"/>
      <c r="U27" s="70"/>
      <c r="V27" s="70"/>
    </row>
    <row r="28" spans="1:22">
      <c r="A28" s="488">
        <f>'1-συμβολαια'!A29</f>
        <v>0</v>
      </c>
      <c r="B28" s="288" t="str">
        <f>'1-συμβολαια'!C29</f>
        <v>δάνειο 389τραπ29/7/82 ΕΞΟΦΛΗΣΗ</v>
      </c>
      <c r="C28" s="468">
        <f>'1-συμβολαια'!D29</f>
        <v>0</v>
      </c>
      <c r="D28" s="469"/>
      <c r="E28" s="469"/>
      <c r="F28" s="469"/>
      <c r="G28" s="469"/>
      <c r="H28" s="469"/>
      <c r="I28" s="469"/>
      <c r="J28" s="469">
        <f t="shared" si="4"/>
        <v>0</v>
      </c>
      <c r="K28" s="469"/>
      <c r="L28" s="469"/>
      <c r="M28" s="469"/>
      <c r="N28" s="471"/>
      <c r="O28" s="469"/>
      <c r="P28" s="469"/>
      <c r="Q28" s="469"/>
      <c r="R28" s="469"/>
      <c r="S28" s="70"/>
      <c r="T28" s="70"/>
      <c r="U28" s="70"/>
      <c r="V28" s="70"/>
    </row>
    <row r="29" spans="1:22" ht="12" thickBot="1">
      <c r="A29" s="490">
        <f>'1-συμβολαια'!A30</f>
        <v>0</v>
      </c>
      <c r="B29" s="346" t="str">
        <f>'1-συμβολαια'!C30</f>
        <v>τόκοι δανείου 389τραπ {= προπληρωθέντες VS υπερΠληρωθέντες</v>
      </c>
      <c r="C29" s="419">
        <f>'1-συμβολαια'!D30</f>
        <v>2222222</v>
      </c>
      <c r="D29" s="251"/>
      <c r="E29" s="251"/>
      <c r="F29" s="251"/>
      <c r="G29" s="251"/>
      <c r="H29" s="251"/>
      <c r="I29" s="251"/>
      <c r="J29" s="251">
        <f t="shared" si="4"/>
        <v>0</v>
      </c>
      <c r="K29" s="251"/>
      <c r="L29" s="251"/>
      <c r="M29" s="251"/>
      <c r="N29" s="420"/>
      <c r="O29" s="251"/>
      <c r="P29" s="251"/>
      <c r="Q29" s="251"/>
      <c r="R29" s="251"/>
      <c r="S29" s="70"/>
      <c r="T29" s="70"/>
      <c r="U29" s="70"/>
      <c r="V29" s="70"/>
    </row>
    <row r="30" spans="1:22">
      <c r="A30" s="474" t="str">
        <f>'1-συμβολαια'!A31</f>
        <v>8ο</v>
      </c>
      <c r="B30" s="469" t="str">
        <f>'1-συμβολαια'!C31</f>
        <v>μίσθωσης νταμάρι …. ΠΑΡΑΤΑΣΗ 3έτη</v>
      </c>
      <c r="C30" s="468">
        <f>'1-συμβολαια'!D31</f>
        <v>966657</v>
      </c>
      <c r="D30" s="469"/>
      <c r="E30" s="469"/>
      <c r="F30" s="469"/>
      <c r="G30" s="469"/>
      <c r="H30" s="469"/>
      <c r="I30" s="469"/>
      <c r="J30" s="469">
        <f t="shared" si="4"/>
        <v>0</v>
      </c>
      <c r="K30" s="469"/>
      <c r="L30" s="469"/>
      <c r="M30" s="469"/>
      <c r="N30" s="471"/>
      <c r="O30" s="469"/>
      <c r="P30" s="469"/>
      <c r="Q30" s="469"/>
      <c r="R30" s="469"/>
      <c r="S30" s="70"/>
      <c r="T30" s="70"/>
      <c r="U30" s="70"/>
      <c r="V30" s="70"/>
    </row>
    <row r="31" spans="1:22" ht="12" thickBot="1">
      <c r="A31" s="439">
        <f>'1-συμβολαια'!A32</f>
        <v>0</v>
      </c>
      <c r="B31" s="601" t="str">
        <f>'1-συμβολαια'!C32</f>
        <v>ΧΑΟΣ= κλείσιμο &amp; εκ ΝΕΟΥ</v>
      </c>
      <c r="C31" s="596">
        <f>'1-συμβολαια'!D32</f>
        <v>0</v>
      </c>
      <c r="D31" s="601"/>
      <c r="E31" s="601"/>
      <c r="F31" s="601"/>
      <c r="G31" s="601"/>
      <c r="H31" s="601"/>
      <c r="I31" s="601"/>
      <c r="J31" s="601">
        <f t="shared" si="4"/>
        <v>0</v>
      </c>
      <c r="K31" s="601"/>
      <c r="L31" s="601"/>
      <c r="M31" s="601"/>
      <c r="N31" s="617"/>
      <c r="O31" s="601"/>
      <c r="P31" s="601"/>
      <c r="Q31" s="601"/>
      <c r="R31" s="601"/>
      <c r="S31" s="70"/>
      <c r="T31" s="70"/>
      <c r="U31" s="70"/>
      <c r="V31" s="70"/>
    </row>
    <row r="32" spans="1:22">
      <c r="A32" s="488" t="str">
        <f>'1-συμβολαια'!A33</f>
        <v>9ο</v>
      </c>
      <c r="B32" s="469" t="str">
        <f>'1-συμβολαια'!C33</f>
        <v xml:space="preserve">υποθήκη </v>
      </c>
      <c r="C32" s="468">
        <f>'1-συμβολαια'!D33</f>
        <v>100000</v>
      </c>
      <c r="D32" s="469">
        <v>100</v>
      </c>
      <c r="E32" s="469">
        <v>480</v>
      </c>
      <c r="F32" s="469"/>
      <c r="G32" s="469">
        <v>100</v>
      </c>
      <c r="H32" s="469"/>
      <c r="I32" s="469"/>
      <c r="J32" s="469">
        <f t="shared" si="4"/>
        <v>680</v>
      </c>
      <c r="K32" s="469" t="s">
        <v>643</v>
      </c>
      <c r="L32" s="469">
        <v>21</v>
      </c>
      <c r="M32" s="469">
        <v>4</v>
      </c>
      <c r="N32" s="471"/>
      <c r="O32" s="469"/>
      <c r="P32" s="469"/>
      <c r="Q32" s="469"/>
      <c r="R32" s="469"/>
      <c r="S32" s="70"/>
      <c r="T32" s="70"/>
      <c r="U32" s="70"/>
      <c r="V32" s="70"/>
    </row>
    <row r="33" spans="1:22">
      <c r="A33" s="488" t="str">
        <f>'1-συμβολαια'!A34</f>
        <v>794-1-2-3τραπ</v>
      </c>
      <c r="B33" s="469" t="str">
        <f>'1-συμβολαια'!C34</f>
        <v>υποθήκες δανείων [7/8/89-25/1/1991-8/3/1991-22/11/1991</v>
      </c>
      <c r="C33" s="468">
        <f>'1-συμβολαια'!D34</f>
        <v>73333333</v>
      </c>
      <c r="D33" s="469"/>
      <c r="E33" s="469"/>
      <c r="F33" s="469"/>
      <c r="G33" s="469"/>
      <c r="H33" s="469"/>
      <c r="I33" s="469"/>
      <c r="J33" s="469">
        <f t="shared" si="4"/>
        <v>0</v>
      </c>
      <c r="K33" s="469"/>
      <c r="L33" s="469"/>
      <c r="M33" s="469"/>
      <c r="N33" s="471"/>
      <c r="O33" s="469"/>
      <c r="P33" s="469"/>
      <c r="Q33" s="469"/>
      <c r="R33" s="569" t="s">
        <v>644</v>
      </c>
      <c r="S33" s="70"/>
      <c r="T33" s="70"/>
      <c r="U33" s="70"/>
      <c r="V33" s="70"/>
    </row>
    <row r="34" spans="1:22">
      <c r="A34" s="488">
        <f>'1-συμβολαια'!A35</f>
        <v>0</v>
      </c>
      <c r="B34" s="469" t="str">
        <f>'1-συμβολαια'!C35</f>
        <v>δάνεια ανωτέρω υποθηκών</v>
      </c>
      <c r="C34" s="468">
        <f>'1-συμβολαια'!D35</f>
        <v>61000000</v>
      </c>
      <c r="D34" s="469"/>
      <c r="E34" s="469"/>
      <c r="F34" s="469"/>
      <c r="G34" s="469"/>
      <c r="H34" s="469"/>
      <c r="I34" s="469"/>
      <c r="J34" s="469">
        <f t="shared" si="4"/>
        <v>0</v>
      </c>
      <c r="K34" s="469"/>
      <c r="L34" s="469"/>
      <c r="M34" s="469"/>
      <c r="N34" s="471"/>
      <c r="O34" s="469"/>
      <c r="P34" s="469"/>
      <c r="Q34" s="469"/>
      <c r="R34" s="469"/>
      <c r="S34" s="70"/>
      <c r="T34" s="70"/>
      <c r="U34" s="70"/>
      <c r="V34" s="70"/>
    </row>
    <row r="35" spans="1:22" ht="12" thickBot="1">
      <c r="A35" s="490">
        <f>'1-συμβολαια'!A36</f>
        <v>0</v>
      </c>
      <c r="B35" s="251" t="str">
        <f>'1-συμβολαια'!C36</f>
        <v>τόκοι  ανωτέρω δανείων προπληρωθέντες</v>
      </c>
      <c r="C35" s="419">
        <f>'1-συμβολαια'!D36</f>
        <v>133333333</v>
      </c>
      <c r="D35" s="251"/>
      <c r="E35" s="251"/>
      <c r="F35" s="251"/>
      <c r="G35" s="251"/>
      <c r="H35" s="251"/>
      <c r="I35" s="251"/>
      <c r="J35" s="251">
        <f t="shared" si="4"/>
        <v>0</v>
      </c>
      <c r="K35" s="251"/>
      <c r="L35" s="251"/>
      <c r="M35" s="251"/>
      <c r="N35" s="420"/>
      <c r="O35" s="251"/>
      <c r="P35" s="251"/>
      <c r="Q35" s="251"/>
      <c r="R35" s="251"/>
      <c r="S35" s="70"/>
      <c r="T35" s="70"/>
      <c r="U35" s="70"/>
      <c r="V35" s="70"/>
    </row>
    <row r="36" spans="1:22">
      <c r="A36" s="474" t="str">
        <f>'1-συμβολαια'!A37</f>
        <v>10ο</v>
      </c>
      <c r="B36" s="469" t="str">
        <f>'1-συμβολαια'!C37</f>
        <v>υποθήκη  τοιχόν τόκων</v>
      </c>
      <c r="C36" s="468">
        <f>'1-συμβολαια'!D37</f>
        <v>100000</v>
      </c>
      <c r="D36" s="469">
        <v>1000</v>
      </c>
      <c r="E36" s="469"/>
      <c r="F36" s="469"/>
      <c r="G36" s="469">
        <v>100</v>
      </c>
      <c r="H36" s="469">
        <v>480</v>
      </c>
      <c r="I36" s="469"/>
      <c r="J36" s="469">
        <f t="shared" si="4"/>
        <v>1580</v>
      </c>
      <c r="K36" s="470">
        <v>35255</v>
      </c>
      <c r="L36" s="469">
        <v>23</v>
      </c>
      <c r="M36" s="469">
        <v>170</v>
      </c>
      <c r="N36" s="471"/>
      <c r="O36" s="469"/>
      <c r="P36" s="469"/>
      <c r="Q36" s="469"/>
      <c r="R36" s="569" t="s">
        <v>652</v>
      </c>
      <c r="S36" s="70"/>
      <c r="T36" s="70"/>
      <c r="U36" s="70"/>
      <c r="V36" s="70"/>
    </row>
    <row r="37" spans="1:22">
      <c r="A37" s="474" t="str">
        <f>'1-συμβολαια'!A38</f>
        <v>794-4-5τραπ</v>
      </c>
      <c r="B37" s="469" t="str">
        <f>'1-συμβολαια'!C38</f>
        <v>υποθήκες δανείων [27/08/1992-30/10/1992</v>
      </c>
      <c r="C37" s="468">
        <f>'1-συμβολαια'!D38</f>
        <v>32555555</v>
      </c>
      <c r="D37" s="469"/>
      <c r="E37" s="469"/>
      <c r="F37" s="469"/>
      <c r="G37" s="469"/>
      <c r="H37" s="469"/>
      <c r="I37" s="469"/>
      <c r="J37" s="469">
        <f t="shared" si="4"/>
        <v>0</v>
      </c>
      <c r="K37" s="469"/>
      <c r="L37" s="469"/>
      <c r="M37" s="469"/>
      <c r="N37" s="471"/>
      <c r="O37" s="469"/>
      <c r="P37" s="469"/>
      <c r="Q37" s="469"/>
      <c r="R37" s="469"/>
      <c r="S37" s="70"/>
      <c r="T37" s="70"/>
      <c r="U37" s="70"/>
      <c r="V37" s="70"/>
    </row>
    <row r="38" spans="1:22">
      <c r="A38" s="474">
        <f>'1-συμβολαια'!A39</f>
        <v>0</v>
      </c>
      <c r="B38" s="469" t="str">
        <f>'1-συμβολαια'!C39</f>
        <v>δάνεια ανωτέρω υποθηκών</v>
      </c>
      <c r="C38" s="468">
        <f>'1-συμβολαια'!D39</f>
        <v>27000000</v>
      </c>
      <c r="D38" s="469"/>
      <c r="E38" s="469"/>
      <c r="F38" s="469"/>
      <c r="G38" s="469"/>
      <c r="H38" s="469"/>
      <c r="I38" s="469"/>
      <c r="J38" s="469">
        <f t="shared" ref="J38:J45" si="5">SUM(D38:I38)</f>
        <v>0</v>
      </c>
      <c r="K38" s="469"/>
      <c r="L38" s="469"/>
      <c r="M38" s="469"/>
      <c r="N38" s="471"/>
      <c r="O38" s="469"/>
      <c r="P38" s="469"/>
      <c r="Q38" s="469"/>
      <c r="R38" s="469"/>
      <c r="S38" s="70"/>
      <c r="T38" s="70"/>
      <c r="U38" s="70"/>
      <c r="V38" s="70"/>
    </row>
    <row r="39" spans="1:22" ht="12" thickBot="1">
      <c r="A39" s="439">
        <f>'1-συμβολαια'!A40</f>
        <v>0</v>
      </c>
      <c r="B39" s="251" t="str">
        <f>'1-συμβολαια'!C40</f>
        <v>τόκοι  ανωτέρω δανείων προπληρωθέντες</v>
      </c>
      <c r="C39" s="419">
        <f>'1-συμβολαια'!D40</f>
        <v>55555555</v>
      </c>
      <c r="D39" s="251"/>
      <c r="E39" s="251"/>
      <c r="F39" s="251"/>
      <c r="G39" s="251"/>
      <c r="H39" s="251"/>
      <c r="I39" s="251"/>
      <c r="J39" s="251">
        <f t="shared" si="5"/>
        <v>0</v>
      </c>
      <c r="K39" s="251"/>
      <c r="L39" s="251"/>
      <c r="M39" s="251"/>
      <c r="N39" s="420"/>
      <c r="O39" s="251"/>
      <c r="P39" s="251"/>
      <c r="Q39" s="251"/>
      <c r="R39" s="251"/>
      <c r="S39" s="70"/>
      <c r="T39" s="70"/>
      <c r="U39" s="70"/>
      <c r="V39" s="70"/>
    </row>
    <row r="40" spans="1:22">
      <c r="A40" s="488" t="str">
        <f>'1-συμβολαια'!A41</f>
        <v>11ο</v>
      </c>
      <c r="B40" s="469" t="str">
        <f>'1-συμβολαια'!C41</f>
        <v>μίσθωσις νταμάρι  Λιμένας -'';;;???'' 24,526στρ 3έτη [8000/έτος/στρ</v>
      </c>
      <c r="C40" s="468">
        <f>'1-συμβολαια'!D41</f>
        <v>588624</v>
      </c>
      <c r="D40" s="614"/>
      <c r="E40" s="614"/>
      <c r="F40" s="614"/>
      <c r="G40" s="614"/>
      <c r="H40" s="614"/>
      <c r="I40" s="614"/>
      <c r="J40" s="614">
        <f t="shared" si="5"/>
        <v>0</v>
      </c>
      <c r="K40" s="469"/>
      <c r="L40" s="469"/>
      <c r="M40" s="469"/>
      <c r="N40" s="471"/>
      <c r="O40" s="469"/>
      <c r="P40" s="469"/>
      <c r="Q40" s="469"/>
      <c r="R40" s="469"/>
      <c r="S40" s="70"/>
      <c r="T40" s="70"/>
      <c r="U40" s="70"/>
      <c r="V40" s="70"/>
    </row>
    <row r="41" spans="1:22">
      <c r="A41" s="488">
        <f>'1-συμβολαια'!A42</f>
        <v>0</v>
      </c>
      <c r="B41" s="469" t="str">
        <f>'1-συμβολαια'!C42</f>
        <v>μίσθωση … ΚΤΙΡΙΑΚΑ &amp; τεχνικές εγκαταστάσεις &amp; ΚΛΠ</v>
      </c>
      <c r="C41" s="468">
        <f>'1-συμβολαια'!D42</f>
        <v>50000000</v>
      </c>
      <c r="D41" s="469"/>
      <c r="E41" s="469"/>
      <c r="F41" s="469"/>
      <c r="G41" s="469"/>
      <c r="H41" s="469"/>
      <c r="I41" s="469"/>
      <c r="J41" s="469">
        <f t="shared" si="5"/>
        <v>0</v>
      </c>
      <c r="K41" s="469"/>
      <c r="L41" s="469"/>
      <c r="M41" s="469"/>
      <c r="N41" s="471"/>
      <c r="O41" s="469"/>
      <c r="P41" s="469"/>
      <c r="Q41" s="469"/>
      <c r="R41" s="469"/>
      <c r="S41" s="70"/>
      <c r="T41" s="70"/>
      <c r="U41" s="70"/>
      <c r="V41" s="70"/>
    </row>
    <row r="42" spans="1:22">
      <c r="A42" s="488">
        <f>'1-συμβολαια'!A43</f>
        <v>0</v>
      </c>
      <c r="B42" s="469" t="str">
        <f>'1-συμβολαια'!C43</f>
        <v>μίσθωση … ΕΡΕΥΝΗΤΙΚΕΣ εργασίες</v>
      </c>
      <c r="C42" s="468">
        <f>'1-συμβολαια'!D43</f>
        <v>3333333</v>
      </c>
      <c r="D42" s="469"/>
      <c r="E42" s="469"/>
      <c r="F42" s="469"/>
      <c r="G42" s="469"/>
      <c r="H42" s="469"/>
      <c r="I42" s="469"/>
      <c r="J42" s="469">
        <f t="shared" si="5"/>
        <v>0</v>
      </c>
      <c r="K42" s="469"/>
      <c r="L42" s="469"/>
      <c r="M42" s="469"/>
      <c r="N42" s="471"/>
      <c r="O42" s="469"/>
      <c r="P42" s="469"/>
      <c r="Q42" s="469"/>
      <c r="R42" s="469"/>
      <c r="S42" s="70"/>
      <c r="T42" s="70"/>
      <c r="U42" s="70"/>
      <c r="V42" s="70"/>
    </row>
    <row r="43" spans="1:22" ht="12" thickBot="1">
      <c r="A43" s="490">
        <f>'1-συμβολαια'!A44</f>
        <v>0</v>
      </c>
      <c r="B43" s="251" t="str">
        <f>'1-συμβολαια'!C44</f>
        <v>μίσθωση ….. κόστος έργων αποκατάστασης</v>
      </c>
      <c r="C43" s="419">
        <f>'1-συμβολαια'!D44</f>
        <v>6000000</v>
      </c>
      <c r="D43" s="251"/>
      <c r="E43" s="251"/>
      <c r="F43" s="251"/>
      <c r="G43" s="251"/>
      <c r="H43" s="251"/>
      <c r="I43" s="251"/>
      <c r="J43" s="251">
        <f t="shared" si="5"/>
        <v>0</v>
      </c>
      <c r="K43" s="251"/>
      <c r="L43" s="251"/>
      <c r="M43" s="251"/>
      <c r="N43" s="420"/>
      <c r="O43" s="251"/>
      <c r="P43" s="251"/>
      <c r="Q43" s="251"/>
      <c r="R43" s="251"/>
      <c r="S43" s="70"/>
      <c r="T43" s="70"/>
      <c r="U43" s="70"/>
      <c r="V43" s="70"/>
    </row>
    <row r="44" spans="1:22">
      <c r="A44" s="474" t="str">
        <f>'1-συμβολαια'!A45</f>
        <v>12ο</v>
      </c>
      <c r="B44" s="469" t="str">
        <f>'1-συμβολαια'!C45</f>
        <v>μίσθωσης νταμάρι ... &amp; ... ΠΑΡΑΤΑΣΗ 3έτη</v>
      </c>
      <c r="C44" s="468">
        <f>'1-συμβολαια'!D45</f>
        <v>957000</v>
      </c>
      <c r="D44" s="469">
        <v>100</v>
      </c>
      <c r="E44" s="469">
        <v>60</v>
      </c>
      <c r="F44" s="469"/>
      <c r="G44" s="469">
        <v>100</v>
      </c>
      <c r="H44" s="469">
        <v>100</v>
      </c>
      <c r="I44" s="469">
        <v>40</v>
      </c>
      <c r="J44" s="469">
        <f t="shared" si="5"/>
        <v>400</v>
      </c>
      <c r="K44" s="469"/>
      <c r="L44" s="469"/>
      <c r="M44" s="469"/>
      <c r="N44" s="471"/>
      <c r="O44" s="469"/>
      <c r="P44" s="469"/>
      <c r="Q44" s="469"/>
      <c r="R44" s="469"/>
      <c r="S44" s="70"/>
      <c r="T44" s="70"/>
      <c r="U44" s="70"/>
      <c r="V44" s="70"/>
    </row>
    <row r="45" spans="1:22" ht="12" thickBot="1">
      <c r="A45" s="439">
        <f>'1-συμβολαια'!A46</f>
        <v>0</v>
      </c>
      <c r="B45" s="601" t="str">
        <f>'1-συμβολαια'!C46</f>
        <v>ΧΑΟΣ= κλείσιμο &amp; εκ ΝΕΟΥ</v>
      </c>
      <c r="C45" s="596">
        <f>'1-συμβολαια'!D46</f>
        <v>0</v>
      </c>
      <c r="D45" s="601"/>
      <c r="E45" s="601"/>
      <c r="F45" s="601"/>
      <c r="G45" s="601"/>
      <c r="H45" s="601"/>
      <c r="I45" s="601"/>
      <c r="J45" s="601">
        <f t="shared" si="5"/>
        <v>0</v>
      </c>
      <c r="K45" s="601"/>
      <c r="L45" s="601"/>
      <c r="M45" s="601"/>
      <c r="N45" s="617"/>
      <c r="O45" s="601"/>
      <c r="P45" s="601"/>
      <c r="Q45" s="601"/>
      <c r="R45" s="601"/>
      <c r="S45" s="70"/>
      <c r="T45" s="70"/>
      <c r="U45" s="70"/>
      <c r="V45" s="70"/>
    </row>
    <row r="46" spans="1:22">
      <c r="A46" s="777" t="str">
        <f>'1-συμβολαια'!A47</f>
        <v>σύνολο</v>
      </c>
      <c r="B46" s="778"/>
      <c r="C46" s="779"/>
      <c r="D46" s="469">
        <f t="shared" ref="D46:J46" si="6">SUM(D2:D45)</f>
        <v>2870</v>
      </c>
      <c r="E46" s="469">
        <f t="shared" si="6"/>
        <v>1838</v>
      </c>
      <c r="F46" s="469">
        <f t="shared" si="6"/>
        <v>0</v>
      </c>
      <c r="G46" s="469">
        <f t="shared" si="6"/>
        <v>1780</v>
      </c>
      <c r="H46" s="469">
        <f t="shared" si="6"/>
        <v>662</v>
      </c>
      <c r="I46" s="469">
        <f t="shared" si="6"/>
        <v>54</v>
      </c>
      <c r="J46" s="469">
        <f t="shared" si="6"/>
        <v>7204</v>
      </c>
    </row>
    <row r="48" spans="1:22">
      <c r="C48" s="7" t="s">
        <v>383</v>
      </c>
      <c r="I48" s="5"/>
    </row>
    <row r="50" spans="3:11">
      <c r="H50" s="156"/>
    </row>
    <row r="52" spans="3:11">
      <c r="E52" s="107"/>
    </row>
    <row r="53" spans="3:11">
      <c r="E53" s="6"/>
    </row>
    <row r="56" spans="3:11">
      <c r="C56" s="52"/>
      <c r="D56" s="5"/>
      <c r="E56" s="5"/>
      <c r="F56" s="5"/>
      <c r="G56" s="5"/>
      <c r="H56" s="5"/>
      <c r="I56" s="5"/>
      <c r="J56" s="5"/>
    </row>
    <row r="57" spans="3:11">
      <c r="C57" s="52"/>
      <c r="D57" s="5"/>
      <c r="E57" s="5"/>
      <c r="F57" s="5"/>
      <c r="G57" s="5"/>
      <c r="H57" s="5"/>
      <c r="I57" s="5"/>
      <c r="J57" s="5"/>
    </row>
    <row r="58" spans="3:11">
      <c r="C58" s="52"/>
      <c r="D58" s="5"/>
      <c r="E58" s="5"/>
      <c r="F58" s="5"/>
      <c r="G58" s="5"/>
      <c r="H58" s="5"/>
      <c r="I58" s="5"/>
      <c r="J58" s="5"/>
    </row>
    <row r="59" spans="3:11">
      <c r="C59" s="333"/>
      <c r="D59" s="5"/>
      <c r="E59" s="5"/>
      <c r="F59" s="5"/>
      <c r="G59" s="5"/>
      <c r="H59" s="5"/>
      <c r="I59" s="5"/>
      <c r="J59" s="5"/>
    </row>
    <row r="60" spans="3:11">
      <c r="C60" s="334"/>
      <c r="D60" s="5"/>
      <c r="E60" s="5"/>
      <c r="F60" s="5"/>
      <c r="G60" s="5"/>
      <c r="H60" s="5"/>
      <c r="I60" s="5"/>
      <c r="J60" s="5"/>
    </row>
    <row r="61" spans="3:11">
      <c r="C61" s="52"/>
      <c r="D61" s="5"/>
      <c r="E61" s="5"/>
      <c r="F61" s="5"/>
      <c r="G61" s="5"/>
      <c r="H61" s="5"/>
      <c r="I61" s="5"/>
      <c r="J61" s="5"/>
    </row>
    <row r="62" spans="3:11">
      <c r="D62" s="5"/>
    </row>
    <row r="63" spans="3:11">
      <c r="D63" s="5"/>
      <c r="K63" s="7"/>
    </row>
    <row r="64" spans="3:11">
      <c r="D64" s="5"/>
      <c r="K64" s="7"/>
    </row>
    <row r="65" spans="4:11">
      <c r="D65" s="5"/>
      <c r="K65" s="7"/>
    </row>
    <row r="66" spans="4:11">
      <c r="D66" s="5"/>
      <c r="K66" s="7"/>
    </row>
    <row r="67" spans="4:11">
      <c r="D67" s="5"/>
      <c r="K67" s="216"/>
    </row>
    <row r="68" spans="4:11">
      <c r="D68" s="5"/>
      <c r="K68" s="216"/>
    </row>
    <row r="69" spans="4:11">
      <c r="D69" s="5"/>
      <c r="K69" s="7"/>
    </row>
    <row r="70" spans="4:11">
      <c r="K70" s="7"/>
    </row>
    <row r="71" spans="4:11">
      <c r="K71" s="7"/>
    </row>
    <row r="72" spans="4:11">
      <c r="K72" s="7"/>
    </row>
    <row r="73" spans="4:11">
      <c r="K73" s="7"/>
    </row>
    <row r="74" spans="4:11">
      <c r="K74" s="7"/>
    </row>
    <row r="75" spans="4:11">
      <c r="K75" s="7"/>
    </row>
    <row r="76" spans="4:11">
      <c r="K76" s="7"/>
    </row>
    <row r="77" spans="4:11">
      <c r="K77" s="7"/>
    </row>
    <row r="78" spans="4:11">
      <c r="K78" s="7"/>
    </row>
    <row r="79" spans="4:11">
      <c r="K79" s="7"/>
    </row>
    <row r="80" spans="4:11">
      <c r="K80" s="7"/>
    </row>
  </sheetData>
  <mergeCells count="4">
    <mergeCell ref="K1:M1"/>
    <mergeCell ref="R1:V1"/>
    <mergeCell ref="A46:C46"/>
    <mergeCell ref="O1:Q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105"/>
  <sheetViews>
    <sheetView workbookViewId="0">
      <pane ySplit="2" topLeftCell="A3" activePane="bottomLeft" state="frozen"/>
      <selection pane="bottomLeft" activeCell="V24" sqref="V24"/>
    </sheetView>
  </sheetViews>
  <sheetFormatPr defaultRowHeight="11.25"/>
  <cols>
    <col min="1" max="1" width="13.7109375" style="7" bestFit="1" customWidth="1"/>
    <col min="2" max="2" width="8.7109375" style="7" bestFit="1" customWidth="1"/>
    <col min="3" max="3" width="54.28515625" style="84" customWidth="1"/>
    <col min="4" max="4" width="11.7109375" style="2" customWidth="1"/>
    <col min="5" max="5" width="9" style="7" bestFit="1" customWidth="1"/>
    <col min="6" max="6" width="9" style="2" bestFit="1" customWidth="1"/>
    <col min="7" max="7" width="10" style="2" bestFit="1" customWidth="1"/>
    <col min="8" max="8" width="10.7109375" style="2" customWidth="1"/>
    <col min="9" max="9" width="10.28515625" style="7" bestFit="1" customWidth="1"/>
    <col min="10" max="10" width="9.42578125" style="7" customWidth="1"/>
    <col min="11" max="12" width="8.140625" style="7" bestFit="1" customWidth="1"/>
    <col min="13" max="13" width="8.140625" style="2" bestFit="1" customWidth="1"/>
    <col min="14" max="14" width="11.5703125" style="2" customWidth="1"/>
    <col min="15" max="15" width="8.140625" style="2" customWidth="1"/>
    <col min="16" max="16" width="10" style="2" customWidth="1"/>
    <col min="17" max="17" width="7" style="75" customWidth="1"/>
    <col min="18" max="24" width="8" style="75" customWidth="1"/>
    <col min="25" max="25" width="13.140625" style="75" bestFit="1" customWidth="1"/>
    <col min="26" max="26" width="18.7109375" style="75" customWidth="1"/>
    <col min="27" max="27" width="8" style="75" customWidth="1"/>
    <col min="28" max="238" width="9.140625" style="3"/>
    <col min="239" max="239" width="9" style="3" bestFit="1" customWidth="1"/>
    <col min="240" max="240" width="9.85546875" style="3" bestFit="1" customWidth="1"/>
    <col min="241" max="241" width="9.140625" style="3" bestFit="1" customWidth="1"/>
    <col min="242" max="242" width="16" style="3" bestFit="1" customWidth="1"/>
    <col min="243" max="243" width="9" style="3" bestFit="1" customWidth="1"/>
    <col min="244" max="244" width="7.85546875" style="3" bestFit="1" customWidth="1"/>
    <col min="245" max="245" width="11.7109375" style="3" bestFit="1" customWidth="1"/>
    <col min="246" max="246" width="14.28515625" style="3" customWidth="1"/>
    <col min="247" max="247" width="11.7109375" style="3" bestFit="1" customWidth="1"/>
    <col min="248" max="248" width="14.140625" style="3" bestFit="1" customWidth="1"/>
    <col min="249" max="249" width="16.7109375" style="3" customWidth="1"/>
    <col min="250" max="250" width="16.5703125" style="3" customWidth="1"/>
    <col min="251" max="252" width="7.85546875" style="3" bestFit="1" customWidth="1"/>
    <col min="253" max="253" width="8" style="3" bestFit="1" customWidth="1"/>
    <col min="254" max="255" width="7.85546875" style="3" bestFit="1" customWidth="1"/>
    <col min="256" max="256" width="9.7109375" style="3" customWidth="1"/>
    <col min="257" max="257" width="12.85546875" style="3" customWidth="1"/>
    <col min="258" max="494" width="9.140625" style="3"/>
    <col min="495" max="495" width="9" style="3" bestFit="1" customWidth="1"/>
    <col min="496" max="496" width="9.85546875" style="3" bestFit="1" customWidth="1"/>
    <col min="497" max="497" width="9.140625" style="3" bestFit="1" customWidth="1"/>
    <col min="498" max="498" width="16" style="3" bestFit="1" customWidth="1"/>
    <col min="499" max="499" width="9" style="3" bestFit="1" customWidth="1"/>
    <col min="500" max="500" width="7.85546875" style="3" bestFit="1" customWidth="1"/>
    <col min="501" max="501" width="11.7109375" style="3" bestFit="1" customWidth="1"/>
    <col min="502" max="502" width="14.28515625" style="3" customWidth="1"/>
    <col min="503" max="503" width="11.7109375" style="3" bestFit="1" customWidth="1"/>
    <col min="504" max="504" width="14.140625" style="3" bestFit="1" customWidth="1"/>
    <col min="505" max="505" width="16.7109375" style="3" customWidth="1"/>
    <col min="506" max="506" width="16.5703125" style="3" customWidth="1"/>
    <col min="507" max="508" width="7.85546875" style="3" bestFit="1" customWidth="1"/>
    <col min="509" max="509" width="8" style="3" bestFit="1" customWidth="1"/>
    <col min="510" max="511" width="7.85546875" style="3" bestFit="1" customWidth="1"/>
    <col min="512" max="512" width="9.7109375" style="3" customWidth="1"/>
    <col min="513" max="513" width="12.85546875" style="3" customWidth="1"/>
    <col min="514" max="750" width="9.140625" style="3"/>
    <col min="751" max="751" width="9" style="3" bestFit="1" customWidth="1"/>
    <col min="752" max="752" width="9.85546875" style="3" bestFit="1" customWidth="1"/>
    <col min="753" max="753" width="9.140625" style="3" bestFit="1" customWidth="1"/>
    <col min="754" max="754" width="16" style="3" bestFit="1" customWidth="1"/>
    <col min="755" max="755" width="9" style="3" bestFit="1" customWidth="1"/>
    <col min="756" max="756" width="7.85546875" style="3" bestFit="1" customWidth="1"/>
    <col min="757" max="757" width="11.7109375" style="3" bestFit="1" customWidth="1"/>
    <col min="758" max="758" width="14.28515625" style="3" customWidth="1"/>
    <col min="759" max="759" width="11.7109375" style="3" bestFit="1" customWidth="1"/>
    <col min="760" max="760" width="14.140625" style="3" bestFit="1" customWidth="1"/>
    <col min="761" max="761" width="16.7109375" style="3" customWidth="1"/>
    <col min="762" max="762" width="16.5703125" style="3" customWidth="1"/>
    <col min="763" max="764" width="7.85546875" style="3" bestFit="1" customWidth="1"/>
    <col min="765" max="765" width="8" style="3" bestFit="1" customWidth="1"/>
    <col min="766" max="767" width="7.85546875" style="3" bestFit="1" customWidth="1"/>
    <col min="768" max="768" width="9.7109375" style="3" customWidth="1"/>
    <col min="769" max="769" width="12.85546875" style="3" customWidth="1"/>
    <col min="770" max="1006" width="9.140625" style="3"/>
    <col min="1007" max="1007" width="9" style="3" bestFit="1" customWidth="1"/>
    <col min="1008" max="1008" width="9.85546875" style="3" bestFit="1" customWidth="1"/>
    <col min="1009" max="1009" width="9.140625" style="3" bestFit="1" customWidth="1"/>
    <col min="1010" max="1010" width="16" style="3" bestFit="1" customWidth="1"/>
    <col min="1011" max="1011" width="9" style="3" bestFit="1" customWidth="1"/>
    <col min="1012" max="1012" width="7.85546875" style="3" bestFit="1" customWidth="1"/>
    <col min="1013" max="1013" width="11.7109375" style="3" bestFit="1" customWidth="1"/>
    <col min="1014" max="1014" width="14.28515625" style="3" customWidth="1"/>
    <col min="1015" max="1015" width="11.7109375" style="3" bestFit="1" customWidth="1"/>
    <col min="1016" max="1016" width="14.140625" style="3" bestFit="1" customWidth="1"/>
    <col min="1017" max="1017" width="16.7109375" style="3" customWidth="1"/>
    <col min="1018" max="1018" width="16.5703125" style="3" customWidth="1"/>
    <col min="1019" max="1020" width="7.85546875" style="3" bestFit="1" customWidth="1"/>
    <col min="1021" max="1021" width="8" style="3" bestFit="1" customWidth="1"/>
    <col min="1022" max="1023" width="7.85546875" style="3" bestFit="1" customWidth="1"/>
    <col min="1024" max="1024" width="9.7109375" style="3" customWidth="1"/>
    <col min="1025" max="1025" width="12.85546875" style="3" customWidth="1"/>
    <col min="1026" max="1262" width="9.140625" style="3"/>
    <col min="1263" max="1263" width="9" style="3" bestFit="1" customWidth="1"/>
    <col min="1264" max="1264" width="9.85546875" style="3" bestFit="1" customWidth="1"/>
    <col min="1265" max="1265" width="9.140625" style="3" bestFit="1" customWidth="1"/>
    <col min="1266" max="1266" width="16" style="3" bestFit="1" customWidth="1"/>
    <col min="1267" max="1267" width="9" style="3" bestFit="1" customWidth="1"/>
    <col min="1268" max="1268" width="7.85546875" style="3" bestFit="1" customWidth="1"/>
    <col min="1269" max="1269" width="11.7109375" style="3" bestFit="1" customWidth="1"/>
    <col min="1270" max="1270" width="14.28515625" style="3" customWidth="1"/>
    <col min="1271" max="1271" width="11.7109375" style="3" bestFit="1" customWidth="1"/>
    <col min="1272" max="1272" width="14.140625" style="3" bestFit="1" customWidth="1"/>
    <col min="1273" max="1273" width="16.7109375" style="3" customWidth="1"/>
    <col min="1274" max="1274" width="16.5703125" style="3" customWidth="1"/>
    <col min="1275" max="1276" width="7.85546875" style="3" bestFit="1" customWidth="1"/>
    <col min="1277" max="1277" width="8" style="3" bestFit="1" customWidth="1"/>
    <col min="1278" max="1279" width="7.85546875" style="3" bestFit="1" customWidth="1"/>
    <col min="1280" max="1280" width="9.7109375" style="3" customWidth="1"/>
    <col min="1281" max="1281" width="12.85546875" style="3" customWidth="1"/>
    <col min="1282" max="1518" width="9.140625" style="3"/>
    <col min="1519" max="1519" width="9" style="3" bestFit="1" customWidth="1"/>
    <col min="1520" max="1520" width="9.85546875" style="3" bestFit="1" customWidth="1"/>
    <col min="1521" max="1521" width="9.140625" style="3" bestFit="1" customWidth="1"/>
    <col min="1522" max="1522" width="16" style="3" bestFit="1" customWidth="1"/>
    <col min="1523" max="1523" width="9" style="3" bestFit="1" customWidth="1"/>
    <col min="1524" max="1524" width="7.85546875" style="3" bestFit="1" customWidth="1"/>
    <col min="1525" max="1525" width="11.7109375" style="3" bestFit="1" customWidth="1"/>
    <col min="1526" max="1526" width="14.28515625" style="3" customWidth="1"/>
    <col min="1527" max="1527" width="11.7109375" style="3" bestFit="1" customWidth="1"/>
    <col min="1528" max="1528" width="14.140625" style="3" bestFit="1" customWidth="1"/>
    <col min="1529" max="1529" width="16.7109375" style="3" customWidth="1"/>
    <col min="1530" max="1530" width="16.5703125" style="3" customWidth="1"/>
    <col min="1531" max="1532" width="7.85546875" style="3" bestFit="1" customWidth="1"/>
    <col min="1533" max="1533" width="8" style="3" bestFit="1" customWidth="1"/>
    <col min="1534" max="1535" width="7.85546875" style="3" bestFit="1" customWidth="1"/>
    <col min="1536" max="1536" width="9.7109375" style="3" customWidth="1"/>
    <col min="1537" max="1537" width="12.85546875" style="3" customWidth="1"/>
    <col min="1538" max="1774" width="9.140625" style="3"/>
    <col min="1775" max="1775" width="9" style="3" bestFit="1" customWidth="1"/>
    <col min="1776" max="1776" width="9.85546875" style="3" bestFit="1" customWidth="1"/>
    <col min="1777" max="1777" width="9.140625" style="3" bestFit="1" customWidth="1"/>
    <col min="1778" max="1778" width="16" style="3" bestFit="1" customWidth="1"/>
    <col min="1779" max="1779" width="9" style="3" bestFit="1" customWidth="1"/>
    <col min="1780" max="1780" width="7.85546875" style="3" bestFit="1" customWidth="1"/>
    <col min="1781" max="1781" width="11.7109375" style="3" bestFit="1" customWidth="1"/>
    <col min="1782" max="1782" width="14.28515625" style="3" customWidth="1"/>
    <col min="1783" max="1783" width="11.7109375" style="3" bestFit="1" customWidth="1"/>
    <col min="1784" max="1784" width="14.140625" style="3" bestFit="1" customWidth="1"/>
    <col min="1785" max="1785" width="16.7109375" style="3" customWidth="1"/>
    <col min="1786" max="1786" width="16.5703125" style="3" customWidth="1"/>
    <col min="1787" max="1788" width="7.85546875" style="3" bestFit="1" customWidth="1"/>
    <col min="1789" max="1789" width="8" style="3" bestFit="1" customWidth="1"/>
    <col min="1790" max="1791" width="7.85546875" style="3" bestFit="1" customWidth="1"/>
    <col min="1792" max="1792" width="9.7109375" style="3" customWidth="1"/>
    <col min="1793" max="1793" width="12.85546875" style="3" customWidth="1"/>
    <col min="1794" max="2030" width="9.140625" style="3"/>
    <col min="2031" max="2031" width="9" style="3" bestFit="1" customWidth="1"/>
    <col min="2032" max="2032" width="9.85546875" style="3" bestFit="1" customWidth="1"/>
    <col min="2033" max="2033" width="9.140625" style="3" bestFit="1" customWidth="1"/>
    <col min="2034" max="2034" width="16" style="3" bestFit="1" customWidth="1"/>
    <col min="2035" max="2035" width="9" style="3" bestFit="1" customWidth="1"/>
    <col min="2036" max="2036" width="7.85546875" style="3" bestFit="1" customWidth="1"/>
    <col min="2037" max="2037" width="11.7109375" style="3" bestFit="1" customWidth="1"/>
    <col min="2038" max="2038" width="14.28515625" style="3" customWidth="1"/>
    <col min="2039" max="2039" width="11.7109375" style="3" bestFit="1" customWidth="1"/>
    <col min="2040" max="2040" width="14.140625" style="3" bestFit="1" customWidth="1"/>
    <col min="2041" max="2041" width="16.7109375" style="3" customWidth="1"/>
    <col min="2042" max="2042" width="16.5703125" style="3" customWidth="1"/>
    <col min="2043" max="2044" width="7.85546875" style="3" bestFit="1" customWidth="1"/>
    <col min="2045" max="2045" width="8" style="3" bestFit="1" customWidth="1"/>
    <col min="2046" max="2047" width="7.85546875" style="3" bestFit="1" customWidth="1"/>
    <col min="2048" max="2048" width="9.7109375" style="3" customWidth="1"/>
    <col min="2049" max="2049" width="12.85546875" style="3" customWidth="1"/>
    <col min="2050" max="2286" width="9.140625" style="3"/>
    <col min="2287" max="2287" width="9" style="3" bestFit="1" customWidth="1"/>
    <col min="2288" max="2288" width="9.85546875" style="3" bestFit="1" customWidth="1"/>
    <col min="2289" max="2289" width="9.140625" style="3" bestFit="1" customWidth="1"/>
    <col min="2290" max="2290" width="16" style="3" bestFit="1" customWidth="1"/>
    <col min="2291" max="2291" width="9" style="3" bestFit="1" customWidth="1"/>
    <col min="2292" max="2292" width="7.85546875" style="3" bestFit="1" customWidth="1"/>
    <col min="2293" max="2293" width="11.7109375" style="3" bestFit="1" customWidth="1"/>
    <col min="2294" max="2294" width="14.28515625" style="3" customWidth="1"/>
    <col min="2295" max="2295" width="11.7109375" style="3" bestFit="1" customWidth="1"/>
    <col min="2296" max="2296" width="14.140625" style="3" bestFit="1" customWidth="1"/>
    <col min="2297" max="2297" width="16.7109375" style="3" customWidth="1"/>
    <col min="2298" max="2298" width="16.5703125" style="3" customWidth="1"/>
    <col min="2299" max="2300" width="7.85546875" style="3" bestFit="1" customWidth="1"/>
    <col min="2301" max="2301" width="8" style="3" bestFit="1" customWidth="1"/>
    <col min="2302" max="2303" width="7.85546875" style="3" bestFit="1" customWidth="1"/>
    <col min="2304" max="2304" width="9.7109375" style="3" customWidth="1"/>
    <col min="2305" max="2305" width="12.85546875" style="3" customWidth="1"/>
    <col min="2306" max="2542" width="9.140625" style="3"/>
    <col min="2543" max="2543" width="9" style="3" bestFit="1" customWidth="1"/>
    <col min="2544" max="2544" width="9.85546875" style="3" bestFit="1" customWidth="1"/>
    <col min="2545" max="2545" width="9.140625" style="3" bestFit="1" customWidth="1"/>
    <col min="2546" max="2546" width="16" style="3" bestFit="1" customWidth="1"/>
    <col min="2547" max="2547" width="9" style="3" bestFit="1" customWidth="1"/>
    <col min="2548" max="2548" width="7.85546875" style="3" bestFit="1" customWidth="1"/>
    <col min="2549" max="2549" width="11.7109375" style="3" bestFit="1" customWidth="1"/>
    <col min="2550" max="2550" width="14.28515625" style="3" customWidth="1"/>
    <col min="2551" max="2551" width="11.7109375" style="3" bestFit="1" customWidth="1"/>
    <col min="2552" max="2552" width="14.140625" style="3" bestFit="1" customWidth="1"/>
    <col min="2553" max="2553" width="16.7109375" style="3" customWidth="1"/>
    <col min="2554" max="2554" width="16.5703125" style="3" customWidth="1"/>
    <col min="2555" max="2556" width="7.85546875" style="3" bestFit="1" customWidth="1"/>
    <col min="2557" max="2557" width="8" style="3" bestFit="1" customWidth="1"/>
    <col min="2558" max="2559" width="7.85546875" style="3" bestFit="1" customWidth="1"/>
    <col min="2560" max="2560" width="9.7109375" style="3" customWidth="1"/>
    <col min="2561" max="2561" width="12.85546875" style="3" customWidth="1"/>
    <col min="2562" max="2798" width="9.140625" style="3"/>
    <col min="2799" max="2799" width="9" style="3" bestFit="1" customWidth="1"/>
    <col min="2800" max="2800" width="9.85546875" style="3" bestFit="1" customWidth="1"/>
    <col min="2801" max="2801" width="9.140625" style="3" bestFit="1" customWidth="1"/>
    <col min="2802" max="2802" width="16" style="3" bestFit="1" customWidth="1"/>
    <col min="2803" max="2803" width="9" style="3" bestFit="1" customWidth="1"/>
    <col min="2804" max="2804" width="7.85546875" style="3" bestFit="1" customWidth="1"/>
    <col min="2805" max="2805" width="11.7109375" style="3" bestFit="1" customWidth="1"/>
    <col min="2806" max="2806" width="14.28515625" style="3" customWidth="1"/>
    <col min="2807" max="2807" width="11.7109375" style="3" bestFit="1" customWidth="1"/>
    <col min="2808" max="2808" width="14.140625" style="3" bestFit="1" customWidth="1"/>
    <col min="2809" max="2809" width="16.7109375" style="3" customWidth="1"/>
    <col min="2810" max="2810" width="16.5703125" style="3" customWidth="1"/>
    <col min="2811" max="2812" width="7.85546875" style="3" bestFit="1" customWidth="1"/>
    <col min="2813" max="2813" width="8" style="3" bestFit="1" customWidth="1"/>
    <col min="2814" max="2815" width="7.85546875" style="3" bestFit="1" customWidth="1"/>
    <col min="2816" max="2816" width="9.7109375" style="3" customWidth="1"/>
    <col min="2817" max="2817" width="12.85546875" style="3" customWidth="1"/>
    <col min="2818" max="3054" width="9.140625" style="3"/>
    <col min="3055" max="3055" width="9" style="3" bestFit="1" customWidth="1"/>
    <col min="3056" max="3056" width="9.85546875" style="3" bestFit="1" customWidth="1"/>
    <col min="3057" max="3057" width="9.140625" style="3" bestFit="1" customWidth="1"/>
    <col min="3058" max="3058" width="16" style="3" bestFit="1" customWidth="1"/>
    <col min="3059" max="3059" width="9" style="3" bestFit="1" customWidth="1"/>
    <col min="3060" max="3060" width="7.85546875" style="3" bestFit="1" customWidth="1"/>
    <col min="3061" max="3061" width="11.7109375" style="3" bestFit="1" customWidth="1"/>
    <col min="3062" max="3062" width="14.28515625" style="3" customWidth="1"/>
    <col min="3063" max="3063" width="11.7109375" style="3" bestFit="1" customWidth="1"/>
    <col min="3064" max="3064" width="14.140625" style="3" bestFit="1" customWidth="1"/>
    <col min="3065" max="3065" width="16.7109375" style="3" customWidth="1"/>
    <col min="3066" max="3066" width="16.5703125" style="3" customWidth="1"/>
    <col min="3067" max="3068" width="7.85546875" style="3" bestFit="1" customWidth="1"/>
    <col min="3069" max="3069" width="8" style="3" bestFit="1" customWidth="1"/>
    <col min="3070" max="3071" width="7.85546875" style="3" bestFit="1" customWidth="1"/>
    <col min="3072" max="3072" width="9.7109375" style="3" customWidth="1"/>
    <col min="3073" max="3073" width="12.85546875" style="3" customWidth="1"/>
    <col min="3074" max="3310" width="9.140625" style="3"/>
    <col min="3311" max="3311" width="9" style="3" bestFit="1" customWidth="1"/>
    <col min="3312" max="3312" width="9.85546875" style="3" bestFit="1" customWidth="1"/>
    <col min="3313" max="3313" width="9.140625" style="3" bestFit="1" customWidth="1"/>
    <col min="3314" max="3314" width="16" style="3" bestFit="1" customWidth="1"/>
    <col min="3315" max="3315" width="9" style="3" bestFit="1" customWidth="1"/>
    <col min="3316" max="3316" width="7.85546875" style="3" bestFit="1" customWidth="1"/>
    <col min="3317" max="3317" width="11.7109375" style="3" bestFit="1" customWidth="1"/>
    <col min="3318" max="3318" width="14.28515625" style="3" customWidth="1"/>
    <col min="3319" max="3319" width="11.7109375" style="3" bestFit="1" customWidth="1"/>
    <col min="3320" max="3320" width="14.140625" style="3" bestFit="1" customWidth="1"/>
    <col min="3321" max="3321" width="16.7109375" style="3" customWidth="1"/>
    <col min="3322" max="3322" width="16.5703125" style="3" customWidth="1"/>
    <col min="3323" max="3324" width="7.85546875" style="3" bestFit="1" customWidth="1"/>
    <col min="3325" max="3325" width="8" style="3" bestFit="1" customWidth="1"/>
    <col min="3326" max="3327" width="7.85546875" style="3" bestFit="1" customWidth="1"/>
    <col min="3328" max="3328" width="9.7109375" style="3" customWidth="1"/>
    <col min="3329" max="3329" width="12.85546875" style="3" customWidth="1"/>
    <col min="3330" max="3566" width="9.140625" style="3"/>
    <col min="3567" max="3567" width="9" style="3" bestFit="1" customWidth="1"/>
    <col min="3568" max="3568" width="9.85546875" style="3" bestFit="1" customWidth="1"/>
    <col min="3569" max="3569" width="9.140625" style="3" bestFit="1" customWidth="1"/>
    <col min="3570" max="3570" width="16" style="3" bestFit="1" customWidth="1"/>
    <col min="3571" max="3571" width="9" style="3" bestFit="1" customWidth="1"/>
    <col min="3572" max="3572" width="7.85546875" style="3" bestFit="1" customWidth="1"/>
    <col min="3573" max="3573" width="11.7109375" style="3" bestFit="1" customWidth="1"/>
    <col min="3574" max="3574" width="14.28515625" style="3" customWidth="1"/>
    <col min="3575" max="3575" width="11.7109375" style="3" bestFit="1" customWidth="1"/>
    <col min="3576" max="3576" width="14.140625" style="3" bestFit="1" customWidth="1"/>
    <col min="3577" max="3577" width="16.7109375" style="3" customWidth="1"/>
    <col min="3578" max="3578" width="16.5703125" style="3" customWidth="1"/>
    <col min="3579" max="3580" width="7.85546875" style="3" bestFit="1" customWidth="1"/>
    <col min="3581" max="3581" width="8" style="3" bestFit="1" customWidth="1"/>
    <col min="3582" max="3583" width="7.85546875" style="3" bestFit="1" customWidth="1"/>
    <col min="3584" max="3584" width="9.7109375" style="3" customWidth="1"/>
    <col min="3585" max="3585" width="12.85546875" style="3" customWidth="1"/>
    <col min="3586" max="3822" width="9.140625" style="3"/>
    <col min="3823" max="3823" width="9" style="3" bestFit="1" customWidth="1"/>
    <col min="3824" max="3824" width="9.85546875" style="3" bestFit="1" customWidth="1"/>
    <col min="3825" max="3825" width="9.140625" style="3" bestFit="1" customWidth="1"/>
    <col min="3826" max="3826" width="16" style="3" bestFit="1" customWidth="1"/>
    <col min="3827" max="3827" width="9" style="3" bestFit="1" customWidth="1"/>
    <col min="3828" max="3828" width="7.85546875" style="3" bestFit="1" customWidth="1"/>
    <col min="3829" max="3829" width="11.7109375" style="3" bestFit="1" customWidth="1"/>
    <col min="3830" max="3830" width="14.28515625" style="3" customWidth="1"/>
    <col min="3831" max="3831" width="11.7109375" style="3" bestFit="1" customWidth="1"/>
    <col min="3832" max="3832" width="14.140625" style="3" bestFit="1" customWidth="1"/>
    <col min="3833" max="3833" width="16.7109375" style="3" customWidth="1"/>
    <col min="3834" max="3834" width="16.5703125" style="3" customWidth="1"/>
    <col min="3835" max="3836" width="7.85546875" style="3" bestFit="1" customWidth="1"/>
    <col min="3837" max="3837" width="8" style="3" bestFit="1" customWidth="1"/>
    <col min="3838" max="3839" width="7.85546875" style="3" bestFit="1" customWidth="1"/>
    <col min="3840" max="3840" width="9.7109375" style="3" customWidth="1"/>
    <col min="3841" max="3841" width="12.85546875" style="3" customWidth="1"/>
    <col min="3842" max="4078" width="9.140625" style="3"/>
    <col min="4079" max="4079" width="9" style="3" bestFit="1" customWidth="1"/>
    <col min="4080" max="4080" width="9.85546875" style="3" bestFit="1" customWidth="1"/>
    <col min="4081" max="4081" width="9.140625" style="3" bestFit="1" customWidth="1"/>
    <col min="4082" max="4082" width="16" style="3" bestFit="1" customWidth="1"/>
    <col min="4083" max="4083" width="9" style="3" bestFit="1" customWidth="1"/>
    <col min="4084" max="4084" width="7.85546875" style="3" bestFit="1" customWidth="1"/>
    <col min="4085" max="4085" width="11.7109375" style="3" bestFit="1" customWidth="1"/>
    <col min="4086" max="4086" width="14.28515625" style="3" customWidth="1"/>
    <col min="4087" max="4087" width="11.7109375" style="3" bestFit="1" customWidth="1"/>
    <col min="4088" max="4088" width="14.140625" style="3" bestFit="1" customWidth="1"/>
    <col min="4089" max="4089" width="16.7109375" style="3" customWidth="1"/>
    <col min="4090" max="4090" width="16.5703125" style="3" customWidth="1"/>
    <col min="4091" max="4092" width="7.85546875" style="3" bestFit="1" customWidth="1"/>
    <col min="4093" max="4093" width="8" style="3" bestFit="1" customWidth="1"/>
    <col min="4094" max="4095" width="7.85546875" style="3" bestFit="1" customWidth="1"/>
    <col min="4096" max="4096" width="9.7109375" style="3" customWidth="1"/>
    <col min="4097" max="4097" width="12.85546875" style="3" customWidth="1"/>
    <col min="4098" max="4334" width="9.140625" style="3"/>
    <col min="4335" max="4335" width="9" style="3" bestFit="1" customWidth="1"/>
    <col min="4336" max="4336" width="9.85546875" style="3" bestFit="1" customWidth="1"/>
    <col min="4337" max="4337" width="9.140625" style="3" bestFit="1" customWidth="1"/>
    <col min="4338" max="4338" width="16" style="3" bestFit="1" customWidth="1"/>
    <col min="4339" max="4339" width="9" style="3" bestFit="1" customWidth="1"/>
    <col min="4340" max="4340" width="7.85546875" style="3" bestFit="1" customWidth="1"/>
    <col min="4341" max="4341" width="11.7109375" style="3" bestFit="1" customWidth="1"/>
    <col min="4342" max="4342" width="14.28515625" style="3" customWidth="1"/>
    <col min="4343" max="4343" width="11.7109375" style="3" bestFit="1" customWidth="1"/>
    <col min="4344" max="4344" width="14.140625" style="3" bestFit="1" customWidth="1"/>
    <col min="4345" max="4345" width="16.7109375" style="3" customWidth="1"/>
    <col min="4346" max="4346" width="16.5703125" style="3" customWidth="1"/>
    <col min="4347" max="4348" width="7.85546875" style="3" bestFit="1" customWidth="1"/>
    <col min="4349" max="4349" width="8" style="3" bestFit="1" customWidth="1"/>
    <col min="4350" max="4351" width="7.85546875" style="3" bestFit="1" customWidth="1"/>
    <col min="4352" max="4352" width="9.7109375" style="3" customWidth="1"/>
    <col min="4353" max="4353" width="12.85546875" style="3" customWidth="1"/>
    <col min="4354" max="4590" width="9.140625" style="3"/>
    <col min="4591" max="4591" width="9" style="3" bestFit="1" customWidth="1"/>
    <col min="4592" max="4592" width="9.85546875" style="3" bestFit="1" customWidth="1"/>
    <col min="4593" max="4593" width="9.140625" style="3" bestFit="1" customWidth="1"/>
    <col min="4594" max="4594" width="16" style="3" bestFit="1" customWidth="1"/>
    <col min="4595" max="4595" width="9" style="3" bestFit="1" customWidth="1"/>
    <col min="4596" max="4596" width="7.85546875" style="3" bestFit="1" customWidth="1"/>
    <col min="4597" max="4597" width="11.7109375" style="3" bestFit="1" customWidth="1"/>
    <col min="4598" max="4598" width="14.28515625" style="3" customWidth="1"/>
    <col min="4599" max="4599" width="11.7109375" style="3" bestFit="1" customWidth="1"/>
    <col min="4600" max="4600" width="14.140625" style="3" bestFit="1" customWidth="1"/>
    <col min="4601" max="4601" width="16.7109375" style="3" customWidth="1"/>
    <col min="4602" max="4602" width="16.5703125" style="3" customWidth="1"/>
    <col min="4603" max="4604" width="7.85546875" style="3" bestFit="1" customWidth="1"/>
    <col min="4605" max="4605" width="8" style="3" bestFit="1" customWidth="1"/>
    <col min="4606" max="4607" width="7.85546875" style="3" bestFit="1" customWidth="1"/>
    <col min="4608" max="4608" width="9.7109375" style="3" customWidth="1"/>
    <col min="4609" max="4609" width="12.85546875" style="3" customWidth="1"/>
    <col min="4610" max="4846" width="9.140625" style="3"/>
    <col min="4847" max="4847" width="9" style="3" bestFit="1" customWidth="1"/>
    <col min="4848" max="4848" width="9.85546875" style="3" bestFit="1" customWidth="1"/>
    <col min="4849" max="4849" width="9.140625" style="3" bestFit="1" customWidth="1"/>
    <col min="4850" max="4850" width="16" style="3" bestFit="1" customWidth="1"/>
    <col min="4851" max="4851" width="9" style="3" bestFit="1" customWidth="1"/>
    <col min="4852" max="4852" width="7.85546875" style="3" bestFit="1" customWidth="1"/>
    <col min="4853" max="4853" width="11.7109375" style="3" bestFit="1" customWidth="1"/>
    <col min="4854" max="4854" width="14.28515625" style="3" customWidth="1"/>
    <col min="4855" max="4855" width="11.7109375" style="3" bestFit="1" customWidth="1"/>
    <col min="4856" max="4856" width="14.140625" style="3" bestFit="1" customWidth="1"/>
    <col min="4857" max="4857" width="16.7109375" style="3" customWidth="1"/>
    <col min="4858" max="4858" width="16.5703125" style="3" customWidth="1"/>
    <col min="4859" max="4860" width="7.85546875" style="3" bestFit="1" customWidth="1"/>
    <col min="4861" max="4861" width="8" style="3" bestFit="1" customWidth="1"/>
    <col min="4862" max="4863" width="7.85546875" style="3" bestFit="1" customWidth="1"/>
    <col min="4864" max="4864" width="9.7109375" style="3" customWidth="1"/>
    <col min="4865" max="4865" width="12.85546875" style="3" customWidth="1"/>
    <col min="4866" max="5102" width="9.140625" style="3"/>
    <col min="5103" max="5103" width="9" style="3" bestFit="1" customWidth="1"/>
    <col min="5104" max="5104" width="9.85546875" style="3" bestFit="1" customWidth="1"/>
    <col min="5105" max="5105" width="9.140625" style="3" bestFit="1" customWidth="1"/>
    <col min="5106" max="5106" width="16" style="3" bestFit="1" customWidth="1"/>
    <col min="5107" max="5107" width="9" style="3" bestFit="1" customWidth="1"/>
    <col min="5108" max="5108" width="7.85546875" style="3" bestFit="1" customWidth="1"/>
    <col min="5109" max="5109" width="11.7109375" style="3" bestFit="1" customWidth="1"/>
    <col min="5110" max="5110" width="14.28515625" style="3" customWidth="1"/>
    <col min="5111" max="5111" width="11.7109375" style="3" bestFit="1" customWidth="1"/>
    <col min="5112" max="5112" width="14.140625" style="3" bestFit="1" customWidth="1"/>
    <col min="5113" max="5113" width="16.7109375" style="3" customWidth="1"/>
    <col min="5114" max="5114" width="16.5703125" style="3" customWidth="1"/>
    <col min="5115" max="5116" width="7.85546875" style="3" bestFit="1" customWidth="1"/>
    <col min="5117" max="5117" width="8" style="3" bestFit="1" customWidth="1"/>
    <col min="5118" max="5119" width="7.85546875" style="3" bestFit="1" customWidth="1"/>
    <col min="5120" max="5120" width="9.7109375" style="3" customWidth="1"/>
    <col min="5121" max="5121" width="12.85546875" style="3" customWidth="1"/>
    <col min="5122" max="5358" width="9.140625" style="3"/>
    <col min="5359" max="5359" width="9" style="3" bestFit="1" customWidth="1"/>
    <col min="5360" max="5360" width="9.85546875" style="3" bestFit="1" customWidth="1"/>
    <col min="5361" max="5361" width="9.140625" style="3" bestFit="1" customWidth="1"/>
    <col min="5362" max="5362" width="16" style="3" bestFit="1" customWidth="1"/>
    <col min="5363" max="5363" width="9" style="3" bestFit="1" customWidth="1"/>
    <col min="5364" max="5364" width="7.85546875" style="3" bestFit="1" customWidth="1"/>
    <col min="5365" max="5365" width="11.7109375" style="3" bestFit="1" customWidth="1"/>
    <col min="5366" max="5366" width="14.28515625" style="3" customWidth="1"/>
    <col min="5367" max="5367" width="11.7109375" style="3" bestFit="1" customWidth="1"/>
    <col min="5368" max="5368" width="14.140625" style="3" bestFit="1" customWidth="1"/>
    <col min="5369" max="5369" width="16.7109375" style="3" customWidth="1"/>
    <col min="5370" max="5370" width="16.5703125" style="3" customWidth="1"/>
    <col min="5371" max="5372" width="7.85546875" style="3" bestFit="1" customWidth="1"/>
    <col min="5373" max="5373" width="8" style="3" bestFit="1" customWidth="1"/>
    <col min="5374" max="5375" width="7.85546875" style="3" bestFit="1" customWidth="1"/>
    <col min="5376" max="5376" width="9.7109375" style="3" customWidth="1"/>
    <col min="5377" max="5377" width="12.85546875" style="3" customWidth="1"/>
    <col min="5378" max="5614" width="9.140625" style="3"/>
    <col min="5615" max="5615" width="9" style="3" bestFit="1" customWidth="1"/>
    <col min="5616" max="5616" width="9.85546875" style="3" bestFit="1" customWidth="1"/>
    <col min="5617" max="5617" width="9.140625" style="3" bestFit="1" customWidth="1"/>
    <col min="5618" max="5618" width="16" style="3" bestFit="1" customWidth="1"/>
    <col min="5619" max="5619" width="9" style="3" bestFit="1" customWidth="1"/>
    <col min="5620" max="5620" width="7.85546875" style="3" bestFit="1" customWidth="1"/>
    <col min="5621" max="5621" width="11.7109375" style="3" bestFit="1" customWidth="1"/>
    <col min="5622" max="5622" width="14.28515625" style="3" customWidth="1"/>
    <col min="5623" max="5623" width="11.7109375" style="3" bestFit="1" customWidth="1"/>
    <col min="5624" max="5624" width="14.140625" style="3" bestFit="1" customWidth="1"/>
    <col min="5625" max="5625" width="16.7109375" style="3" customWidth="1"/>
    <col min="5626" max="5626" width="16.5703125" style="3" customWidth="1"/>
    <col min="5627" max="5628" width="7.85546875" style="3" bestFit="1" customWidth="1"/>
    <col min="5629" max="5629" width="8" style="3" bestFit="1" customWidth="1"/>
    <col min="5630" max="5631" width="7.85546875" style="3" bestFit="1" customWidth="1"/>
    <col min="5632" max="5632" width="9.7109375" style="3" customWidth="1"/>
    <col min="5633" max="5633" width="12.85546875" style="3" customWidth="1"/>
    <col min="5634" max="5870" width="9.140625" style="3"/>
    <col min="5871" max="5871" width="9" style="3" bestFit="1" customWidth="1"/>
    <col min="5872" max="5872" width="9.85546875" style="3" bestFit="1" customWidth="1"/>
    <col min="5873" max="5873" width="9.140625" style="3" bestFit="1" customWidth="1"/>
    <col min="5874" max="5874" width="16" style="3" bestFit="1" customWidth="1"/>
    <col min="5875" max="5875" width="9" style="3" bestFit="1" customWidth="1"/>
    <col min="5876" max="5876" width="7.85546875" style="3" bestFit="1" customWidth="1"/>
    <col min="5877" max="5877" width="11.7109375" style="3" bestFit="1" customWidth="1"/>
    <col min="5878" max="5878" width="14.28515625" style="3" customWidth="1"/>
    <col min="5879" max="5879" width="11.7109375" style="3" bestFit="1" customWidth="1"/>
    <col min="5880" max="5880" width="14.140625" style="3" bestFit="1" customWidth="1"/>
    <col min="5881" max="5881" width="16.7109375" style="3" customWidth="1"/>
    <col min="5882" max="5882" width="16.5703125" style="3" customWidth="1"/>
    <col min="5883" max="5884" width="7.85546875" style="3" bestFit="1" customWidth="1"/>
    <col min="5885" max="5885" width="8" style="3" bestFit="1" customWidth="1"/>
    <col min="5886" max="5887" width="7.85546875" style="3" bestFit="1" customWidth="1"/>
    <col min="5888" max="5888" width="9.7109375" style="3" customWidth="1"/>
    <col min="5889" max="5889" width="12.85546875" style="3" customWidth="1"/>
    <col min="5890" max="6126" width="9.140625" style="3"/>
    <col min="6127" max="6127" width="9" style="3" bestFit="1" customWidth="1"/>
    <col min="6128" max="6128" width="9.85546875" style="3" bestFit="1" customWidth="1"/>
    <col min="6129" max="6129" width="9.140625" style="3" bestFit="1" customWidth="1"/>
    <col min="6130" max="6130" width="16" style="3" bestFit="1" customWidth="1"/>
    <col min="6131" max="6131" width="9" style="3" bestFit="1" customWidth="1"/>
    <col min="6132" max="6132" width="7.85546875" style="3" bestFit="1" customWidth="1"/>
    <col min="6133" max="6133" width="11.7109375" style="3" bestFit="1" customWidth="1"/>
    <col min="6134" max="6134" width="14.28515625" style="3" customWidth="1"/>
    <col min="6135" max="6135" width="11.7109375" style="3" bestFit="1" customWidth="1"/>
    <col min="6136" max="6136" width="14.140625" style="3" bestFit="1" customWidth="1"/>
    <col min="6137" max="6137" width="16.7109375" style="3" customWidth="1"/>
    <col min="6138" max="6138" width="16.5703125" style="3" customWidth="1"/>
    <col min="6139" max="6140" width="7.85546875" style="3" bestFit="1" customWidth="1"/>
    <col min="6141" max="6141" width="8" style="3" bestFit="1" customWidth="1"/>
    <col min="6142" max="6143" width="7.85546875" style="3" bestFit="1" customWidth="1"/>
    <col min="6144" max="6144" width="9.7109375" style="3" customWidth="1"/>
    <col min="6145" max="6145" width="12.85546875" style="3" customWidth="1"/>
    <col min="6146" max="6382" width="9.140625" style="3"/>
    <col min="6383" max="6383" width="9" style="3" bestFit="1" customWidth="1"/>
    <col min="6384" max="6384" width="9.85546875" style="3" bestFit="1" customWidth="1"/>
    <col min="6385" max="6385" width="9.140625" style="3" bestFit="1" customWidth="1"/>
    <col min="6386" max="6386" width="16" style="3" bestFit="1" customWidth="1"/>
    <col min="6387" max="6387" width="9" style="3" bestFit="1" customWidth="1"/>
    <col min="6388" max="6388" width="7.85546875" style="3" bestFit="1" customWidth="1"/>
    <col min="6389" max="6389" width="11.7109375" style="3" bestFit="1" customWidth="1"/>
    <col min="6390" max="6390" width="14.28515625" style="3" customWidth="1"/>
    <col min="6391" max="6391" width="11.7109375" style="3" bestFit="1" customWidth="1"/>
    <col min="6392" max="6392" width="14.140625" style="3" bestFit="1" customWidth="1"/>
    <col min="6393" max="6393" width="16.7109375" style="3" customWidth="1"/>
    <col min="6394" max="6394" width="16.5703125" style="3" customWidth="1"/>
    <col min="6395" max="6396" width="7.85546875" style="3" bestFit="1" customWidth="1"/>
    <col min="6397" max="6397" width="8" style="3" bestFit="1" customWidth="1"/>
    <col min="6398" max="6399" width="7.85546875" style="3" bestFit="1" customWidth="1"/>
    <col min="6400" max="6400" width="9.7109375" style="3" customWidth="1"/>
    <col min="6401" max="6401" width="12.85546875" style="3" customWidth="1"/>
    <col min="6402" max="6638" width="9.140625" style="3"/>
    <col min="6639" max="6639" width="9" style="3" bestFit="1" customWidth="1"/>
    <col min="6640" max="6640" width="9.85546875" style="3" bestFit="1" customWidth="1"/>
    <col min="6641" max="6641" width="9.140625" style="3" bestFit="1" customWidth="1"/>
    <col min="6642" max="6642" width="16" style="3" bestFit="1" customWidth="1"/>
    <col min="6643" max="6643" width="9" style="3" bestFit="1" customWidth="1"/>
    <col min="6644" max="6644" width="7.85546875" style="3" bestFit="1" customWidth="1"/>
    <col min="6645" max="6645" width="11.7109375" style="3" bestFit="1" customWidth="1"/>
    <col min="6646" max="6646" width="14.28515625" style="3" customWidth="1"/>
    <col min="6647" max="6647" width="11.7109375" style="3" bestFit="1" customWidth="1"/>
    <col min="6648" max="6648" width="14.140625" style="3" bestFit="1" customWidth="1"/>
    <col min="6649" max="6649" width="16.7109375" style="3" customWidth="1"/>
    <col min="6650" max="6650" width="16.5703125" style="3" customWidth="1"/>
    <col min="6651" max="6652" width="7.85546875" style="3" bestFit="1" customWidth="1"/>
    <col min="6653" max="6653" width="8" style="3" bestFit="1" customWidth="1"/>
    <col min="6654" max="6655" width="7.85546875" style="3" bestFit="1" customWidth="1"/>
    <col min="6656" max="6656" width="9.7109375" style="3" customWidth="1"/>
    <col min="6657" max="6657" width="12.85546875" style="3" customWidth="1"/>
    <col min="6658" max="6894" width="9.140625" style="3"/>
    <col min="6895" max="6895" width="9" style="3" bestFit="1" customWidth="1"/>
    <col min="6896" max="6896" width="9.85546875" style="3" bestFit="1" customWidth="1"/>
    <col min="6897" max="6897" width="9.140625" style="3" bestFit="1" customWidth="1"/>
    <col min="6898" max="6898" width="16" style="3" bestFit="1" customWidth="1"/>
    <col min="6899" max="6899" width="9" style="3" bestFit="1" customWidth="1"/>
    <col min="6900" max="6900" width="7.85546875" style="3" bestFit="1" customWidth="1"/>
    <col min="6901" max="6901" width="11.7109375" style="3" bestFit="1" customWidth="1"/>
    <col min="6902" max="6902" width="14.28515625" style="3" customWidth="1"/>
    <col min="6903" max="6903" width="11.7109375" style="3" bestFit="1" customWidth="1"/>
    <col min="6904" max="6904" width="14.140625" style="3" bestFit="1" customWidth="1"/>
    <col min="6905" max="6905" width="16.7109375" style="3" customWidth="1"/>
    <col min="6906" max="6906" width="16.5703125" style="3" customWidth="1"/>
    <col min="6907" max="6908" width="7.85546875" style="3" bestFit="1" customWidth="1"/>
    <col min="6909" max="6909" width="8" style="3" bestFit="1" customWidth="1"/>
    <col min="6910" max="6911" width="7.85546875" style="3" bestFit="1" customWidth="1"/>
    <col min="6912" max="6912" width="9.7109375" style="3" customWidth="1"/>
    <col min="6913" max="6913" width="12.85546875" style="3" customWidth="1"/>
    <col min="6914" max="7150" width="9.140625" style="3"/>
    <col min="7151" max="7151" width="9" style="3" bestFit="1" customWidth="1"/>
    <col min="7152" max="7152" width="9.85546875" style="3" bestFit="1" customWidth="1"/>
    <col min="7153" max="7153" width="9.140625" style="3" bestFit="1" customWidth="1"/>
    <col min="7154" max="7154" width="16" style="3" bestFit="1" customWidth="1"/>
    <col min="7155" max="7155" width="9" style="3" bestFit="1" customWidth="1"/>
    <col min="7156" max="7156" width="7.85546875" style="3" bestFit="1" customWidth="1"/>
    <col min="7157" max="7157" width="11.7109375" style="3" bestFit="1" customWidth="1"/>
    <col min="7158" max="7158" width="14.28515625" style="3" customWidth="1"/>
    <col min="7159" max="7159" width="11.7109375" style="3" bestFit="1" customWidth="1"/>
    <col min="7160" max="7160" width="14.140625" style="3" bestFit="1" customWidth="1"/>
    <col min="7161" max="7161" width="16.7109375" style="3" customWidth="1"/>
    <col min="7162" max="7162" width="16.5703125" style="3" customWidth="1"/>
    <col min="7163" max="7164" width="7.85546875" style="3" bestFit="1" customWidth="1"/>
    <col min="7165" max="7165" width="8" style="3" bestFit="1" customWidth="1"/>
    <col min="7166" max="7167" width="7.85546875" style="3" bestFit="1" customWidth="1"/>
    <col min="7168" max="7168" width="9.7109375" style="3" customWidth="1"/>
    <col min="7169" max="7169" width="12.85546875" style="3" customWidth="1"/>
    <col min="7170" max="7406" width="9.140625" style="3"/>
    <col min="7407" max="7407" width="9" style="3" bestFit="1" customWidth="1"/>
    <col min="7408" max="7408" width="9.85546875" style="3" bestFit="1" customWidth="1"/>
    <col min="7409" max="7409" width="9.140625" style="3" bestFit="1" customWidth="1"/>
    <col min="7410" max="7410" width="16" style="3" bestFit="1" customWidth="1"/>
    <col min="7411" max="7411" width="9" style="3" bestFit="1" customWidth="1"/>
    <col min="7412" max="7412" width="7.85546875" style="3" bestFit="1" customWidth="1"/>
    <col min="7413" max="7413" width="11.7109375" style="3" bestFit="1" customWidth="1"/>
    <col min="7414" max="7414" width="14.28515625" style="3" customWidth="1"/>
    <col min="7415" max="7415" width="11.7109375" style="3" bestFit="1" customWidth="1"/>
    <col min="7416" max="7416" width="14.140625" style="3" bestFit="1" customWidth="1"/>
    <col min="7417" max="7417" width="16.7109375" style="3" customWidth="1"/>
    <col min="7418" max="7418" width="16.5703125" style="3" customWidth="1"/>
    <col min="7419" max="7420" width="7.85546875" style="3" bestFit="1" customWidth="1"/>
    <col min="7421" max="7421" width="8" style="3" bestFit="1" customWidth="1"/>
    <col min="7422" max="7423" width="7.85546875" style="3" bestFit="1" customWidth="1"/>
    <col min="7424" max="7424" width="9.7109375" style="3" customWidth="1"/>
    <col min="7425" max="7425" width="12.85546875" style="3" customWidth="1"/>
    <col min="7426" max="7662" width="9.140625" style="3"/>
    <col min="7663" max="7663" width="9" style="3" bestFit="1" customWidth="1"/>
    <col min="7664" max="7664" width="9.85546875" style="3" bestFit="1" customWidth="1"/>
    <col min="7665" max="7665" width="9.140625" style="3" bestFit="1" customWidth="1"/>
    <col min="7666" max="7666" width="16" style="3" bestFit="1" customWidth="1"/>
    <col min="7667" max="7667" width="9" style="3" bestFit="1" customWidth="1"/>
    <col min="7668" max="7668" width="7.85546875" style="3" bestFit="1" customWidth="1"/>
    <col min="7669" max="7669" width="11.7109375" style="3" bestFit="1" customWidth="1"/>
    <col min="7670" max="7670" width="14.28515625" style="3" customWidth="1"/>
    <col min="7671" max="7671" width="11.7109375" style="3" bestFit="1" customWidth="1"/>
    <col min="7672" max="7672" width="14.140625" style="3" bestFit="1" customWidth="1"/>
    <col min="7673" max="7673" width="16.7109375" style="3" customWidth="1"/>
    <col min="7674" max="7674" width="16.5703125" style="3" customWidth="1"/>
    <col min="7675" max="7676" width="7.85546875" style="3" bestFit="1" customWidth="1"/>
    <col min="7677" max="7677" width="8" style="3" bestFit="1" customWidth="1"/>
    <col min="7678" max="7679" width="7.85546875" style="3" bestFit="1" customWidth="1"/>
    <col min="7680" max="7680" width="9.7109375" style="3" customWidth="1"/>
    <col min="7681" max="7681" width="12.85546875" style="3" customWidth="1"/>
    <col min="7682" max="7918" width="9.140625" style="3"/>
    <col min="7919" max="7919" width="9" style="3" bestFit="1" customWidth="1"/>
    <col min="7920" max="7920" width="9.85546875" style="3" bestFit="1" customWidth="1"/>
    <col min="7921" max="7921" width="9.140625" style="3" bestFit="1" customWidth="1"/>
    <col min="7922" max="7922" width="16" style="3" bestFit="1" customWidth="1"/>
    <col min="7923" max="7923" width="9" style="3" bestFit="1" customWidth="1"/>
    <col min="7924" max="7924" width="7.85546875" style="3" bestFit="1" customWidth="1"/>
    <col min="7925" max="7925" width="11.7109375" style="3" bestFit="1" customWidth="1"/>
    <col min="7926" max="7926" width="14.28515625" style="3" customWidth="1"/>
    <col min="7927" max="7927" width="11.7109375" style="3" bestFit="1" customWidth="1"/>
    <col min="7928" max="7928" width="14.140625" style="3" bestFit="1" customWidth="1"/>
    <col min="7929" max="7929" width="16.7109375" style="3" customWidth="1"/>
    <col min="7930" max="7930" width="16.5703125" style="3" customWidth="1"/>
    <col min="7931" max="7932" width="7.85546875" style="3" bestFit="1" customWidth="1"/>
    <col min="7933" max="7933" width="8" style="3" bestFit="1" customWidth="1"/>
    <col min="7934" max="7935" width="7.85546875" style="3" bestFit="1" customWidth="1"/>
    <col min="7936" max="7936" width="9.7109375" style="3" customWidth="1"/>
    <col min="7937" max="7937" width="12.85546875" style="3" customWidth="1"/>
    <col min="7938" max="8174" width="9.140625" style="3"/>
    <col min="8175" max="8175" width="9" style="3" bestFit="1" customWidth="1"/>
    <col min="8176" max="8176" width="9.85546875" style="3" bestFit="1" customWidth="1"/>
    <col min="8177" max="8177" width="9.140625" style="3" bestFit="1" customWidth="1"/>
    <col min="8178" max="8178" width="16" style="3" bestFit="1" customWidth="1"/>
    <col min="8179" max="8179" width="9" style="3" bestFit="1" customWidth="1"/>
    <col min="8180" max="8180" width="7.85546875" style="3" bestFit="1" customWidth="1"/>
    <col min="8181" max="8181" width="11.7109375" style="3" bestFit="1" customWidth="1"/>
    <col min="8182" max="8182" width="14.28515625" style="3" customWidth="1"/>
    <col min="8183" max="8183" width="11.7109375" style="3" bestFit="1" customWidth="1"/>
    <col min="8184" max="8184" width="14.140625" style="3" bestFit="1" customWidth="1"/>
    <col min="8185" max="8185" width="16.7109375" style="3" customWidth="1"/>
    <col min="8186" max="8186" width="16.5703125" style="3" customWidth="1"/>
    <col min="8187" max="8188" width="7.85546875" style="3" bestFit="1" customWidth="1"/>
    <col min="8189" max="8189" width="8" style="3" bestFit="1" customWidth="1"/>
    <col min="8190" max="8191" width="7.85546875" style="3" bestFit="1" customWidth="1"/>
    <col min="8192" max="8192" width="9.7109375" style="3" customWidth="1"/>
    <col min="8193" max="8193" width="12.85546875" style="3" customWidth="1"/>
    <col min="8194" max="8430" width="9.140625" style="3"/>
    <col min="8431" max="8431" width="9" style="3" bestFit="1" customWidth="1"/>
    <col min="8432" max="8432" width="9.85546875" style="3" bestFit="1" customWidth="1"/>
    <col min="8433" max="8433" width="9.140625" style="3" bestFit="1" customWidth="1"/>
    <col min="8434" max="8434" width="16" style="3" bestFit="1" customWidth="1"/>
    <col min="8435" max="8435" width="9" style="3" bestFit="1" customWidth="1"/>
    <col min="8436" max="8436" width="7.85546875" style="3" bestFit="1" customWidth="1"/>
    <col min="8437" max="8437" width="11.7109375" style="3" bestFit="1" customWidth="1"/>
    <col min="8438" max="8438" width="14.28515625" style="3" customWidth="1"/>
    <col min="8439" max="8439" width="11.7109375" style="3" bestFit="1" customWidth="1"/>
    <col min="8440" max="8440" width="14.140625" style="3" bestFit="1" customWidth="1"/>
    <col min="8441" max="8441" width="16.7109375" style="3" customWidth="1"/>
    <col min="8442" max="8442" width="16.5703125" style="3" customWidth="1"/>
    <col min="8443" max="8444" width="7.85546875" style="3" bestFit="1" customWidth="1"/>
    <col min="8445" max="8445" width="8" style="3" bestFit="1" customWidth="1"/>
    <col min="8446" max="8447" width="7.85546875" style="3" bestFit="1" customWidth="1"/>
    <col min="8448" max="8448" width="9.7109375" style="3" customWidth="1"/>
    <col min="8449" max="8449" width="12.85546875" style="3" customWidth="1"/>
    <col min="8450" max="8686" width="9.140625" style="3"/>
    <col min="8687" max="8687" width="9" style="3" bestFit="1" customWidth="1"/>
    <col min="8688" max="8688" width="9.85546875" style="3" bestFit="1" customWidth="1"/>
    <col min="8689" max="8689" width="9.140625" style="3" bestFit="1" customWidth="1"/>
    <col min="8690" max="8690" width="16" style="3" bestFit="1" customWidth="1"/>
    <col min="8691" max="8691" width="9" style="3" bestFit="1" customWidth="1"/>
    <col min="8692" max="8692" width="7.85546875" style="3" bestFit="1" customWidth="1"/>
    <col min="8693" max="8693" width="11.7109375" style="3" bestFit="1" customWidth="1"/>
    <col min="8694" max="8694" width="14.28515625" style="3" customWidth="1"/>
    <col min="8695" max="8695" width="11.7109375" style="3" bestFit="1" customWidth="1"/>
    <col min="8696" max="8696" width="14.140625" style="3" bestFit="1" customWidth="1"/>
    <col min="8697" max="8697" width="16.7109375" style="3" customWidth="1"/>
    <col min="8698" max="8698" width="16.5703125" style="3" customWidth="1"/>
    <col min="8699" max="8700" width="7.85546875" style="3" bestFit="1" customWidth="1"/>
    <col min="8701" max="8701" width="8" style="3" bestFit="1" customWidth="1"/>
    <col min="8702" max="8703" width="7.85546875" style="3" bestFit="1" customWidth="1"/>
    <col min="8704" max="8704" width="9.7109375" style="3" customWidth="1"/>
    <col min="8705" max="8705" width="12.85546875" style="3" customWidth="1"/>
    <col min="8706" max="8942" width="9.140625" style="3"/>
    <col min="8943" max="8943" width="9" style="3" bestFit="1" customWidth="1"/>
    <col min="8944" max="8944" width="9.85546875" style="3" bestFit="1" customWidth="1"/>
    <col min="8945" max="8945" width="9.140625" style="3" bestFit="1" customWidth="1"/>
    <col min="8946" max="8946" width="16" style="3" bestFit="1" customWidth="1"/>
    <col min="8947" max="8947" width="9" style="3" bestFit="1" customWidth="1"/>
    <col min="8948" max="8948" width="7.85546875" style="3" bestFit="1" customWidth="1"/>
    <col min="8949" max="8949" width="11.7109375" style="3" bestFit="1" customWidth="1"/>
    <col min="8950" max="8950" width="14.28515625" style="3" customWidth="1"/>
    <col min="8951" max="8951" width="11.7109375" style="3" bestFit="1" customWidth="1"/>
    <col min="8952" max="8952" width="14.140625" style="3" bestFit="1" customWidth="1"/>
    <col min="8953" max="8953" width="16.7109375" style="3" customWidth="1"/>
    <col min="8954" max="8954" width="16.5703125" style="3" customWidth="1"/>
    <col min="8955" max="8956" width="7.85546875" style="3" bestFit="1" customWidth="1"/>
    <col min="8957" max="8957" width="8" style="3" bestFit="1" customWidth="1"/>
    <col min="8958" max="8959" width="7.85546875" style="3" bestFit="1" customWidth="1"/>
    <col min="8960" max="8960" width="9.7109375" style="3" customWidth="1"/>
    <col min="8961" max="8961" width="12.85546875" style="3" customWidth="1"/>
    <col min="8962" max="9198" width="9.140625" style="3"/>
    <col min="9199" max="9199" width="9" style="3" bestFit="1" customWidth="1"/>
    <col min="9200" max="9200" width="9.85546875" style="3" bestFit="1" customWidth="1"/>
    <col min="9201" max="9201" width="9.140625" style="3" bestFit="1" customWidth="1"/>
    <col min="9202" max="9202" width="16" style="3" bestFit="1" customWidth="1"/>
    <col min="9203" max="9203" width="9" style="3" bestFit="1" customWidth="1"/>
    <col min="9204" max="9204" width="7.85546875" style="3" bestFit="1" customWidth="1"/>
    <col min="9205" max="9205" width="11.7109375" style="3" bestFit="1" customWidth="1"/>
    <col min="9206" max="9206" width="14.28515625" style="3" customWidth="1"/>
    <col min="9207" max="9207" width="11.7109375" style="3" bestFit="1" customWidth="1"/>
    <col min="9208" max="9208" width="14.140625" style="3" bestFit="1" customWidth="1"/>
    <col min="9209" max="9209" width="16.7109375" style="3" customWidth="1"/>
    <col min="9210" max="9210" width="16.5703125" style="3" customWidth="1"/>
    <col min="9211" max="9212" width="7.85546875" style="3" bestFit="1" customWidth="1"/>
    <col min="9213" max="9213" width="8" style="3" bestFit="1" customWidth="1"/>
    <col min="9214" max="9215" width="7.85546875" style="3" bestFit="1" customWidth="1"/>
    <col min="9216" max="9216" width="9.7109375" style="3" customWidth="1"/>
    <col min="9217" max="9217" width="12.85546875" style="3" customWidth="1"/>
    <col min="9218" max="9454" width="9.140625" style="3"/>
    <col min="9455" max="9455" width="9" style="3" bestFit="1" customWidth="1"/>
    <col min="9456" max="9456" width="9.85546875" style="3" bestFit="1" customWidth="1"/>
    <col min="9457" max="9457" width="9.140625" style="3" bestFit="1" customWidth="1"/>
    <col min="9458" max="9458" width="16" style="3" bestFit="1" customWidth="1"/>
    <col min="9459" max="9459" width="9" style="3" bestFit="1" customWidth="1"/>
    <col min="9460" max="9460" width="7.85546875" style="3" bestFit="1" customWidth="1"/>
    <col min="9461" max="9461" width="11.7109375" style="3" bestFit="1" customWidth="1"/>
    <col min="9462" max="9462" width="14.28515625" style="3" customWidth="1"/>
    <col min="9463" max="9463" width="11.7109375" style="3" bestFit="1" customWidth="1"/>
    <col min="9464" max="9464" width="14.140625" style="3" bestFit="1" customWidth="1"/>
    <col min="9465" max="9465" width="16.7109375" style="3" customWidth="1"/>
    <col min="9466" max="9466" width="16.5703125" style="3" customWidth="1"/>
    <col min="9467" max="9468" width="7.85546875" style="3" bestFit="1" customWidth="1"/>
    <col min="9469" max="9469" width="8" style="3" bestFit="1" customWidth="1"/>
    <col min="9470" max="9471" width="7.85546875" style="3" bestFit="1" customWidth="1"/>
    <col min="9472" max="9472" width="9.7109375" style="3" customWidth="1"/>
    <col min="9473" max="9473" width="12.85546875" style="3" customWidth="1"/>
    <col min="9474" max="9710" width="9.140625" style="3"/>
    <col min="9711" max="9711" width="9" style="3" bestFit="1" customWidth="1"/>
    <col min="9712" max="9712" width="9.85546875" style="3" bestFit="1" customWidth="1"/>
    <col min="9713" max="9713" width="9.140625" style="3" bestFit="1" customWidth="1"/>
    <col min="9714" max="9714" width="16" style="3" bestFit="1" customWidth="1"/>
    <col min="9715" max="9715" width="9" style="3" bestFit="1" customWidth="1"/>
    <col min="9716" max="9716" width="7.85546875" style="3" bestFit="1" customWidth="1"/>
    <col min="9717" max="9717" width="11.7109375" style="3" bestFit="1" customWidth="1"/>
    <col min="9718" max="9718" width="14.28515625" style="3" customWidth="1"/>
    <col min="9719" max="9719" width="11.7109375" style="3" bestFit="1" customWidth="1"/>
    <col min="9720" max="9720" width="14.140625" style="3" bestFit="1" customWidth="1"/>
    <col min="9721" max="9721" width="16.7109375" style="3" customWidth="1"/>
    <col min="9722" max="9722" width="16.5703125" style="3" customWidth="1"/>
    <col min="9723" max="9724" width="7.85546875" style="3" bestFit="1" customWidth="1"/>
    <col min="9725" max="9725" width="8" style="3" bestFit="1" customWidth="1"/>
    <col min="9726" max="9727" width="7.85546875" style="3" bestFit="1" customWidth="1"/>
    <col min="9728" max="9728" width="9.7109375" style="3" customWidth="1"/>
    <col min="9729" max="9729" width="12.85546875" style="3" customWidth="1"/>
    <col min="9730" max="9966" width="9.140625" style="3"/>
    <col min="9967" max="9967" width="9" style="3" bestFit="1" customWidth="1"/>
    <col min="9968" max="9968" width="9.85546875" style="3" bestFit="1" customWidth="1"/>
    <col min="9969" max="9969" width="9.140625" style="3" bestFit="1" customWidth="1"/>
    <col min="9970" max="9970" width="16" style="3" bestFit="1" customWidth="1"/>
    <col min="9971" max="9971" width="9" style="3" bestFit="1" customWidth="1"/>
    <col min="9972" max="9972" width="7.85546875" style="3" bestFit="1" customWidth="1"/>
    <col min="9973" max="9973" width="11.7109375" style="3" bestFit="1" customWidth="1"/>
    <col min="9974" max="9974" width="14.28515625" style="3" customWidth="1"/>
    <col min="9975" max="9975" width="11.7109375" style="3" bestFit="1" customWidth="1"/>
    <col min="9976" max="9976" width="14.140625" style="3" bestFit="1" customWidth="1"/>
    <col min="9977" max="9977" width="16.7109375" style="3" customWidth="1"/>
    <col min="9978" max="9978" width="16.5703125" style="3" customWidth="1"/>
    <col min="9979" max="9980" width="7.85546875" style="3" bestFit="1" customWidth="1"/>
    <col min="9981" max="9981" width="8" style="3" bestFit="1" customWidth="1"/>
    <col min="9982" max="9983" width="7.85546875" style="3" bestFit="1" customWidth="1"/>
    <col min="9984" max="9984" width="9.7109375" style="3" customWidth="1"/>
    <col min="9985" max="9985" width="12.85546875" style="3" customWidth="1"/>
    <col min="9986" max="10222" width="9.140625" style="3"/>
    <col min="10223" max="10223" width="9" style="3" bestFit="1" customWidth="1"/>
    <col min="10224" max="10224" width="9.85546875" style="3" bestFit="1" customWidth="1"/>
    <col min="10225" max="10225" width="9.140625" style="3" bestFit="1" customWidth="1"/>
    <col min="10226" max="10226" width="16" style="3" bestFit="1" customWidth="1"/>
    <col min="10227" max="10227" width="9" style="3" bestFit="1" customWidth="1"/>
    <col min="10228" max="10228" width="7.85546875" style="3" bestFit="1" customWidth="1"/>
    <col min="10229" max="10229" width="11.7109375" style="3" bestFit="1" customWidth="1"/>
    <col min="10230" max="10230" width="14.28515625" style="3" customWidth="1"/>
    <col min="10231" max="10231" width="11.7109375" style="3" bestFit="1" customWidth="1"/>
    <col min="10232" max="10232" width="14.140625" style="3" bestFit="1" customWidth="1"/>
    <col min="10233" max="10233" width="16.7109375" style="3" customWidth="1"/>
    <col min="10234" max="10234" width="16.5703125" style="3" customWidth="1"/>
    <col min="10235" max="10236" width="7.85546875" style="3" bestFit="1" customWidth="1"/>
    <col min="10237" max="10237" width="8" style="3" bestFit="1" customWidth="1"/>
    <col min="10238" max="10239" width="7.85546875" style="3" bestFit="1" customWidth="1"/>
    <col min="10240" max="10240" width="9.7109375" style="3" customWidth="1"/>
    <col min="10241" max="10241" width="12.85546875" style="3" customWidth="1"/>
    <col min="10242" max="10478" width="9.140625" style="3"/>
    <col min="10479" max="10479" width="9" style="3" bestFit="1" customWidth="1"/>
    <col min="10480" max="10480" width="9.85546875" style="3" bestFit="1" customWidth="1"/>
    <col min="10481" max="10481" width="9.140625" style="3" bestFit="1" customWidth="1"/>
    <col min="10482" max="10482" width="16" style="3" bestFit="1" customWidth="1"/>
    <col min="10483" max="10483" width="9" style="3" bestFit="1" customWidth="1"/>
    <col min="10484" max="10484" width="7.85546875" style="3" bestFit="1" customWidth="1"/>
    <col min="10485" max="10485" width="11.7109375" style="3" bestFit="1" customWidth="1"/>
    <col min="10486" max="10486" width="14.28515625" style="3" customWidth="1"/>
    <col min="10487" max="10487" width="11.7109375" style="3" bestFit="1" customWidth="1"/>
    <col min="10488" max="10488" width="14.140625" style="3" bestFit="1" customWidth="1"/>
    <col min="10489" max="10489" width="16.7109375" style="3" customWidth="1"/>
    <col min="10490" max="10490" width="16.5703125" style="3" customWidth="1"/>
    <col min="10491" max="10492" width="7.85546875" style="3" bestFit="1" customWidth="1"/>
    <col min="10493" max="10493" width="8" style="3" bestFit="1" customWidth="1"/>
    <col min="10494" max="10495" width="7.85546875" style="3" bestFit="1" customWidth="1"/>
    <col min="10496" max="10496" width="9.7109375" style="3" customWidth="1"/>
    <col min="10497" max="10497" width="12.85546875" style="3" customWidth="1"/>
    <col min="10498" max="10734" width="9.140625" style="3"/>
    <col min="10735" max="10735" width="9" style="3" bestFit="1" customWidth="1"/>
    <col min="10736" max="10736" width="9.85546875" style="3" bestFit="1" customWidth="1"/>
    <col min="10737" max="10737" width="9.140625" style="3" bestFit="1" customWidth="1"/>
    <col min="10738" max="10738" width="16" style="3" bestFit="1" customWidth="1"/>
    <col min="10739" max="10739" width="9" style="3" bestFit="1" customWidth="1"/>
    <col min="10740" max="10740" width="7.85546875" style="3" bestFit="1" customWidth="1"/>
    <col min="10741" max="10741" width="11.7109375" style="3" bestFit="1" customWidth="1"/>
    <col min="10742" max="10742" width="14.28515625" style="3" customWidth="1"/>
    <col min="10743" max="10743" width="11.7109375" style="3" bestFit="1" customWidth="1"/>
    <col min="10744" max="10744" width="14.140625" style="3" bestFit="1" customWidth="1"/>
    <col min="10745" max="10745" width="16.7109375" style="3" customWidth="1"/>
    <col min="10746" max="10746" width="16.5703125" style="3" customWidth="1"/>
    <col min="10747" max="10748" width="7.85546875" style="3" bestFit="1" customWidth="1"/>
    <col min="10749" max="10749" width="8" style="3" bestFit="1" customWidth="1"/>
    <col min="10750" max="10751" width="7.85546875" style="3" bestFit="1" customWidth="1"/>
    <col min="10752" max="10752" width="9.7109375" style="3" customWidth="1"/>
    <col min="10753" max="10753" width="12.85546875" style="3" customWidth="1"/>
    <col min="10754" max="10990" width="9.140625" style="3"/>
    <col min="10991" max="10991" width="9" style="3" bestFit="1" customWidth="1"/>
    <col min="10992" max="10992" width="9.85546875" style="3" bestFit="1" customWidth="1"/>
    <col min="10993" max="10993" width="9.140625" style="3" bestFit="1" customWidth="1"/>
    <col min="10994" max="10994" width="16" style="3" bestFit="1" customWidth="1"/>
    <col min="10995" max="10995" width="9" style="3" bestFit="1" customWidth="1"/>
    <col min="10996" max="10996" width="7.85546875" style="3" bestFit="1" customWidth="1"/>
    <col min="10997" max="10997" width="11.7109375" style="3" bestFit="1" customWidth="1"/>
    <col min="10998" max="10998" width="14.28515625" style="3" customWidth="1"/>
    <col min="10999" max="10999" width="11.7109375" style="3" bestFit="1" customWidth="1"/>
    <col min="11000" max="11000" width="14.140625" style="3" bestFit="1" customWidth="1"/>
    <col min="11001" max="11001" width="16.7109375" style="3" customWidth="1"/>
    <col min="11002" max="11002" width="16.5703125" style="3" customWidth="1"/>
    <col min="11003" max="11004" width="7.85546875" style="3" bestFit="1" customWidth="1"/>
    <col min="11005" max="11005" width="8" style="3" bestFit="1" customWidth="1"/>
    <col min="11006" max="11007" width="7.85546875" style="3" bestFit="1" customWidth="1"/>
    <col min="11008" max="11008" width="9.7109375" style="3" customWidth="1"/>
    <col min="11009" max="11009" width="12.85546875" style="3" customWidth="1"/>
    <col min="11010" max="11246" width="9.140625" style="3"/>
    <col min="11247" max="11247" width="9" style="3" bestFit="1" customWidth="1"/>
    <col min="11248" max="11248" width="9.85546875" style="3" bestFit="1" customWidth="1"/>
    <col min="11249" max="11249" width="9.140625" style="3" bestFit="1" customWidth="1"/>
    <col min="11250" max="11250" width="16" style="3" bestFit="1" customWidth="1"/>
    <col min="11251" max="11251" width="9" style="3" bestFit="1" customWidth="1"/>
    <col min="11252" max="11252" width="7.85546875" style="3" bestFit="1" customWidth="1"/>
    <col min="11253" max="11253" width="11.7109375" style="3" bestFit="1" customWidth="1"/>
    <col min="11254" max="11254" width="14.28515625" style="3" customWidth="1"/>
    <col min="11255" max="11255" width="11.7109375" style="3" bestFit="1" customWidth="1"/>
    <col min="11256" max="11256" width="14.140625" style="3" bestFit="1" customWidth="1"/>
    <col min="11257" max="11257" width="16.7109375" style="3" customWidth="1"/>
    <col min="11258" max="11258" width="16.5703125" style="3" customWidth="1"/>
    <col min="11259" max="11260" width="7.85546875" style="3" bestFit="1" customWidth="1"/>
    <col min="11261" max="11261" width="8" style="3" bestFit="1" customWidth="1"/>
    <col min="11262" max="11263" width="7.85546875" style="3" bestFit="1" customWidth="1"/>
    <col min="11264" max="11264" width="9.7109375" style="3" customWidth="1"/>
    <col min="11265" max="11265" width="12.85546875" style="3" customWidth="1"/>
    <col min="11266" max="11502" width="9.140625" style="3"/>
    <col min="11503" max="11503" width="9" style="3" bestFit="1" customWidth="1"/>
    <col min="11504" max="11504" width="9.85546875" style="3" bestFit="1" customWidth="1"/>
    <col min="11505" max="11505" width="9.140625" style="3" bestFit="1" customWidth="1"/>
    <col min="11506" max="11506" width="16" style="3" bestFit="1" customWidth="1"/>
    <col min="11507" max="11507" width="9" style="3" bestFit="1" customWidth="1"/>
    <col min="11508" max="11508" width="7.85546875" style="3" bestFit="1" customWidth="1"/>
    <col min="11509" max="11509" width="11.7109375" style="3" bestFit="1" customWidth="1"/>
    <col min="11510" max="11510" width="14.28515625" style="3" customWidth="1"/>
    <col min="11511" max="11511" width="11.7109375" style="3" bestFit="1" customWidth="1"/>
    <col min="11512" max="11512" width="14.140625" style="3" bestFit="1" customWidth="1"/>
    <col min="11513" max="11513" width="16.7109375" style="3" customWidth="1"/>
    <col min="11514" max="11514" width="16.5703125" style="3" customWidth="1"/>
    <col min="11515" max="11516" width="7.85546875" style="3" bestFit="1" customWidth="1"/>
    <col min="11517" max="11517" width="8" style="3" bestFit="1" customWidth="1"/>
    <col min="11518" max="11519" width="7.85546875" style="3" bestFit="1" customWidth="1"/>
    <col min="11520" max="11520" width="9.7109375" style="3" customWidth="1"/>
    <col min="11521" max="11521" width="12.85546875" style="3" customWidth="1"/>
    <col min="11522" max="11758" width="9.140625" style="3"/>
    <col min="11759" max="11759" width="9" style="3" bestFit="1" customWidth="1"/>
    <col min="11760" max="11760" width="9.85546875" style="3" bestFit="1" customWidth="1"/>
    <col min="11761" max="11761" width="9.140625" style="3" bestFit="1" customWidth="1"/>
    <col min="11762" max="11762" width="16" style="3" bestFit="1" customWidth="1"/>
    <col min="11763" max="11763" width="9" style="3" bestFit="1" customWidth="1"/>
    <col min="11764" max="11764" width="7.85546875" style="3" bestFit="1" customWidth="1"/>
    <col min="11765" max="11765" width="11.7109375" style="3" bestFit="1" customWidth="1"/>
    <col min="11766" max="11766" width="14.28515625" style="3" customWidth="1"/>
    <col min="11767" max="11767" width="11.7109375" style="3" bestFit="1" customWidth="1"/>
    <col min="11768" max="11768" width="14.140625" style="3" bestFit="1" customWidth="1"/>
    <col min="11769" max="11769" width="16.7109375" style="3" customWidth="1"/>
    <col min="11770" max="11770" width="16.5703125" style="3" customWidth="1"/>
    <col min="11771" max="11772" width="7.85546875" style="3" bestFit="1" customWidth="1"/>
    <col min="11773" max="11773" width="8" style="3" bestFit="1" customWidth="1"/>
    <col min="11774" max="11775" width="7.85546875" style="3" bestFit="1" customWidth="1"/>
    <col min="11776" max="11776" width="9.7109375" style="3" customWidth="1"/>
    <col min="11777" max="11777" width="12.85546875" style="3" customWidth="1"/>
    <col min="11778" max="12014" width="9.140625" style="3"/>
    <col min="12015" max="12015" width="9" style="3" bestFit="1" customWidth="1"/>
    <col min="12016" max="12016" width="9.85546875" style="3" bestFit="1" customWidth="1"/>
    <col min="12017" max="12017" width="9.140625" style="3" bestFit="1" customWidth="1"/>
    <col min="12018" max="12018" width="16" style="3" bestFit="1" customWidth="1"/>
    <col min="12019" max="12019" width="9" style="3" bestFit="1" customWidth="1"/>
    <col min="12020" max="12020" width="7.85546875" style="3" bestFit="1" customWidth="1"/>
    <col min="12021" max="12021" width="11.7109375" style="3" bestFit="1" customWidth="1"/>
    <col min="12022" max="12022" width="14.28515625" style="3" customWidth="1"/>
    <col min="12023" max="12023" width="11.7109375" style="3" bestFit="1" customWidth="1"/>
    <col min="12024" max="12024" width="14.140625" style="3" bestFit="1" customWidth="1"/>
    <col min="12025" max="12025" width="16.7109375" style="3" customWidth="1"/>
    <col min="12026" max="12026" width="16.5703125" style="3" customWidth="1"/>
    <col min="12027" max="12028" width="7.85546875" style="3" bestFit="1" customWidth="1"/>
    <col min="12029" max="12029" width="8" style="3" bestFit="1" customWidth="1"/>
    <col min="12030" max="12031" width="7.85546875" style="3" bestFit="1" customWidth="1"/>
    <col min="12032" max="12032" width="9.7109375" style="3" customWidth="1"/>
    <col min="12033" max="12033" width="12.85546875" style="3" customWidth="1"/>
    <col min="12034" max="12270" width="9.140625" style="3"/>
    <col min="12271" max="12271" width="9" style="3" bestFit="1" customWidth="1"/>
    <col min="12272" max="12272" width="9.85546875" style="3" bestFit="1" customWidth="1"/>
    <col min="12273" max="12273" width="9.140625" style="3" bestFit="1" customWidth="1"/>
    <col min="12274" max="12274" width="16" style="3" bestFit="1" customWidth="1"/>
    <col min="12275" max="12275" width="9" style="3" bestFit="1" customWidth="1"/>
    <col min="12276" max="12276" width="7.85546875" style="3" bestFit="1" customWidth="1"/>
    <col min="12277" max="12277" width="11.7109375" style="3" bestFit="1" customWidth="1"/>
    <col min="12278" max="12278" width="14.28515625" style="3" customWidth="1"/>
    <col min="12279" max="12279" width="11.7109375" style="3" bestFit="1" customWidth="1"/>
    <col min="12280" max="12280" width="14.140625" style="3" bestFit="1" customWidth="1"/>
    <col min="12281" max="12281" width="16.7109375" style="3" customWidth="1"/>
    <col min="12282" max="12282" width="16.5703125" style="3" customWidth="1"/>
    <col min="12283" max="12284" width="7.85546875" style="3" bestFit="1" customWidth="1"/>
    <col min="12285" max="12285" width="8" style="3" bestFit="1" customWidth="1"/>
    <col min="12286" max="12287" width="7.85546875" style="3" bestFit="1" customWidth="1"/>
    <col min="12288" max="12288" width="9.7109375" style="3" customWidth="1"/>
    <col min="12289" max="12289" width="12.85546875" style="3" customWidth="1"/>
    <col min="12290" max="12526" width="9.140625" style="3"/>
    <col min="12527" max="12527" width="9" style="3" bestFit="1" customWidth="1"/>
    <col min="12528" max="12528" width="9.85546875" style="3" bestFit="1" customWidth="1"/>
    <col min="12529" max="12529" width="9.140625" style="3" bestFit="1" customWidth="1"/>
    <col min="12530" max="12530" width="16" style="3" bestFit="1" customWidth="1"/>
    <col min="12531" max="12531" width="9" style="3" bestFit="1" customWidth="1"/>
    <col min="12532" max="12532" width="7.85546875" style="3" bestFit="1" customWidth="1"/>
    <col min="12533" max="12533" width="11.7109375" style="3" bestFit="1" customWidth="1"/>
    <col min="12534" max="12534" width="14.28515625" style="3" customWidth="1"/>
    <col min="12535" max="12535" width="11.7109375" style="3" bestFit="1" customWidth="1"/>
    <col min="12536" max="12536" width="14.140625" style="3" bestFit="1" customWidth="1"/>
    <col min="12537" max="12537" width="16.7109375" style="3" customWidth="1"/>
    <col min="12538" max="12538" width="16.5703125" style="3" customWidth="1"/>
    <col min="12539" max="12540" width="7.85546875" style="3" bestFit="1" customWidth="1"/>
    <col min="12541" max="12541" width="8" style="3" bestFit="1" customWidth="1"/>
    <col min="12542" max="12543" width="7.85546875" style="3" bestFit="1" customWidth="1"/>
    <col min="12544" max="12544" width="9.7109375" style="3" customWidth="1"/>
    <col min="12545" max="12545" width="12.85546875" style="3" customWidth="1"/>
    <col min="12546" max="12782" width="9.140625" style="3"/>
    <col min="12783" max="12783" width="9" style="3" bestFit="1" customWidth="1"/>
    <col min="12784" max="12784" width="9.85546875" style="3" bestFit="1" customWidth="1"/>
    <col min="12785" max="12785" width="9.140625" style="3" bestFit="1" customWidth="1"/>
    <col min="12786" max="12786" width="16" style="3" bestFit="1" customWidth="1"/>
    <col min="12787" max="12787" width="9" style="3" bestFit="1" customWidth="1"/>
    <col min="12788" max="12788" width="7.85546875" style="3" bestFit="1" customWidth="1"/>
    <col min="12789" max="12789" width="11.7109375" style="3" bestFit="1" customWidth="1"/>
    <col min="12790" max="12790" width="14.28515625" style="3" customWidth="1"/>
    <col min="12791" max="12791" width="11.7109375" style="3" bestFit="1" customWidth="1"/>
    <col min="12792" max="12792" width="14.140625" style="3" bestFit="1" customWidth="1"/>
    <col min="12793" max="12793" width="16.7109375" style="3" customWidth="1"/>
    <col min="12794" max="12794" width="16.5703125" style="3" customWidth="1"/>
    <col min="12795" max="12796" width="7.85546875" style="3" bestFit="1" customWidth="1"/>
    <col min="12797" max="12797" width="8" style="3" bestFit="1" customWidth="1"/>
    <col min="12798" max="12799" width="7.85546875" style="3" bestFit="1" customWidth="1"/>
    <col min="12800" max="12800" width="9.7109375" style="3" customWidth="1"/>
    <col min="12801" max="12801" width="12.85546875" style="3" customWidth="1"/>
    <col min="12802" max="13038" width="9.140625" style="3"/>
    <col min="13039" max="13039" width="9" style="3" bestFit="1" customWidth="1"/>
    <col min="13040" max="13040" width="9.85546875" style="3" bestFit="1" customWidth="1"/>
    <col min="13041" max="13041" width="9.140625" style="3" bestFit="1" customWidth="1"/>
    <col min="13042" max="13042" width="16" style="3" bestFit="1" customWidth="1"/>
    <col min="13043" max="13043" width="9" style="3" bestFit="1" customWidth="1"/>
    <col min="13044" max="13044" width="7.85546875" style="3" bestFit="1" customWidth="1"/>
    <col min="13045" max="13045" width="11.7109375" style="3" bestFit="1" customWidth="1"/>
    <col min="13046" max="13046" width="14.28515625" style="3" customWidth="1"/>
    <col min="13047" max="13047" width="11.7109375" style="3" bestFit="1" customWidth="1"/>
    <col min="13048" max="13048" width="14.140625" style="3" bestFit="1" customWidth="1"/>
    <col min="13049" max="13049" width="16.7109375" style="3" customWidth="1"/>
    <col min="13050" max="13050" width="16.5703125" style="3" customWidth="1"/>
    <col min="13051" max="13052" width="7.85546875" style="3" bestFit="1" customWidth="1"/>
    <col min="13053" max="13053" width="8" style="3" bestFit="1" customWidth="1"/>
    <col min="13054" max="13055" width="7.85546875" style="3" bestFit="1" customWidth="1"/>
    <col min="13056" max="13056" width="9.7109375" style="3" customWidth="1"/>
    <col min="13057" max="13057" width="12.85546875" style="3" customWidth="1"/>
    <col min="13058" max="13294" width="9.140625" style="3"/>
    <col min="13295" max="13295" width="9" style="3" bestFit="1" customWidth="1"/>
    <col min="13296" max="13296" width="9.85546875" style="3" bestFit="1" customWidth="1"/>
    <col min="13297" max="13297" width="9.140625" style="3" bestFit="1" customWidth="1"/>
    <col min="13298" max="13298" width="16" style="3" bestFit="1" customWidth="1"/>
    <col min="13299" max="13299" width="9" style="3" bestFit="1" customWidth="1"/>
    <col min="13300" max="13300" width="7.85546875" style="3" bestFit="1" customWidth="1"/>
    <col min="13301" max="13301" width="11.7109375" style="3" bestFit="1" customWidth="1"/>
    <col min="13302" max="13302" width="14.28515625" style="3" customWidth="1"/>
    <col min="13303" max="13303" width="11.7109375" style="3" bestFit="1" customWidth="1"/>
    <col min="13304" max="13304" width="14.140625" style="3" bestFit="1" customWidth="1"/>
    <col min="13305" max="13305" width="16.7109375" style="3" customWidth="1"/>
    <col min="13306" max="13306" width="16.5703125" style="3" customWidth="1"/>
    <col min="13307" max="13308" width="7.85546875" style="3" bestFit="1" customWidth="1"/>
    <col min="13309" max="13309" width="8" style="3" bestFit="1" customWidth="1"/>
    <col min="13310" max="13311" width="7.85546875" style="3" bestFit="1" customWidth="1"/>
    <col min="13312" max="13312" width="9.7109375" style="3" customWidth="1"/>
    <col min="13313" max="13313" width="12.85546875" style="3" customWidth="1"/>
    <col min="13314" max="13550" width="9.140625" style="3"/>
    <col min="13551" max="13551" width="9" style="3" bestFit="1" customWidth="1"/>
    <col min="13552" max="13552" width="9.85546875" style="3" bestFit="1" customWidth="1"/>
    <col min="13553" max="13553" width="9.140625" style="3" bestFit="1" customWidth="1"/>
    <col min="13554" max="13554" width="16" style="3" bestFit="1" customWidth="1"/>
    <col min="13555" max="13555" width="9" style="3" bestFit="1" customWidth="1"/>
    <col min="13556" max="13556" width="7.85546875" style="3" bestFit="1" customWidth="1"/>
    <col min="13557" max="13557" width="11.7109375" style="3" bestFit="1" customWidth="1"/>
    <col min="13558" max="13558" width="14.28515625" style="3" customWidth="1"/>
    <col min="13559" max="13559" width="11.7109375" style="3" bestFit="1" customWidth="1"/>
    <col min="13560" max="13560" width="14.140625" style="3" bestFit="1" customWidth="1"/>
    <col min="13561" max="13561" width="16.7109375" style="3" customWidth="1"/>
    <col min="13562" max="13562" width="16.5703125" style="3" customWidth="1"/>
    <col min="13563" max="13564" width="7.85546875" style="3" bestFit="1" customWidth="1"/>
    <col min="13565" max="13565" width="8" style="3" bestFit="1" customWidth="1"/>
    <col min="13566" max="13567" width="7.85546875" style="3" bestFit="1" customWidth="1"/>
    <col min="13568" max="13568" width="9.7109375" style="3" customWidth="1"/>
    <col min="13569" max="13569" width="12.85546875" style="3" customWidth="1"/>
    <col min="13570" max="13806" width="9.140625" style="3"/>
    <col min="13807" max="13807" width="9" style="3" bestFit="1" customWidth="1"/>
    <col min="13808" max="13808" width="9.85546875" style="3" bestFit="1" customWidth="1"/>
    <col min="13809" max="13809" width="9.140625" style="3" bestFit="1" customWidth="1"/>
    <col min="13810" max="13810" width="16" style="3" bestFit="1" customWidth="1"/>
    <col min="13811" max="13811" width="9" style="3" bestFit="1" customWidth="1"/>
    <col min="13812" max="13812" width="7.85546875" style="3" bestFit="1" customWidth="1"/>
    <col min="13813" max="13813" width="11.7109375" style="3" bestFit="1" customWidth="1"/>
    <col min="13814" max="13814" width="14.28515625" style="3" customWidth="1"/>
    <col min="13815" max="13815" width="11.7109375" style="3" bestFit="1" customWidth="1"/>
    <col min="13816" max="13816" width="14.140625" style="3" bestFit="1" customWidth="1"/>
    <col min="13817" max="13817" width="16.7109375" style="3" customWidth="1"/>
    <col min="13818" max="13818" width="16.5703125" style="3" customWidth="1"/>
    <col min="13819" max="13820" width="7.85546875" style="3" bestFit="1" customWidth="1"/>
    <col min="13821" max="13821" width="8" style="3" bestFit="1" customWidth="1"/>
    <col min="13822" max="13823" width="7.85546875" style="3" bestFit="1" customWidth="1"/>
    <col min="13824" max="13824" width="9.7109375" style="3" customWidth="1"/>
    <col min="13825" max="13825" width="12.85546875" style="3" customWidth="1"/>
    <col min="13826" max="14062" width="9.140625" style="3"/>
    <col min="14063" max="14063" width="9" style="3" bestFit="1" customWidth="1"/>
    <col min="14064" max="14064" width="9.85546875" style="3" bestFit="1" customWidth="1"/>
    <col min="14065" max="14065" width="9.140625" style="3" bestFit="1" customWidth="1"/>
    <col min="14066" max="14066" width="16" style="3" bestFit="1" customWidth="1"/>
    <col min="14067" max="14067" width="9" style="3" bestFit="1" customWidth="1"/>
    <col min="14068" max="14068" width="7.85546875" style="3" bestFit="1" customWidth="1"/>
    <col min="14069" max="14069" width="11.7109375" style="3" bestFit="1" customWidth="1"/>
    <col min="14070" max="14070" width="14.28515625" style="3" customWidth="1"/>
    <col min="14071" max="14071" width="11.7109375" style="3" bestFit="1" customWidth="1"/>
    <col min="14072" max="14072" width="14.140625" style="3" bestFit="1" customWidth="1"/>
    <col min="14073" max="14073" width="16.7109375" style="3" customWidth="1"/>
    <col min="14074" max="14074" width="16.5703125" style="3" customWidth="1"/>
    <col min="14075" max="14076" width="7.85546875" style="3" bestFit="1" customWidth="1"/>
    <col min="14077" max="14077" width="8" style="3" bestFit="1" customWidth="1"/>
    <col min="14078" max="14079" width="7.85546875" style="3" bestFit="1" customWidth="1"/>
    <col min="14080" max="14080" width="9.7109375" style="3" customWidth="1"/>
    <col min="14081" max="14081" width="12.85546875" style="3" customWidth="1"/>
    <col min="14082" max="14318" width="9.140625" style="3"/>
    <col min="14319" max="14319" width="9" style="3" bestFit="1" customWidth="1"/>
    <col min="14320" max="14320" width="9.85546875" style="3" bestFit="1" customWidth="1"/>
    <col min="14321" max="14321" width="9.140625" style="3" bestFit="1" customWidth="1"/>
    <col min="14322" max="14322" width="16" style="3" bestFit="1" customWidth="1"/>
    <col min="14323" max="14323" width="9" style="3" bestFit="1" customWidth="1"/>
    <col min="14324" max="14324" width="7.85546875" style="3" bestFit="1" customWidth="1"/>
    <col min="14325" max="14325" width="11.7109375" style="3" bestFit="1" customWidth="1"/>
    <col min="14326" max="14326" width="14.28515625" style="3" customWidth="1"/>
    <col min="14327" max="14327" width="11.7109375" style="3" bestFit="1" customWidth="1"/>
    <col min="14328" max="14328" width="14.140625" style="3" bestFit="1" customWidth="1"/>
    <col min="14329" max="14329" width="16.7109375" style="3" customWidth="1"/>
    <col min="14330" max="14330" width="16.5703125" style="3" customWidth="1"/>
    <col min="14331" max="14332" width="7.85546875" style="3" bestFit="1" customWidth="1"/>
    <col min="14333" max="14333" width="8" style="3" bestFit="1" customWidth="1"/>
    <col min="14334" max="14335" width="7.85546875" style="3" bestFit="1" customWidth="1"/>
    <col min="14336" max="14336" width="9.7109375" style="3" customWidth="1"/>
    <col min="14337" max="14337" width="12.85546875" style="3" customWidth="1"/>
    <col min="14338" max="14574" width="9.140625" style="3"/>
    <col min="14575" max="14575" width="9" style="3" bestFit="1" customWidth="1"/>
    <col min="14576" max="14576" width="9.85546875" style="3" bestFit="1" customWidth="1"/>
    <col min="14577" max="14577" width="9.140625" style="3" bestFit="1" customWidth="1"/>
    <col min="14578" max="14578" width="16" style="3" bestFit="1" customWidth="1"/>
    <col min="14579" max="14579" width="9" style="3" bestFit="1" customWidth="1"/>
    <col min="14580" max="14580" width="7.85546875" style="3" bestFit="1" customWidth="1"/>
    <col min="14581" max="14581" width="11.7109375" style="3" bestFit="1" customWidth="1"/>
    <col min="14582" max="14582" width="14.28515625" style="3" customWidth="1"/>
    <col min="14583" max="14583" width="11.7109375" style="3" bestFit="1" customWidth="1"/>
    <col min="14584" max="14584" width="14.140625" style="3" bestFit="1" customWidth="1"/>
    <col min="14585" max="14585" width="16.7109375" style="3" customWidth="1"/>
    <col min="14586" max="14586" width="16.5703125" style="3" customWidth="1"/>
    <col min="14587" max="14588" width="7.85546875" style="3" bestFit="1" customWidth="1"/>
    <col min="14589" max="14589" width="8" style="3" bestFit="1" customWidth="1"/>
    <col min="14590" max="14591" width="7.85546875" style="3" bestFit="1" customWidth="1"/>
    <col min="14592" max="14592" width="9.7109375" style="3" customWidth="1"/>
    <col min="14593" max="14593" width="12.85546875" style="3" customWidth="1"/>
    <col min="14594" max="14830" width="9.140625" style="3"/>
    <col min="14831" max="14831" width="9" style="3" bestFit="1" customWidth="1"/>
    <col min="14832" max="14832" width="9.85546875" style="3" bestFit="1" customWidth="1"/>
    <col min="14833" max="14833" width="9.140625" style="3" bestFit="1" customWidth="1"/>
    <col min="14834" max="14834" width="16" style="3" bestFit="1" customWidth="1"/>
    <col min="14835" max="14835" width="9" style="3" bestFit="1" customWidth="1"/>
    <col min="14836" max="14836" width="7.85546875" style="3" bestFit="1" customWidth="1"/>
    <col min="14837" max="14837" width="11.7109375" style="3" bestFit="1" customWidth="1"/>
    <col min="14838" max="14838" width="14.28515625" style="3" customWidth="1"/>
    <col min="14839" max="14839" width="11.7109375" style="3" bestFit="1" customWidth="1"/>
    <col min="14840" max="14840" width="14.140625" style="3" bestFit="1" customWidth="1"/>
    <col min="14841" max="14841" width="16.7109375" style="3" customWidth="1"/>
    <col min="14842" max="14842" width="16.5703125" style="3" customWidth="1"/>
    <col min="14843" max="14844" width="7.85546875" style="3" bestFit="1" customWidth="1"/>
    <col min="14845" max="14845" width="8" style="3" bestFit="1" customWidth="1"/>
    <col min="14846" max="14847" width="7.85546875" style="3" bestFit="1" customWidth="1"/>
    <col min="14848" max="14848" width="9.7109375" style="3" customWidth="1"/>
    <col min="14849" max="14849" width="12.85546875" style="3" customWidth="1"/>
    <col min="14850" max="15086" width="9.140625" style="3"/>
    <col min="15087" max="15087" width="9" style="3" bestFit="1" customWidth="1"/>
    <col min="15088" max="15088" width="9.85546875" style="3" bestFit="1" customWidth="1"/>
    <col min="15089" max="15089" width="9.140625" style="3" bestFit="1" customWidth="1"/>
    <col min="15090" max="15090" width="16" style="3" bestFit="1" customWidth="1"/>
    <col min="15091" max="15091" width="9" style="3" bestFit="1" customWidth="1"/>
    <col min="15092" max="15092" width="7.85546875" style="3" bestFit="1" customWidth="1"/>
    <col min="15093" max="15093" width="11.7109375" style="3" bestFit="1" customWidth="1"/>
    <col min="15094" max="15094" width="14.28515625" style="3" customWidth="1"/>
    <col min="15095" max="15095" width="11.7109375" style="3" bestFit="1" customWidth="1"/>
    <col min="15096" max="15096" width="14.140625" style="3" bestFit="1" customWidth="1"/>
    <col min="15097" max="15097" width="16.7109375" style="3" customWidth="1"/>
    <col min="15098" max="15098" width="16.5703125" style="3" customWidth="1"/>
    <col min="15099" max="15100" width="7.85546875" style="3" bestFit="1" customWidth="1"/>
    <col min="15101" max="15101" width="8" style="3" bestFit="1" customWidth="1"/>
    <col min="15102" max="15103" width="7.85546875" style="3" bestFit="1" customWidth="1"/>
    <col min="15104" max="15104" width="9.7109375" style="3" customWidth="1"/>
    <col min="15105" max="15105" width="12.85546875" style="3" customWidth="1"/>
    <col min="15106" max="15342" width="9.140625" style="3"/>
    <col min="15343" max="15343" width="9" style="3" bestFit="1" customWidth="1"/>
    <col min="15344" max="15344" width="9.85546875" style="3" bestFit="1" customWidth="1"/>
    <col min="15345" max="15345" width="9.140625" style="3" bestFit="1" customWidth="1"/>
    <col min="15346" max="15346" width="16" style="3" bestFit="1" customWidth="1"/>
    <col min="15347" max="15347" width="9" style="3" bestFit="1" customWidth="1"/>
    <col min="15348" max="15348" width="7.85546875" style="3" bestFit="1" customWidth="1"/>
    <col min="15349" max="15349" width="11.7109375" style="3" bestFit="1" customWidth="1"/>
    <col min="15350" max="15350" width="14.28515625" style="3" customWidth="1"/>
    <col min="15351" max="15351" width="11.7109375" style="3" bestFit="1" customWidth="1"/>
    <col min="15352" max="15352" width="14.140625" style="3" bestFit="1" customWidth="1"/>
    <col min="15353" max="15353" width="16.7109375" style="3" customWidth="1"/>
    <col min="15354" max="15354" width="16.5703125" style="3" customWidth="1"/>
    <col min="15355" max="15356" width="7.85546875" style="3" bestFit="1" customWidth="1"/>
    <col min="15357" max="15357" width="8" style="3" bestFit="1" customWidth="1"/>
    <col min="15358" max="15359" width="7.85546875" style="3" bestFit="1" customWidth="1"/>
    <col min="15360" max="15360" width="9.7109375" style="3" customWidth="1"/>
    <col min="15361" max="15361" width="12.85546875" style="3" customWidth="1"/>
    <col min="15362" max="15598" width="9.140625" style="3"/>
    <col min="15599" max="15599" width="9" style="3" bestFit="1" customWidth="1"/>
    <col min="15600" max="15600" width="9.85546875" style="3" bestFit="1" customWidth="1"/>
    <col min="15601" max="15601" width="9.140625" style="3" bestFit="1" customWidth="1"/>
    <col min="15602" max="15602" width="16" style="3" bestFit="1" customWidth="1"/>
    <col min="15603" max="15603" width="9" style="3" bestFit="1" customWidth="1"/>
    <col min="15604" max="15604" width="7.85546875" style="3" bestFit="1" customWidth="1"/>
    <col min="15605" max="15605" width="11.7109375" style="3" bestFit="1" customWidth="1"/>
    <col min="15606" max="15606" width="14.28515625" style="3" customWidth="1"/>
    <col min="15607" max="15607" width="11.7109375" style="3" bestFit="1" customWidth="1"/>
    <col min="15608" max="15608" width="14.140625" style="3" bestFit="1" customWidth="1"/>
    <col min="15609" max="15609" width="16.7109375" style="3" customWidth="1"/>
    <col min="15610" max="15610" width="16.5703125" style="3" customWidth="1"/>
    <col min="15611" max="15612" width="7.85546875" style="3" bestFit="1" customWidth="1"/>
    <col min="15613" max="15613" width="8" style="3" bestFit="1" customWidth="1"/>
    <col min="15614" max="15615" width="7.85546875" style="3" bestFit="1" customWidth="1"/>
    <col min="15616" max="15616" width="9.7109375" style="3" customWidth="1"/>
    <col min="15617" max="15617" width="12.85546875" style="3" customWidth="1"/>
    <col min="15618" max="15854" width="9.140625" style="3"/>
    <col min="15855" max="15855" width="9" style="3" bestFit="1" customWidth="1"/>
    <col min="15856" max="15856" width="9.85546875" style="3" bestFit="1" customWidth="1"/>
    <col min="15857" max="15857" width="9.140625" style="3" bestFit="1" customWidth="1"/>
    <col min="15858" max="15858" width="16" style="3" bestFit="1" customWidth="1"/>
    <col min="15859" max="15859" width="9" style="3" bestFit="1" customWidth="1"/>
    <col min="15860" max="15860" width="7.85546875" style="3" bestFit="1" customWidth="1"/>
    <col min="15861" max="15861" width="11.7109375" style="3" bestFit="1" customWidth="1"/>
    <col min="15862" max="15862" width="14.28515625" style="3" customWidth="1"/>
    <col min="15863" max="15863" width="11.7109375" style="3" bestFit="1" customWidth="1"/>
    <col min="15864" max="15864" width="14.140625" style="3" bestFit="1" customWidth="1"/>
    <col min="15865" max="15865" width="16.7109375" style="3" customWidth="1"/>
    <col min="15866" max="15866" width="16.5703125" style="3" customWidth="1"/>
    <col min="15867" max="15868" width="7.85546875" style="3" bestFit="1" customWidth="1"/>
    <col min="15869" max="15869" width="8" style="3" bestFit="1" customWidth="1"/>
    <col min="15870" max="15871" width="7.85546875" style="3" bestFit="1" customWidth="1"/>
    <col min="15872" max="15872" width="9.7109375" style="3" customWidth="1"/>
    <col min="15873" max="15873" width="12.85546875" style="3" customWidth="1"/>
    <col min="15874" max="16110" width="9.140625" style="3"/>
    <col min="16111" max="16111" width="9" style="3" bestFit="1" customWidth="1"/>
    <col min="16112" max="16112" width="9.85546875" style="3" bestFit="1" customWidth="1"/>
    <col min="16113" max="16113" width="9.140625" style="3" bestFit="1" customWidth="1"/>
    <col min="16114" max="16114" width="16" style="3" bestFit="1" customWidth="1"/>
    <col min="16115" max="16115" width="9" style="3" bestFit="1" customWidth="1"/>
    <col min="16116" max="16116" width="7.85546875" style="3" bestFit="1" customWidth="1"/>
    <col min="16117" max="16117" width="11.7109375" style="3" bestFit="1" customWidth="1"/>
    <col min="16118" max="16118" width="14.28515625" style="3" customWidth="1"/>
    <col min="16119" max="16119" width="11.7109375" style="3" bestFit="1" customWidth="1"/>
    <col min="16120" max="16120" width="14.140625" style="3" bestFit="1" customWidth="1"/>
    <col min="16121" max="16121" width="16.7109375" style="3" customWidth="1"/>
    <col min="16122" max="16122" width="16.5703125" style="3" customWidth="1"/>
    <col min="16123" max="16124" width="7.85546875" style="3" bestFit="1" customWidth="1"/>
    <col min="16125" max="16125" width="8" style="3" bestFit="1" customWidth="1"/>
    <col min="16126" max="16127" width="7.85546875" style="3" bestFit="1" customWidth="1"/>
    <col min="16128" max="16128" width="9.7109375" style="3" customWidth="1"/>
    <col min="16129" max="16129" width="12.85546875" style="3" customWidth="1"/>
    <col min="16130" max="16384" width="9.140625" style="3"/>
  </cols>
  <sheetData>
    <row r="1" spans="1:27" s="6" customFormat="1" ht="15" customHeight="1">
      <c r="A1" s="794" t="s">
        <v>1</v>
      </c>
      <c r="B1" s="544"/>
      <c r="C1" s="796" t="s">
        <v>0</v>
      </c>
      <c r="D1" s="798" t="s">
        <v>7</v>
      </c>
      <c r="E1" s="792" t="s">
        <v>352</v>
      </c>
      <c r="F1" s="793"/>
      <c r="G1" s="793"/>
      <c r="H1" s="793"/>
      <c r="I1" s="793"/>
      <c r="J1" s="793"/>
      <c r="K1" s="793"/>
      <c r="L1" s="793"/>
      <c r="M1" s="793"/>
      <c r="N1" s="788" t="s">
        <v>90</v>
      </c>
      <c r="O1" s="789"/>
      <c r="P1" s="790" t="s">
        <v>240</v>
      </c>
      <c r="Q1" s="782" t="s">
        <v>82</v>
      </c>
      <c r="R1" s="783"/>
      <c r="S1" s="783"/>
      <c r="T1" s="783"/>
      <c r="U1" s="783"/>
      <c r="V1" s="783"/>
      <c r="W1" s="783"/>
      <c r="X1" s="783"/>
      <c r="Y1" s="783"/>
      <c r="Z1" s="783"/>
      <c r="AA1" s="784"/>
    </row>
    <row r="2" spans="1:27" s="10" customFormat="1" ht="24" customHeight="1" thickBot="1">
      <c r="A2" s="795"/>
      <c r="B2" s="545"/>
      <c r="C2" s="797"/>
      <c r="D2" s="799"/>
      <c r="E2" s="54" t="s">
        <v>76</v>
      </c>
      <c r="F2" s="54" t="s">
        <v>77</v>
      </c>
      <c r="G2" s="54" t="s">
        <v>353</v>
      </c>
      <c r="H2" s="54" t="s">
        <v>354</v>
      </c>
      <c r="I2" s="54" t="s">
        <v>23</v>
      </c>
      <c r="J2" s="208" t="s">
        <v>342</v>
      </c>
      <c r="K2" s="208" t="s">
        <v>343</v>
      </c>
      <c r="L2" s="208" t="s">
        <v>365</v>
      </c>
      <c r="M2" s="209" t="s">
        <v>345</v>
      </c>
      <c r="N2" s="213" t="s">
        <v>366</v>
      </c>
      <c r="O2" s="212" t="s">
        <v>367</v>
      </c>
      <c r="P2" s="791"/>
      <c r="Q2" s="785"/>
      <c r="R2" s="786"/>
      <c r="S2" s="786"/>
      <c r="T2" s="786"/>
      <c r="U2" s="786"/>
      <c r="V2" s="786"/>
      <c r="W2" s="786"/>
      <c r="X2" s="786"/>
      <c r="Y2" s="786"/>
      <c r="Z2" s="786"/>
      <c r="AA2" s="787"/>
    </row>
    <row r="3" spans="1:27" s="5" customFormat="1">
      <c r="A3" s="546" t="str">
        <f>'1-συμβολαια'!A3</f>
        <v>93τραπ &amp; σημ</v>
      </c>
      <c r="B3" s="556">
        <f>'1-συμβολαια'!B3</f>
        <v>27790</v>
      </c>
      <c r="C3" s="353" t="str">
        <f>'1-συμβολαια'!C3</f>
        <v>δάνειο</v>
      </c>
      <c r="D3" s="278">
        <f>'1-συμβολαια'!D3</f>
        <v>24000000</v>
      </c>
      <c r="E3" s="354"/>
      <c r="F3" s="354">
        <v>100</v>
      </c>
      <c r="G3" s="354">
        <v>1200</v>
      </c>
      <c r="H3" s="354">
        <f>(D3-40000)*1%</f>
        <v>239600</v>
      </c>
      <c r="I3" s="354">
        <f t="shared" ref="I3:I18" si="0">E3+F3+G3+H3</f>
        <v>240900</v>
      </c>
      <c r="J3" s="261">
        <f t="shared" ref="J3:J18" si="1">(G3+H3)*9%</f>
        <v>21672</v>
      </c>
      <c r="K3" s="261">
        <f t="shared" ref="K3:K18" si="2">(E3+F3)*5%</f>
        <v>5</v>
      </c>
      <c r="L3" s="261">
        <f t="shared" ref="L3:L18" si="3">I3*5%</f>
        <v>12045</v>
      </c>
      <c r="M3" s="278">
        <f t="shared" ref="M3:M18" si="4">I3*1%</f>
        <v>2409</v>
      </c>
      <c r="N3" s="278">
        <f t="shared" ref="N3:N18" si="5">I3-P3</f>
        <v>204769</v>
      </c>
      <c r="O3" s="278">
        <f t="shared" ref="O3:O18" si="6">E3+F3</f>
        <v>100</v>
      </c>
      <c r="P3" s="278">
        <f t="shared" ref="P3:P18" si="7">J3+K3+L3+M3</f>
        <v>36131</v>
      </c>
      <c r="Q3" s="279" t="s">
        <v>378</v>
      </c>
      <c r="R3" s="279" t="s">
        <v>379</v>
      </c>
      <c r="S3" s="279" t="s">
        <v>380</v>
      </c>
      <c r="T3" s="279" t="s">
        <v>381</v>
      </c>
      <c r="U3" s="279"/>
      <c r="V3" s="279"/>
      <c r="W3" s="279"/>
      <c r="X3" s="263"/>
      <c r="Y3" s="263"/>
      <c r="Z3" s="263"/>
      <c r="AA3" s="263"/>
    </row>
    <row r="4" spans="1:27" s="5" customFormat="1">
      <c r="A4" s="547">
        <f>'1-συμβολαια'!A4</f>
        <v>0</v>
      </c>
      <c r="B4" s="447"/>
      <c r="C4" s="421" t="str">
        <f>'1-συμβολαια'!C4</f>
        <v>υποθήκη δανείου</v>
      </c>
      <c r="D4" s="422">
        <f>'1-συμβολαια'!D4</f>
        <v>26666666</v>
      </c>
      <c r="E4" s="423"/>
      <c r="F4" s="354">
        <v>100</v>
      </c>
      <c r="G4" s="354">
        <v>1200</v>
      </c>
      <c r="H4" s="354">
        <f t="shared" ref="H4:H8" si="8">(D4-40000)*1%</f>
        <v>266266.66000000003</v>
      </c>
      <c r="I4" s="423">
        <f t="shared" si="0"/>
        <v>267566.66000000003</v>
      </c>
      <c r="J4" s="424">
        <f t="shared" si="1"/>
        <v>24071.999400000001</v>
      </c>
      <c r="K4" s="424">
        <f t="shared" si="2"/>
        <v>5</v>
      </c>
      <c r="L4" s="424">
        <f t="shared" si="3"/>
        <v>13378.333000000002</v>
      </c>
      <c r="M4" s="422">
        <f t="shared" si="4"/>
        <v>2675.6666000000005</v>
      </c>
      <c r="N4" s="422">
        <f t="shared" si="5"/>
        <v>227435.66100000002</v>
      </c>
      <c r="O4" s="422">
        <f t="shared" si="6"/>
        <v>100</v>
      </c>
      <c r="P4" s="422">
        <f t="shared" si="7"/>
        <v>40130.998999999996</v>
      </c>
      <c r="Q4" s="425" t="s">
        <v>378</v>
      </c>
      <c r="R4" s="425" t="s">
        <v>379</v>
      </c>
      <c r="S4" s="425" t="s">
        <v>380</v>
      </c>
      <c r="T4" s="425" t="s">
        <v>381</v>
      </c>
      <c r="U4" s="425"/>
      <c r="V4" s="425"/>
      <c r="W4" s="425"/>
      <c r="X4" s="426"/>
      <c r="Y4" s="426"/>
      <c r="Z4" s="426"/>
      <c r="AA4" s="426"/>
    </row>
    <row r="5" spans="1:27" s="67" customFormat="1">
      <c r="A5" s="548">
        <f>'1-συμβολαια'!A5</f>
        <v>0</v>
      </c>
      <c r="B5" s="447"/>
      <c r="C5" s="353" t="str">
        <f>'1-συμβολαια'!C5</f>
        <v>τόκοι δανείου {εμπρόθεσμα πληρωθέντες}</v>
      </c>
      <c r="D5" s="260">
        <f>'1-συμβολαια'!D5</f>
        <v>51111111</v>
      </c>
      <c r="E5" s="354"/>
      <c r="F5" s="354">
        <v>100</v>
      </c>
      <c r="G5" s="354">
        <v>1200</v>
      </c>
      <c r="H5" s="354">
        <f t="shared" si="8"/>
        <v>510711.11</v>
      </c>
      <c r="I5" s="354">
        <f t="shared" si="0"/>
        <v>512011.11</v>
      </c>
      <c r="J5" s="354">
        <f t="shared" si="1"/>
        <v>46071.999899999995</v>
      </c>
      <c r="K5" s="354">
        <f t="shared" si="2"/>
        <v>5</v>
      </c>
      <c r="L5" s="354">
        <f t="shared" si="3"/>
        <v>25600.555500000002</v>
      </c>
      <c r="M5" s="260">
        <f t="shared" si="4"/>
        <v>5120.1111000000001</v>
      </c>
      <c r="N5" s="260">
        <f t="shared" si="5"/>
        <v>435213.44349999999</v>
      </c>
      <c r="O5" s="260">
        <f t="shared" si="6"/>
        <v>100</v>
      </c>
      <c r="P5" s="260">
        <f t="shared" si="7"/>
        <v>76797.666499999992</v>
      </c>
      <c r="Q5" s="279" t="s">
        <v>378</v>
      </c>
      <c r="R5" s="279" t="s">
        <v>379</v>
      </c>
      <c r="S5" s="279" t="s">
        <v>380</v>
      </c>
      <c r="T5" s="279" t="s">
        <v>381</v>
      </c>
      <c r="U5" s="279"/>
      <c r="V5" s="279"/>
      <c r="W5" s="279"/>
      <c r="X5" s="263"/>
      <c r="Y5" s="263"/>
      <c r="Z5" s="263"/>
      <c r="AA5" s="263"/>
    </row>
    <row r="6" spans="1:27" s="67" customFormat="1">
      <c r="A6" s="548" t="str">
        <f>'1-συμβολαια'!A6</f>
        <v>375τραπ</v>
      </c>
      <c r="B6" s="447">
        <f>'1-συμβολαια'!B6</f>
        <v>30161</v>
      </c>
      <c r="C6" s="353" t="str">
        <f>'1-συμβολαια'!C6</f>
        <v>δάνειο</v>
      </c>
      <c r="D6" s="260">
        <f>'1-συμβολαια'!D6</f>
        <v>5000000</v>
      </c>
      <c r="E6" s="354"/>
      <c r="F6" s="354">
        <v>100</v>
      </c>
      <c r="G6" s="354">
        <v>1200</v>
      </c>
      <c r="H6" s="354">
        <f t="shared" si="8"/>
        <v>49600</v>
      </c>
      <c r="I6" s="354">
        <f t="shared" si="0"/>
        <v>50900</v>
      </c>
      <c r="J6" s="354">
        <f t="shared" si="1"/>
        <v>4572</v>
      </c>
      <c r="K6" s="354">
        <f t="shared" si="2"/>
        <v>5</v>
      </c>
      <c r="L6" s="354">
        <f t="shared" si="3"/>
        <v>2545</v>
      </c>
      <c r="M6" s="260">
        <f t="shared" si="4"/>
        <v>509</v>
      </c>
      <c r="N6" s="260">
        <f t="shared" si="5"/>
        <v>43269</v>
      </c>
      <c r="O6" s="260">
        <f t="shared" si="6"/>
        <v>100</v>
      </c>
      <c r="P6" s="260">
        <f t="shared" si="7"/>
        <v>7631</v>
      </c>
      <c r="Q6" s="279" t="s">
        <v>378</v>
      </c>
      <c r="R6" s="279" t="s">
        <v>379</v>
      </c>
      <c r="S6" s="279" t="s">
        <v>380</v>
      </c>
      <c r="T6" s="279" t="s">
        <v>381</v>
      </c>
      <c r="U6" s="279"/>
      <c r="V6" s="279"/>
      <c r="W6" s="279"/>
      <c r="X6" s="263"/>
      <c r="Y6" s="263"/>
      <c r="Z6" s="263"/>
      <c r="AA6" s="263"/>
    </row>
    <row r="7" spans="1:27" s="67" customFormat="1">
      <c r="A7" s="548">
        <f>'1-συμβολαια'!A7</f>
        <v>0</v>
      </c>
      <c r="B7" s="447"/>
      <c r="C7" s="353" t="str">
        <f>'1-συμβολαια'!C7</f>
        <v>υποθήκη δανείου</v>
      </c>
      <c r="D7" s="260">
        <f>'1-συμβολαια'!D7</f>
        <v>6666666</v>
      </c>
      <c r="E7" s="354"/>
      <c r="F7" s="354">
        <v>100</v>
      </c>
      <c r="G7" s="354">
        <v>1200</v>
      </c>
      <c r="H7" s="354">
        <f t="shared" si="8"/>
        <v>66266.66</v>
      </c>
      <c r="I7" s="354">
        <f t="shared" si="0"/>
        <v>67566.66</v>
      </c>
      <c r="J7" s="354">
        <f t="shared" si="1"/>
        <v>6071.9993999999997</v>
      </c>
      <c r="K7" s="354">
        <f t="shared" si="2"/>
        <v>5</v>
      </c>
      <c r="L7" s="354">
        <f t="shared" si="3"/>
        <v>3378.3330000000005</v>
      </c>
      <c r="M7" s="260">
        <f t="shared" si="4"/>
        <v>675.66660000000002</v>
      </c>
      <c r="N7" s="260">
        <f t="shared" si="5"/>
        <v>57435.661000000007</v>
      </c>
      <c r="O7" s="260">
        <f t="shared" si="6"/>
        <v>100</v>
      </c>
      <c r="P7" s="260">
        <f t="shared" si="7"/>
        <v>10130.999</v>
      </c>
      <c r="Q7" s="279" t="s">
        <v>378</v>
      </c>
      <c r="R7" s="279" t="s">
        <v>379</v>
      </c>
      <c r="S7" s="279" t="s">
        <v>380</v>
      </c>
      <c r="T7" s="279" t="s">
        <v>381</v>
      </c>
      <c r="U7" s="279"/>
      <c r="V7" s="279"/>
      <c r="W7" s="279"/>
      <c r="X7" s="263"/>
      <c r="Y7" s="263"/>
      <c r="Z7" s="263"/>
      <c r="AA7" s="263"/>
    </row>
    <row r="8" spans="1:27" s="67" customFormat="1">
      <c r="A8" s="548">
        <f>'1-συμβολαια'!A8</f>
        <v>0</v>
      </c>
      <c r="B8" s="447"/>
      <c r="C8" s="353" t="str">
        <f>'1-συμβολαια'!C8</f>
        <v>τόκοι δανείου</v>
      </c>
      <c r="D8" s="260">
        <f>'1-συμβολαια'!D8</f>
        <v>11111111</v>
      </c>
      <c r="E8" s="354"/>
      <c r="F8" s="354">
        <v>100</v>
      </c>
      <c r="G8" s="354">
        <v>1200</v>
      </c>
      <c r="H8" s="354">
        <f t="shared" si="8"/>
        <v>110711.11</v>
      </c>
      <c r="I8" s="354">
        <f t="shared" si="0"/>
        <v>112011.11</v>
      </c>
      <c r="J8" s="354">
        <f t="shared" si="1"/>
        <v>10071.999899999999</v>
      </c>
      <c r="K8" s="354">
        <f t="shared" si="2"/>
        <v>5</v>
      </c>
      <c r="L8" s="354">
        <f t="shared" si="3"/>
        <v>5600.5555000000004</v>
      </c>
      <c r="M8" s="260">
        <f t="shared" si="4"/>
        <v>1120.1111000000001</v>
      </c>
      <c r="N8" s="260">
        <f t="shared" si="5"/>
        <v>95213.443499999994</v>
      </c>
      <c r="O8" s="260">
        <f t="shared" si="6"/>
        <v>100</v>
      </c>
      <c r="P8" s="260">
        <f t="shared" si="7"/>
        <v>16797.666499999999</v>
      </c>
      <c r="Q8" s="279" t="s">
        <v>378</v>
      </c>
      <c r="R8" s="279" t="s">
        <v>379</v>
      </c>
      <c r="S8" s="279" t="s">
        <v>380</v>
      </c>
      <c r="T8" s="279" t="s">
        <v>381</v>
      </c>
      <c r="U8" s="279"/>
      <c r="V8" s="279"/>
      <c r="W8" s="279"/>
      <c r="X8" s="263"/>
      <c r="Y8" s="263"/>
      <c r="Z8" s="263"/>
      <c r="AA8" s="263"/>
    </row>
    <row r="9" spans="1:27" s="67" customFormat="1" ht="12" thickBot="1">
      <c r="A9" s="549" t="str">
        <f>'1-συμβολαια'!A9</f>
        <v>1ο</v>
      </c>
      <c r="B9" s="403">
        <f>'1-συμβολαια'!B9</f>
        <v>30265</v>
      </c>
      <c r="C9" s="356" t="str">
        <f>'1-συμβολαια'!C9</f>
        <v>υποθήκη τυχόν αυξήσεως ΤΟΚΩΝ δανείου</v>
      </c>
      <c r="D9" s="342">
        <f>'1-συμβολαια'!D9</f>
        <v>20000</v>
      </c>
      <c r="E9" s="343"/>
      <c r="F9" s="343">
        <v>100</v>
      </c>
      <c r="G9" s="343">
        <v>1200</v>
      </c>
      <c r="H9" s="343"/>
      <c r="I9" s="343">
        <f t="shared" si="0"/>
        <v>1300</v>
      </c>
      <c r="J9" s="343">
        <f t="shared" si="1"/>
        <v>108</v>
      </c>
      <c r="K9" s="343">
        <f t="shared" si="2"/>
        <v>5</v>
      </c>
      <c r="L9" s="343">
        <f t="shared" si="3"/>
        <v>65</v>
      </c>
      <c r="M9" s="342">
        <f t="shared" si="4"/>
        <v>13</v>
      </c>
      <c r="N9" s="342">
        <f t="shared" si="5"/>
        <v>1109</v>
      </c>
      <c r="O9" s="342">
        <f t="shared" si="6"/>
        <v>100</v>
      </c>
      <c r="P9" s="342">
        <f t="shared" si="7"/>
        <v>191</v>
      </c>
      <c r="Q9" s="279" t="s">
        <v>378</v>
      </c>
      <c r="R9" s="279" t="s">
        <v>379</v>
      </c>
      <c r="S9" s="279" t="s">
        <v>380</v>
      </c>
      <c r="T9" s="279" t="s">
        <v>381</v>
      </c>
      <c r="U9" s="279"/>
      <c r="V9" s="279"/>
      <c r="W9" s="279"/>
      <c r="X9" s="263"/>
      <c r="Y9" s="263"/>
      <c r="Z9" s="263"/>
      <c r="AA9" s="263"/>
    </row>
    <row r="10" spans="1:27" s="5" customFormat="1">
      <c r="A10" s="550" t="str">
        <f>'1-συμβολαια'!A10</f>
        <v>2ο</v>
      </c>
      <c r="B10" s="399">
        <f>'1-συμβολαια'!B10</f>
        <v>30160</v>
      </c>
      <c r="C10" s="405" t="str">
        <f>'1-συμβολαια'!C10</f>
        <v>αγοραπωλησία οικοπεδου τίμημα = 800.000 Δ.Ο.Υ. =</v>
      </c>
      <c r="D10" s="278">
        <f>'1-συμβολαια'!D10</f>
        <v>1000000</v>
      </c>
      <c r="E10" s="261"/>
      <c r="F10" s="261">
        <v>100</v>
      </c>
      <c r="G10" s="261">
        <v>1200</v>
      </c>
      <c r="H10" s="354">
        <f t="shared" ref="H10:H12" si="9">(D10-40000)*1%</f>
        <v>9600</v>
      </c>
      <c r="I10" s="261">
        <f t="shared" si="0"/>
        <v>10900</v>
      </c>
      <c r="J10" s="261">
        <f t="shared" si="1"/>
        <v>972</v>
      </c>
      <c r="K10" s="261">
        <f t="shared" si="2"/>
        <v>5</v>
      </c>
      <c r="L10" s="261">
        <f t="shared" si="3"/>
        <v>545</v>
      </c>
      <c r="M10" s="278">
        <f t="shared" si="4"/>
        <v>109</v>
      </c>
      <c r="N10" s="278">
        <f t="shared" si="5"/>
        <v>9269</v>
      </c>
      <c r="O10" s="278">
        <f t="shared" si="6"/>
        <v>100</v>
      </c>
      <c r="P10" s="278">
        <f t="shared" si="7"/>
        <v>1631</v>
      </c>
      <c r="Q10" s="367" t="s">
        <v>378</v>
      </c>
      <c r="R10" s="367" t="s">
        <v>379</v>
      </c>
      <c r="S10" s="367" t="s">
        <v>380</v>
      </c>
      <c r="T10" s="367" t="s">
        <v>381</v>
      </c>
      <c r="U10" s="367"/>
      <c r="V10" s="367"/>
      <c r="W10" s="367"/>
      <c r="X10" s="427"/>
      <c r="Y10" s="427"/>
      <c r="Z10" s="427"/>
      <c r="AA10" s="427"/>
    </row>
    <row r="11" spans="1:27" s="5" customFormat="1">
      <c r="A11" s="551">
        <f>'1-συμβολαια'!A11</f>
        <v>0</v>
      </c>
      <c r="B11" s="447"/>
      <c r="C11" s="353" t="str">
        <f>'1-συμβολαια'!C11</f>
        <v>αγορά εργοστασίου ;;;??? μ2</v>
      </c>
      <c r="D11" s="278">
        <f>'1-συμβολαια'!D11</f>
        <v>11111111</v>
      </c>
      <c r="E11" s="354"/>
      <c r="F11" s="261">
        <v>100</v>
      </c>
      <c r="G11" s="261">
        <v>1200</v>
      </c>
      <c r="H11" s="354">
        <f t="shared" si="9"/>
        <v>110711.11</v>
      </c>
      <c r="I11" s="354">
        <f t="shared" si="0"/>
        <v>112011.11</v>
      </c>
      <c r="J11" s="261">
        <f t="shared" si="1"/>
        <v>10071.999899999999</v>
      </c>
      <c r="K11" s="261">
        <f t="shared" si="2"/>
        <v>5</v>
      </c>
      <c r="L11" s="261">
        <f t="shared" si="3"/>
        <v>5600.5555000000004</v>
      </c>
      <c r="M11" s="278">
        <f t="shared" si="4"/>
        <v>1120.1111000000001</v>
      </c>
      <c r="N11" s="278">
        <f t="shared" si="5"/>
        <v>95213.443499999994</v>
      </c>
      <c r="O11" s="278">
        <f t="shared" si="6"/>
        <v>100</v>
      </c>
      <c r="P11" s="278">
        <f t="shared" si="7"/>
        <v>16797.666499999999</v>
      </c>
      <c r="Q11" s="279" t="s">
        <v>378</v>
      </c>
      <c r="R11" s="279" t="s">
        <v>379</v>
      </c>
      <c r="S11" s="279" t="s">
        <v>380</v>
      </c>
      <c r="T11" s="279" t="s">
        <v>381</v>
      </c>
      <c r="U11" s="279"/>
      <c r="V11" s="279"/>
      <c r="W11" s="279"/>
      <c r="X11" s="263"/>
      <c r="Y11" s="263"/>
      <c r="Z11" s="263"/>
      <c r="AA11" s="263"/>
    </row>
    <row r="12" spans="1:27" s="5" customFormat="1" ht="12" thickBot="1">
      <c r="A12" s="552">
        <f>'1-συμβολαια'!A12</f>
        <v>0</v>
      </c>
      <c r="B12" s="403"/>
      <c r="C12" s="356" t="str">
        <f>'1-συμβολαια'!C12</f>
        <v>αγορά εργοστασίου ΕΞΟΠΛΙΣΜΟΣ</v>
      </c>
      <c r="D12" s="342">
        <f>'1-συμβολαια'!D12</f>
        <v>6666666</v>
      </c>
      <c r="E12" s="343"/>
      <c r="F12" s="343">
        <v>100</v>
      </c>
      <c r="G12" s="343">
        <v>1200</v>
      </c>
      <c r="H12" s="343">
        <f t="shared" si="9"/>
        <v>66266.66</v>
      </c>
      <c r="I12" s="343">
        <f t="shared" si="0"/>
        <v>67566.66</v>
      </c>
      <c r="J12" s="343">
        <f t="shared" si="1"/>
        <v>6071.9993999999997</v>
      </c>
      <c r="K12" s="343">
        <f t="shared" si="2"/>
        <v>5</v>
      </c>
      <c r="L12" s="343">
        <f t="shared" si="3"/>
        <v>3378.3330000000005</v>
      </c>
      <c r="M12" s="342">
        <f t="shared" si="4"/>
        <v>675.66660000000002</v>
      </c>
      <c r="N12" s="342">
        <f t="shared" si="5"/>
        <v>57435.661000000007</v>
      </c>
      <c r="O12" s="342">
        <f t="shared" si="6"/>
        <v>100</v>
      </c>
      <c r="P12" s="342">
        <f t="shared" si="7"/>
        <v>10130.999</v>
      </c>
      <c r="Q12" s="279" t="s">
        <v>378</v>
      </c>
      <c r="R12" s="279" t="s">
        <v>379</v>
      </c>
      <c r="S12" s="279" t="s">
        <v>380</v>
      </c>
      <c r="T12" s="279" t="s">
        <v>381</v>
      </c>
      <c r="U12" s="279"/>
      <c r="V12" s="279"/>
      <c r="W12" s="279"/>
      <c r="X12" s="263"/>
      <c r="Y12" s="263"/>
      <c r="Z12" s="263"/>
      <c r="AA12" s="263"/>
    </row>
    <row r="13" spans="1:27" s="5" customFormat="1" ht="12" thickBot="1">
      <c r="A13" s="553" t="str">
        <f>'1-συμβολαια'!A13</f>
        <v>3ο</v>
      </c>
      <c r="B13" s="509">
        <f>'1-συμβολαια'!B13</f>
        <v>30149</v>
      </c>
      <c r="C13" s="494" t="str">
        <f>'1-συμβολαια'!C13</f>
        <v>πληρεξούσιο</v>
      </c>
      <c r="D13" s="496">
        <f>'1-συμβολαια'!D13</f>
        <v>0</v>
      </c>
      <c r="E13" s="497">
        <v>250</v>
      </c>
      <c r="F13" s="497"/>
      <c r="G13" s="497"/>
      <c r="H13" s="497"/>
      <c r="I13" s="497">
        <f t="shared" si="0"/>
        <v>250</v>
      </c>
      <c r="J13" s="497">
        <f t="shared" si="1"/>
        <v>0</v>
      </c>
      <c r="K13" s="497">
        <f t="shared" si="2"/>
        <v>12.5</v>
      </c>
      <c r="L13" s="497">
        <f t="shared" si="3"/>
        <v>12.5</v>
      </c>
      <c r="M13" s="496">
        <f t="shared" si="4"/>
        <v>2.5</v>
      </c>
      <c r="N13" s="496">
        <f t="shared" si="5"/>
        <v>222.5</v>
      </c>
      <c r="O13" s="496">
        <f t="shared" si="6"/>
        <v>250</v>
      </c>
      <c r="P13" s="496">
        <f t="shared" si="7"/>
        <v>27.5</v>
      </c>
      <c r="Q13" s="279" t="s">
        <v>378</v>
      </c>
      <c r="R13" s="279" t="s">
        <v>379</v>
      </c>
      <c r="S13" s="279" t="s">
        <v>380</v>
      </c>
      <c r="T13" s="279" t="s">
        <v>381</v>
      </c>
      <c r="U13" s="279"/>
      <c r="V13" s="279"/>
      <c r="W13" s="279"/>
      <c r="X13" s="263"/>
      <c r="Y13" s="263"/>
      <c r="Z13" s="263"/>
      <c r="AA13" s="263"/>
    </row>
    <row r="14" spans="1:27" s="5" customFormat="1">
      <c r="A14" s="554" t="str">
        <f>'1-συμβολαια'!A14</f>
        <v>4ο</v>
      </c>
      <c r="B14" s="399">
        <f>'1-συμβολαια'!B14</f>
        <v>30412</v>
      </c>
      <c r="C14" s="405" t="str">
        <f>'1-συμβολαια'!C14</f>
        <v>υποθήκη [έναντι του δανείου 375-29/07/1982τραπ</v>
      </c>
      <c r="D14" s="278">
        <f>'1-συμβολαια'!D14</f>
        <v>100000</v>
      </c>
      <c r="E14" s="261"/>
      <c r="F14" s="261">
        <v>100</v>
      </c>
      <c r="G14" s="261">
        <v>1200</v>
      </c>
      <c r="H14" s="261">
        <f t="shared" ref="H14:H18" si="10">(D14-60000)*1.15%</f>
        <v>460</v>
      </c>
      <c r="I14" s="261">
        <f t="shared" si="0"/>
        <v>1760</v>
      </c>
      <c r="J14" s="261">
        <f t="shared" si="1"/>
        <v>149.4</v>
      </c>
      <c r="K14" s="261">
        <f t="shared" si="2"/>
        <v>5</v>
      </c>
      <c r="L14" s="261">
        <f t="shared" si="3"/>
        <v>88</v>
      </c>
      <c r="M14" s="278">
        <f t="shared" si="4"/>
        <v>17.600000000000001</v>
      </c>
      <c r="N14" s="278">
        <f t="shared" si="5"/>
        <v>1500</v>
      </c>
      <c r="O14" s="278">
        <f t="shared" si="6"/>
        <v>100</v>
      </c>
      <c r="P14" s="278">
        <f t="shared" si="7"/>
        <v>260</v>
      </c>
      <c r="Q14" s="279" t="s">
        <v>378</v>
      </c>
      <c r="R14" s="279" t="s">
        <v>379</v>
      </c>
      <c r="S14" s="279" t="s">
        <v>380</v>
      </c>
      <c r="T14" s="279" t="s">
        <v>381</v>
      </c>
      <c r="U14" s="279"/>
      <c r="V14" s="279"/>
      <c r="W14" s="279"/>
      <c r="X14" s="263"/>
      <c r="Y14" s="263"/>
      <c r="Z14" s="263"/>
      <c r="AA14" s="263"/>
    </row>
    <row r="15" spans="1:27" s="5" customFormat="1">
      <c r="A15" s="546" t="str">
        <f>'1-συμβολαια'!A15</f>
        <v>389τραπ</v>
      </c>
      <c r="B15" s="447">
        <f>'1-συμβολαια'!B15</f>
        <v>30228</v>
      </c>
      <c r="C15" s="353" t="str">
        <f>'1-συμβολαια'!C15</f>
        <v>δάνειο</v>
      </c>
      <c r="D15" s="278">
        <f>'1-συμβολαια'!D15</f>
        <v>10000000</v>
      </c>
      <c r="E15" s="354"/>
      <c r="F15" s="261">
        <v>100</v>
      </c>
      <c r="G15" s="261">
        <v>1200</v>
      </c>
      <c r="H15" s="354">
        <f t="shared" si="10"/>
        <v>114310</v>
      </c>
      <c r="I15" s="354">
        <f t="shared" si="0"/>
        <v>115610</v>
      </c>
      <c r="J15" s="261">
        <f t="shared" si="1"/>
        <v>10395.9</v>
      </c>
      <c r="K15" s="261">
        <f t="shared" si="2"/>
        <v>5</v>
      </c>
      <c r="L15" s="261">
        <f t="shared" si="3"/>
        <v>5780.5</v>
      </c>
      <c r="M15" s="278">
        <f t="shared" si="4"/>
        <v>1156.1000000000001</v>
      </c>
      <c r="N15" s="278">
        <f t="shared" si="5"/>
        <v>98272.5</v>
      </c>
      <c r="O15" s="278">
        <f t="shared" si="6"/>
        <v>100</v>
      </c>
      <c r="P15" s="278">
        <f t="shared" si="7"/>
        <v>17337.5</v>
      </c>
      <c r="Q15" s="279" t="s">
        <v>378</v>
      </c>
      <c r="R15" s="279" t="s">
        <v>379</v>
      </c>
      <c r="S15" s="279" t="s">
        <v>380</v>
      </c>
      <c r="T15" s="279" t="s">
        <v>381</v>
      </c>
      <c r="U15" s="279"/>
      <c r="V15" s="279"/>
      <c r="W15" s="279"/>
      <c r="X15" s="263"/>
      <c r="Y15" s="263"/>
      <c r="Z15" s="263"/>
      <c r="AA15" s="263"/>
    </row>
    <row r="16" spans="1:27" s="5" customFormat="1">
      <c r="A16" s="546">
        <f>'1-συμβολαια'!A16</f>
        <v>0</v>
      </c>
      <c r="B16" s="447"/>
      <c r="C16" s="353" t="str">
        <f>'1-συμβολαια'!C16</f>
        <v>υποθήκη δανείου</v>
      </c>
      <c r="D16" s="278">
        <f>'1-συμβολαια'!D16</f>
        <v>12222222</v>
      </c>
      <c r="E16" s="354"/>
      <c r="F16" s="261">
        <v>100</v>
      </c>
      <c r="G16" s="261">
        <v>1200</v>
      </c>
      <c r="H16" s="354">
        <f t="shared" si="10"/>
        <v>139865.55299999999</v>
      </c>
      <c r="I16" s="354">
        <f t="shared" si="0"/>
        <v>141165.55299999999</v>
      </c>
      <c r="J16" s="261">
        <f t="shared" si="1"/>
        <v>12695.899769999998</v>
      </c>
      <c r="K16" s="261">
        <f t="shared" si="2"/>
        <v>5</v>
      </c>
      <c r="L16" s="261">
        <f t="shared" si="3"/>
        <v>7058.27765</v>
      </c>
      <c r="M16" s="278">
        <f t="shared" si="4"/>
        <v>1411.6555299999998</v>
      </c>
      <c r="N16" s="278">
        <f t="shared" si="5"/>
        <v>119994.72004999999</v>
      </c>
      <c r="O16" s="278">
        <f t="shared" si="6"/>
        <v>100</v>
      </c>
      <c r="P16" s="278">
        <f t="shared" si="7"/>
        <v>21170.83295</v>
      </c>
      <c r="Q16" s="279" t="s">
        <v>378</v>
      </c>
      <c r="R16" s="279" t="s">
        <v>379</v>
      </c>
      <c r="S16" s="279" t="s">
        <v>380</v>
      </c>
      <c r="T16" s="279" t="s">
        <v>381</v>
      </c>
      <c r="U16" s="279"/>
      <c r="V16" s="279"/>
      <c r="W16" s="279"/>
      <c r="X16" s="263"/>
      <c r="Y16" s="263"/>
      <c r="Z16" s="263"/>
      <c r="AA16" s="263"/>
    </row>
    <row r="17" spans="1:27" s="5" customFormat="1" ht="12" thickBot="1">
      <c r="A17" s="555">
        <f>'1-συμβολαια'!A17</f>
        <v>0</v>
      </c>
      <c r="B17" s="403"/>
      <c r="C17" s="356" t="str">
        <f>'1-συμβολαια'!C17</f>
        <v>τόκοι δανείου</v>
      </c>
      <c r="D17" s="342">
        <f>'1-συμβολαια'!D17</f>
        <v>22222222</v>
      </c>
      <c r="E17" s="343"/>
      <c r="F17" s="343">
        <v>100</v>
      </c>
      <c r="G17" s="343">
        <v>1200</v>
      </c>
      <c r="H17" s="343">
        <f t="shared" si="10"/>
        <v>254865.55299999999</v>
      </c>
      <c r="I17" s="343">
        <f t="shared" si="0"/>
        <v>256165.55299999999</v>
      </c>
      <c r="J17" s="343">
        <f t="shared" si="1"/>
        <v>23045.899769999996</v>
      </c>
      <c r="K17" s="343">
        <f t="shared" si="2"/>
        <v>5</v>
      </c>
      <c r="L17" s="343">
        <f t="shared" si="3"/>
        <v>12808.27765</v>
      </c>
      <c r="M17" s="342">
        <f t="shared" si="4"/>
        <v>2561.65553</v>
      </c>
      <c r="N17" s="342">
        <f t="shared" si="5"/>
        <v>217744.72005</v>
      </c>
      <c r="O17" s="342">
        <f t="shared" si="6"/>
        <v>100</v>
      </c>
      <c r="P17" s="342">
        <f t="shared" si="7"/>
        <v>38420.832949999996</v>
      </c>
      <c r="Q17" s="279" t="s">
        <v>378</v>
      </c>
      <c r="R17" s="279" t="s">
        <v>379</v>
      </c>
      <c r="S17" s="279" t="s">
        <v>380</v>
      </c>
      <c r="T17" s="279" t="s">
        <v>381</v>
      </c>
      <c r="U17" s="279"/>
      <c r="V17" s="279"/>
      <c r="W17" s="279"/>
      <c r="X17" s="263"/>
      <c r="Y17" s="263"/>
      <c r="Z17" s="263"/>
      <c r="AA17" s="263"/>
    </row>
    <row r="18" spans="1:27" s="5" customFormat="1">
      <c r="A18" s="550" t="str">
        <f>'1-συμβολαια'!A18</f>
        <v>5ο</v>
      </c>
      <c r="B18" s="399">
        <f>'1-συμβολαια'!B18</f>
        <v>32394</v>
      </c>
      <c r="C18" s="405" t="str">
        <f>'1-συμβολαια'!C18</f>
        <v>μίσθωσις νταμάρι  Παναγία -'';;;???'' 29στρ 3έτη [1000/έτος/στρ</v>
      </c>
      <c r="D18" s="278">
        <f>'1-συμβολαια'!D18</f>
        <v>696000</v>
      </c>
      <c r="E18" s="261"/>
      <c r="F18" s="261">
        <v>400</v>
      </c>
      <c r="G18" s="261">
        <v>1800</v>
      </c>
      <c r="H18" s="261">
        <f t="shared" si="10"/>
        <v>7314</v>
      </c>
      <c r="I18" s="261">
        <f t="shared" si="0"/>
        <v>9514</v>
      </c>
      <c r="J18" s="261">
        <f t="shared" si="1"/>
        <v>820.26</v>
      </c>
      <c r="K18" s="261">
        <f t="shared" si="2"/>
        <v>20</v>
      </c>
      <c r="L18" s="261">
        <f t="shared" si="3"/>
        <v>475.70000000000005</v>
      </c>
      <c r="M18" s="278">
        <f t="shared" si="4"/>
        <v>95.14</v>
      </c>
      <c r="N18" s="278">
        <f t="shared" si="5"/>
        <v>8102.9</v>
      </c>
      <c r="O18" s="278">
        <f t="shared" si="6"/>
        <v>400</v>
      </c>
      <c r="P18" s="278">
        <f t="shared" si="7"/>
        <v>1411.1000000000001</v>
      </c>
      <c r="Q18" s="279" t="s">
        <v>378</v>
      </c>
      <c r="R18" s="279" t="s">
        <v>379</v>
      </c>
      <c r="S18" s="279" t="s">
        <v>380</v>
      </c>
      <c r="T18" s="279" t="s">
        <v>381</v>
      </c>
      <c r="U18" s="279"/>
      <c r="V18" s="279"/>
      <c r="W18" s="279"/>
      <c r="X18" s="263"/>
      <c r="Y18" s="263"/>
      <c r="Z18" s="263"/>
      <c r="AA18" s="263"/>
    </row>
    <row r="19" spans="1:27" s="5" customFormat="1">
      <c r="A19" s="551">
        <f>'1-συμβολαια'!A19</f>
        <v>0</v>
      </c>
      <c r="B19" s="447"/>
      <c r="C19" s="353" t="str">
        <f>'1-συμβολαια'!C19</f>
        <v>μίσθωση … ΚΤΙΡΙΑΚΑ &amp; τεχνικές εγκαταστάσεις &amp; ΚΛΠ</v>
      </c>
      <c r="D19" s="278">
        <f>'1-συμβολαια'!D19</f>
        <v>10000000</v>
      </c>
      <c r="E19" s="354"/>
      <c r="F19" s="261">
        <v>400</v>
      </c>
      <c r="G19" s="261">
        <v>1800</v>
      </c>
      <c r="H19" s="354">
        <f t="shared" ref="H19" si="11">(D19-60000)*1.15%</f>
        <v>114310</v>
      </c>
      <c r="I19" s="354">
        <f t="shared" ref="I19:I22" si="12">E19+F19+G19+H19</f>
        <v>116510</v>
      </c>
      <c r="J19" s="261">
        <f t="shared" ref="J19:J21" si="13">(G19+H19)*9%</f>
        <v>10449.9</v>
      </c>
      <c r="K19" s="261">
        <f t="shared" ref="K19:K22" si="14">(E19+F19)*5%</f>
        <v>20</v>
      </c>
      <c r="L19" s="261">
        <f t="shared" ref="L19:L22" si="15">I19*5%</f>
        <v>5825.5</v>
      </c>
      <c r="M19" s="278">
        <f t="shared" ref="M19:M22" si="16">I19*1%</f>
        <v>1165.1000000000001</v>
      </c>
      <c r="N19" s="278">
        <f t="shared" ref="N19:N22" si="17">I19-P19</f>
        <v>99049.5</v>
      </c>
      <c r="O19" s="278">
        <f t="shared" ref="O19:O22" si="18">E19+F19</f>
        <v>400</v>
      </c>
      <c r="P19" s="278">
        <f t="shared" ref="P19:P22" si="19">J19+K19+L19+M19</f>
        <v>17460.5</v>
      </c>
      <c r="Q19" s="279" t="s">
        <v>378</v>
      </c>
      <c r="R19" s="279" t="s">
        <v>379</v>
      </c>
      <c r="S19" s="279" t="s">
        <v>380</v>
      </c>
      <c r="T19" s="279" t="s">
        <v>381</v>
      </c>
      <c r="U19" s="279"/>
      <c r="V19" s="279"/>
      <c r="W19" s="279"/>
      <c r="X19" s="263"/>
      <c r="Y19" s="263"/>
      <c r="Z19" s="263"/>
      <c r="AA19" s="263"/>
    </row>
    <row r="20" spans="1:27" s="5" customFormat="1">
      <c r="A20" s="551">
        <f>'1-συμβολαια'!A20</f>
        <v>0</v>
      </c>
      <c r="B20" s="447"/>
      <c r="C20" s="353" t="str">
        <f>'1-συμβολαια'!C20</f>
        <v>μίσθωση … ΕΡΕΥΝΗΤΙΚΕΣ εργασίες</v>
      </c>
      <c r="D20" s="278">
        <f>'1-συμβολαια'!D20</f>
        <v>3333333</v>
      </c>
      <c r="E20" s="354"/>
      <c r="F20" s="261">
        <v>400</v>
      </c>
      <c r="G20" s="261">
        <v>1800</v>
      </c>
      <c r="H20" s="354">
        <f t="shared" ref="H20:H21" si="20">(D20-60000)*1.15%</f>
        <v>37643.3295</v>
      </c>
      <c r="I20" s="354">
        <f t="shared" si="12"/>
        <v>39843.3295</v>
      </c>
      <c r="J20" s="261">
        <f t="shared" si="13"/>
        <v>3549.8996549999997</v>
      </c>
      <c r="K20" s="261">
        <f t="shared" si="14"/>
        <v>20</v>
      </c>
      <c r="L20" s="261">
        <f t="shared" si="15"/>
        <v>1992.166475</v>
      </c>
      <c r="M20" s="278">
        <f t="shared" si="16"/>
        <v>398.43329499999999</v>
      </c>
      <c r="N20" s="278">
        <f t="shared" si="17"/>
        <v>33882.830074999998</v>
      </c>
      <c r="O20" s="278">
        <f t="shared" si="18"/>
        <v>400</v>
      </c>
      <c r="P20" s="278">
        <f t="shared" si="19"/>
        <v>5960.4994249999991</v>
      </c>
      <c r="Q20" s="279" t="s">
        <v>378</v>
      </c>
      <c r="R20" s="279" t="s">
        <v>379</v>
      </c>
      <c r="S20" s="279" t="s">
        <v>380</v>
      </c>
      <c r="T20" s="279" t="s">
        <v>381</v>
      </c>
      <c r="U20" s="279"/>
      <c r="V20" s="279"/>
      <c r="W20" s="279"/>
      <c r="X20" s="263"/>
      <c r="Y20" s="263"/>
      <c r="Z20" s="263"/>
      <c r="AA20" s="263"/>
    </row>
    <row r="21" spans="1:27" s="5" customFormat="1" ht="12" thickBot="1">
      <c r="A21" s="552">
        <f>'1-συμβολαια'!A21</f>
        <v>0</v>
      </c>
      <c r="B21" s="403"/>
      <c r="C21" s="356" t="str">
        <f>'1-συμβολαια'!C21</f>
        <v>μίσθωση ….. κόστος έργων αποκατάστασης</v>
      </c>
      <c r="D21" s="342">
        <f>'1-συμβολαια'!D21</f>
        <v>6000000</v>
      </c>
      <c r="E21" s="343"/>
      <c r="F21" s="343">
        <v>400</v>
      </c>
      <c r="G21" s="343">
        <v>1800</v>
      </c>
      <c r="H21" s="343">
        <f t="shared" si="20"/>
        <v>68310</v>
      </c>
      <c r="I21" s="343">
        <f t="shared" si="12"/>
        <v>70510</v>
      </c>
      <c r="J21" s="343">
        <f t="shared" si="13"/>
        <v>6309.9</v>
      </c>
      <c r="K21" s="343">
        <f t="shared" si="14"/>
        <v>20</v>
      </c>
      <c r="L21" s="343">
        <f t="shared" si="15"/>
        <v>3525.5</v>
      </c>
      <c r="M21" s="342">
        <f t="shared" si="16"/>
        <v>705.1</v>
      </c>
      <c r="N21" s="342">
        <f t="shared" si="17"/>
        <v>59949.5</v>
      </c>
      <c r="O21" s="342">
        <f t="shared" si="18"/>
        <v>400</v>
      </c>
      <c r="P21" s="342">
        <f t="shared" si="19"/>
        <v>10560.5</v>
      </c>
      <c r="Q21" s="279" t="s">
        <v>378</v>
      </c>
      <c r="R21" s="279" t="s">
        <v>379</v>
      </c>
      <c r="S21" s="279" t="s">
        <v>380</v>
      </c>
      <c r="T21" s="279" t="s">
        <v>381</v>
      </c>
      <c r="U21" s="279"/>
      <c r="V21" s="279"/>
      <c r="W21" s="279"/>
      <c r="X21" s="263"/>
      <c r="Y21" s="263"/>
      <c r="Z21" s="263"/>
      <c r="AA21" s="263"/>
    </row>
    <row r="22" spans="1:27" s="5" customFormat="1">
      <c r="A22" s="554" t="str">
        <f>'1-συμβολαια'!A22</f>
        <v>6ο</v>
      </c>
      <c r="B22" s="399">
        <f>'1-συμβολαια'!B22</f>
        <v>33008</v>
      </c>
      <c r="C22" s="405" t="str">
        <f>'1-συμβολαια'!C22</f>
        <v>;;;???ΑΕ σύσταση από ΜΕΤΑΤΡΟΠΗ ατομικής [= 40.000.000δρχ</v>
      </c>
      <c r="D22" s="278">
        <f>'1-συμβολαια'!D22</f>
        <v>0</v>
      </c>
      <c r="E22" s="261"/>
      <c r="F22" s="261">
        <v>100</v>
      </c>
      <c r="G22" s="261"/>
      <c r="H22" s="261">
        <v>45000</v>
      </c>
      <c r="I22" s="261">
        <f t="shared" si="12"/>
        <v>45100</v>
      </c>
      <c r="J22" s="261">
        <v>22500</v>
      </c>
      <c r="K22" s="261">
        <f t="shared" si="14"/>
        <v>5</v>
      </c>
      <c r="L22" s="261">
        <f t="shared" si="15"/>
        <v>2255</v>
      </c>
      <c r="M22" s="278">
        <f t="shared" si="16"/>
        <v>451</v>
      </c>
      <c r="N22" s="278">
        <f t="shared" si="17"/>
        <v>19889</v>
      </c>
      <c r="O22" s="278">
        <f t="shared" si="18"/>
        <v>100</v>
      </c>
      <c r="P22" s="278">
        <f t="shared" si="19"/>
        <v>25211</v>
      </c>
      <c r="Q22" s="279" t="s">
        <v>378</v>
      </c>
      <c r="R22" s="279" t="s">
        <v>379</v>
      </c>
      <c r="S22" s="279" t="s">
        <v>380</v>
      </c>
      <c r="T22" s="279" t="s">
        <v>381</v>
      </c>
      <c r="U22" s="279"/>
      <c r="V22" s="279"/>
      <c r="W22" s="279"/>
      <c r="X22" s="263"/>
      <c r="Y22" s="263"/>
      <c r="Z22" s="263"/>
      <c r="AA22" s="263"/>
    </row>
    <row r="23" spans="1:27" s="5" customFormat="1" ht="12" thickBot="1">
      <c r="A23" s="555">
        <f>'1-συμβολαια'!A23</f>
        <v>0</v>
      </c>
      <c r="B23" s="403"/>
      <c r="C23" s="356" t="str">
        <f>'1-συμβολαια'!C23</f>
        <v>πληρεξουσιότητα</v>
      </c>
      <c r="D23" s="342">
        <f>'1-συμβολαια'!D23</f>
        <v>0</v>
      </c>
      <c r="E23" s="343">
        <v>1000</v>
      </c>
      <c r="F23" s="343"/>
      <c r="G23" s="343"/>
      <c r="H23" s="343"/>
      <c r="I23" s="343">
        <f t="shared" ref="I23:I38" si="21">E23+F23+G23+H23</f>
        <v>1000</v>
      </c>
      <c r="J23" s="343">
        <f t="shared" ref="J23:J38" si="22">(G23+H23)*9%</f>
        <v>0</v>
      </c>
      <c r="K23" s="343">
        <f t="shared" ref="K23:K38" si="23">(E23+F23)*5%</f>
        <v>50</v>
      </c>
      <c r="L23" s="343">
        <f t="shared" ref="L23:L38" si="24">I23*5%</f>
        <v>50</v>
      </c>
      <c r="M23" s="342">
        <f t="shared" ref="M23:M38" si="25">I23*1%</f>
        <v>10</v>
      </c>
      <c r="N23" s="342">
        <f t="shared" ref="N23:N38" si="26">I23-P23</f>
        <v>890</v>
      </c>
      <c r="O23" s="342">
        <f t="shared" ref="O23:O38" si="27">E23+F23</f>
        <v>1000</v>
      </c>
      <c r="P23" s="342">
        <f t="shared" ref="P23:P38" si="28">J23+K23+L23+M23</f>
        <v>110</v>
      </c>
      <c r="Q23" s="279" t="s">
        <v>378</v>
      </c>
      <c r="R23" s="279" t="s">
        <v>379</v>
      </c>
      <c r="S23" s="279" t="s">
        <v>380</v>
      </c>
      <c r="T23" s="279" t="s">
        <v>381</v>
      </c>
      <c r="U23" s="279"/>
      <c r="V23" s="279"/>
      <c r="W23" s="279"/>
      <c r="X23" s="263"/>
      <c r="Y23" s="263"/>
      <c r="Z23" s="263"/>
      <c r="AA23" s="263"/>
    </row>
    <row r="24" spans="1:27" s="5" customFormat="1">
      <c r="A24" s="550" t="str">
        <f>'1-συμβολαια'!A24</f>
        <v>7ο</v>
      </c>
      <c r="B24" s="399">
        <f>'1-συμβολαια'!B24</f>
        <v>33401</v>
      </c>
      <c r="C24" s="405" t="str">
        <f>'1-συμβολαια'!C24</f>
        <v>;;;??? υποθήκης ΕΞΑΛΕΙΨΗ</v>
      </c>
      <c r="D24" s="278">
        <f>'1-συμβολαια'!D24</f>
        <v>0</v>
      </c>
      <c r="E24" s="261">
        <v>1000</v>
      </c>
      <c r="F24" s="261"/>
      <c r="G24" s="261"/>
      <c r="H24" s="261"/>
      <c r="I24" s="261">
        <f t="shared" si="21"/>
        <v>1000</v>
      </c>
      <c r="J24" s="261">
        <f t="shared" si="22"/>
        <v>0</v>
      </c>
      <c r="K24" s="261">
        <f t="shared" si="23"/>
        <v>50</v>
      </c>
      <c r="L24" s="261">
        <f t="shared" si="24"/>
        <v>50</v>
      </c>
      <c r="M24" s="278">
        <f t="shared" si="25"/>
        <v>10</v>
      </c>
      <c r="N24" s="278">
        <f t="shared" si="26"/>
        <v>890</v>
      </c>
      <c r="O24" s="278">
        <f t="shared" si="27"/>
        <v>1000</v>
      </c>
      <c r="P24" s="278">
        <f t="shared" si="28"/>
        <v>110</v>
      </c>
      <c r="Q24" s="279" t="s">
        <v>378</v>
      </c>
      <c r="R24" s="279" t="s">
        <v>379</v>
      </c>
      <c r="S24" s="279" t="s">
        <v>380</v>
      </c>
      <c r="T24" s="279" t="s">
        <v>381</v>
      </c>
      <c r="U24" s="279"/>
      <c r="V24" s="279"/>
      <c r="W24" s="279"/>
      <c r="X24" s="263"/>
      <c r="Y24" s="263"/>
      <c r="Z24" s="263"/>
      <c r="AA24" s="263"/>
    </row>
    <row r="25" spans="1:27" s="5" customFormat="1">
      <c r="A25" s="550">
        <f>'1-συμβολαια'!A25</f>
        <v>0</v>
      </c>
      <c r="B25" s="399"/>
      <c r="C25" s="405" t="str">
        <f>'1-συμβολαια'!C25</f>
        <v>υποθήκης 375τραπ29/7/82 ΕΞΑΛΕΙΨΗ</v>
      </c>
      <c r="D25" s="278">
        <f>'1-συμβολαια'!D25</f>
        <v>0</v>
      </c>
      <c r="E25" s="261">
        <v>1000</v>
      </c>
      <c r="F25" s="261"/>
      <c r="G25" s="261"/>
      <c r="H25" s="261"/>
      <c r="I25" s="261">
        <f t="shared" si="21"/>
        <v>1000</v>
      </c>
      <c r="J25" s="261">
        <f t="shared" si="22"/>
        <v>0</v>
      </c>
      <c r="K25" s="261">
        <f t="shared" si="23"/>
        <v>50</v>
      </c>
      <c r="L25" s="261">
        <f t="shared" si="24"/>
        <v>50</v>
      </c>
      <c r="M25" s="278">
        <f t="shared" si="25"/>
        <v>10</v>
      </c>
      <c r="N25" s="278">
        <f t="shared" si="26"/>
        <v>890</v>
      </c>
      <c r="O25" s="278">
        <f t="shared" si="27"/>
        <v>1000</v>
      </c>
      <c r="P25" s="278">
        <f t="shared" si="28"/>
        <v>110</v>
      </c>
      <c r="Q25" s="279" t="s">
        <v>378</v>
      </c>
      <c r="R25" s="279" t="s">
        <v>379</v>
      </c>
      <c r="S25" s="279" t="s">
        <v>380</v>
      </c>
      <c r="T25" s="279" t="s">
        <v>381</v>
      </c>
      <c r="U25" s="279"/>
      <c r="V25" s="279"/>
      <c r="W25" s="279"/>
      <c r="X25" s="263"/>
      <c r="Y25" s="263"/>
      <c r="Z25" s="263"/>
      <c r="AA25" s="263"/>
    </row>
    <row r="26" spans="1:27" s="5" customFormat="1">
      <c r="A26" s="550">
        <f>'1-συμβολαια'!A26</f>
        <v>0</v>
      </c>
      <c r="B26" s="399"/>
      <c r="C26" s="405" t="str">
        <f>'1-συμβολαια'!C26</f>
        <v>δάνειο 375τραπ 9/7/82 ΕΞΟΦΛΗΣΗ</v>
      </c>
      <c r="D26" s="278">
        <f>'1-συμβολαια'!D26</f>
        <v>0</v>
      </c>
      <c r="E26" s="261">
        <v>1000</v>
      </c>
      <c r="F26" s="261"/>
      <c r="G26" s="261"/>
      <c r="H26" s="261"/>
      <c r="I26" s="261">
        <f t="shared" si="21"/>
        <v>1000</v>
      </c>
      <c r="J26" s="261">
        <f t="shared" si="22"/>
        <v>0</v>
      </c>
      <c r="K26" s="261">
        <f t="shared" si="23"/>
        <v>50</v>
      </c>
      <c r="L26" s="261">
        <f t="shared" si="24"/>
        <v>50</v>
      </c>
      <c r="M26" s="278">
        <f t="shared" si="25"/>
        <v>10</v>
      </c>
      <c r="N26" s="278">
        <f t="shared" si="26"/>
        <v>890</v>
      </c>
      <c r="O26" s="278">
        <f t="shared" si="27"/>
        <v>1000</v>
      </c>
      <c r="P26" s="278">
        <f t="shared" si="28"/>
        <v>110</v>
      </c>
      <c r="Q26" s="279" t="s">
        <v>378</v>
      </c>
      <c r="R26" s="279" t="s">
        <v>379</v>
      </c>
      <c r="S26" s="279" t="s">
        <v>380</v>
      </c>
      <c r="T26" s="279" t="s">
        <v>381</v>
      </c>
      <c r="U26" s="279"/>
      <c r="V26" s="279"/>
      <c r="W26" s="279"/>
      <c r="X26" s="263"/>
      <c r="Y26" s="263"/>
      <c r="Z26" s="263"/>
      <c r="AA26" s="263"/>
    </row>
    <row r="27" spans="1:27" s="5" customFormat="1">
      <c r="A27" s="429">
        <f>'1-συμβολαια'!A27</f>
        <v>0</v>
      </c>
      <c r="B27" s="447"/>
      <c r="C27" s="353" t="str">
        <f>'1-συμβολαια'!C27</f>
        <v>τόκοι δανείου 375τραπ {= προπληρωθέντες VS υπερΠληρωθέντες</v>
      </c>
      <c r="D27" s="260">
        <f>'1-συμβολαια'!D27</f>
        <v>1111111</v>
      </c>
      <c r="E27" s="354"/>
      <c r="F27" s="354">
        <v>400</v>
      </c>
      <c r="G27" s="354">
        <v>1800</v>
      </c>
      <c r="H27" s="354">
        <f t="shared" ref="H27:H36" si="29">(D27-60000)*1.15%</f>
        <v>12087.7765</v>
      </c>
      <c r="I27" s="354">
        <f t="shared" si="21"/>
        <v>14287.7765</v>
      </c>
      <c r="J27" s="354">
        <f t="shared" si="22"/>
        <v>1249.899885</v>
      </c>
      <c r="K27" s="354">
        <f t="shared" si="23"/>
        <v>20</v>
      </c>
      <c r="L27" s="354">
        <f t="shared" si="24"/>
        <v>714.388825</v>
      </c>
      <c r="M27" s="260">
        <f t="shared" si="25"/>
        <v>142.87776500000001</v>
      </c>
      <c r="N27" s="260">
        <f t="shared" si="26"/>
        <v>12160.610025</v>
      </c>
      <c r="O27" s="260">
        <f t="shared" si="27"/>
        <v>400</v>
      </c>
      <c r="P27" s="260">
        <f t="shared" si="28"/>
        <v>2127.166475</v>
      </c>
      <c r="Q27" s="279" t="s">
        <v>378</v>
      </c>
      <c r="R27" s="279" t="s">
        <v>379</v>
      </c>
      <c r="S27" s="279" t="s">
        <v>380</v>
      </c>
      <c r="T27" s="279" t="s">
        <v>381</v>
      </c>
      <c r="U27" s="279"/>
      <c r="V27" s="279"/>
      <c r="W27" s="279"/>
      <c r="X27" s="263"/>
      <c r="Y27" s="263"/>
      <c r="Z27" s="263"/>
      <c r="AA27" s="263"/>
    </row>
    <row r="28" spans="1:27" s="5" customFormat="1">
      <c r="A28" s="429">
        <f>'1-συμβολαια'!A28</f>
        <v>0</v>
      </c>
      <c r="B28" s="447"/>
      <c r="C28" s="353" t="str">
        <f>'1-συμβολαια'!C28</f>
        <v>υποθήκης 389τραπ29/7/82 ΕΞΑΛΕΙΨΗ</v>
      </c>
      <c r="D28" s="260">
        <f>'1-συμβολαια'!D28</f>
        <v>0</v>
      </c>
      <c r="E28" s="354">
        <v>1000</v>
      </c>
      <c r="F28" s="354"/>
      <c r="G28" s="354"/>
      <c r="H28" s="354"/>
      <c r="I28" s="354">
        <f t="shared" si="21"/>
        <v>1000</v>
      </c>
      <c r="J28" s="354">
        <f t="shared" si="22"/>
        <v>0</v>
      </c>
      <c r="K28" s="354">
        <f t="shared" si="23"/>
        <v>50</v>
      </c>
      <c r="L28" s="354">
        <f t="shared" si="24"/>
        <v>50</v>
      </c>
      <c r="M28" s="260">
        <f t="shared" si="25"/>
        <v>10</v>
      </c>
      <c r="N28" s="260">
        <f t="shared" si="26"/>
        <v>890</v>
      </c>
      <c r="O28" s="260">
        <f t="shared" si="27"/>
        <v>1000</v>
      </c>
      <c r="P28" s="260">
        <f t="shared" si="28"/>
        <v>110</v>
      </c>
      <c r="Q28" s="279" t="s">
        <v>378</v>
      </c>
      <c r="R28" s="279" t="s">
        <v>379</v>
      </c>
      <c r="S28" s="279" t="s">
        <v>380</v>
      </c>
      <c r="T28" s="279" t="s">
        <v>381</v>
      </c>
      <c r="U28" s="279"/>
      <c r="V28" s="279"/>
      <c r="W28" s="279"/>
      <c r="X28" s="263"/>
      <c r="Y28" s="263"/>
      <c r="Z28" s="263"/>
      <c r="AA28" s="263"/>
    </row>
    <row r="29" spans="1:27" s="5" customFormat="1">
      <c r="A29" s="429">
        <f>'1-συμβολαια'!A29</f>
        <v>0</v>
      </c>
      <c r="B29" s="447"/>
      <c r="C29" s="353" t="str">
        <f>'1-συμβολαια'!C29</f>
        <v>δάνειο 389τραπ29/7/82 ΕΞΟΦΛΗΣΗ</v>
      </c>
      <c r="D29" s="260">
        <f>'1-συμβολαια'!D29</f>
        <v>0</v>
      </c>
      <c r="E29" s="354">
        <v>1000</v>
      </c>
      <c r="F29" s="354"/>
      <c r="G29" s="354"/>
      <c r="H29" s="354"/>
      <c r="I29" s="354">
        <f t="shared" si="21"/>
        <v>1000</v>
      </c>
      <c r="J29" s="354">
        <f t="shared" si="22"/>
        <v>0</v>
      </c>
      <c r="K29" s="354">
        <f t="shared" si="23"/>
        <v>50</v>
      </c>
      <c r="L29" s="354">
        <f t="shared" si="24"/>
        <v>50</v>
      </c>
      <c r="M29" s="260">
        <f t="shared" si="25"/>
        <v>10</v>
      </c>
      <c r="N29" s="260">
        <f t="shared" si="26"/>
        <v>890</v>
      </c>
      <c r="O29" s="260">
        <f t="shared" si="27"/>
        <v>1000</v>
      </c>
      <c r="P29" s="260">
        <f t="shared" si="28"/>
        <v>110</v>
      </c>
      <c r="Q29" s="279" t="s">
        <v>378</v>
      </c>
      <c r="R29" s="279" t="s">
        <v>379</v>
      </c>
      <c r="S29" s="279" t="s">
        <v>380</v>
      </c>
      <c r="T29" s="279" t="s">
        <v>381</v>
      </c>
      <c r="U29" s="279"/>
      <c r="V29" s="279"/>
      <c r="W29" s="279"/>
      <c r="X29" s="263"/>
      <c r="Y29" s="263"/>
      <c r="Z29" s="263"/>
      <c r="AA29" s="263"/>
    </row>
    <row r="30" spans="1:27" s="5" customFormat="1" ht="12" thickBot="1">
      <c r="A30" s="552">
        <f>'1-συμβολαια'!A30</f>
        <v>0</v>
      </c>
      <c r="B30" s="403"/>
      <c r="C30" s="356" t="str">
        <f>'1-συμβολαια'!C30</f>
        <v>τόκοι δανείου 389τραπ {= προπληρωθέντες VS υπερΠληρωθέντες</v>
      </c>
      <c r="D30" s="342">
        <f>'1-συμβολαια'!D30</f>
        <v>2222222</v>
      </c>
      <c r="E30" s="343"/>
      <c r="F30" s="343">
        <v>400</v>
      </c>
      <c r="G30" s="343">
        <v>1800</v>
      </c>
      <c r="H30" s="343">
        <f t="shared" si="29"/>
        <v>24865.553</v>
      </c>
      <c r="I30" s="343">
        <f t="shared" si="21"/>
        <v>27065.553</v>
      </c>
      <c r="J30" s="343">
        <f t="shared" si="22"/>
        <v>2399.89977</v>
      </c>
      <c r="K30" s="343">
        <f t="shared" si="23"/>
        <v>20</v>
      </c>
      <c r="L30" s="343">
        <f t="shared" si="24"/>
        <v>1353.27765</v>
      </c>
      <c r="M30" s="342">
        <f t="shared" si="25"/>
        <v>270.65553</v>
      </c>
      <c r="N30" s="342">
        <f t="shared" si="26"/>
        <v>23021.72005</v>
      </c>
      <c r="O30" s="342">
        <f t="shared" si="27"/>
        <v>400</v>
      </c>
      <c r="P30" s="342">
        <f t="shared" si="28"/>
        <v>4043.83295</v>
      </c>
      <c r="Q30" s="279" t="s">
        <v>378</v>
      </c>
      <c r="R30" s="279" t="s">
        <v>379</v>
      </c>
      <c r="S30" s="279" t="s">
        <v>380</v>
      </c>
      <c r="T30" s="279" t="s">
        <v>381</v>
      </c>
      <c r="U30" s="279"/>
      <c r="V30" s="279"/>
      <c r="W30" s="279"/>
      <c r="X30" s="263"/>
      <c r="Y30" s="263"/>
      <c r="Z30" s="263"/>
      <c r="AA30" s="263"/>
    </row>
    <row r="31" spans="1:27" s="5" customFormat="1">
      <c r="A31" s="554" t="str">
        <f>'1-συμβολαια'!A31</f>
        <v>8ο</v>
      </c>
      <c r="B31" s="399">
        <f>'1-συμβολαια'!B31</f>
        <v>33515</v>
      </c>
      <c r="C31" s="405" t="str">
        <f>'1-συμβολαια'!C31</f>
        <v>μίσθωσης νταμάρι …. ΠΑΡΑΤΑΣΗ 3έτη</v>
      </c>
      <c r="D31" s="278">
        <f>'1-συμβολαια'!D31</f>
        <v>966657</v>
      </c>
      <c r="E31" s="261"/>
      <c r="F31" s="261">
        <v>400</v>
      </c>
      <c r="G31" s="261">
        <v>1800</v>
      </c>
      <c r="H31" s="261">
        <f t="shared" si="29"/>
        <v>10426.5555</v>
      </c>
      <c r="I31" s="261">
        <f t="shared" si="21"/>
        <v>12626.5555</v>
      </c>
      <c r="J31" s="261">
        <f t="shared" si="22"/>
        <v>1100.389995</v>
      </c>
      <c r="K31" s="261">
        <f t="shared" si="23"/>
        <v>20</v>
      </c>
      <c r="L31" s="261">
        <f t="shared" si="24"/>
        <v>631.32777500000009</v>
      </c>
      <c r="M31" s="278">
        <f t="shared" si="25"/>
        <v>126.26555500000001</v>
      </c>
      <c r="N31" s="278">
        <f t="shared" si="26"/>
        <v>10748.572175000001</v>
      </c>
      <c r="O31" s="278">
        <f t="shared" si="27"/>
        <v>400</v>
      </c>
      <c r="P31" s="278">
        <f t="shared" si="28"/>
        <v>1877.9833250000001</v>
      </c>
      <c r="Q31" s="279" t="s">
        <v>378</v>
      </c>
      <c r="R31" s="279" t="s">
        <v>379</v>
      </c>
      <c r="S31" s="279" t="s">
        <v>380</v>
      </c>
      <c r="T31" s="279" t="s">
        <v>381</v>
      </c>
      <c r="U31" s="279"/>
      <c r="V31" s="279"/>
      <c r="W31" s="279"/>
      <c r="X31" s="263"/>
      <c r="Y31" s="263"/>
      <c r="Z31" s="263"/>
      <c r="AA31" s="263"/>
    </row>
    <row r="32" spans="1:27" s="5" customFormat="1" ht="12" thickBot="1">
      <c r="A32" s="555">
        <f>'1-συμβολαια'!A32</f>
        <v>0</v>
      </c>
      <c r="B32" s="403"/>
      <c r="C32" s="591" t="str">
        <f>'1-συμβολαια'!C32</f>
        <v>ΧΑΟΣ= κλείσιμο &amp; εκ ΝΕΟΥ</v>
      </c>
      <c r="D32" s="582">
        <f>'1-συμβολαια'!D32</f>
        <v>0</v>
      </c>
      <c r="E32" s="581"/>
      <c r="F32" s="581"/>
      <c r="G32" s="581"/>
      <c r="H32" s="581"/>
      <c r="I32" s="581"/>
      <c r="J32" s="581"/>
      <c r="K32" s="581"/>
      <c r="L32" s="581"/>
      <c r="M32" s="582"/>
      <c r="N32" s="582"/>
      <c r="O32" s="582"/>
      <c r="P32" s="582"/>
      <c r="Q32" s="583"/>
      <c r="R32" s="583"/>
      <c r="S32" s="583"/>
      <c r="T32" s="583"/>
      <c r="U32" s="583"/>
      <c r="V32" s="583"/>
      <c r="W32" s="583"/>
      <c r="X32" s="592"/>
      <c r="Y32" s="263"/>
      <c r="Z32" s="263"/>
      <c r="AA32" s="263"/>
    </row>
    <row r="33" spans="1:27" s="5" customFormat="1">
      <c r="A33" s="550" t="str">
        <f>'1-συμβολαια'!A33</f>
        <v>9ο</v>
      </c>
      <c r="B33" s="399">
        <f>'1-συμβολαια'!B33</f>
        <v>33675</v>
      </c>
      <c r="C33" s="405" t="str">
        <f>'1-συμβολαια'!C33</f>
        <v xml:space="preserve">υποθήκη </v>
      </c>
      <c r="D33" s="278">
        <f>'1-συμβολαια'!D33</f>
        <v>100000</v>
      </c>
      <c r="E33" s="261"/>
      <c r="F33" s="261">
        <v>400</v>
      </c>
      <c r="G33" s="261">
        <v>1800</v>
      </c>
      <c r="H33" s="261">
        <f t="shared" si="29"/>
        <v>460</v>
      </c>
      <c r="I33" s="261">
        <f t="shared" si="21"/>
        <v>2660</v>
      </c>
      <c r="J33" s="261">
        <f t="shared" si="22"/>
        <v>203.4</v>
      </c>
      <c r="K33" s="261">
        <f t="shared" si="23"/>
        <v>20</v>
      </c>
      <c r="L33" s="261">
        <f t="shared" si="24"/>
        <v>133</v>
      </c>
      <c r="M33" s="278">
        <f t="shared" si="25"/>
        <v>26.6</v>
      </c>
      <c r="N33" s="278">
        <f t="shared" si="26"/>
        <v>2277</v>
      </c>
      <c r="O33" s="278">
        <f t="shared" si="27"/>
        <v>400</v>
      </c>
      <c r="P33" s="278">
        <f t="shared" si="28"/>
        <v>383</v>
      </c>
      <c r="Q33" s="279" t="s">
        <v>378</v>
      </c>
      <c r="R33" s="279" t="s">
        <v>379</v>
      </c>
      <c r="S33" s="279" t="s">
        <v>380</v>
      </c>
      <c r="T33" s="279" t="s">
        <v>381</v>
      </c>
      <c r="U33" s="279"/>
      <c r="V33" s="279"/>
      <c r="W33" s="279"/>
      <c r="X33" s="263"/>
      <c r="Y33" s="263"/>
      <c r="Z33" s="263"/>
      <c r="AA33" s="263"/>
    </row>
    <row r="34" spans="1:27" s="5" customFormat="1">
      <c r="A34" s="550" t="str">
        <f>'1-συμβολαια'!A34</f>
        <v>794-1-2-3τραπ</v>
      </c>
      <c r="B34" s="399">
        <f>'1-συμβολαια'!B34</f>
        <v>32727</v>
      </c>
      <c r="C34" s="405" t="str">
        <f>'1-συμβολαια'!C34</f>
        <v>υποθήκες δανείων [7/8/89-25/1/1991-8/3/1991-22/11/1991</v>
      </c>
      <c r="D34" s="278">
        <f>'1-συμβολαια'!D34</f>
        <v>73333333</v>
      </c>
      <c r="E34" s="261"/>
      <c r="F34" s="261">
        <v>400</v>
      </c>
      <c r="G34" s="261">
        <v>1800</v>
      </c>
      <c r="H34" s="261">
        <f t="shared" si="29"/>
        <v>842643.32949999999</v>
      </c>
      <c r="I34" s="261">
        <f t="shared" si="21"/>
        <v>844843.32949999999</v>
      </c>
      <c r="J34" s="261">
        <f t="shared" si="22"/>
        <v>75999.899655000001</v>
      </c>
      <c r="K34" s="261">
        <f t="shared" si="23"/>
        <v>20</v>
      </c>
      <c r="L34" s="261">
        <f t="shared" si="24"/>
        <v>42242.166475000005</v>
      </c>
      <c r="M34" s="278">
        <f t="shared" si="25"/>
        <v>8448.4332950000007</v>
      </c>
      <c r="N34" s="278">
        <f t="shared" si="26"/>
        <v>718132.83007499995</v>
      </c>
      <c r="O34" s="278">
        <f t="shared" si="27"/>
        <v>400</v>
      </c>
      <c r="P34" s="278">
        <f t="shared" si="28"/>
        <v>126710.499425</v>
      </c>
      <c r="Q34" s="279" t="s">
        <v>378</v>
      </c>
      <c r="R34" s="279" t="s">
        <v>379</v>
      </c>
      <c r="S34" s="279" t="s">
        <v>380</v>
      </c>
      <c r="T34" s="279" t="s">
        <v>381</v>
      </c>
      <c r="U34" s="279"/>
      <c r="V34" s="279"/>
      <c r="W34" s="279"/>
      <c r="X34" s="263"/>
      <c r="Y34" s="263"/>
      <c r="Z34" s="263"/>
      <c r="AA34" s="263"/>
    </row>
    <row r="35" spans="1:27" s="5" customFormat="1">
      <c r="A35" s="550">
        <f>'1-συμβολαια'!A35</f>
        <v>0</v>
      </c>
      <c r="B35" s="399"/>
      <c r="C35" s="405" t="str">
        <f>'1-συμβολαια'!C35</f>
        <v>δάνεια ανωτέρω υποθηκών</v>
      </c>
      <c r="D35" s="278">
        <f>'1-συμβολαια'!D35</f>
        <v>61000000</v>
      </c>
      <c r="E35" s="261"/>
      <c r="F35" s="261">
        <v>400</v>
      </c>
      <c r="G35" s="261">
        <v>1800</v>
      </c>
      <c r="H35" s="261">
        <f t="shared" si="29"/>
        <v>700810</v>
      </c>
      <c r="I35" s="261">
        <f t="shared" si="21"/>
        <v>703010</v>
      </c>
      <c r="J35" s="261">
        <f t="shared" si="22"/>
        <v>63234.899999999994</v>
      </c>
      <c r="K35" s="261">
        <f t="shared" si="23"/>
        <v>20</v>
      </c>
      <c r="L35" s="261">
        <f t="shared" si="24"/>
        <v>35150.5</v>
      </c>
      <c r="M35" s="278">
        <f t="shared" si="25"/>
        <v>7030.1</v>
      </c>
      <c r="N35" s="278">
        <f t="shared" si="26"/>
        <v>597574.5</v>
      </c>
      <c r="O35" s="278">
        <f t="shared" si="27"/>
        <v>400</v>
      </c>
      <c r="P35" s="278">
        <f t="shared" si="28"/>
        <v>105435.5</v>
      </c>
      <c r="Q35" s="279" t="s">
        <v>378</v>
      </c>
      <c r="R35" s="279" t="s">
        <v>379</v>
      </c>
      <c r="S35" s="279" t="s">
        <v>380</v>
      </c>
      <c r="T35" s="279" t="s">
        <v>381</v>
      </c>
      <c r="U35" s="279"/>
      <c r="V35" s="279"/>
      <c r="W35" s="279"/>
      <c r="X35" s="263"/>
      <c r="Y35" s="263"/>
      <c r="Z35" s="263"/>
      <c r="AA35" s="263"/>
    </row>
    <row r="36" spans="1:27" s="5" customFormat="1" ht="12" thickBot="1">
      <c r="A36" s="552">
        <f>'1-συμβολαια'!A36</f>
        <v>0</v>
      </c>
      <c r="B36" s="403"/>
      <c r="C36" s="356" t="str">
        <f>'1-συμβολαια'!C36</f>
        <v>τόκοι  ανωτέρω δανείων προπληρωθέντες</v>
      </c>
      <c r="D36" s="342">
        <f>'1-συμβολαια'!D36</f>
        <v>133333333</v>
      </c>
      <c r="E36" s="343"/>
      <c r="F36" s="343">
        <v>400</v>
      </c>
      <c r="G36" s="343">
        <v>1800</v>
      </c>
      <c r="H36" s="343">
        <f t="shared" si="29"/>
        <v>1532643.3295</v>
      </c>
      <c r="I36" s="343">
        <f t="shared" si="21"/>
        <v>1534843.3295</v>
      </c>
      <c r="J36" s="343">
        <f t="shared" si="22"/>
        <v>138099.89965499999</v>
      </c>
      <c r="K36" s="343">
        <f t="shared" si="23"/>
        <v>20</v>
      </c>
      <c r="L36" s="343">
        <f t="shared" si="24"/>
        <v>76742.166475000005</v>
      </c>
      <c r="M36" s="342">
        <f t="shared" si="25"/>
        <v>15348.433295000001</v>
      </c>
      <c r="N36" s="342">
        <f t="shared" si="26"/>
        <v>1304632.8300749999</v>
      </c>
      <c r="O36" s="342">
        <f t="shared" si="27"/>
        <v>400</v>
      </c>
      <c r="P36" s="342">
        <f t="shared" si="28"/>
        <v>230210.49942499999</v>
      </c>
      <c r="Q36" s="279" t="s">
        <v>378</v>
      </c>
      <c r="R36" s="279" t="s">
        <v>379</v>
      </c>
      <c r="S36" s="279" t="s">
        <v>380</v>
      </c>
      <c r="T36" s="279" t="s">
        <v>381</v>
      </c>
      <c r="U36" s="279"/>
      <c r="V36" s="279"/>
      <c r="W36" s="279"/>
      <c r="X36" s="263"/>
      <c r="Y36" s="263"/>
      <c r="Z36" s="263"/>
      <c r="AA36" s="263"/>
    </row>
    <row r="37" spans="1:27" s="5" customFormat="1">
      <c r="A37" s="554" t="str">
        <f>'1-συμβολαια'!A37</f>
        <v>10ο</v>
      </c>
      <c r="B37" s="399">
        <f>'1-συμβολαια'!B37</f>
        <v>34890</v>
      </c>
      <c r="C37" s="405" t="str">
        <f>'1-συμβολαια'!C37</f>
        <v>υποθήκη  τοιχόν τόκων</v>
      </c>
      <c r="D37" s="278">
        <f>'1-συμβολαια'!D37</f>
        <v>100000</v>
      </c>
      <c r="E37" s="261"/>
      <c r="F37" s="261">
        <v>800</v>
      </c>
      <c r="G37" s="261">
        <v>3600</v>
      </c>
      <c r="H37" s="261">
        <f>(D37-60000)*1.2%</f>
        <v>480</v>
      </c>
      <c r="I37" s="261">
        <f t="shared" si="21"/>
        <v>4880</v>
      </c>
      <c r="J37" s="261">
        <f t="shared" si="22"/>
        <v>367.2</v>
      </c>
      <c r="K37" s="261">
        <f t="shared" si="23"/>
        <v>40</v>
      </c>
      <c r="L37" s="261">
        <f t="shared" si="24"/>
        <v>244</v>
      </c>
      <c r="M37" s="278">
        <f t="shared" si="25"/>
        <v>48.800000000000004</v>
      </c>
      <c r="N37" s="278">
        <f t="shared" si="26"/>
        <v>4180</v>
      </c>
      <c r="O37" s="278">
        <f t="shared" si="27"/>
        <v>800</v>
      </c>
      <c r="P37" s="278">
        <f t="shared" si="28"/>
        <v>700</v>
      </c>
      <c r="Q37" s="279" t="s">
        <v>378</v>
      </c>
      <c r="R37" s="279" t="s">
        <v>379</v>
      </c>
      <c r="S37" s="279" t="s">
        <v>380</v>
      </c>
      <c r="T37" s="279" t="s">
        <v>381</v>
      </c>
      <c r="U37" s="279"/>
      <c r="V37" s="279"/>
      <c r="W37" s="279"/>
      <c r="X37" s="263"/>
      <c r="Y37" s="263"/>
      <c r="Z37" s="263"/>
      <c r="AA37" s="263"/>
    </row>
    <row r="38" spans="1:27" s="5" customFormat="1">
      <c r="A38" s="554" t="str">
        <f>'1-συμβολαια'!A38</f>
        <v>794-4-5τραπ</v>
      </c>
      <c r="B38" s="399">
        <f>'1-συμβολαια'!B38</f>
        <v>33843</v>
      </c>
      <c r="C38" s="405" t="str">
        <f>'1-συμβολαια'!C38</f>
        <v>υποθήκες δανείων [27/08/1992-30/10/1992</v>
      </c>
      <c r="D38" s="278">
        <f>'1-συμβολαια'!D38</f>
        <v>32555555</v>
      </c>
      <c r="E38" s="261"/>
      <c r="F38" s="261">
        <v>800</v>
      </c>
      <c r="G38" s="261">
        <v>3600</v>
      </c>
      <c r="H38" s="261">
        <f t="shared" ref="H38:H45" si="30">(D38-60000)*1.2%</f>
        <v>389946.66000000003</v>
      </c>
      <c r="I38" s="261">
        <f t="shared" si="21"/>
        <v>394346.66000000003</v>
      </c>
      <c r="J38" s="261">
        <f t="shared" si="22"/>
        <v>35419.199400000005</v>
      </c>
      <c r="K38" s="261">
        <f t="shared" si="23"/>
        <v>40</v>
      </c>
      <c r="L38" s="261">
        <f t="shared" si="24"/>
        <v>19717.333000000002</v>
      </c>
      <c r="M38" s="278">
        <f t="shared" si="25"/>
        <v>3943.4666000000002</v>
      </c>
      <c r="N38" s="278">
        <f t="shared" si="26"/>
        <v>335226.66100000002</v>
      </c>
      <c r="O38" s="278">
        <f t="shared" si="27"/>
        <v>800</v>
      </c>
      <c r="P38" s="278">
        <f t="shared" si="28"/>
        <v>59119.999000000011</v>
      </c>
      <c r="Q38" s="279" t="s">
        <v>378</v>
      </c>
      <c r="R38" s="279" t="s">
        <v>379</v>
      </c>
      <c r="S38" s="279" t="s">
        <v>380</v>
      </c>
      <c r="T38" s="279" t="s">
        <v>381</v>
      </c>
      <c r="U38" s="279"/>
      <c r="V38" s="279"/>
      <c r="W38" s="279"/>
      <c r="X38" s="263"/>
      <c r="Y38" s="263"/>
      <c r="Z38" s="263"/>
      <c r="AA38" s="263"/>
    </row>
    <row r="39" spans="1:27" s="5" customFormat="1">
      <c r="A39" s="554">
        <f>'1-συμβολαια'!A39</f>
        <v>0</v>
      </c>
      <c r="B39" s="399"/>
      <c r="C39" s="405" t="str">
        <f>'1-συμβολαια'!C39</f>
        <v>δάνεια ανωτέρω υποθηκών</v>
      </c>
      <c r="D39" s="278">
        <f>'1-συμβολαια'!D39</f>
        <v>27000000</v>
      </c>
      <c r="E39" s="261"/>
      <c r="F39" s="261">
        <v>800</v>
      </c>
      <c r="G39" s="261">
        <v>3600</v>
      </c>
      <c r="H39" s="261">
        <f t="shared" si="30"/>
        <v>323280</v>
      </c>
      <c r="I39" s="261">
        <f t="shared" ref="I39:I45" si="31">E39+F39+G39+H39</f>
        <v>327680</v>
      </c>
      <c r="J39" s="261">
        <f t="shared" ref="J39:J45" si="32">(G39+H39)*9%</f>
        <v>29419.200000000001</v>
      </c>
      <c r="K39" s="261">
        <f t="shared" ref="K39:K45" si="33">(E39+F39)*5%</f>
        <v>40</v>
      </c>
      <c r="L39" s="261">
        <f t="shared" ref="L39:L45" si="34">I39*5%</f>
        <v>16384</v>
      </c>
      <c r="M39" s="278">
        <f t="shared" ref="M39:M45" si="35">I39*1%</f>
        <v>3276.8</v>
      </c>
      <c r="N39" s="278">
        <f t="shared" ref="N39:N45" si="36">I39-P39</f>
        <v>278560</v>
      </c>
      <c r="O39" s="278">
        <f t="shared" ref="O39:O45" si="37">E39+F39</f>
        <v>800</v>
      </c>
      <c r="P39" s="278">
        <f t="shared" ref="P39:P45" si="38">J39+K39+L39+M39</f>
        <v>49120</v>
      </c>
      <c r="Q39" s="279" t="s">
        <v>378</v>
      </c>
      <c r="R39" s="279" t="s">
        <v>379</v>
      </c>
      <c r="S39" s="279" t="s">
        <v>380</v>
      </c>
      <c r="T39" s="279" t="s">
        <v>381</v>
      </c>
      <c r="U39" s="279"/>
      <c r="V39" s="279"/>
      <c r="W39" s="279"/>
      <c r="X39" s="263"/>
      <c r="Y39" s="263"/>
      <c r="Z39" s="263"/>
      <c r="AA39" s="263"/>
    </row>
    <row r="40" spans="1:27" s="5" customFormat="1" ht="12" thickBot="1">
      <c r="A40" s="555">
        <f>'1-συμβολαια'!A40</f>
        <v>0</v>
      </c>
      <c r="B40" s="403"/>
      <c r="C40" s="356" t="str">
        <f>'1-συμβολαια'!C40</f>
        <v>τόκοι  ανωτέρω δανείων προπληρωθέντες</v>
      </c>
      <c r="D40" s="342">
        <f>'1-συμβολαια'!D40</f>
        <v>55555555</v>
      </c>
      <c r="E40" s="343"/>
      <c r="F40" s="343">
        <v>800</v>
      </c>
      <c r="G40" s="343">
        <v>3600</v>
      </c>
      <c r="H40" s="343">
        <f t="shared" si="30"/>
        <v>665946.66</v>
      </c>
      <c r="I40" s="343">
        <f t="shared" si="31"/>
        <v>670346.66</v>
      </c>
      <c r="J40" s="343">
        <f t="shared" si="32"/>
        <v>60259.199399999998</v>
      </c>
      <c r="K40" s="343">
        <f t="shared" si="33"/>
        <v>40</v>
      </c>
      <c r="L40" s="343">
        <f t="shared" si="34"/>
        <v>33517.333000000006</v>
      </c>
      <c r="M40" s="342">
        <f t="shared" si="35"/>
        <v>6703.4666000000007</v>
      </c>
      <c r="N40" s="342">
        <f t="shared" si="36"/>
        <v>569826.66100000008</v>
      </c>
      <c r="O40" s="342">
        <f t="shared" si="37"/>
        <v>800</v>
      </c>
      <c r="P40" s="342">
        <f t="shared" si="38"/>
        <v>100519.999</v>
      </c>
      <c r="Q40" s="279" t="s">
        <v>378</v>
      </c>
      <c r="R40" s="279" t="s">
        <v>379</v>
      </c>
      <c r="S40" s="279" t="s">
        <v>380</v>
      </c>
      <c r="T40" s="279" t="s">
        <v>381</v>
      </c>
      <c r="U40" s="279"/>
      <c r="V40" s="279"/>
      <c r="W40" s="279"/>
      <c r="X40" s="263"/>
      <c r="Y40" s="263"/>
      <c r="Z40" s="263"/>
      <c r="AA40" s="263"/>
    </row>
    <row r="41" spans="1:27" s="5" customFormat="1">
      <c r="A41" s="550" t="str">
        <f>'1-συμβολαια'!A41</f>
        <v>11ο</v>
      </c>
      <c r="B41" s="399">
        <f>'1-συμβολαια'!B41</f>
        <v>34962</v>
      </c>
      <c r="C41" s="405" t="str">
        <f>'1-συμβολαια'!C41</f>
        <v>μίσθωσις νταμάρι  Λιμένας -'';;;???'' 24,526στρ 3έτη [8000/έτος/στρ</v>
      </c>
      <c r="D41" s="278">
        <f>'1-συμβολαια'!D41</f>
        <v>588624</v>
      </c>
      <c r="E41" s="261"/>
      <c r="F41" s="261">
        <v>800</v>
      </c>
      <c r="G41" s="261">
        <v>3600</v>
      </c>
      <c r="H41" s="261">
        <f t="shared" si="30"/>
        <v>6343.4880000000003</v>
      </c>
      <c r="I41" s="261">
        <f t="shared" si="31"/>
        <v>10743.488000000001</v>
      </c>
      <c r="J41" s="261">
        <f t="shared" si="32"/>
        <v>894.91392000000008</v>
      </c>
      <c r="K41" s="261">
        <f t="shared" si="33"/>
        <v>40</v>
      </c>
      <c r="L41" s="261">
        <f t="shared" si="34"/>
        <v>537.17440000000011</v>
      </c>
      <c r="M41" s="278">
        <f t="shared" si="35"/>
        <v>107.43488000000002</v>
      </c>
      <c r="N41" s="278">
        <f t="shared" si="36"/>
        <v>9163.9648000000016</v>
      </c>
      <c r="O41" s="278">
        <f t="shared" si="37"/>
        <v>800</v>
      </c>
      <c r="P41" s="278">
        <f t="shared" si="38"/>
        <v>1579.5232000000003</v>
      </c>
      <c r="Q41" s="279" t="s">
        <v>378</v>
      </c>
      <c r="R41" s="279" t="s">
        <v>379</v>
      </c>
      <c r="S41" s="279" t="s">
        <v>380</v>
      </c>
      <c r="T41" s="279" t="s">
        <v>381</v>
      </c>
      <c r="U41" s="279"/>
      <c r="V41" s="279"/>
      <c r="W41" s="279"/>
      <c r="X41" s="263"/>
      <c r="Y41" s="263"/>
      <c r="Z41" s="263"/>
      <c r="AA41" s="263"/>
    </row>
    <row r="42" spans="1:27" s="5" customFormat="1">
      <c r="A42" s="550">
        <f>'1-συμβολαια'!A42</f>
        <v>0</v>
      </c>
      <c r="B42" s="399"/>
      <c r="C42" s="405" t="str">
        <f>'1-συμβολαια'!C42</f>
        <v>μίσθωση … ΚΤΙΡΙΑΚΑ &amp; τεχνικές εγκαταστάσεις &amp; ΚΛΠ</v>
      </c>
      <c r="D42" s="278">
        <f>'1-συμβολαια'!D42</f>
        <v>50000000</v>
      </c>
      <c r="E42" s="261"/>
      <c r="F42" s="261">
        <v>800</v>
      </c>
      <c r="G42" s="261">
        <v>3600</v>
      </c>
      <c r="H42" s="261">
        <f t="shared" si="30"/>
        <v>599280</v>
      </c>
      <c r="I42" s="261">
        <f t="shared" si="31"/>
        <v>603680</v>
      </c>
      <c r="J42" s="261">
        <f t="shared" si="32"/>
        <v>54259.199999999997</v>
      </c>
      <c r="K42" s="261">
        <f t="shared" si="33"/>
        <v>40</v>
      </c>
      <c r="L42" s="261">
        <f t="shared" si="34"/>
        <v>30184</v>
      </c>
      <c r="M42" s="278">
        <f t="shared" si="35"/>
        <v>6036.8</v>
      </c>
      <c r="N42" s="278">
        <f t="shared" si="36"/>
        <v>513160</v>
      </c>
      <c r="O42" s="278">
        <f t="shared" si="37"/>
        <v>800</v>
      </c>
      <c r="P42" s="278">
        <f t="shared" si="38"/>
        <v>90520</v>
      </c>
      <c r="Q42" s="279" t="s">
        <v>378</v>
      </c>
      <c r="R42" s="279" t="s">
        <v>379</v>
      </c>
      <c r="S42" s="279" t="s">
        <v>380</v>
      </c>
      <c r="T42" s="279" t="s">
        <v>381</v>
      </c>
      <c r="U42" s="279"/>
      <c r="V42" s="279"/>
      <c r="W42" s="279"/>
      <c r="X42" s="263"/>
      <c r="Y42" s="263"/>
      <c r="Z42" s="263"/>
      <c r="AA42" s="263"/>
    </row>
    <row r="43" spans="1:27" s="5" customFormat="1">
      <c r="A43" s="550">
        <f>'1-συμβολαια'!A43</f>
        <v>0</v>
      </c>
      <c r="B43" s="399"/>
      <c r="C43" s="405" t="str">
        <f>'1-συμβολαια'!C43</f>
        <v>μίσθωση … ΕΡΕΥΝΗΤΙΚΕΣ εργασίες</v>
      </c>
      <c r="D43" s="278">
        <f>'1-συμβολαια'!D43</f>
        <v>3333333</v>
      </c>
      <c r="E43" s="261"/>
      <c r="F43" s="261">
        <v>800</v>
      </c>
      <c r="G43" s="261">
        <v>3600</v>
      </c>
      <c r="H43" s="261">
        <f t="shared" si="30"/>
        <v>39279.995999999999</v>
      </c>
      <c r="I43" s="261">
        <f t="shared" si="31"/>
        <v>43679.995999999999</v>
      </c>
      <c r="J43" s="261">
        <f t="shared" si="32"/>
        <v>3859.1996399999998</v>
      </c>
      <c r="K43" s="261">
        <f t="shared" si="33"/>
        <v>40</v>
      </c>
      <c r="L43" s="261">
        <f t="shared" si="34"/>
        <v>2183.9998000000001</v>
      </c>
      <c r="M43" s="278">
        <f t="shared" si="35"/>
        <v>436.79996</v>
      </c>
      <c r="N43" s="278">
        <f t="shared" si="36"/>
        <v>37159.996599999999</v>
      </c>
      <c r="O43" s="278">
        <f t="shared" si="37"/>
        <v>800</v>
      </c>
      <c r="P43" s="278">
        <f t="shared" si="38"/>
        <v>6519.9994000000006</v>
      </c>
      <c r="Q43" s="279" t="s">
        <v>378</v>
      </c>
      <c r="R43" s="279" t="s">
        <v>379</v>
      </c>
      <c r="S43" s="279" t="s">
        <v>380</v>
      </c>
      <c r="T43" s="279" t="s">
        <v>381</v>
      </c>
      <c r="U43" s="279"/>
      <c r="V43" s="279"/>
      <c r="W43" s="279"/>
      <c r="X43" s="263"/>
      <c r="Y43" s="263"/>
      <c r="Z43" s="263"/>
      <c r="AA43" s="263"/>
    </row>
    <row r="44" spans="1:27" s="5" customFormat="1" ht="12" thickBot="1">
      <c r="A44" s="552">
        <f>'1-συμβολαια'!A44</f>
        <v>0</v>
      </c>
      <c r="B44" s="403"/>
      <c r="C44" s="356" t="str">
        <f>'1-συμβολαια'!C44</f>
        <v>μίσθωση ….. κόστος έργων αποκατάστασης</v>
      </c>
      <c r="D44" s="342">
        <f>'1-συμβολαια'!D44</f>
        <v>6000000</v>
      </c>
      <c r="E44" s="343"/>
      <c r="F44" s="343">
        <v>800</v>
      </c>
      <c r="G44" s="343">
        <v>3600</v>
      </c>
      <c r="H44" s="343">
        <f t="shared" si="30"/>
        <v>71280</v>
      </c>
      <c r="I44" s="343">
        <f t="shared" si="31"/>
        <v>75680</v>
      </c>
      <c r="J44" s="343">
        <f t="shared" si="32"/>
        <v>6739.2</v>
      </c>
      <c r="K44" s="343">
        <f t="shared" si="33"/>
        <v>40</v>
      </c>
      <c r="L44" s="343">
        <f t="shared" si="34"/>
        <v>3784</v>
      </c>
      <c r="M44" s="342">
        <f t="shared" si="35"/>
        <v>756.80000000000007</v>
      </c>
      <c r="N44" s="342">
        <f t="shared" si="36"/>
        <v>64360</v>
      </c>
      <c r="O44" s="342">
        <f t="shared" si="37"/>
        <v>800</v>
      </c>
      <c r="P44" s="342">
        <f t="shared" si="38"/>
        <v>11320</v>
      </c>
      <c r="Q44" s="279" t="s">
        <v>378</v>
      </c>
      <c r="R44" s="279" t="s">
        <v>379</v>
      </c>
      <c r="S44" s="279" t="s">
        <v>380</v>
      </c>
      <c r="T44" s="279" t="s">
        <v>381</v>
      </c>
      <c r="U44" s="279"/>
      <c r="V44" s="279"/>
      <c r="W44" s="279"/>
      <c r="X44" s="263"/>
      <c r="Y44" s="263"/>
      <c r="Z44" s="263"/>
      <c r="AA44" s="263"/>
    </row>
    <row r="45" spans="1:27" s="5" customFormat="1">
      <c r="A45" s="554" t="str">
        <f>'1-συμβολαια'!A45</f>
        <v>12ο</v>
      </c>
      <c r="B45" s="399">
        <f>'1-συμβολαια'!B45</f>
        <v>35185</v>
      </c>
      <c r="C45" s="405" t="str">
        <f>'1-συμβολαια'!C45</f>
        <v>μίσθωσης νταμάρι ... &amp; ... ΠΑΡΑΤΑΣΗ 3έτη</v>
      </c>
      <c r="D45" s="278">
        <f>'1-συμβολαια'!D45</f>
        <v>957000</v>
      </c>
      <c r="E45" s="261"/>
      <c r="F45" s="261">
        <v>800</v>
      </c>
      <c r="G45" s="261">
        <v>3600</v>
      </c>
      <c r="H45" s="261">
        <f t="shared" si="30"/>
        <v>10764</v>
      </c>
      <c r="I45" s="261">
        <f t="shared" si="31"/>
        <v>15164</v>
      </c>
      <c r="J45" s="261">
        <f t="shared" si="32"/>
        <v>1292.76</v>
      </c>
      <c r="K45" s="261">
        <f t="shared" si="33"/>
        <v>40</v>
      </c>
      <c r="L45" s="261">
        <f t="shared" si="34"/>
        <v>758.2</v>
      </c>
      <c r="M45" s="278">
        <f t="shared" si="35"/>
        <v>151.64000000000001</v>
      </c>
      <c r="N45" s="278">
        <f t="shared" si="36"/>
        <v>12921.4</v>
      </c>
      <c r="O45" s="278">
        <f t="shared" si="37"/>
        <v>800</v>
      </c>
      <c r="P45" s="278">
        <f t="shared" si="38"/>
        <v>2242.6</v>
      </c>
      <c r="Q45" s="279" t="s">
        <v>378</v>
      </c>
      <c r="R45" s="279" t="s">
        <v>379</v>
      </c>
      <c r="S45" s="279" t="s">
        <v>380</v>
      </c>
      <c r="T45" s="279" t="s">
        <v>381</v>
      </c>
      <c r="U45" s="279"/>
      <c r="V45" s="279"/>
      <c r="W45" s="279"/>
      <c r="X45" s="263"/>
      <c r="Y45" s="263"/>
      <c r="Z45" s="263"/>
      <c r="AA45" s="263"/>
    </row>
    <row r="46" spans="1:27" s="5" customFormat="1" ht="12" thickBot="1">
      <c r="A46" s="555">
        <f>'1-συμβολαια'!A46</f>
        <v>0</v>
      </c>
      <c r="B46" s="403"/>
      <c r="C46" s="591" t="str">
        <f>'1-συμβολαια'!C46</f>
        <v>ΧΑΟΣ= κλείσιμο &amp; εκ ΝΕΟΥ</v>
      </c>
      <c r="D46" s="582">
        <f>'1-συμβολαια'!D46</f>
        <v>0</v>
      </c>
      <c r="E46" s="581"/>
      <c r="F46" s="581"/>
      <c r="G46" s="581"/>
      <c r="H46" s="581"/>
      <c r="I46" s="581"/>
      <c r="J46" s="581"/>
      <c r="K46" s="581"/>
      <c r="L46" s="581"/>
      <c r="M46" s="582"/>
      <c r="N46" s="582"/>
      <c r="O46" s="582"/>
      <c r="P46" s="582"/>
      <c r="Q46" s="583"/>
      <c r="R46" s="583"/>
      <c r="S46" s="583"/>
      <c r="T46" s="583"/>
      <c r="U46" s="583"/>
      <c r="V46" s="583"/>
      <c r="W46" s="583"/>
      <c r="X46" s="592"/>
      <c r="Y46" s="263"/>
      <c r="Z46" s="263"/>
      <c r="AA46" s="263"/>
    </row>
    <row r="47" spans="1:27">
      <c r="A47" s="752" t="s">
        <v>54</v>
      </c>
      <c r="B47" s="753"/>
      <c r="C47" s="753"/>
      <c r="D47" s="753"/>
      <c r="E47" s="149">
        <f t="shared" ref="E47:P47" si="39">SUM(E3:E46)</f>
        <v>6250</v>
      </c>
      <c r="F47" s="149">
        <f t="shared" si="39"/>
        <v>13100</v>
      </c>
      <c r="G47" s="149">
        <f t="shared" si="39"/>
        <v>69000</v>
      </c>
      <c r="H47" s="149">
        <f t="shared" si="39"/>
        <v>7442349.0935000004</v>
      </c>
      <c r="I47" s="149">
        <f t="shared" si="39"/>
        <v>7530699.0935000004</v>
      </c>
      <c r="J47" s="149">
        <f t="shared" si="39"/>
        <v>694471.41841499973</v>
      </c>
      <c r="K47" s="149">
        <f t="shared" si="39"/>
        <v>967.5</v>
      </c>
      <c r="L47" s="149">
        <f t="shared" si="39"/>
        <v>376534.95467499999</v>
      </c>
      <c r="M47" s="149">
        <f t="shared" si="39"/>
        <v>75306.990935000023</v>
      </c>
      <c r="N47" s="149">
        <f t="shared" si="39"/>
        <v>6383418.2294750009</v>
      </c>
      <c r="O47" s="149">
        <f t="shared" si="39"/>
        <v>19350</v>
      </c>
      <c r="P47" s="149">
        <f t="shared" si="39"/>
        <v>1147280.8640250002</v>
      </c>
    </row>
    <row r="48" spans="1:27">
      <c r="K48" s="216"/>
      <c r="L48" s="216"/>
      <c r="M48" s="7"/>
      <c r="Q48" s="154" t="s">
        <v>368</v>
      </c>
      <c r="R48" s="122"/>
      <c r="S48" s="122"/>
      <c r="T48" s="122"/>
      <c r="U48" s="122"/>
      <c r="V48" s="122"/>
      <c r="W48" s="122"/>
      <c r="X48" s="122"/>
      <c r="Y48" s="122"/>
      <c r="Z48" s="122"/>
    </row>
    <row r="49" spans="3:27">
      <c r="L49" s="216"/>
      <c r="M49" s="7"/>
      <c r="Q49" s="132"/>
      <c r="R49" s="154" t="s">
        <v>369</v>
      </c>
      <c r="S49" s="122"/>
      <c r="T49" s="122"/>
      <c r="U49" s="122"/>
      <c r="V49" s="122"/>
      <c r="W49" s="122"/>
      <c r="X49" s="122"/>
      <c r="Y49" s="122"/>
      <c r="Z49" s="132"/>
    </row>
    <row r="50" spans="3:27">
      <c r="Q50" s="132"/>
      <c r="R50" s="132"/>
      <c r="S50" s="122" t="s">
        <v>370</v>
      </c>
      <c r="T50" s="132"/>
      <c r="U50" s="132"/>
      <c r="V50" s="132"/>
      <c r="W50" s="132"/>
      <c r="X50" s="132"/>
      <c r="Y50" s="132"/>
      <c r="Z50" s="132"/>
    </row>
    <row r="51" spans="3:27">
      <c r="L51" s="130"/>
      <c r="Q51" s="132"/>
      <c r="R51" s="132"/>
      <c r="S51" s="132"/>
      <c r="T51" s="154" t="s">
        <v>371</v>
      </c>
      <c r="U51" s="132"/>
      <c r="V51" s="132"/>
      <c r="W51" s="132"/>
      <c r="X51" s="132"/>
      <c r="Y51" s="132"/>
      <c r="Z51" s="132"/>
    </row>
    <row r="52" spans="3:27">
      <c r="Q52" s="132"/>
      <c r="R52" s="132"/>
      <c r="S52" s="132"/>
      <c r="T52" s="132"/>
      <c r="U52" s="122" t="s">
        <v>372</v>
      </c>
      <c r="V52" s="132"/>
      <c r="W52" s="132"/>
      <c r="X52" s="132"/>
      <c r="Y52" s="132"/>
      <c r="Z52" s="132"/>
    </row>
    <row r="53" spans="3:27">
      <c r="Q53" s="132"/>
      <c r="R53" s="132"/>
      <c r="S53" s="122"/>
      <c r="T53" s="122"/>
      <c r="U53" s="132"/>
      <c r="V53" s="154" t="s">
        <v>373</v>
      </c>
      <c r="W53" s="132"/>
      <c r="X53" s="122"/>
      <c r="Y53" s="122"/>
      <c r="Z53" s="122"/>
      <c r="AA53" s="122"/>
    </row>
    <row r="54" spans="3:27">
      <c r="Q54" s="132"/>
      <c r="R54" s="132"/>
      <c r="S54" s="122"/>
      <c r="T54" s="122"/>
      <c r="U54" s="132"/>
      <c r="V54" s="132"/>
      <c r="W54" s="122" t="s">
        <v>374</v>
      </c>
      <c r="X54" s="122"/>
      <c r="Y54" s="122"/>
      <c r="Z54" s="122"/>
      <c r="AA54" s="132"/>
    </row>
    <row r="55" spans="3:27">
      <c r="Q55" s="132"/>
      <c r="R55" s="132"/>
      <c r="S55" s="132"/>
      <c r="T55" s="122"/>
      <c r="U55" s="132"/>
      <c r="V55" s="132"/>
      <c r="W55" s="132"/>
      <c r="X55" s="132"/>
      <c r="Y55" s="132"/>
      <c r="Z55" s="132"/>
      <c r="AA55" s="132"/>
    </row>
    <row r="56" spans="3:27">
      <c r="C56" s="109" t="s">
        <v>561</v>
      </c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32"/>
      <c r="S56" s="132"/>
      <c r="T56" s="122"/>
      <c r="U56" s="132"/>
      <c r="V56" s="132"/>
      <c r="W56" s="132"/>
      <c r="X56" s="132"/>
      <c r="Y56" s="132"/>
      <c r="Z56" s="132"/>
      <c r="AA56" s="132"/>
    </row>
    <row r="57" spans="3:27">
      <c r="C57" s="109" t="s">
        <v>599</v>
      </c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32"/>
      <c r="S57" s="132"/>
      <c r="T57" s="122"/>
      <c r="U57" s="132"/>
      <c r="V57" s="132"/>
      <c r="W57" s="132"/>
      <c r="X57" s="132"/>
      <c r="Y57" s="132"/>
      <c r="Z57" s="132"/>
      <c r="AA57" s="132"/>
    </row>
    <row r="58" spans="3:27">
      <c r="C58" s="109" t="s">
        <v>600</v>
      </c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32"/>
      <c r="S58" s="132"/>
      <c r="T58" s="122"/>
      <c r="U58" s="132"/>
      <c r="V58" s="132"/>
      <c r="W58" s="132"/>
      <c r="X58" s="132"/>
      <c r="Y58" s="132"/>
      <c r="Z58" s="132"/>
      <c r="AA58" s="132"/>
    </row>
    <row r="59" spans="3:27">
      <c r="C59" s="109" t="s">
        <v>560</v>
      </c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32"/>
      <c r="S59" s="132"/>
      <c r="T59" s="122"/>
      <c r="U59" s="132"/>
      <c r="V59" s="132"/>
      <c r="W59" s="132"/>
      <c r="X59" s="132"/>
      <c r="Y59" s="132"/>
      <c r="Z59" s="132"/>
      <c r="AA59" s="132"/>
    </row>
    <row r="60" spans="3:27">
      <c r="C60" s="109" t="s">
        <v>499</v>
      </c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</row>
    <row r="61" spans="3:27">
      <c r="C61" s="109" t="s">
        <v>609</v>
      </c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</row>
    <row r="62" spans="3:27">
      <c r="C62" s="109" t="s">
        <v>616</v>
      </c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09"/>
    </row>
    <row r="63" spans="3:27">
      <c r="C63" s="618"/>
      <c r="D63" s="623" t="s">
        <v>586</v>
      </c>
      <c r="E63" s="623"/>
      <c r="F63" s="623"/>
      <c r="G63" s="623"/>
      <c r="H63" s="623"/>
      <c r="I63" s="624"/>
      <c r="J63" s="624"/>
      <c r="K63" s="624"/>
      <c r="L63" s="624"/>
      <c r="M63" s="624"/>
      <c r="N63" s="624"/>
      <c r="O63" s="618"/>
      <c r="P63" s="618"/>
      <c r="Q63" s="618"/>
    </row>
    <row r="64" spans="3:27">
      <c r="C64" s="618"/>
      <c r="D64" s="623" t="s">
        <v>601</v>
      </c>
      <c r="E64" s="623"/>
      <c r="F64" s="623"/>
      <c r="G64" s="623"/>
      <c r="H64" s="623"/>
      <c r="I64" s="624"/>
      <c r="J64" s="624"/>
      <c r="K64" s="624"/>
      <c r="L64" s="624"/>
      <c r="M64" s="624"/>
      <c r="N64" s="624"/>
      <c r="O64" s="618"/>
      <c r="P64" s="618"/>
      <c r="Q64" s="618"/>
    </row>
    <row r="65" spans="1:27">
      <c r="C65" s="618"/>
      <c r="D65" s="623" t="s">
        <v>602</v>
      </c>
      <c r="E65" s="623"/>
      <c r="F65" s="623"/>
      <c r="G65" s="623"/>
      <c r="H65" s="623"/>
      <c r="I65" s="624"/>
      <c r="J65" s="624"/>
      <c r="K65" s="624"/>
      <c r="L65" s="624"/>
      <c r="M65" s="624"/>
      <c r="N65" s="624"/>
      <c r="O65" s="618"/>
      <c r="P65" s="618"/>
      <c r="Q65" s="618"/>
    </row>
    <row r="66" spans="1:27">
      <c r="C66" s="618"/>
      <c r="D66" s="623" t="s">
        <v>562</v>
      </c>
      <c r="E66" s="623"/>
      <c r="F66" s="623"/>
      <c r="G66" s="623"/>
      <c r="H66" s="623"/>
      <c r="I66" s="624"/>
      <c r="J66" s="624"/>
      <c r="K66" s="624"/>
      <c r="L66" s="624"/>
      <c r="M66" s="624"/>
      <c r="N66" s="624"/>
      <c r="O66" s="618"/>
      <c r="P66" s="618"/>
      <c r="Q66" s="618"/>
    </row>
    <row r="67" spans="1:27">
      <c r="D67" s="623" t="s">
        <v>585</v>
      </c>
      <c r="E67" s="623"/>
      <c r="F67" s="623"/>
      <c r="G67" s="623"/>
      <c r="H67" s="623"/>
      <c r="I67" s="624"/>
      <c r="J67" s="624"/>
      <c r="K67" s="624"/>
      <c r="L67" s="624"/>
      <c r="M67" s="624"/>
      <c r="N67" s="624"/>
      <c r="O67" s="210"/>
      <c r="Q67" s="2"/>
      <c r="R67" s="2"/>
      <c r="S67" s="2"/>
      <c r="T67" s="2"/>
      <c r="U67" s="2"/>
    </row>
    <row r="68" spans="1:27">
      <c r="D68" s="623" t="s">
        <v>618</v>
      </c>
      <c r="E68" s="623"/>
      <c r="F68" s="623"/>
      <c r="G68" s="623"/>
      <c r="H68" s="623"/>
      <c r="I68" s="624"/>
      <c r="J68" s="624"/>
      <c r="K68" s="624"/>
      <c r="L68" s="624"/>
      <c r="M68" s="624"/>
      <c r="N68" s="624"/>
      <c r="O68" s="210"/>
      <c r="Q68" s="2"/>
      <c r="R68" s="2"/>
      <c r="S68" s="2"/>
      <c r="T68" s="2"/>
      <c r="U68" s="2"/>
    </row>
    <row r="69" spans="1:27" s="5" customFormat="1">
      <c r="A69" s="52"/>
      <c r="B69" s="52"/>
      <c r="C69" s="85"/>
      <c r="D69" s="623" t="s">
        <v>617</v>
      </c>
      <c r="E69" s="623"/>
      <c r="F69" s="623"/>
      <c r="G69" s="623"/>
      <c r="H69" s="623"/>
      <c r="I69" s="624"/>
      <c r="J69" s="624"/>
      <c r="K69" s="624"/>
      <c r="L69" s="624"/>
      <c r="M69" s="624"/>
      <c r="N69" s="624"/>
      <c r="O69" s="210"/>
      <c r="P69" s="4"/>
      <c r="Q69" s="4"/>
      <c r="R69" s="4"/>
      <c r="S69" s="4"/>
      <c r="T69" s="4"/>
      <c r="U69" s="4"/>
      <c r="V69" s="79"/>
      <c r="W69" s="79"/>
      <c r="X69" s="79"/>
      <c r="Y69" s="79"/>
      <c r="Z69" s="79"/>
      <c r="AA69" s="79"/>
    </row>
    <row r="70" spans="1:27" s="5" customFormat="1">
      <c r="A70" s="52"/>
      <c r="B70" s="52"/>
      <c r="C70" s="85"/>
      <c r="D70" s="619"/>
      <c r="E70" s="625" t="s">
        <v>587</v>
      </c>
      <c r="F70" s="625"/>
      <c r="G70" s="625"/>
      <c r="H70" s="626"/>
      <c r="I70" s="626"/>
      <c r="J70" s="626"/>
      <c r="K70" s="626"/>
      <c r="L70" s="626"/>
      <c r="M70" s="626"/>
      <c r="N70" s="619"/>
      <c r="O70" s="210"/>
      <c r="P70" s="4"/>
      <c r="Q70" s="4"/>
      <c r="R70" s="4"/>
      <c r="S70" s="4"/>
      <c r="T70" s="4"/>
      <c r="U70" s="4"/>
      <c r="V70" s="79"/>
      <c r="W70" s="79"/>
      <c r="X70" s="79"/>
      <c r="Y70" s="79"/>
      <c r="Z70" s="79"/>
      <c r="AA70" s="79"/>
    </row>
    <row r="71" spans="1:27" s="5" customFormat="1">
      <c r="A71" s="52"/>
      <c r="B71" s="52"/>
      <c r="C71" s="85"/>
      <c r="D71" s="619"/>
      <c r="E71" s="625" t="s">
        <v>603</v>
      </c>
      <c r="F71" s="625"/>
      <c r="G71" s="625"/>
      <c r="H71" s="626"/>
      <c r="I71" s="626"/>
      <c r="J71" s="626"/>
      <c r="K71" s="626"/>
      <c r="L71" s="626"/>
      <c r="M71" s="626"/>
      <c r="N71" s="619"/>
      <c r="O71" s="210"/>
      <c r="P71" s="4"/>
      <c r="Q71" s="4"/>
      <c r="R71" s="4"/>
      <c r="S71" s="4"/>
      <c r="T71" s="4"/>
      <c r="U71" s="4"/>
      <c r="V71" s="79"/>
      <c r="W71" s="79"/>
      <c r="X71" s="79"/>
      <c r="Y71" s="79"/>
      <c r="Z71" s="79"/>
      <c r="AA71" s="79"/>
    </row>
    <row r="72" spans="1:27" s="5" customFormat="1">
      <c r="A72" s="52"/>
      <c r="B72" s="52"/>
      <c r="C72" s="85"/>
      <c r="D72" s="619"/>
      <c r="E72" s="625" t="s">
        <v>604</v>
      </c>
      <c r="F72" s="625"/>
      <c r="G72" s="625"/>
      <c r="H72" s="626"/>
      <c r="I72" s="626"/>
      <c r="J72" s="626"/>
      <c r="K72" s="626"/>
      <c r="L72" s="626"/>
      <c r="M72" s="626"/>
      <c r="N72" s="619"/>
      <c r="O72" s="210"/>
      <c r="P72" s="4"/>
      <c r="Q72" s="4"/>
      <c r="R72" s="4"/>
      <c r="S72" s="4"/>
      <c r="T72" s="4"/>
      <c r="U72" s="4"/>
      <c r="V72" s="79"/>
      <c r="W72" s="79"/>
      <c r="X72" s="79"/>
      <c r="Y72" s="79"/>
      <c r="Z72" s="79"/>
      <c r="AA72" s="79"/>
    </row>
    <row r="73" spans="1:27" s="5" customFormat="1">
      <c r="A73" s="52"/>
      <c r="B73" s="52"/>
      <c r="C73" s="85"/>
      <c r="D73" s="619"/>
      <c r="E73" s="625" t="s">
        <v>563</v>
      </c>
      <c r="F73" s="625"/>
      <c r="G73" s="625"/>
      <c r="H73" s="626"/>
      <c r="I73" s="626"/>
      <c r="J73" s="626"/>
      <c r="K73" s="626"/>
      <c r="L73" s="626"/>
      <c r="M73" s="626"/>
      <c r="N73" s="619"/>
      <c r="O73" s="210"/>
      <c r="P73" s="4"/>
      <c r="Q73" s="4"/>
      <c r="R73" s="4"/>
      <c r="S73" s="4"/>
      <c r="T73" s="4"/>
      <c r="U73" s="4"/>
      <c r="V73" s="79"/>
      <c r="W73" s="79"/>
      <c r="X73" s="79"/>
      <c r="Y73" s="79"/>
      <c r="Z73" s="79"/>
      <c r="AA73" s="79"/>
    </row>
    <row r="74" spans="1:27" s="5" customFormat="1">
      <c r="A74" s="52"/>
      <c r="B74" s="52"/>
      <c r="C74" s="85"/>
      <c r="D74" s="619"/>
      <c r="E74" s="625" t="s">
        <v>584</v>
      </c>
      <c r="F74" s="625"/>
      <c r="G74" s="625"/>
      <c r="H74" s="626"/>
      <c r="I74" s="626"/>
      <c r="J74" s="626"/>
      <c r="K74" s="626"/>
      <c r="L74" s="626"/>
      <c r="M74" s="626"/>
      <c r="N74" s="619"/>
      <c r="O74" s="210"/>
      <c r="P74" s="4"/>
      <c r="Q74" s="4"/>
      <c r="R74" s="4"/>
      <c r="S74" s="4"/>
      <c r="T74" s="4"/>
      <c r="U74" s="4"/>
      <c r="V74" s="79"/>
      <c r="W74" s="79"/>
      <c r="X74" s="79"/>
      <c r="Y74" s="79"/>
      <c r="Z74" s="79"/>
      <c r="AA74" s="79"/>
    </row>
    <row r="75" spans="1:27" s="5" customFormat="1">
      <c r="A75" s="52"/>
      <c r="B75" s="52"/>
      <c r="C75" s="85"/>
      <c r="D75" s="619"/>
      <c r="E75" s="625" t="s">
        <v>610</v>
      </c>
      <c r="F75" s="625"/>
      <c r="G75" s="625"/>
      <c r="H75" s="626"/>
      <c r="I75" s="626"/>
      <c r="J75" s="626"/>
      <c r="K75" s="626"/>
      <c r="L75" s="626"/>
      <c r="M75" s="626"/>
      <c r="N75" s="619"/>
      <c r="O75" s="210"/>
      <c r="P75" s="4"/>
      <c r="Q75" s="4"/>
      <c r="R75" s="4"/>
      <c r="S75" s="4"/>
      <c r="T75" s="4"/>
      <c r="U75" s="4"/>
      <c r="V75" s="79"/>
      <c r="W75" s="79"/>
      <c r="X75" s="79"/>
      <c r="Y75" s="79"/>
      <c r="Z75" s="79"/>
      <c r="AA75" s="79"/>
    </row>
    <row r="76" spans="1:27">
      <c r="E76" s="625" t="s">
        <v>611</v>
      </c>
      <c r="F76" s="625"/>
      <c r="G76" s="625"/>
      <c r="H76" s="626"/>
      <c r="I76" s="626"/>
      <c r="J76" s="626"/>
      <c r="K76" s="626"/>
      <c r="L76" s="626"/>
      <c r="M76" s="626"/>
      <c r="N76" s="210"/>
      <c r="O76" s="210"/>
      <c r="Q76" s="2"/>
      <c r="R76" s="2"/>
      <c r="S76" s="2"/>
      <c r="T76" s="2"/>
      <c r="U76" s="2"/>
    </row>
    <row r="77" spans="1:27">
      <c r="M77" s="210"/>
      <c r="N77" s="210"/>
      <c r="O77" s="210"/>
      <c r="Q77" s="2"/>
      <c r="R77" s="2"/>
      <c r="S77" s="2"/>
      <c r="T77" s="2"/>
      <c r="U77" s="2"/>
    </row>
    <row r="78" spans="1:27">
      <c r="D78" s="627" t="s">
        <v>59</v>
      </c>
      <c r="E78" s="627"/>
      <c r="F78" s="627"/>
      <c r="G78" s="628"/>
      <c r="H78" s="628"/>
      <c r="I78" s="628"/>
      <c r="M78" s="7"/>
      <c r="N78" s="211"/>
      <c r="O78" s="211"/>
      <c r="Q78" s="2"/>
      <c r="R78" s="2"/>
      <c r="S78" s="2"/>
      <c r="T78" s="2"/>
      <c r="U78" s="2"/>
    </row>
    <row r="79" spans="1:27">
      <c r="I79" s="3"/>
      <c r="K79" s="3"/>
      <c r="L79" s="3"/>
      <c r="M79" s="210"/>
      <c r="N79" s="210"/>
      <c r="O79" s="210"/>
      <c r="Q79" s="2"/>
      <c r="R79" s="2"/>
      <c r="S79" s="2"/>
      <c r="T79" s="2"/>
      <c r="U79" s="2"/>
      <c r="V79" s="3"/>
      <c r="W79" s="3"/>
      <c r="X79" s="3"/>
      <c r="Y79" s="3"/>
    </row>
    <row r="80" spans="1:27">
      <c r="E80" s="3"/>
      <c r="I80" s="3"/>
      <c r="K80" s="3"/>
      <c r="L80" s="3"/>
      <c r="M80" s="211"/>
      <c r="N80" s="211"/>
      <c r="O80" s="211"/>
      <c r="Q80" s="2"/>
      <c r="R80" s="2"/>
      <c r="S80" s="2"/>
      <c r="T80" s="2"/>
      <c r="U80" s="2"/>
      <c r="V80" s="3"/>
      <c r="W80" s="3"/>
      <c r="X80" s="3"/>
      <c r="Y80" s="3"/>
    </row>
    <row r="81" spans="3:25">
      <c r="C81" s="620" t="s">
        <v>375</v>
      </c>
      <c r="I81" s="3"/>
      <c r="K81" s="3"/>
      <c r="L81" s="3"/>
      <c r="Q81" s="2"/>
      <c r="R81" s="2"/>
      <c r="S81" s="2"/>
      <c r="T81" s="2"/>
      <c r="U81" s="2"/>
      <c r="V81" s="3"/>
      <c r="W81" s="3"/>
      <c r="X81" s="3"/>
      <c r="Y81" s="3"/>
    </row>
    <row r="82" spans="3:25">
      <c r="C82" s="621" t="s">
        <v>376</v>
      </c>
      <c r="I82" s="52"/>
      <c r="K82" s="52"/>
      <c r="L82" s="52"/>
      <c r="Q82" s="2"/>
      <c r="R82" s="2"/>
      <c r="S82" s="2"/>
      <c r="T82" s="2"/>
      <c r="U82" s="2"/>
    </row>
    <row r="83" spans="3:25">
      <c r="C83" s="622" t="s">
        <v>377</v>
      </c>
      <c r="I83" s="52"/>
      <c r="J83" s="52"/>
      <c r="K83" s="52"/>
      <c r="L83" s="52"/>
      <c r="Q83" s="2"/>
      <c r="R83" s="2"/>
      <c r="S83" s="2"/>
      <c r="T83" s="2"/>
      <c r="U83" s="2"/>
    </row>
    <row r="84" spans="3:25">
      <c r="C84" s="85"/>
      <c r="D84" s="4"/>
      <c r="E84" s="52"/>
      <c r="F84" s="4"/>
      <c r="G84" s="4"/>
      <c r="H84" s="4"/>
      <c r="I84" s="52"/>
      <c r="J84" s="52"/>
      <c r="K84" s="52"/>
      <c r="L84" s="52"/>
      <c r="Q84" s="2"/>
      <c r="R84" s="2"/>
      <c r="S84" s="2"/>
      <c r="T84" s="2"/>
      <c r="U84" s="2"/>
    </row>
    <row r="85" spans="3:25">
      <c r="C85" s="85"/>
      <c r="D85" s="4"/>
      <c r="E85" s="52"/>
      <c r="F85" s="4"/>
      <c r="G85" s="4"/>
      <c r="H85" s="4"/>
      <c r="I85" s="52"/>
      <c r="J85" s="52"/>
      <c r="K85" s="52"/>
      <c r="L85" s="52"/>
      <c r="Q85" s="2"/>
      <c r="R85" s="2"/>
      <c r="S85" s="2"/>
      <c r="T85" s="2"/>
      <c r="U85" s="2"/>
    </row>
    <row r="86" spans="3:25">
      <c r="C86" s="85"/>
      <c r="D86" s="4"/>
      <c r="E86" s="52"/>
      <c r="F86" s="4"/>
      <c r="G86" s="4"/>
      <c r="H86" s="4"/>
      <c r="I86" s="52"/>
      <c r="J86" s="52"/>
      <c r="K86" s="52"/>
      <c r="L86" s="52"/>
      <c r="Q86" s="2"/>
      <c r="R86" s="2"/>
      <c r="S86" s="2"/>
      <c r="T86" s="2"/>
      <c r="U86" s="2"/>
    </row>
    <row r="87" spans="3:25">
      <c r="C87" s="85"/>
      <c r="D87" s="4"/>
      <c r="E87" s="52"/>
      <c r="F87" s="4"/>
      <c r="G87" s="4"/>
      <c r="H87" s="4"/>
      <c r="I87" s="52"/>
      <c r="J87" s="52"/>
      <c r="K87" s="52"/>
      <c r="L87" s="52"/>
      <c r="P87" s="7"/>
      <c r="Q87" s="5"/>
      <c r="R87" s="5"/>
      <c r="S87" s="5"/>
      <c r="T87" s="5"/>
    </row>
    <row r="88" spans="3:25">
      <c r="D88" s="281"/>
      <c r="F88" s="7"/>
      <c r="G88" s="7"/>
      <c r="H88" s="7"/>
      <c r="L88" s="281"/>
      <c r="M88" s="7"/>
      <c r="N88" s="7"/>
      <c r="O88" s="7"/>
      <c r="P88" s="7"/>
      <c r="Q88" s="7"/>
      <c r="R88" s="5"/>
      <c r="S88" s="5"/>
      <c r="T88" s="5"/>
    </row>
    <row r="89" spans="3:25">
      <c r="D89" s="281"/>
      <c r="F89" s="7"/>
      <c r="G89" s="7"/>
      <c r="H89" s="7"/>
      <c r="L89" s="2"/>
      <c r="M89" s="7"/>
      <c r="N89" s="7"/>
      <c r="O89" s="7"/>
      <c r="P89" s="7"/>
      <c r="Q89" s="7"/>
      <c r="R89" s="5"/>
      <c r="S89" s="5"/>
      <c r="T89" s="5"/>
    </row>
    <row r="90" spans="3:25">
      <c r="D90" s="281"/>
      <c r="F90" s="7"/>
      <c r="G90" s="7"/>
      <c r="H90" s="7"/>
      <c r="L90" s="2"/>
      <c r="M90" s="7"/>
      <c r="N90" s="7"/>
      <c r="O90" s="7"/>
      <c r="P90" s="7"/>
      <c r="Q90" s="7"/>
    </row>
    <row r="91" spans="3:25">
      <c r="D91" s="281"/>
      <c r="F91" s="7"/>
      <c r="G91" s="7"/>
      <c r="H91" s="7"/>
      <c r="L91" s="2"/>
      <c r="M91" s="7"/>
      <c r="N91" s="7"/>
      <c r="O91" s="7"/>
      <c r="P91" s="7"/>
      <c r="Q91" s="7"/>
    </row>
    <row r="92" spans="3:25">
      <c r="D92" s="281"/>
      <c r="F92" s="7"/>
      <c r="G92" s="7"/>
      <c r="H92" s="7"/>
      <c r="L92" s="2"/>
      <c r="M92" s="7"/>
      <c r="N92" s="7"/>
      <c r="O92" s="7"/>
      <c r="P92" s="7"/>
      <c r="Q92" s="216"/>
    </row>
    <row r="93" spans="3:25">
      <c r="D93" s="281"/>
      <c r="F93" s="7"/>
      <c r="G93" s="7"/>
      <c r="H93" s="7"/>
      <c r="L93" s="2"/>
      <c r="M93" s="7"/>
      <c r="N93" s="7"/>
      <c r="O93" s="7"/>
      <c r="P93" s="7"/>
      <c r="Q93" s="216"/>
    </row>
    <row r="94" spans="3:25">
      <c r="D94" s="281"/>
      <c r="F94" s="7"/>
      <c r="G94" s="7"/>
      <c r="H94" s="7"/>
      <c r="L94" s="281"/>
      <c r="M94" s="7"/>
      <c r="N94" s="7"/>
      <c r="O94" s="7"/>
      <c r="P94" s="7"/>
      <c r="Q94" s="7"/>
    </row>
    <row r="95" spans="3:25">
      <c r="D95" s="281"/>
      <c r="F95" s="7"/>
      <c r="G95" s="7"/>
      <c r="H95" s="7"/>
      <c r="L95" s="2"/>
      <c r="M95" s="7"/>
      <c r="N95" s="7"/>
      <c r="O95" s="7"/>
      <c r="P95" s="7"/>
      <c r="Q95" s="7"/>
    </row>
    <row r="96" spans="3:25">
      <c r="D96" s="281"/>
      <c r="F96" s="7"/>
      <c r="G96" s="7"/>
      <c r="H96" s="7"/>
      <c r="L96" s="2"/>
      <c r="M96" s="7"/>
      <c r="N96" s="7"/>
      <c r="O96" s="7"/>
      <c r="P96" s="7"/>
      <c r="Q96" s="7"/>
    </row>
    <row r="97" spans="4:17">
      <c r="D97" s="281"/>
      <c r="F97" s="7"/>
      <c r="G97" s="7"/>
      <c r="H97" s="7"/>
      <c r="L97" s="2"/>
      <c r="M97" s="7"/>
      <c r="N97" s="7"/>
      <c r="O97" s="7"/>
      <c r="P97" s="7"/>
      <c r="Q97" s="7"/>
    </row>
    <row r="98" spans="4:17">
      <c r="D98" s="281"/>
      <c r="F98" s="7"/>
      <c r="G98" s="7"/>
      <c r="H98" s="7"/>
      <c r="L98" s="2"/>
      <c r="M98" s="7"/>
      <c r="N98" s="7"/>
      <c r="O98" s="7"/>
      <c r="P98" s="7"/>
      <c r="Q98" s="7"/>
    </row>
    <row r="99" spans="4:17">
      <c r="D99" s="281"/>
      <c r="F99" s="7"/>
      <c r="G99" s="7"/>
      <c r="H99" s="7"/>
      <c r="L99" s="2"/>
      <c r="M99" s="7"/>
      <c r="N99" s="7"/>
      <c r="O99" s="7"/>
      <c r="P99" s="7"/>
      <c r="Q99" s="7"/>
    </row>
    <row r="100" spans="4:17">
      <c r="D100" s="281"/>
      <c r="F100" s="7"/>
      <c r="G100" s="7"/>
      <c r="H100" s="7"/>
      <c r="L100" s="281"/>
      <c r="M100" s="7"/>
      <c r="N100" s="7"/>
      <c r="O100" s="7"/>
      <c r="P100" s="7"/>
      <c r="Q100" s="7"/>
    </row>
    <row r="101" spans="4:17">
      <c r="D101" s="281"/>
      <c r="F101" s="7"/>
      <c r="G101" s="7"/>
      <c r="H101" s="7"/>
      <c r="L101" s="2"/>
      <c r="M101" s="7"/>
      <c r="N101" s="7"/>
      <c r="O101" s="7"/>
      <c r="P101" s="7"/>
      <c r="Q101" s="7"/>
    </row>
    <row r="102" spans="4:17">
      <c r="D102" s="281"/>
      <c r="F102" s="7"/>
      <c r="G102" s="7"/>
      <c r="H102" s="7"/>
      <c r="L102" s="2"/>
      <c r="M102" s="7"/>
      <c r="N102" s="7"/>
      <c r="O102" s="7"/>
      <c r="P102" s="7"/>
      <c r="Q102" s="7"/>
    </row>
    <row r="103" spans="4:17">
      <c r="I103" s="2"/>
      <c r="L103" s="2"/>
      <c r="N103" s="7"/>
      <c r="O103" s="7"/>
      <c r="P103" s="7"/>
      <c r="Q103" s="7"/>
    </row>
    <row r="104" spans="4:17">
      <c r="I104" s="2"/>
      <c r="J104" s="2"/>
      <c r="M104" s="7"/>
      <c r="N104" s="7"/>
    </row>
    <row r="105" spans="4:17">
      <c r="I105" s="2"/>
      <c r="J105" s="2"/>
      <c r="M105" s="7"/>
      <c r="N105" s="7"/>
    </row>
  </sheetData>
  <mergeCells count="8">
    <mergeCell ref="Q1:AA2"/>
    <mergeCell ref="N1:O1"/>
    <mergeCell ref="P1:P2"/>
    <mergeCell ref="E1:M1"/>
    <mergeCell ref="A47:D47"/>
    <mergeCell ref="A1:A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79"/>
  <sheetViews>
    <sheetView workbookViewId="0">
      <pane ySplit="2" topLeftCell="A18" activePane="bottomLeft" state="frozen"/>
      <selection pane="bottomLeft" activeCell="N27" sqref="N27"/>
    </sheetView>
  </sheetViews>
  <sheetFormatPr defaultRowHeight="11.25"/>
  <cols>
    <col min="1" max="1" width="15.28515625" style="3" bestFit="1" customWidth="1"/>
    <col min="2" max="2" width="12.7109375" style="3" bestFit="1" customWidth="1"/>
    <col min="3" max="3" width="75.28515625" style="82" customWidth="1"/>
    <col min="4" max="4" width="18.5703125" style="7" customWidth="1"/>
    <col min="5" max="6" width="7.140625" style="7" bestFit="1" customWidth="1"/>
    <col min="7" max="7" width="11.5703125" style="2" bestFit="1" customWidth="1"/>
    <col min="8" max="8" width="13.5703125" style="2" bestFit="1" customWidth="1"/>
    <col min="9" max="9" width="6.28515625" style="75" customWidth="1"/>
    <col min="10" max="13" width="5.5703125" style="75" customWidth="1"/>
    <col min="14" max="14" width="19.7109375" style="75" customWidth="1"/>
    <col min="15" max="15" width="19.7109375" style="75" bestFit="1" customWidth="1"/>
    <col min="16" max="221" width="9.140625" style="3"/>
    <col min="222" max="222" width="9" style="3" bestFit="1" customWidth="1"/>
    <col min="223" max="223" width="9.85546875" style="3" bestFit="1" customWidth="1"/>
    <col min="224" max="224" width="9.140625" style="3" bestFit="1" customWidth="1"/>
    <col min="225" max="225" width="16" style="3" bestFit="1" customWidth="1"/>
    <col min="226" max="226" width="9" style="3" bestFit="1" customWidth="1"/>
    <col min="227" max="227" width="7.85546875" style="3" bestFit="1" customWidth="1"/>
    <col min="228" max="228" width="11.7109375" style="3" bestFit="1" customWidth="1"/>
    <col min="229" max="229" width="14.28515625" style="3" customWidth="1"/>
    <col min="230" max="230" width="11.7109375" style="3" bestFit="1" customWidth="1"/>
    <col min="231" max="231" width="14.140625" style="3" bestFit="1" customWidth="1"/>
    <col min="232" max="232" width="16.7109375" style="3" customWidth="1"/>
    <col min="233" max="233" width="16.5703125" style="3" customWidth="1"/>
    <col min="234" max="235" width="7.85546875" style="3" bestFit="1" customWidth="1"/>
    <col min="236" max="236" width="8" style="3" bestFit="1" customWidth="1"/>
    <col min="237" max="238" width="7.85546875" style="3" bestFit="1" customWidth="1"/>
    <col min="239" max="239" width="9.7109375" style="3" customWidth="1"/>
    <col min="240" max="240" width="12.85546875" style="3" customWidth="1"/>
    <col min="241" max="477" width="9.140625" style="3"/>
    <col min="478" max="478" width="9" style="3" bestFit="1" customWidth="1"/>
    <col min="479" max="479" width="9.85546875" style="3" bestFit="1" customWidth="1"/>
    <col min="480" max="480" width="9.140625" style="3" bestFit="1" customWidth="1"/>
    <col min="481" max="481" width="16" style="3" bestFit="1" customWidth="1"/>
    <col min="482" max="482" width="9" style="3" bestFit="1" customWidth="1"/>
    <col min="483" max="483" width="7.85546875" style="3" bestFit="1" customWidth="1"/>
    <col min="484" max="484" width="11.7109375" style="3" bestFit="1" customWidth="1"/>
    <col min="485" max="485" width="14.28515625" style="3" customWidth="1"/>
    <col min="486" max="486" width="11.7109375" style="3" bestFit="1" customWidth="1"/>
    <col min="487" max="487" width="14.140625" style="3" bestFit="1" customWidth="1"/>
    <col min="488" max="488" width="16.7109375" style="3" customWidth="1"/>
    <col min="489" max="489" width="16.5703125" style="3" customWidth="1"/>
    <col min="490" max="491" width="7.85546875" style="3" bestFit="1" customWidth="1"/>
    <col min="492" max="492" width="8" style="3" bestFit="1" customWidth="1"/>
    <col min="493" max="494" width="7.85546875" style="3" bestFit="1" customWidth="1"/>
    <col min="495" max="495" width="9.7109375" style="3" customWidth="1"/>
    <col min="496" max="496" width="12.85546875" style="3" customWidth="1"/>
    <col min="497" max="733" width="9.140625" style="3"/>
    <col min="734" max="734" width="9" style="3" bestFit="1" customWidth="1"/>
    <col min="735" max="735" width="9.85546875" style="3" bestFit="1" customWidth="1"/>
    <col min="736" max="736" width="9.140625" style="3" bestFit="1" customWidth="1"/>
    <col min="737" max="737" width="16" style="3" bestFit="1" customWidth="1"/>
    <col min="738" max="738" width="9" style="3" bestFit="1" customWidth="1"/>
    <col min="739" max="739" width="7.85546875" style="3" bestFit="1" customWidth="1"/>
    <col min="740" max="740" width="11.7109375" style="3" bestFit="1" customWidth="1"/>
    <col min="741" max="741" width="14.28515625" style="3" customWidth="1"/>
    <col min="742" max="742" width="11.7109375" style="3" bestFit="1" customWidth="1"/>
    <col min="743" max="743" width="14.140625" style="3" bestFit="1" customWidth="1"/>
    <col min="744" max="744" width="16.7109375" style="3" customWidth="1"/>
    <col min="745" max="745" width="16.5703125" style="3" customWidth="1"/>
    <col min="746" max="747" width="7.85546875" style="3" bestFit="1" customWidth="1"/>
    <col min="748" max="748" width="8" style="3" bestFit="1" customWidth="1"/>
    <col min="749" max="750" width="7.85546875" style="3" bestFit="1" customWidth="1"/>
    <col min="751" max="751" width="9.7109375" style="3" customWidth="1"/>
    <col min="752" max="752" width="12.85546875" style="3" customWidth="1"/>
    <col min="753" max="989" width="9.140625" style="3"/>
    <col min="990" max="990" width="9" style="3" bestFit="1" customWidth="1"/>
    <col min="991" max="991" width="9.85546875" style="3" bestFit="1" customWidth="1"/>
    <col min="992" max="992" width="9.140625" style="3" bestFit="1" customWidth="1"/>
    <col min="993" max="993" width="16" style="3" bestFit="1" customWidth="1"/>
    <col min="994" max="994" width="9" style="3" bestFit="1" customWidth="1"/>
    <col min="995" max="995" width="7.85546875" style="3" bestFit="1" customWidth="1"/>
    <col min="996" max="996" width="11.7109375" style="3" bestFit="1" customWidth="1"/>
    <col min="997" max="997" width="14.28515625" style="3" customWidth="1"/>
    <col min="998" max="998" width="11.7109375" style="3" bestFit="1" customWidth="1"/>
    <col min="999" max="999" width="14.140625" style="3" bestFit="1" customWidth="1"/>
    <col min="1000" max="1000" width="16.7109375" style="3" customWidth="1"/>
    <col min="1001" max="1001" width="16.5703125" style="3" customWidth="1"/>
    <col min="1002" max="1003" width="7.85546875" style="3" bestFit="1" customWidth="1"/>
    <col min="1004" max="1004" width="8" style="3" bestFit="1" customWidth="1"/>
    <col min="1005" max="1006" width="7.85546875" style="3" bestFit="1" customWidth="1"/>
    <col min="1007" max="1007" width="9.7109375" style="3" customWidth="1"/>
    <col min="1008" max="1008" width="12.85546875" style="3" customWidth="1"/>
    <col min="1009" max="1245" width="9.140625" style="3"/>
    <col min="1246" max="1246" width="9" style="3" bestFit="1" customWidth="1"/>
    <col min="1247" max="1247" width="9.85546875" style="3" bestFit="1" customWidth="1"/>
    <col min="1248" max="1248" width="9.140625" style="3" bestFit="1" customWidth="1"/>
    <col min="1249" max="1249" width="16" style="3" bestFit="1" customWidth="1"/>
    <col min="1250" max="1250" width="9" style="3" bestFit="1" customWidth="1"/>
    <col min="1251" max="1251" width="7.85546875" style="3" bestFit="1" customWidth="1"/>
    <col min="1252" max="1252" width="11.7109375" style="3" bestFit="1" customWidth="1"/>
    <col min="1253" max="1253" width="14.28515625" style="3" customWidth="1"/>
    <col min="1254" max="1254" width="11.7109375" style="3" bestFit="1" customWidth="1"/>
    <col min="1255" max="1255" width="14.140625" style="3" bestFit="1" customWidth="1"/>
    <col min="1256" max="1256" width="16.7109375" style="3" customWidth="1"/>
    <col min="1257" max="1257" width="16.5703125" style="3" customWidth="1"/>
    <col min="1258" max="1259" width="7.85546875" style="3" bestFit="1" customWidth="1"/>
    <col min="1260" max="1260" width="8" style="3" bestFit="1" customWidth="1"/>
    <col min="1261" max="1262" width="7.85546875" style="3" bestFit="1" customWidth="1"/>
    <col min="1263" max="1263" width="9.7109375" style="3" customWidth="1"/>
    <col min="1264" max="1264" width="12.85546875" style="3" customWidth="1"/>
    <col min="1265" max="1501" width="9.140625" style="3"/>
    <col min="1502" max="1502" width="9" style="3" bestFit="1" customWidth="1"/>
    <col min="1503" max="1503" width="9.85546875" style="3" bestFit="1" customWidth="1"/>
    <col min="1504" max="1504" width="9.140625" style="3" bestFit="1" customWidth="1"/>
    <col min="1505" max="1505" width="16" style="3" bestFit="1" customWidth="1"/>
    <col min="1506" max="1506" width="9" style="3" bestFit="1" customWidth="1"/>
    <col min="1507" max="1507" width="7.85546875" style="3" bestFit="1" customWidth="1"/>
    <col min="1508" max="1508" width="11.7109375" style="3" bestFit="1" customWidth="1"/>
    <col min="1509" max="1509" width="14.28515625" style="3" customWidth="1"/>
    <col min="1510" max="1510" width="11.7109375" style="3" bestFit="1" customWidth="1"/>
    <col min="1511" max="1511" width="14.140625" style="3" bestFit="1" customWidth="1"/>
    <col min="1512" max="1512" width="16.7109375" style="3" customWidth="1"/>
    <col min="1513" max="1513" width="16.5703125" style="3" customWidth="1"/>
    <col min="1514" max="1515" width="7.85546875" style="3" bestFit="1" customWidth="1"/>
    <col min="1516" max="1516" width="8" style="3" bestFit="1" customWidth="1"/>
    <col min="1517" max="1518" width="7.85546875" style="3" bestFit="1" customWidth="1"/>
    <col min="1519" max="1519" width="9.7109375" style="3" customWidth="1"/>
    <col min="1520" max="1520" width="12.85546875" style="3" customWidth="1"/>
    <col min="1521" max="1757" width="9.140625" style="3"/>
    <col min="1758" max="1758" width="9" style="3" bestFit="1" customWidth="1"/>
    <col min="1759" max="1759" width="9.85546875" style="3" bestFit="1" customWidth="1"/>
    <col min="1760" max="1760" width="9.140625" style="3" bestFit="1" customWidth="1"/>
    <col min="1761" max="1761" width="16" style="3" bestFit="1" customWidth="1"/>
    <col min="1762" max="1762" width="9" style="3" bestFit="1" customWidth="1"/>
    <col min="1763" max="1763" width="7.85546875" style="3" bestFit="1" customWidth="1"/>
    <col min="1764" max="1764" width="11.7109375" style="3" bestFit="1" customWidth="1"/>
    <col min="1765" max="1765" width="14.28515625" style="3" customWidth="1"/>
    <col min="1766" max="1766" width="11.7109375" style="3" bestFit="1" customWidth="1"/>
    <col min="1767" max="1767" width="14.140625" style="3" bestFit="1" customWidth="1"/>
    <col min="1768" max="1768" width="16.7109375" style="3" customWidth="1"/>
    <col min="1769" max="1769" width="16.5703125" style="3" customWidth="1"/>
    <col min="1770" max="1771" width="7.85546875" style="3" bestFit="1" customWidth="1"/>
    <col min="1772" max="1772" width="8" style="3" bestFit="1" customWidth="1"/>
    <col min="1773" max="1774" width="7.85546875" style="3" bestFit="1" customWidth="1"/>
    <col min="1775" max="1775" width="9.7109375" style="3" customWidth="1"/>
    <col min="1776" max="1776" width="12.85546875" style="3" customWidth="1"/>
    <col min="1777" max="2013" width="9.140625" style="3"/>
    <col min="2014" max="2014" width="9" style="3" bestFit="1" customWidth="1"/>
    <col min="2015" max="2015" width="9.85546875" style="3" bestFit="1" customWidth="1"/>
    <col min="2016" max="2016" width="9.140625" style="3" bestFit="1" customWidth="1"/>
    <col min="2017" max="2017" width="16" style="3" bestFit="1" customWidth="1"/>
    <col min="2018" max="2018" width="9" style="3" bestFit="1" customWidth="1"/>
    <col min="2019" max="2019" width="7.85546875" style="3" bestFit="1" customWidth="1"/>
    <col min="2020" max="2020" width="11.7109375" style="3" bestFit="1" customWidth="1"/>
    <col min="2021" max="2021" width="14.28515625" style="3" customWidth="1"/>
    <col min="2022" max="2022" width="11.7109375" style="3" bestFit="1" customWidth="1"/>
    <col min="2023" max="2023" width="14.140625" style="3" bestFit="1" customWidth="1"/>
    <col min="2024" max="2024" width="16.7109375" style="3" customWidth="1"/>
    <col min="2025" max="2025" width="16.5703125" style="3" customWidth="1"/>
    <col min="2026" max="2027" width="7.85546875" style="3" bestFit="1" customWidth="1"/>
    <col min="2028" max="2028" width="8" style="3" bestFit="1" customWidth="1"/>
    <col min="2029" max="2030" width="7.85546875" style="3" bestFit="1" customWidth="1"/>
    <col min="2031" max="2031" width="9.7109375" style="3" customWidth="1"/>
    <col min="2032" max="2032" width="12.85546875" style="3" customWidth="1"/>
    <col min="2033" max="2269" width="9.140625" style="3"/>
    <col min="2270" max="2270" width="9" style="3" bestFit="1" customWidth="1"/>
    <col min="2271" max="2271" width="9.85546875" style="3" bestFit="1" customWidth="1"/>
    <col min="2272" max="2272" width="9.140625" style="3" bestFit="1" customWidth="1"/>
    <col min="2273" max="2273" width="16" style="3" bestFit="1" customWidth="1"/>
    <col min="2274" max="2274" width="9" style="3" bestFit="1" customWidth="1"/>
    <col min="2275" max="2275" width="7.85546875" style="3" bestFit="1" customWidth="1"/>
    <col min="2276" max="2276" width="11.7109375" style="3" bestFit="1" customWidth="1"/>
    <col min="2277" max="2277" width="14.28515625" style="3" customWidth="1"/>
    <col min="2278" max="2278" width="11.7109375" style="3" bestFit="1" customWidth="1"/>
    <col min="2279" max="2279" width="14.140625" style="3" bestFit="1" customWidth="1"/>
    <col min="2280" max="2280" width="16.7109375" style="3" customWidth="1"/>
    <col min="2281" max="2281" width="16.5703125" style="3" customWidth="1"/>
    <col min="2282" max="2283" width="7.85546875" style="3" bestFit="1" customWidth="1"/>
    <col min="2284" max="2284" width="8" style="3" bestFit="1" customWidth="1"/>
    <col min="2285" max="2286" width="7.85546875" style="3" bestFit="1" customWidth="1"/>
    <col min="2287" max="2287" width="9.7109375" style="3" customWidth="1"/>
    <col min="2288" max="2288" width="12.85546875" style="3" customWidth="1"/>
    <col min="2289" max="2525" width="9.140625" style="3"/>
    <col min="2526" max="2526" width="9" style="3" bestFit="1" customWidth="1"/>
    <col min="2527" max="2527" width="9.85546875" style="3" bestFit="1" customWidth="1"/>
    <col min="2528" max="2528" width="9.140625" style="3" bestFit="1" customWidth="1"/>
    <col min="2529" max="2529" width="16" style="3" bestFit="1" customWidth="1"/>
    <col min="2530" max="2530" width="9" style="3" bestFit="1" customWidth="1"/>
    <col min="2531" max="2531" width="7.85546875" style="3" bestFit="1" customWidth="1"/>
    <col min="2532" max="2532" width="11.7109375" style="3" bestFit="1" customWidth="1"/>
    <col min="2533" max="2533" width="14.28515625" style="3" customWidth="1"/>
    <col min="2534" max="2534" width="11.7109375" style="3" bestFit="1" customWidth="1"/>
    <col min="2535" max="2535" width="14.140625" style="3" bestFit="1" customWidth="1"/>
    <col min="2536" max="2536" width="16.7109375" style="3" customWidth="1"/>
    <col min="2537" max="2537" width="16.5703125" style="3" customWidth="1"/>
    <col min="2538" max="2539" width="7.85546875" style="3" bestFit="1" customWidth="1"/>
    <col min="2540" max="2540" width="8" style="3" bestFit="1" customWidth="1"/>
    <col min="2541" max="2542" width="7.85546875" style="3" bestFit="1" customWidth="1"/>
    <col min="2543" max="2543" width="9.7109375" style="3" customWidth="1"/>
    <col min="2544" max="2544" width="12.85546875" style="3" customWidth="1"/>
    <col min="2545" max="2781" width="9.140625" style="3"/>
    <col min="2782" max="2782" width="9" style="3" bestFit="1" customWidth="1"/>
    <col min="2783" max="2783" width="9.85546875" style="3" bestFit="1" customWidth="1"/>
    <col min="2784" max="2784" width="9.140625" style="3" bestFit="1" customWidth="1"/>
    <col min="2785" max="2785" width="16" style="3" bestFit="1" customWidth="1"/>
    <col min="2786" max="2786" width="9" style="3" bestFit="1" customWidth="1"/>
    <col min="2787" max="2787" width="7.85546875" style="3" bestFit="1" customWidth="1"/>
    <col min="2788" max="2788" width="11.7109375" style="3" bestFit="1" customWidth="1"/>
    <col min="2789" max="2789" width="14.28515625" style="3" customWidth="1"/>
    <col min="2790" max="2790" width="11.7109375" style="3" bestFit="1" customWidth="1"/>
    <col min="2791" max="2791" width="14.140625" style="3" bestFit="1" customWidth="1"/>
    <col min="2792" max="2792" width="16.7109375" style="3" customWidth="1"/>
    <col min="2793" max="2793" width="16.5703125" style="3" customWidth="1"/>
    <col min="2794" max="2795" width="7.85546875" style="3" bestFit="1" customWidth="1"/>
    <col min="2796" max="2796" width="8" style="3" bestFit="1" customWidth="1"/>
    <col min="2797" max="2798" width="7.85546875" style="3" bestFit="1" customWidth="1"/>
    <col min="2799" max="2799" width="9.7109375" style="3" customWidth="1"/>
    <col min="2800" max="2800" width="12.85546875" style="3" customWidth="1"/>
    <col min="2801" max="3037" width="9.140625" style="3"/>
    <col min="3038" max="3038" width="9" style="3" bestFit="1" customWidth="1"/>
    <col min="3039" max="3039" width="9.85546875" style="3" bestFit="1" customWidth="1"/>
    <col min="3040" max="3040" width="9.140625" style="3" bestFit="1" customWidth="1"/>
    <col min="3041" max="3041" width="16" style="3" bestFit="1" customWidth="1"/>
    <col min="3042" max="3042" width="9" style="3" bestFit="1" customWidth="1"/>
    <col min="3043" max="3043" width="7.85546875" style="3" bestFit="1" customWidth="1"/>
    <col min="3044" max="3044" width="11.7109375" style="3" bestFit="1" customWidth="1"/>
    <col min="3045" max="3045" width="14.28515625" style="3" customWidth="1"/>
    <col min="3046" max="3046" width="11.7109375" style="3" bestFit="1" customWidth="1"/>
    <col min="3047" max="3047" width="14.140625" style="3" bestFit="1" customWidth="1"/>
    <col min="3048" max="3048" width="16.7109375" style="3" customWidth="1"/>
    <col min="3049" max="3049" width="16.5703125" style="3" customWidth="1"/>
    <col min="3050" max="3051" width="7.85546875" style="3" bestFit="1" customWidth="1"/>
    <col min="3052" max="3052" width="8" style="3" bestFit="1" customWidth="1"/>
    <col min="3053" max="3054" width="7.85546875" style="3" bestFit="1" customWidth="1"/>
    <col min="3055" max="3055" width="9.7109375" style="3" customWidth="1"/>
    <col min="3056" max="3056" width="12.85546875" style="3" customWidth="1"/>
    <col min="3057" max="3293" width="9.140625" style="3"/>
    <col min="3294" max="3294" width="9" style="3" bestFit="1" customWidth="1"/>
    <col min="3295" max="3295" width="9.85546875" style="3" bestFit="1" customWidth="1"/>
    <col min="3296" max="3296" width="9.140625" style="3" bestFit="1" customWidth="1"/>
    <col min="3297" max="3297" width="16" style="3" bestFit="1" customWidth="1"/>
    <col min="3298" max="3298" width="9" style="3" bestFit="1" customWidth="1"/>
    <col min="3299" max="3299" width="7.85546875" style="3" bestFit="1" customWidth="1"/>
    <col min="3300" max="3300" width="11.7109375" style="3" bestFit="1" customWidth="1"/>
    <col min="3301" max="3301" width="14.28515625" style="3" customWidth="1"/>
    <col min="3302" max="3302" width="11.7109375" style="3" bestFit="1" customWidth="1"/>
    <col min="3303" max="3303" width="14.140625" style="3" bestFit="1" customWidth="1"/>
    <col min="3304" max="3304" width="16.7109375" style="3" customWidth="1"/>
    <col min="3305" max="3305" width="16.5703125" style="3" customWidth="1"/>
    <col min="3306" max="3307" width="7.85546875" style="3" bestFit="1" customWidth="1"/>
    <col min="3308" max="3308" width="8" style="3" bestFit="1" customWidth="1"/>
    <col min="3309" max="3310" width="7.85546875" style="3" bestFit="1" customWidth="1"/>
    <col min="3311" max="3311" width="9.7109375" style="3" customWidth="1"/>
    <col min="3312" max="3312" width="12.85546875" style="3" customWidth="1"/>
    <col min="3313" max="3549" width="9.140625" style="3"/>
    <col min="3550" max="3550" width="9" style="3" bestFit="1" customWidth="1"/>
    <col min="3551" max="3551" width="9.85546875" style="3" bestFit="1" customWidth="1"/>
    <col min="3552" max="3552" width="9.140625" style="3" bestFit="1" customWidth="1"/>
    <col min="3553" max="3553" width="16" style="3" bestFit="1" customWidth="1"/>
    <col min="3554" max="3554" width="9" style="3" bestFit="1" customWidth="1"/>
    <col min="3555" max="3555" width="7.85546875" style="3" bestFit="1" customWidth="1"/>
    <col min="3556" max="3556" width="11.7109375" style="3" bestFit="1" customWidth="1"/>
    <col min="3557" max="3557" width="14.28515625" style="3" customWidth="1"/>
    <col min="3558" max="3558" width="11.7109375" style="3" bestFit="1" customWidth="1"/>
    <col min="3559" max="3559" width="14.140625" style="3" bestFit="1" customWidth="1"/>
    <col min="3560" max="3560" width="16.7109375" style="3" customWidth="1"/>
    <col min="3561" max="3561" width="16.5703125" style="3" customWidth="1"/>
    <col min="3562" max="3563" width="7.85546875" style="3" bestFit="1" customWidth="1"/>
    <col min="3564" max="3564" width="8" style="3" bestFit="1" customWidth="1"/>
    <col min="3565" max="3566" width="7.85546875" style="3" bestFit="1" customWidth="1"/>
    <col min="3567" max="3567" width="9.7109375" style="3" customWidth="1"/>
    <col min="3568" max="3568" width="12.85546875" style="3" customWidth="1"/>
    <col min="3569" max="3805" width="9.140625" style="3"/>
    <col min="3806" max="3806" width="9" style="3" bestFit="1" customWidth="1"/>
    <col min="3807" max="3807" width="9.85546875" style="3" bestFit="1" customWidth="1"/>
    <col min="3808" max="3808" width="9.140625" style="3" bestFit="1" customWidth="1"/>
    <col min="3809" max="3809" width="16" style="3" bestFit="1" customWidth="1"/>
    <col min="3810" max="3810" width="9" style="3" bestFit="1" customWidth="1"/>
    <col min="3811" max="3811" width="7.85546875" style="3" bestFit="1" customWidth="1"/>
    <col min="3812" max="3812" width="11.7109375" style="3" bestFit="1" customWidth="1"/>
    <col min="3813" max="3813" width="14.28515625" style="3" customWidth="1"/>
    <col min="3814" max="3814" width="11.7109375" style="3" bestFit="1" customWidth="1"/>
    <col min="3815" max="3815" width="14.140625" style="3" bestFit="1" customWidth="1"/>
    <col min="3816" max="3816" width="16.7109375" style="3" customWidth="1"/>
    <col min="3817" max="3817" width="16.5703125" style="3" customWidth="1"/>
    <col min="3818" max="3819" width="7.85546875" style="3" bestFit="1" customWidth="1"/>
    <col min="3820" max="3820" width="8" style="3" bestFit="1" customWidth="1"/>
    <col min="3821" max="3822" width="7.85546875" style="3" bestFit="1" customWidth="1"/>
    <col min="3823" max="3823" width="9.7109375" style="3" customWidth="1"/>
    <col min="3824" max="3824" width="12.85546875" style="3" customWidth="1"/>
    <col min="3825" max="4061" width="9.140625" style="3"/>
    <col min="4062" max="4062" width="9" style="3" bestFit="1" customWidth="1"/>
    <col min="4063" max="4063" width="9.85546875" style="3" bestFit="1" customWidth="1"/>
    <col min="4064" max="4064" width="9.140625" style="3" bestFit="1" customWidth="1"/>
    <col min="4065" max="4065" width="16" style="3" bestFit="1" customWidth="1"/>
    <col min="4066" max="4066" width="9" style="3" bestFit="1" customWidth="1"/>
    <col min="4067" max="4067" width="7.85546875" style="3" bestFit="1" customWidth="1"/>
    <col min="4068" max="4068" width="11.7109375" style="3" bestFit="1" customWidth="1"/>
    <col min="4069" max="4069" width="14.28515625" style="3" customWidth="1"/>
    <col min="4070" max="4070" width="11.7109375" style="3" bestFit="1" customWidth="1"/>
    <col min="4071" max="4071" width="14.140625" style="3" bestFit="1" customWidth="1"/>
    <col min="4072" max="4072" width="16.7109375" style="3" customWidth="1"/>
    <col min="4073" max="4073" width="16.5703125" style="3" customWidth="1"/>
    <col min="4074" max="4075" width="7.85546875" style="3" bestFit="1" customWidth="1"/>
    <col min="4076" max="4076" width="8" style="3" bestFit="1" customWidth="1"/>
    <col min="4077" max="4078" width="7.85546875" style="3" bestFit="1" customWidth="1"/>
    <col min="4079" max="4079" width="9.7109375" style="3" customWidth="1"/>
    <col min="4080" max="4080" width="12.85546875" style="3" customWidth="1"/>
    <col min="4081" max="4317" width="9.140625" style="3"/>
    <col min="4318" max="4318" width="9" style="3" bestFit="1" customWidth="1"/>
    <col min="4319" max="4319" width="9.85546875" style="3" bestFit="1" customWidth="1"/>
    <col min="4320" max="4320" width="9.140625" style="3" bestFit="1" customWidth="1"/>
    <col min="4321" max="4321" width="16" style="3" bestFit="1" customWidth="1"/>
    <col min="4322" max="4322" width="9" style="3" bestFit="1" customWidth="1"/>
    <col min="4323" max="4323" width="7.85546875" style="3" bestFit="1" customWidth="1"/>
    <col min="4324" max="4324" width="11.7109375" style="3" bestFit="1" customWidth="1"/>
    <col min="4325" max="4325" width="14.28515625" style="3" customWidth="1"/>
    <col min="4326" max="4326" width="11.7109375" style="3" bestFit="1" customWidth="1"/>
    <col min="4327" max="4327" width="14.140625" style="3" bestFit="1" customWidth="1"/>
    <col min="4328" max="4328" width="16.7109375" style="3" customWidth="1"/>
    <col min="4329" max="4329" width="16.5703125" style="3" customWidth="1"/>
    <col min="4330" max="4331" width="7.85546875" style="3" bestFit="1" customWidth="1"/>
    <col min="4332" max="4332" width="8" style="3" bestFit="1" customWidth="1"/>
    <col min="4333" max="4334" width="7.85546875" style="3" bestFit="1" customWidth="1"/>
    <col min="4335" max="4335" width="9.7109375" style="3" customWidth="1"/>
    <col min="4336" max="4336" width="12.85546875" style="3" customWidth="1"/>
    <col min="4337" max="4573" width="9.140625" style="3"/>
    <col min="4574" max="4574" width="9" style="3" bestFit="1" customWidth="1"/>
    <col min="4575" max="4575" width="9.85546875" style="3" bestFit="1" customWidth="1"/>
    <col min="4576" max="4576" width="9.140625" style="3" bestFit="1" customWidth="1"/>
    <col min="4577" max="4577" width="16" style="3" bestFit="1" customWidth="1"/>
    <col min="4578" max="4578" width="9" style="3" bestFit="1" customWidth="1"/>
    <col min="4579" max="4579" width="7.85546875" style="3" bestFit="1" customWidth="1"/>
    <col min="4580" max="4580" width="11.7109375" style="3" bestFit="1" customWidth="1"/>
    <col min="4581" max="4581" width="14.28515625" style="3" customWidth="1"/>
    <col min="4582" max="4582" width="11.7109375" style="3" bestFit="1" customWidth="1"/>
    <col min="4583" max="4583" width="14.140625" style="3" bestFit="1" customWidth="1"/>
    <col min="4584" max="4584" width="16.7109375" style="3" customWidth="1"/>
    <col min="4585" max="4585" width="16.5703125" style="3" customWidth="1"/>
    <col min="4586" max="4587" width="7.85546875" style="3" bestFit="1" customWidth="1"/>
    <col min="4588" max="4588" width="8" style="3" bestFit="1" customWidth="1"/>
    <col min="4589" max="4590" width="7.85546875" style="3" bestFit="1" customWidth="1"/>
    <col min="4591" max="4591" width="9.7109375" style="3" customWidth="1"/>
    <col min="4592" max="4592" width="12.85546875" style="3" customWidth="1"/>
    <col min="4593" max="4829" width="9.140625" style="3"/>
    <col min="4830" max="4830" width="9" style="3" bestFit="1" customWidth="1"/>
    <col min="4831" max="4831" width="9.85546875" style="3" bestFit="1" customWidth="1"/>
    <col min="4832" max="4832" width="9.140625" style="3" bestFit="1" customWidth="1"/>
    <col min="4833" max="4833" width="16" style="3" bestFit="1" customWidth="1"/>
    <col min="4834" max="4834" width="9" style="3" bestFit="1" customWidth="1"/>
    <col min="4835" max="4835" width="7.85546875" style="3" bestFit="1" customWidth="1"/>
    <col min="4836" max="4836" width="11.7109375" style="3" bestFit="1" customWidth="1"/>
    <col min="4837" max="4837" width="14.28515625" style="3" customWidth="1"/>
    <col min="4838" max="4838" width="11.7109375" style="3" bestFit="1" customWidth="1"/>
    <col min="4839" max="4839" width="14.140625" style="3" bestFit="1" customWidth="1"/>
    <col min="4840" max="4840" width="16.7109375" style="3" customWidth="1"/>
    <col min="4841" max="4841" width="16.5703125" style="3" customWidth="1"/>
    <col min="4842" max="4843" width="7.85546875" style="3" bestFit="1" customWidth="1"/>
    <col min="4844" max="4844" width="8" style="3" bestFit="1" customWidth="1"/>
    <col min="4845" max="4846" width="7.85546875" style="3" bestFit="1" customWidth="1"/>
    <col min="4847" max="4847" width="9.7109375" style="3" customWidth="1"/>
    <col min="4848" max="4848" width="12.85546875" style="3" customWidth="1"/>
    <col min="4849" max="5085" width="9.140625" style="3"/>
    <col min="5086" max="5086" width="9" style="3" bestFit="1" customWidth="1"/>
    <col min="5087" max="5087" width="9.85546875" style="3" bestFit="1" customWidth="1"/>
    <col min="5088" max="5088" width="9.140625" style="3" bestFit="1" customWidth="1"/>
    <col min="5089" max="5089" width="16" style="3" bestFit="1" customWidth="1"/>
    <col min="5090" max="5090" width="9" style="3" bestFit="1" customWidth="1"/>
    <col min="5091" max="5091" width="7.85546875" style="3" bestFit="1" customWidth="1"/>
    <col min="5092" max="5092" width="11.7109375" style="3" bestFit="1" customWidth="1"/>
    <col min="5093" max="5093" width="14.28515625" style="3" customWidth="1"/>
    <col min="5094" max="5094" width="11.7109375" style="3" bestFit="1" customWidth="1"/>
    <col min="5095" max="5095" width="14.140625" style="3" bestFit="1" customWidth="1"/>
    <col min="5096" max="5096" width="16.7109375" style="3" customWidth="1"/>
    <col min="5097" max="5097" width="16.5703125" style="3" customWidth="1"/>
    <col min="5098" max="5099" width="7.85546875" style="3" bestFit="1" customWidth="1"/>
    <col min="5100" max="5100" width="8" style="3" bestFit="1" customWidth="1"/>
    <col min="5101" max="5102" width="7.85546875" style="3" bestFit="1" customWidth="1"/>
    <col min="5103" max="5103" width="9.7109375" style="3" customWidth="1"/>
    <col min="5104" max="5104" width="12.85546875" style="3" customWidth="1"/>
    <col min="5105" max="5341" width="9.140625" style="3"/>
    <col min="5342" max="5342" width="9" style="3" bestFit="1" customWidth="1"/>
    <col min="5343" max="5343" width="9.85546875" style="3" bestFit="1" customWidth="1"/>
    <col min="5344" max="5344" width="9.140625" style="3" bestFit="1" customWidth="1"/>
    <col min="5345" max="5345" width="16" style="3" bestFit="1" customWidth="1"/>
    <col min="5346" max="5346" width="9" style="3" bestFit="1" customWidth="1"/>
    <col min="5347" max="5347" width="7.85546875" style="3" bestFit="1" customWidth="1"/>
    <col min="5348" max="5348" width="11.7109375" style="3" bestFit="1" customWidth="1"/>
    <col min="5349" max="5349" width="14.28515625" style="3" customWidth="1"/>
    <col min="5350" max="5350" width="11.7109375" style="3" bestFit="1" customWidth="1"/>
    <col min="5351" max="5351" width="14.140625" style="3" bestFit="1" customWidth="1"/>
    <col min="5352" max="5352" width="16.7109375" style="3" customWidth="1"/>
    <col min="5353" max="5353" width="16.5703125" style="3" customWidth="1"/>
    <col min="5354" max="5355" width="7.85546875" style="3" bestFit="1" customWidth="1"/>
    <col min="5356" max="5356" width="8" style="3" bestFit="1" customWidth="1"/>
    <col min="5357" max="5358" width="7.85546875" style="3" bestFit="1" customWidth="1"/>
    <col min="5359" max="5359" width="9.7109375" style="3" customWidth="1"/>
    <col min="5360" max="5360" width="12.85546875" style="3" customWidth="1"/>
    <col min="5361" max="5597" width="9.140625" style="3"/>
    <col min="5598" max="5598" width="9" style="3" bestFit="1" customWidth="1"/>
    <col min="5599" max="5599" width="9.85546875" style="3" bestFit="1" customWidth="1"/>
    <col min="5600" max="5600" width="9.140625" style="3" bestFit="1" customWidth="1"/>
    <col min="5601" max="5601" width="16" style="3" bestFit="1" customWidth="1"/>
    <col min="5602" max="5602" width="9" style="3" bestFit="1" customWidth="1"/>
    <col min="5603" max="5603" width="7.85546875" style="3" bestFit="1" customWidth="1"/>
    <col min="5604" max="5604" width="11.7109375" style="3" bestFit="1" customWidth="1"/>
    <col min="5605" max="5605" width="14.28515625" style="3" customWidth="1"/>
    <col min="5606" max="5606" width="11.7109375" style="3" bestFit="1" customWidth="1"/>
    <col min="5607" max="5607" width="14.140625" style="3" bestFit="1" customWidth="1"/>
    <col min="5608" max="5608" width="16.7109375" style="3" customWidth="1"/>
    <col min="5609" max="5609" width="16.5703125" style="3" customWidth="1"/>
    <col min="5610" max="5611" width="7.85546875" style="3" bestFit="1" customWidth="1"/>
    <col min="5612" max="5612" width="8" style="3" bestFit="1" customWidth="1"/>
    <col min="5613" max="5614" width="7.85546875" style="3" bestFit="1" customWidth="1"/>
    <col min="5615" max="5615" width="9.7109375" style="3" customWidth="1"/>
    <col min="5616" max="5616" width="12.85546875" style="3" customWidth="1"/>
    <col min="5617" max="5853" width="9.140625" style="3"/>
    <col min="5854" max="5854" width="9" style="3" bestFit="1" customWidth="1"/>
    <col min="5855" max="5855" width="9.85546875" style="3" bestFit="1" customWidth="1"/>
    <col min="5856" max="5856" width="9.140625" style="3" bestFit="1" customWidth="1"/>
    <col min="5857" max="5857" width="16" style="3" bestFit="1" customWidth="1"/>
    <col min="5858" max="5858" width="9" style="3" bestFit="1" customWidth="1"/>
    <col min="5859" max="5859" width="7.85546875" style="3" bestFit="1" customWidth="1"/>
    <col min="5860" max="5860" width="11.7109375" style="3" bestFit="1" customWidth="1"/>
    <col min="5861" max="5861" width="14.28515625" style="3" customWidth="1"/>
    <col min="5862" max="5862" width="11.7109375" style="3" bestFit="1" customWidth="1"/>
    <col min="5863" max="5863" width="14.140625" style="3" bestFit="1" customWidth="1"/>
    <col min="5864" max="5864" width="16.7109375" style="3" customWidth="1"/>
    <col min="5865" max="5865" width="16.5703125" style="3" customWidth="1"/>
    <col min="5866" max="5867" width="7.85546875" style="3" bestFit="1" customWidth="1"/>
    <col min="5868" max="5868" width="8" style="3" bestFit="1" customWidth="1"/>
    <col min="5869" max="5870" width="7.85546875" style="3" bestFit="1" customWidth="1"/>
    <col min="5871" max="5871" width="9.7109375" style="3" customWidth="1"/>
    <col min="5872" max="5872" width="12.85546875" style="3" customWidth="1"/>
    <col min="5873" max="6109" width="9.140625" style="3"/>
    <col min="6110" max="6110" width="9" style="3" bestFit="1" customWidth="1"/>
    <col min="6111" max="6111" width="9.85546875" style="3" bestFit="1" customWidth="1"/>
    <col min="6112" max="6112" width="9.140625" style="3" bestFit="1" customWidth="1"/>
    <col min="6113" max="6113" width="16" style="3" bestFit="1" customWidth="1"/>
    <col min="6114" max="6114" width="9" style="3" bestFit="1" customWidth="1"/>
    <col min="6115" max="6115" width="7.85546875" style="3" bestFit="1" customWidth="1"/>
    <col min="6116" max="6116" width="11.7109375" style="3" bestFit="1" customWidth="1"/>
    <col min="6117" max="6117" width="14.28515625" style="3" customWidth="1"/>
    <col min="6118" max="6118" width="11.7109375" style="3" bestFit="1" customWidth="1"/>
    <col min="6119" max="6119" width="14.140625" style="3" bestFit="1" customWidth="1"/>
    <col min="6120" max="6120" width="16.7109375" style="3" customWidth="1"/>
    <col min="6121" max="6121" width="16.5703125" style="3" customWidth="1"/>
    <col min="6122" max="6123" width="7.85546875" style="3" bestFit="1" customWidth="1"/>
    <col min="6124" max="6124" width="8" style="3" bestFit="1" customWidth="1"/>
    <col min="6125" max="6126" width="7.85546875" style="3" bestFit="1" customWidth="1"/>
    <col min="6127" max="6127" width="9.7109375" style="3" customWidth="1"/>
    <col min="6128" max="6128" width="12.85546875" style="3" customWidth="1"/>
    <col min="6129" max="6365" width="9.140625" style="3"/>
    <col min="6366" max="6366" width="9" style="3" bestFit="1" customWidth="1"/>
    <col min="6367" max="6367" width="9.85546875" style="3" bestFit="1" customWidth="1"/>
    <col min="6368" max="6368" width="9.140625" style="3" bestFit="1" customWidth="1"/>
    <col min="6369" max="6369" width="16" style="3" bestFit="1" customWidth="1"/>
    <col min="6370" max="6370" width="9" style="3" bestFit="1" customWidth="1"/>
    <col min="6371" max="6371" width="7.85546875" style="3" bestFit="1" customWidth="1"/>
    <col min="6372" max="6372" width="11.7109375" style="3" bestFit="1" customWidth="1"/>
    <col min="6373" max="6373" width="14.28515625" style="3" customWidth="1"/>
    <col min="6374" max="6374" width="11.7109375" style="3" bestFit="1" customWidth="1"/>
    <col min="6375" max="6375" width="14.140625" style="3" bestFit="1" customWidth="1"/>
    <col min="6376" max="6376" width="16.7109375" style="3" customWidth="1"/>
    <col min="6377" max="6377" width="16.5703125" style="3" customWidth="1"/>
    <col min="6378" max="6379" width="7.85546875" style="3" bestFit="1" customWidth="1"/>
    <col min="6380" max="6380" width="8" style="3" bestFit="1" customWidth="1"/>
    <col min="6381" max="6382" width="7.85546875" style="3" bestFit="1" customWidth="1"/>
    <col min="6383" max="6383" width="9.7109375" style="3" customWidth="1"/>
    <col min="6384" max="6384" width="12.85546875" style="3" customWidth="1"/>
    <col min="6385" max="6621" width="9.140625" style="3"/>
    <col min="6622" max="6622" width="9" style="3" bestFit="1" customWidth="1"/>
    <col min="6623" max="6623" width="9.85546875" style="3" bestFit="1" customWidth="1"/>
    <col min="6624" max="6624" width="9.140625" style="3" bestFit="1" customWidth="1"/>
    <col min="6625" max="6625" width="16" style="3" bestFit="1" customWidth="1"/>
    <col min="6626" max="6626" width="9" style="3" bestFit="1" customWidth="1"/>
    <col min="6627" max="6627" width="7.85546875" style="3" bestFit="1" customWidth="1"/>
    <col min="6628" max="6628" width="11.7109375" style="3" bestFit="1" customWidth="1"/>
    <col min="6629" max="6629" width="14.28515625" style="3" customWidth="1"/>
    <col min="6630" max="6630" width="11.7109375" style="3" bestFit="1" customWidth="1"/>
    <col min="6631" max="6631" width="14.140625" style="3" bestFit="1" customWidth="1"/>
    <col min="6632" max="6632" width="16.7109375" style="3" customWidth="1"/>
    <col min="6633" max="6633" width="16.5703125" style="3" customWidth="1"/>
    <col min="6634" max="6635" width="7.85546875" style="3" bestFit="1" customWidth="1"/>
    <col min="6636" max="6636" width="8" style="3" bestFit="1" customWidth="1"/>
    <col min="6637" max="6638" width="7.85546875" style="3" bestFit="1" customWidth="1"/>
    <col min="6639" max="6639" width="9.7109375" style="3" customWidth="1"/>
    <col min="6640" max="6640" width="12.85546875" style="3" customWidth="1"/>
    <col min="6641" max="6877" width="9.140625" style="3"/>
    <col min="6878" max="6878" width="9" style="3" bestFit="1" customWidth="1"/>
    <col min="6879" max="6879" width="9.85546875" style="3" bestFit="1" customWidth="1"/>
    <col min="6880" max="6880" width="9.140625" style="3" bestFit="1" customWidth="1"/>
    <col min="6881" max="6881" width="16" style="3" bestFit="1" customWidth="1"/>
    <col min="6882" max="6882" width="9" style="3" bestFit="1" customWidth="1"/>
    <col min="6883" max="6883" width="7.85546875" style="3" bestFit="1" customWidth="1"/>
    <col min="6884" max="6884" width="11.7109375" style="3" bestFit="1" customWidth="1"/>
    <col min="6885" max="6885" width="14.28515625" style="3" customWidth="1"/>
    <col min="6886" max="6886" width="11.7109375" style="3" bestFit="1" customWidth="1"/>
    <col min="6887" max="6887" width="14.140625" style="3" bestFit="1" customWidth="1"/>
    <col min="6888" max="6888" width="16.7109375" style="3" customWidth="1"/>
    <col min="6889" max="6889" width="16.5703125" style="3" customWidth="1"/>
    <col min="6890" max="6891" width="7.85546875" style="3" bestFit="1" customWidth="1"/>
    <col min="6892" max="6892" width="8" style="3" bestFit="1" customWidth="1"/>
    <col min="6893" max="6894" width="7.85546875" style="3" bestFit="1" customWidth="1"/>
    <col min="6895" max="6895" width="9.7109375" style="3" customWidth="1"/>
    <col min="6896" max="6896" width="12.85546875" style="3" customWidth="1"/>
    <col min="6897" max="7133" width="9.140625" style="3"/>
    <col min="7134" max="7134" width="9" style="3" bestFit="1" customWidth="1"/>
    <col min="7135" max="7135" width="9.85546875" style="3" bestFit="1" customWidth="1"/>
    <col min="7136" max="7136" width="9.140625" style="3" bestFit="1" customWidth="1"/>
    <col min="7137" max="7137" width="16" style="3" bestFit="1" customWidth="1"/>
    <col min="7138" max="7138" width="9" style="3" bestFit="1" customWidth="1"/>
    <col min="7139" max="7139" width="7.85546875" style="3" bestFit="1" customWidth="1"/>
    <col min="7140" max="7140" width="11.7109375" style="3" bestFit="1" customWidth="1"/>
    <col min="7141" max="7141" width="14.28515625" style="3" customWidth="1"/>
    <col min="7142" max="7142" width="11.7109375" style="3" bestFit="1" customWidth="1"/>
    <col min="7143" max="7143" width="14.140625" style="3" bestFit="1" customWidth="1"/>
    <col min="7144" max="7144" width="16.7109375" style="3" customWidth="1"/>
    <col min="7145" max="7145" width="16.5703125" style="3" customWidth="1"/>
    <col min="7146" max="7147" width="7.85546875" style="3" bestFit="1" customWidth="1"/>
    <col min="7148" max="7148" width="8" style="3" bestFit="1" customWidth="1"/>
    <col min="7149" max="7150" width="7.85546875" style="3" bestFit="1" customWidth="1"/>
    <col min="7151" max="7151" width="9.7109375" style="3" customWidth="1"/>
    <col min="7152" max="7152" width="12.85546875" style="3" customWidth="1"/>
    <col min="7153" max="7389" width="9.140625" style="3"/>
    <col min="7390" max="7390" width="9" style="3" bestFit="1" customWidth="1"/>
    <col min="7391" max="7391" width="9.85546875" style="3" bestFit="1" customWidth="1"/>
    <col min="7392" max="7392" width="9.140625" style="3" bestFit="1" customWidth="1"/>
    <col min="7393" max="7393" width="16" style="3" bestFit="1" customWidth="1"/>
    <col min="7394" max="7394" width="9" style="3" bestFit="1" customWidth="1"/>
    <col min="7395" max="7395" width="7.85546875" style="3" bestFit="1" customWidth="1"/>
    <col min="7396" max="7396" width="11.7109375" style="3" bestFit="1" customWidth="1"/>
    <col min="7397" max="7397" width="14.28515625" style="3" customWidth="1"/>
    <col min="7398" max="7398" width="11.7109375" style="3" bestFit="1" customWidth="1"/>
    <col min="7399" max="7399" width="14.140625" style="3" bestFit="1" customWidth="1"/>
    <col min="7400" max="7400" width="16.7109375" style="3" customWidth="1"/>
    <col min="7401" max="7401" width="16.5703125" style="3" customWidth="1"/>
    <col min="7402" max="7403" width="7.85546875" style="3" bestFit="1" customWidth="1"/>
    <col min="7404" max="7404" width="8" style="3" bestFit="1" customWidth="1"/>
    <col min="7405" max="7406" width="7.85546875" style="3" bestFit="1" customWidth="1"/>
    <col min="7407" max="7407" width="9.7109375" style="3" customWidth="1"/>
    <col min="7408" max="7408" width="12.85546875" style="3" customWidth="1"/>
    <col min="7409" max="7645" width="9.140625" style="3"/>
    <col min="7646" max="7646" width="9" style="3" bestFit="1" customWidth="1"/>
    <col min="7647" max="7647" width="9.85546875" style="3" bestFit="1" customWidth="1"/>
    <col min="7648" max="7648" width="9.140625" style="3" bestFit="1" customWidth="1"/>
    <col min="7649" max="7649" width="16" style="3" bestFit="1" customWidth="1"/>
    <col min="7650" max="7650" width="9" style="3" bestFit="1" customWidth="1"/>
    <col min="7651" max="7651" width="7.85546875" style="3" bestFit="1" customWidth="1"/>
    <col min="7652" max="7652" width="11.7109375" style="3" bestFit="1" customWidth="1"/>
    <col min="7653" max="7653" width="14.28515625" style="3" customWidth="1"/>
    <col min="7654" max="7654" width="11.7109375" style="3" bestFit="1" customWidth="1"/>
    <col min="7655" max="7655" width="14.140625" style="3" bestFit="1" customWidth="1"/>
    <col min="7656" max="7656" width="16.7109375" style="3" customWidth="1"/>
    <col min="7657" max="7657" width="16.5703125" style="3" customWidth="1"/>
    <col min="7658" max="7659" width="7.85546875" style="3" bestFit="1" customWidth="1"/>
    <col min="7660" max="7660" width="8" style="3" bestFit="1" customWidth="1"/>
    <col min="7661" max="7662" width="7.85546875" style="3" bestFit="1" customWidth="1"/>
    <col min="7663" max="7663" width="9.7109375" style="3" customWidth="1"/>
    <col min="7664" max="7664" width="12.85546875" style="3" customWidth="1"/>
    <col min="7665" max="7901" width="9.140625" style="3"/>
    <col min="7902" max="7902" width="9" style="3" bestFit="1" customWidth="1"/>
    <col min="7903" max="7903" width="9.85546875" style="3" bestFit="1" customWidth="1"/>
    <col min="7904" max="7904" width="9.140625" style="3" bestFit="1" customWidth="1"/>
    <col min="7905" max="7905" width="16" style="3" bestFit="1" customWidth="1"/>
    <col min="7906" max="7906" width="9" style="3" bestFit="1" customWidth="1"/>
    <col min="7907" max="7907" width="7.85546875" style="3" bestFit="1" customWidth="1"/>
    <col min="7908" max="7908" width="11.7109375" style="3" bestFit="1" customWidth="1"/>
    <col min="7909" max="7909" width="14.28515625" style="3" customWidth="1"/>
    <col min="7910" max="7910" width="11.7109375" style="3" bestFit="1" customWidth="1"/>
    <col min="7911" max="7911" width="14.140625" style="3" bestFit="1" customWidth="1"/>
    <col min="7912" max="7912" width="16.7109375" style="3" customWidth="1"/>
    <col min="7913" max="7913" width="16.5703125" style="3" customWidth="1"/>
    <col min="7914" max="7915" width="7.85546875" style="3" bestFit="1" customWidth="1"/>
    <col min="7916" max="7916" width="8" style="3" bestFit="1" customWidth="1"/>
    <col min="7917" max="7918" width="7.85546875" style="3" bestFit="1" customWidth="1"/>
    <col min="7919" max="7919" width="9.7109375" style="3" customWidth="1"/>
    <col min="7920" max="7920" width="12.85546875" style="3" customWidth="1"/>
    <col min="7921" max="8157" width="9.140625" style="3"/>
    <col min="8158" max="8158" width="9" style="3" bestFit="1" customWidth="1"/>
    <col min="8159" max="8159" width="9.85546875" style="3" bestFit="1" customWidth="1"/>
    <col min="8160" max="8160" width="9.140625" style="3" bestFit="1" customWidth="1"/>
    <col min="8161" max="8161" width="16" style="3" bestFit="1" customWidth="1"/>
    <col min="8162" max="8162" width="9" style="3" bestFit="1" customWidth="1"/>
    <col min="8163" max="8163" width="7.85546875" style="3" bestFit="1" customWidth="1"/>
    <col min="8164" max="8164" width="11.7109375" style="3" bestFit="1" customWidth="1"/>
    <col min="8165" max="8165" width="14.28515625" style="3" customWidth="1"/>
    <col min="8166" max="8166" width="11.7109375" style="3" bestFit="1" customWidth="1"/>
    <col min="8167" max="8167" width="14.140625" style="3" bestFit="1" customWidth="1"/>
    <col min="8168" max="8168" width="16.7109375" style="3" customWidth="1"/>
    <col min="8169" max="8169" width="16.5703125" style="3" customWidth="1"/>
    <col min="8170" max="8171" width="7.85546875" style="3" bestFit="1" customWidth="1"/>
    <col min="8172" max="8172" width="8" style="3" bestFit="1" customWidth="1"/>
    <col min="8173" max="8174" width="7.85546875" style="3" bestFit="1" customWidth="1"/>
    <col min="8175" max="8175" width="9.7109375" style="3" customWidth="1"/>
    <col min="8176" max="8176" width="12.85546875" style="3" customWidth="1"/>
    <col min="8177" max="8413" width="9.140625" style="3"/>
    <col min="8414" max="8414" width="9" style="3" bestFit="1" customWidth="1"/>
    <col min="8415" max="8415" width="9.85546875" style="3" bestFit="1" customWidth="1"/>
    <col min="8416" max="8416" width="9.140625" style="3" bestFit="1" customWidth="1"/>
    <col min="8417" max="8417" width="16" style="3" bestFit="1" customWidth="1"/>
    <col min="8418" max="8418" width="9" style="3" bestFit="1" customWidth="1"/>
    <col min="8419" max="8419" width="7.85546875" style="3" bestFit="1" customWidth="1"/>
    <col min="8420" max="8420" width="11.7109375" style="3" bestFit="1" customWidth="1"/>
    <col min="8421" max="8421" width="14.28515625" style="3" customWidth="1"/>
    <col min="8422" max="8422" width="11.7109375" style="3" bestFit="1" customWidth="1"/>
    <col min="8423" max="8423" width="14.140625" style="3" bestFit="1" customWidth="1"/>
    <col min="8424" max="8424" width="16.7109375" style="3" customWidth="1"/>
    <col min="8425" max="8425" width="16.5703125" style="3" customWidth="1"/>
    <col min="8426" max="8427" width="7.85546875" style="3" bestFit="1" customWidth="1"/>
    <col min="8428" max="8428" width="8" style="3" bestFit="1" customWidth="1"/>
    <col min="8429" max="8430" width="7.85546875" style="3" bestFit="1" customWidth="1"/>
    <col min="8431" max="8431" width="9.7109375" style="3" customWidth="1"/>
    <col min="8432" max="8432" width="12.85546875" style="3" customWidth="1"/>
    <col min="8433" max="8669" width="9.140625" style="3"/>
    <col min="8670" max="8670" width="9" style="3" bestFit="1" customWidth="1"/>
    <col min="8671" max="8671" width="9.85546875" style="3" bestFit="1" customWidth="1"/>
    <col min="8672" max="8672" width="9.140625" style="3" bestFit="1" customWidth="1"/>
    <col min="8673" max="8673" width="16" style="3" bestFit="1" customWidth="1"/>
    <col min="8674" max="8674" width="9" style="3" bestFit="1" customWidth="1"/>
    <col min="8675" max="8675" width="7.85546875" style="3" bestFit="1" customWidth="1"/>
    <col min="8676" max="8676" width="11.7109375" style="3" bestFit="1" customWidth="1"/>
    <col min="8677" max="8677" width="14.28515625" style="3" customWidth="1"/>
    <col min="8678" max="8678" width="11.7109375" style="3" bestFit="1" customWidth="1"/>
    <col min="8679" max="8679" width="14.140625" style="3" bestFit="1" customWidth="1"/>
    <col min="8680" max="8680" width="16.7109375" style="3" customWidth="1"/>
    <col min="8681" max="8681" width="16.5703125" style="3" customWidth="1"/>
    <col min="8682" max="8683" width="7.85546875" style="3" bestFit="1" customWidth="1"/>
    <col min="8684" max="8684" width="8" style="3" bestFit="1" customWidth="1"/>
    <col min="8685" max="8686" width="7.85546875" style="3" bestFit="1" customWidth="1"/>
    <col min="8687" max="8687" width="9.7109375" style="3" customWidth="1"/>
    <col min="8688" max="8688" width="12.85546875" style="3" customWidth="1"/>
    <col min="8689" max="8925" width="9.140625" style="3"/>
    <col min="8926" max="8926" width="9" style="3" bestFit="1" customWidth="1"/>
    <col min="8927" max="8927" width="9.85546875" style="3" bestFit="1" customWidth="1"/>
    <col min="8928" max="8928" width="9.140625" style="3" bestFit="1" customWidth="1"/>
    <col min="8929" max="8929" width="16" style="3" bestFit="1" customWidth="1"/>
    <col min="8930" max="8930" width="9" style="3" bestFit="1" customWidth="1"/>
    <col min="8931" max="8931" width="7.85546875" style="3" bestFit="1" customWidth="1"/>
    <col min="8932" max="8932" width="11.7109375" style="3" bestFit="1" customWidth="1"/>
    <col min="8933" max="8933" width="14.28515625" style="3" customWidth="1"/>
    <col min="8934" max="8934" width="11.7109375" style="3" bestFit="1" customWidth="1"/>
    <col min="8935" max="8935" width="14.140625" style="3" bestFit="1" customWidth="1"/>
    <col min="8936" max="8936" width="16.7109375" style="3" customWidth="1"/>
    <col min="8937" max="8937" width="16.5703125" style="3" customWidth="1"/>
    <col min="8938" max="8939" width="7.85546875" style="3" bestFit="1" customWidth="1"/>
    <col min="8940" max="8940" width="8" style="3" bestFit="1" customWidth="1"/>
    <col min="8941" max="8942" width="7.85546875" style="3" bestFit="1" customWidth="1"/>
    <col min="8943" max="8943" width="9.7109375" style="3" customWidth="1"/>
    <col min="8944" max="8944" width="12.85546875" style="3" customWidth="1"/>
    <col min="8945" max="9181" width="9.140625" style="3"/>
    <col min="9182" max="9182" width="9" style="3" bestFit="1" customWidth="1"/>
    <col min="9183" max="9183" width="9.85546875" style="3" bestFit="1" customWidth="1"/>
    <col min="9184" max="9184" width="9.140625" style="3" bestFit="1" customWidth="1"/>
    <col min="9185" max="9185" width="16" style="3" bestFit="1" customWidth="1"/>
    <col min="9186" max="9186" width="9" style="3" bestFit="1" customWidth="1"/>
    <col min="9187" max="9187" width="7.85546875" style="3" bestFit="1" customWidth="1"/>
    <col min="9188" max="9188" width="11.7109375" style="3" bestFit="1" customWidth="1"/>
    <col min="9189" max="9189" width="14.28515625" style="3" customWidth="1"/>
    <col min="9190" max="9190" width="11.7109375" style="3" bestFit="1" customWidth="1"/>
    <col min="9191" max="9191" width="14.140625" style="3" bestFit="1" customWidth="1"/>
    <col min="9192" max="9192" width="16.7109375" style="3" customWidth="1"/>
    <col min="9193" max="9193" width="16.5703125" style="3" customWidth="1"/>
    <col min="9194" max="9195" width="7.85546875" style="3" bestFit="1" customWidth="1"/>
    <col min="9196" max="9196" width="8" style="3" bestFit="1" customWidth="1"/>
    <col min="9197" max="9198" width="7.85546875" style="3" bestFit="1" customWidth="1"/>
    <col min="9199" max="9199" width="9.7109375" style="3" customWidth="1"/>
    <col min="9200" max="9200" width="12.85546875" style="3" customWidth="1"/>
    <col min="9201" max="9437" width="9.140625" style="3"/>
    <col min="9438" max="9438" width="9" style="3" bestFit="1" customWidth="1"/>
    <col min="9439" max="9439" width="9.85546875" style="3" bestFit="1" customWidth="1"/>
    <col min="9440" max="9440" width="9.140625" style="3" bestFit="1" customWidth="1"/>
    <col min="9441" max="9441" width="16" style="3" bestFit="1" customWidth="1"/>
    <col min="9442" max="9442" width="9" style="3" bestFit="1" customWidth="1"/>
    <col min="9443" max="9443" width="7.85546875" style="3" bestFit="1" customWidth="1"/>
    <col min="9444" max="9444" width="11.7109375" style="3" bestFit="1" customWidth="1"/>
    <col min="9445" max="9445" width="14.28515625" style="3" customWidth="1"/>
    <col min="9446" max="9446" width="11.7109375" style="3" bestFit="1" customWidth="1"/>
    <col min="9447" max="9447" width="14.140625" style="3" bestFit="1" customWidth="1"/>
    <col min="9448" max="9448" width="16.7109375" style="3" customWidth="1"/>
    <col min="9449" max="9449" width="16.5703125" style="3" customWidth="1"/>
    <col min="9450" max="9451" width="7.85546875" style="3" bestFit="1" customWidth="1"/>
    <col min="9452" max="9452" width="8" style="3" bestFit="1" customWidth="1"/>
    <col min="9453" max="9454" width="7.85546875" style="3" bestFit="1" customWidth="1"/>
    <col min="9455" max="9455" width="9.7109375" style="3" customWidth="1"/>
    <col min="9456" max="9456" width="12.85546875" style="3" customWidth="1"/>
    <col min="9457" max="9693" width="9.140625" style="3"/>
    <col min="9694" max="9694" width="9" style="3" bestFit="1" customWidth="1"/>
    <col min="9695" max="9695" width="9.85546875" style="3" bestFit="1" customWidth="1"/>
    <col min="9696" max="9696" width="9.140625" style="3" bestFit="1" customWidth="1"/>
    <col min="9697" max="9697" width="16" style="3" bestFit="1" customWidth="1"/>
    <col min="9698" max="9698" width="9" style="3" bestFit="1" customWidth="1"/>
    <col min="9699" max="9699" width="7.85546875" style="3" bestFit="1" customWidth="1"/>
    <col min="9700" max="9700" width="11.7109375" style="3" bestFit="1" customWidth="1"/>
    <col min="9701" max="9701" width="14.28515625" style="3" customWidth="1"/>
    <col min="9702" max="9702" width="11.7109375" style="3" bestFit="1" customWidth="1"/>
    <col min="9703" max="9703" width="14.140625" style="3" bestFit="1" customWidth="1"/>
    <col min="9704" max="9704" width="16.7109375" style="3" customWidth="1"/>
    <col min="9705" max="9705" width="16.5703125" style="3" customWidth="1"/>
    <col min="9706" max="9707" width="7.85546875" style="3" bestFit="1" customWidth="1"/>
    <col min="9708" max="9708" width="8" style="3" bestFit="1" customWidth="1"/>
    <col min="9709" max="9710" width="7.85546875" style="3" bestFit="1" customWidth="1"/>
    <col min="9711" max="9711" width="9.7109375" style="3" customWidth="1"/>
    <col min="9712" max="9712" width="12.85546875" style="3" customWidth="1"/>
    <col min="9713" max="9949" width="9.140625" style="3"/>
    <col min="9950" max="9950" width="9" style="3" bestFit="1" customWidth="1"/>
    <col min="9951" max="9951" width="9.85546875" style="3" bestFit="1" customWidth="1"/>
    <col min="9952" max="9952" width="9.140625" style="3" bestFit="1" customWidth="1"/>
    <col min="9953" max="9953" width="16" style="3" bestFit="1" customWidth="1"/>
    <col min="9954" max="9954" width="9" style="3" bestFit="1" customWidth="1"/>
    <col min="9955" max="9955" width="7.85546875" style="3" bestFit="1" customWidth="1"/>
    <col min="9956" max="9956" width="11.7109375" style="3" bestFit="1" customWidth="1"/>
    <col min="9957" max="9957" width="14.28515625" style="3" customWidth="1"/>
    <col min="9958" max="9958" width="11.7109375" style="3" bestFit="1" customWidth="1"/>
    <col min="9959" max="9959" width="14.140625" style="3" bestFit="1" customWidth="1"/>
    <col min="9960" max="9960" width="16.7109375" style="3" customWidth="1"/>
    <col min="9961" max="9961" width="16.5703125" style="3" customWidth="1"/>
    <col min="9962" max="9963" width="7.85546875" style="3" bestFit="1" customWidth="1"/>
    <col min="9964" max="9964" width="8" style="3" bestFit="1" customWidth="1"/>
    <col min="9965" max="9966" width="7.85546875" style="3" bestFit="1" customWidth="1"/>
    <col min="9967" max="9967" width="9.7109375" style="3" customWidth="1"/>
    <col min="9968" max="9968" width="12.85546875" style="3" customWidth="1"/>
    <col min="9969" max="10205" width="9.140625" style="3"/>
    <col min="10206" max="10206" width="9" style="3" bestFit="1" customWidth="1"/>
    <col min="10207" max="10207" width="9.85546875" style="3" bestFit="1" customWidth="1"/>
    <col min="10208" max="10208" width="9.140625" style="3" bestFit="1" customWidth="1"/>
    <col min="10209" max="10209" width="16" style="3" bestFit="1" customWidth="1"/>
    <col min="10210" max="10210" width="9" style="3" bestFit="1" customWidth="1"/>
    <col min="10211" max="10211" width="7.85546875" style="3" bestFit="1" customWidth="1"/>
    <col min="10212" max="10212" width="11.7109375" style="3" bestFit="1" customWidth="1"/>
    <col min="10213" max="10213" width="14.28515625" style="3" customWidth="1"/>
    <col min="10214" max="10214" width="11.7109375" style="3" bestFit="1" customWidth="1"/>
    <col min="10215" max="10215" width="14.140625" style="3" bestFit="1" customWidth="1"/>
    <col min="10216" max="10216" width="16.7109375" style="3" customWidth="1"/>
    <col min="10217" max="10217" width="16.5703125" style="3" customWidth="1"/>
    <col min="10218" max="10219" width="7.85546875" style="3" bestFit="1" customWidth="1"/>
    <col min="10220" max="10220" width="8" style="3" bestFit="1" customWidth="1"/>
    <col min="10221" max="10222" width="7.85546875" style="3" bestFit="1" customWidth="1"/>
    <col min="10223" max="10223" width="9.7109375" style="3" customWidth="1"/>
    <col min="10224" max="10224" width="12.85546875" style="3" customWidth="1"/>
    <col min="10225" max="10461" width="9.140625" style="3"/>
    <col min="10462" max="10462" width="9" style="3" bestFit="1" customWidth="1"/>
    <col min="10463" max="10463" width="9.85546875" style="3" bestFit="1" customWidth="1"/>
    <col min="10464" max="10464" width="9.140625" style="3" bestFit="1" customWidth="1"/>
    <col min="10465" max="10465" width="16" style="3" bestFit="1" customWidth="1"/>
    <col min="10466" max="10466" width="9" style="3" bestFit="1" customWidth="1"/>
    <col min="10467" max="10467" width="7.85546875" style="3" bestFit="1" customWidth="1"/>
    <col min="10468" max="10468" width="11.7109375" style="3" bestFit="1" customWidth="1"/>
    <col min="10469" max="10469" width="14.28515625" style="3" customWidth="1"/>
    <col min="10470" max="10470" width="11.7109375" style="3" bestFit="1" customWidth="1"/>
    <col min="10471" max="10471" width="14.140625" style="3" bestFit="1" customWidth="1"/>
    <col min="10472" max="10472" width="16.7109375" style="3" customWidth="1"/>
    <col min="10473" max="10473" width="16.5703125" style="3" customWidth="1"/>
    <col min="10474" max="10475" width="7.85546875" style="3" bestFit="1" customWidth="1"/>
    <col min="10476" max="10476" width="8" style="3" bestFit="1" customWidth="1"/>
    <col min="10477" max="10478" width="7.85546875" style="3" bestFit="1" customWidth="1"/>
    <col min="10479" max="10479" width="9.7109375" style="3" customWidth="1"/>
    <col min="10480" max="10480" width="12.85546875" style="3" customWidth="1"/>
    <col min="10481" max="10717" width="9.140625" style="3"/>
    <col min="10718" max="10718" width="9" style="3" bestFit="1" customWidth="1"/>
    <col min="10719" max="10719" width="9.85546875" style="3" bestFit="1" customWidth="1"/>
    <col min="10720" max="10720" width="9.140625" style="3" bestFit="1" customWidth="1"/>
    <col min="10721" max="10721" width="16" style="3" bestFit="1" customWidth="1"/>
    <col min="10722" max="10722" width="9" style="3" bestFit="1" customWidth="1"/>
    <col min="10723" max="10723" width="7.85546875" style="3" bestFit="1" customWidth="1"/>
    <col min="10724" max="10724" width="11.7109375" style="3" bestFit="1" customWidth="1"/>
    <col min="10725" max="10725" width="14.28515625" style="3" customWidth="1"/>
    <col min="10726" max="10726" width="11.7109375" style="3" bestFit="1" customWidth="1"/>
    <col min="10727" max="10727" width="14.140625" style="3" bestFit="1" customWidth="1"/>
    <col min="10728" max="10728" width="16.7109375" style="3" customWidth="1"/>
    <col min="10729" max="10729" width="16.5703125" style="3" customWidth="1"/>
    <col min="10730" max="10731" width="7.85546875" style="3" bestFit="1" customWidth="1"/>
    <col min="10732" max="10732" width="8" style="3" bestFit="1" customWidth="1"/>
    <col min="10733" max="10734" width="7.85546875" style="3" bestFit="1" customWidth="1"/>
    <col min="10735" max="10735" width="9.7109375" style="3" customWidth="1"/>
    <col min="10736" max="10736" width="12.85546875" style="3" customWidth="1"/>
    <col min="10737" max="10973" width="9.140625" style="3"/>
    <col min="10974" max="10974" width="9" style="3" bestFit="1" customWidth="1"/>
    <col min="10975" max="10975" width="9.85546875" style="3" bestFit="1" customWidth="1"/>
    <col min="10976" max="10976" width="9.140625" style="3" bestFit="1" customWidth="1"/>
    <col min="10977" max="10977" width="16" style="3" bestFit="1" customWidth="1"/>
    <col min="10978" max="10978" width="9" style="3" bestFit="1" customWidth="1"/>
    <col min="10979" max="10979" width="7.85546875" style="3" bestFit="1" customWidth="1"/>
    <col min="10980" max="10980" width="11.7109375" style="3" bestFit="1" customWidth="1"/>
    <col min="10981" max="10981" width="14.28515625" style="3" customWidth="1"/>
    <col min="10982" max="10982" width="11.7109375" style="3" bestFit="1" customWidth="1"/>
    <col min="10983" max="10983" width="14.140625" style="3" bestFit="1" customWidth="1"/>
    <col min="10984" max="10984" width="16.7109375" style="3" customWidth="1"/>
    <col min="10985" max="10985" width="16.5703125" style="3" customWidth="1"/>
    <col min="10986" max="10987" width="7.85546875" style="3" bestFit="1" customWidth="1"/>
    <col min="10988" max="10988" width="8" style="3" bestFit="1" customWidth="1"/>
    <col min="10989" max="10990" width="7.85546875" style="3" bestFit="1" customWidth="1"/>
    <col min="10991" max="10991" width="9.7109375" style="3" customWidth="1"/>
    <col min="10992" max="10992" width="12.85546875" style="3" customWidth="1"/>
    <col min="10993" max="11229" width="9.140625" style="3"/>
    <col min="11230" max="11230" width="9" style="3" bestFit="1" customWidth="1"/>
    <col min="11231" max="11231" width="9.85546875" style="3" bestFit="1" customWidth="1"/>
    <col min="11232" max="11232" width="9.140625" style="3" bestFit="1" customWidth="1"/>
    <col min="11233" max="11233" width="16" style="3" bestFit="1" customWidth="1"/>
    <col min="11234" max="11234" width="9" style="3" bestFit="1" customWidth="1"/>
    <col min="11235" max="11235" width="7.85546875" style="3" bestFit="1" customWidth="1"/>
    <col min="11236" max="11236" width="11.7109375" style="3" bestFit="1" customWidth="1"/>
    <col min="11237" max="11237" width="14.28515625" style="3" customWidth="1"/>
    <col min="11238" max="11238" width="11.7109375" style="3" bestFit="1" customWidth="1"/>
    <col min="11239" max="11239" width="14.140625" style="3" bestFit="1" customWidth="1"/>
    <col min="11240" max="11240" width="16.7109375" style="3" customWidth="1"/>
    <col min="11241" max="11241" width="16.5703125" style="3" customWidth="1"/>
    <col min="11242" max="11243" width="7.85546875" style="3" bestFit="1" customWidth="1"/>
    <col min="11244" max="11244" width="8" style="3" bestFit="1" customWidth="1"/>
    <col min="11245" max="11246" width="7.85546875" style="3" bestFit="1" customWidth="1"/>
    <col min="11247" max="11247" width="9.7109375" style="3" customWidth="1"/>
    <col min="11248" max="11248" width="12.85546875" style="3" customWidth="1"/>
    <col min="11249" max="11485" width="9.140625" style="3"/>
    <col min="11486" max="11486" width="9" style="3" bestFit="1" customWidth="1"/>
    <col min="11487" max="11487" width="9.85546875" style="3" bestFit="1" customWidth="1"/>
    <col min="11488" max="11488" width="9.140625" style="3" bestFit="1" customWidth="1"/>
    <col min="11489" max="11489" width="16" style="3" bestFit="1" customWidth="1"/>
    <col min="11490" max="11490" width="9" style="3" bestFit="1" customWidth="1"/>
    <col min="11491" max="11491" width="7.85546875" style="3" bestFit="1" customWidth="1"/>
    <col min="11492" max="11492" width="11.7109375" style="3" bestFit="1" customWidth="1"/>
    <col min="11493" max="11493" width="14.28515625" style="3" customWidth="1"/>
    <col min="11494" max="11494" width="11.7109375" style="3" bestFit="1" customWidth="1"/>
    <col min="11495" max="11495" width="14.140625" style="3" bestFit="1" customWidth="1"/>
    <col min="11496" max="11496" width="16.7109375" style="3" customWidth="1"/>
    <col min="11497" max="11497" width="16.5703125" style="3" customWidth="1"/>
    <col min="11498" max="11499" width="7.85546875" style="3" bestFit="1" customWidth="1"/>
    <col min="11500" max="11500" width="8" style="3" bestFit="1" customWidth="1"/>
    <col min="11501" max="11502" width="7.85546875" style="3" bestFit="1" customWidth="1"/>
    <col min="11503" max="11503" width="9.7109375" style="3" customWidth="1"/>
    <col min="11504" max="11504" width="12.85546875" style="3" customWidth="1"/>
    <col min="11505" max="11741" width="9.140625" style="3"/>
    <col min="11742" max="11742" width="9" style="3" bestFit="1" customWidth="1"/>
    <col min="11743" max="11743" width="9.85546875" style="3" bestFit="1" customWidth="1"/>
    <col min="11744" max="11744" width="9.140625" style="3" bestFit="1" customWidth="1"/>
    <col min="11745" max="11745" width="16" style="3" bestFit="1" customWidth="1"/>
    <col min="11746" max="11746" width="9" style="3" bestFit="1" customWidth="1"/>
    <col min="11747" max="11747" width="7.85546875" style="3" bestFit="1" customWidth="1"/>
    <col min="11748" max="11748" width="11.7109375" style="3" bestFit="1" customWidth="1"/>
    <col min="11749" max="11749" width="14.28515625" style="3" customWidth="1"/>
    <col min="11750" max="11750" width="11.7109375" style="3" bestFit="1" customWidth="1"/>
    <col min="11751" max="11751" width="14.140625" style="3" bestFit="1" customWidth="1"/>
    <col min="11752" max="11752" width="16.7109375" style="3" customWidth="1"/>
    <col min="11753" max="11753" width="16.5703125" style="3" customWidth="1"/>
    <col min="11754" max="11755" width="7.85546875" style="3" bestFit="1" customWidth="1"/>
    <col min="11756" max="11756" width="8" style="3" bestFit="1" customWidth="1"/>
    <col min="11757" max="11758" width="7.85546875" style="3" bestFit="1" customWidth="1"/>
    <col min="11759" max="11759" width="9.7109375" style="3" customWidth="1"/>
    <col min="11760" max="11760" width="12.85546875" style="3" customWidth="1"/>
    <col min="11761" max="11997" width="9.140625" style="3"/>
    <col min="11998" max="11998" width="9" style="3" bestFit="1" customWidth="1"/>
    <col min="11999" max="11999" width="9.85546875" style="3" bestFit="1" customWidth="1"/>
    <col min="12000" max="12000" width="9.140625" style="3" bestFit="1" customWidth="1"/>
    <col min="12001" max="12001" width="16" style="3" bestFit="1" customWidth="1"/>
    <col min="12002" max="12002" width="9" style="3" bestFit="1" customWidth="1"/>
    <col min="12003" max="12003" width="7.85546875" style="3" bestFit="1" customWidth="1"/>
    <col min="12004" max="12004" width="11.7109375" style="3" bestFit="1" customWidth="1"/>
    <col min="12005" max="12005" width="14.28515625" style="3" customWidth="1"/>
    <col min="12006" max="12006" width="11.7109375" style="3" bestFit="1" customWidth="1"/>
    <col min="12007" max="12007" width="14.140625" style="3" bestFit="1" customWidth="1"/>
    <col min="12008" max="12008" width="16.7109375" style="3" customWidth="1"/>
    <col min="12009" max="12009" width="16.5703125" style="3" customWidth="1"/>
    <col min="12010" max="12011" width="7.85546875" style="3" bestFit="1" customWidth="1"/>
    <col min="12012" max="12012" width="8" style="3" bestFit="1" customWidth="1"/>
    <col min="12013" max="12014" width="7.85546875" style="3" bestFit="1" customWidth="1"/>
    <col min="12015" max="12015" width="9.7109375" style="3" customWidth="1"/>
    <col min="12016" max="12016" width="12.85546875" style="3" customWidth="1"/>
    <col min="12017" max="12253" width="9.140625" style="3"/>
    <col min="12254" max="12254" width="9" style="3" bestFit="1" customWidth="1"/>
    <col min="12255" max="12255" width="9.85546875" style="3" bestFit="1" customWidth="1"/>
    <col min="12256" max="12256" width="9.140625" style="3" bestFit="1" customWidth="1"/>
    <col min="12257" max="12257" width="16" style="3" bestFit="1" customWidth="1"/>
    <col min="12258" max="12258" width="9" style="3" bestFit="1" customWidth="1"/>
    <col min="12259" max="12259" width="7.85546875" style="3" bestFit="1" customWidth="1"/>
    <col min="12260" max="12260" width="11.7109375" style="3" bestFit="1" customWidth="1"/>
    <col min="12261" max="12261" width="14.28515625" style="3" customWidth="1"/>
    <col min="12262" max="12262" width="11.7109375" style="3" bestFit="1" customWidth="1"/>
    <col min="12263" max="12263" width="14.140625" style="3" bestFit="1" customWidth="1"/>
    <col min="12264" max="12264" width="16.7109375" style="3" customWidth="1"/>
    <col min="12265" max="12265" width="16.5703125" style="3" customWidth="1"/>
    <col min="12266" max="12267" width="7.85546875" style="3" bestFit="1" customWidth="1"/>
    <col min="12268" max="12268" width="8" style="3" bestFit="1" customWidth="1"/>
    <col min="12269" max="12270" width="7.85546875" style="3" bestFit="1" customWidth="1"/>
    <col min="12271" max="12271" width="9.7109375" style="3" customWidth="1"/>
    <col min="12272" max="12272" width="12.85546875" style="3" customWidth="1"/>
    <col min="12273" max="12509" width="9.140625" style="3"/>
    <col min="12510" max="12510" width="9" style="3" bestFit="1" customWidth="1"/>
    <col min="12511" max="12511" width="9.85546875" style="3" bestFit="1" customWidth="1"/>
    <col min="12512" max="12512" width="9.140625" style="3" bestFit="1" customWidth="1"/>
    <col min="12513" max="12513" width="16" style="3" bestFit="1" customWidth="1"/>
    <col min="12514" max="12514" width="9" style="3" bestFit="1" customWidth="1"/>
    <col min="12515" max="12515" width="7.85546875" style="3" bestFit="1" customWidth="1"/>
    <col min="12516" max="12516" width="11.7109375" style="3" bestFit="1" customWidth="1"/>
    <col min="12517" max="12517" width="14.28515625" style="3" customWidth="1"/>
    <col min="12518" max="12518" width="11.7109375" style="3" bestFit="1" customWidth="1"/>
    <col min="12519" max="12519" width="14.140625" style="3" bestFit="1" customWidth="1"/>
    <col min="12520" max="12520" width="16.7109375" style="3" customWidth="1"/>
    <col min="12521" max="12521" width="16.5703125" style="3" customWidth="1"/>
    <col min="12522" max="12523" width="7.85546875" style="3" bestFit="1" customWidth="1"/>
    <col min="12524" max="12524" width="8" style="3" bestFit="1" customWidth="1"/>
    <col min="12525" max="12526" width="7.85546875" style="3" bestFit="1" customWidth="1"/>
    <col min="12527" max="12527" width="9.7109375" style="3" customWidth="1"/>
    <col min="12528" max="12528" width="12.85546875" style="3" customWidth="1"/>
    <col min="12529" max="12765" width="9.140625" style="3"/>
    <col min="12766" max="12766" width="9" style="3" bestFit="1" customWidth="1"/>
    <col min="12767" max="12767" width="9.85546875" style="3" bestFit="1" customWidth="1"/>
    <col min="12768" max="12768" width="9.140625" style="3" bestFit="1" customWidth="1"/>
    <col min="12769" max="12769" width="16" style="3" bestFit="1" customWidth="1"/>
    <col min="12770" max="12770" width="9" style="3" bestFit="1" customWidth="1"/>
    <col min="12771" max="12771" width="7.85546875" style="3" bestFit="1" customWidth="1"/>
    <col min="12772" max="12772" width="11.7109375" style="3" bestFit="1" customWidth="1"/>
    <col min="12773" max="12773" width="14.28515625" style="3" customWidth="1"/>
    <col min="12774" max="12774" width="11.7109375" style="3" bestFit="1" customWidth="1"/>
    <col min="12775" max="12775" width="14.140625" style="3" bestFit="1" customWidth="1"/>
    <col min="12776" max="12776" width="16.7109375" style="3" customWidth="1"/>
    <col min="12777" max="12777" width="16.5703125" style="3" customWidth="1"/>
    <col min="12778" max="12779" width="7.85546875" style="3" bestFit="1" customWidth="1"/>
    <col min="12780" max="12780" width="8" style="3" bestFit="1" customWidth="1"/>
    <col min="12781" max="12782" width="7.85546875" style="3" bestFit="1" customWidth="1"/>
    <col min="12783" max="12783" width="9.7109375" style="3" customWidth="1"/>
    <col min="12784" max="12784" width="12.85546875" style="3" customWidth="1"/>
    <col min="12785" max="13021" width="9.140625" style="3"/>
    <col min="13022" max="13022" width="9" style="3" bestFit="1" customWidth="1"/>
    <col min="13023" max="13023" width="9.85546875" style="3" bestFit="1" customWidth="1"/>
    <col min="13024" max="13024" width="9.140625" style="3" bestFit="1" customWidth="1"/>
    <col min="13025" max="13025" width="16" style="3" bestFit="1" customWidth="1"/>
    <col min="13026" max="13026" width="9" style="3" bestFit="1" customWidth="1"/>
    <col min="13027" max="13027" width="7.85546875" style="3" bestFit="1" customWidth="1"/>
    <col min="13028" max="13028" width="11.7109375" style="3" bestFit="1" customWidth="1"/>
    <col min="13029" max="13029" width="14.28515625" style="3" customWidth="1"/>
    <col min="13030" max="13030" width="11.7109375" style="3" bestFit="1" customWidth="1"/>
    <col min="13031" max="13031" width="14.140625" style="3" bestFit="1" customWidth="1"/>
    <col min="13032" max="13032" width="16.7109375" style="3" customWidth="1"/>
    <col min="13033" max="13033" width="16.5703125" style="3" customWidth="1"/>
    <col min="13034" max="13035" width="7.85546875" style="3" bestFit="1" customWidth="1"/>
    <col min="13036" max="13036" width="8" style="3" bestFit="1" customWidth="1"/>
    <col min="13037" max="13038" width="7.85546875" style="3" bestFit="1" customWidth="1"/>
    <col min="13039" max="13039" width="9.7109375" style="3" customWidth="1"/>
    <col min="13040" max="13040" width="12.85546875" style="3" customWidth="1"/>
    <col min="13041" max="13277" width="9.140625" style="3"/>
    <col min="13278" max="13278" width="9" style="3" bestFit="1" customWidth="1"/>
    <col min="13279" max="13279" width="9.85546875" style="3" bestFit="1" customWidth="1"/>
    <col min="13280" max="13280" width="9.140625" style="3" bestFit="1" customWidth="1"/>
    <col min="13281" max="13281" width="16" style="3" bestFit="1" customWidth="1"/>
    <col min="13282" max="13282" width="9" style="3" bestFit="1" customWidth="1"/>
    <col min="13283" max="13283" width="7.85546875" style="3" bestFit="1" customWidth="1"/>
    <col min="13284" max="13284" width="11.7109375" style="3" bestFit="1" customWidth="1"/>
    <col min="13285" max="13285" width="14.28515625" style="3" customWidth="1"/>
    <col min="13286" max="13286" width="11.7109375" style="3" bestFit="1" customWidth="1"/>
    <col min="13287" max="13287" width="14.140625" style="3" bestFit="1" customWidth="1"/>
    <col min="13288" max="13288" width="16.7109375" style="3" customWidth="1"/>
    <col min="13289" max="13289" width="16.5703125" style="3" customWidth="1"/>
    <col min="13290" max="13291" width="7.85546875" style="3" bestFit="1" customWidth="1"/>
    <col min="13292" max="13292" width="8" style="3" bestFit="1" customWidth="1"/>
    <col min="13293" max="13294" width="7.85546875" style="3" bestFit="1" customWidth="1"/>
    <col min="13295" max="13295" width="9.7109375" style="3" customWidth="1"/>
    <col min="13296" max="13296" width="12.85546875" style="3" customWidth="1"/>
    <col min="13297" max="13533" width="9.140625" style="3"/>
    <col min="13534" max="13534" width="9" style="3" bestFit="1" customWidth="1"/>
    <col min="13535" max="13535" width="9.85546875" style="3" bestFit="1" customWidth="1"/>
    <col min="13536" max="13536" width="9.140625" style="3" bestFit="1" customWidth="1"/>
    <col min="13537" max="13537" width="16" style="3" bestFit="1" customWidth="1"/>
    <col min="13538" max="13538" width="9" style="3" bestFit="1" customWidth="1"/>
    <col min="13539" max="13539" width="7.85546875" style="3" bestFit="1" customWidth="1"/>
    <col min="13540" max="13540" width="11.7109375" style="3" bestFit="1" customWidth="1"/>
    <col min="13541" max="13541" width="14.28515625" style="3" customWidth="1"/>
    <col min="13542" max="13542" width="11.7109375" style="3" bestFit="1" customWidth="1"/>
    <col min="13543" max="13543" width="14.140625" style="3" bestFit="1" customWidth="1"/>
    <col min="13544" max="13544" width="16.7109375" style="3" customWidth="1"/>
    <col min="13545" max="13545" width="16.5703125" style="3" customWidth="1"/>
    <col min="13546" max="13547" width="7.85546875" style="3" bestFit="1" customWidth="1"/>
    <col min="13548" max="13548" width="8" style="3" bestFit="1" customWidth="1"/>
    <col min="13549" max="13550" width="7.85546875" style="3" bestFit="1" customWidth="1"/>
    <col min="13551" max="13551" width="9.7109375" style="3" customWidth="1"/>
    <col min="13552" max="13552" width="12.85546875" style="3" customWidth="1"/>
    <col min="13553" max="13789" width="9.140625" style="3"/>
    <col min="13790" max="13790" width="9" style="3" bestFit="1" customWidth="1"/>
    <col min="13791" max="13791" width="9.85546875" style="3" bestFit="1" customWidth="1"/>
    <col min="13792" max="13792" width="9.140625" style="3" bestFit="1" customWidth="1"/>
    <col min="13793" max="13793" width="16" style="3" bestFit="1" customWidth="1"/>
    <col min="13794" max="13794" width="9" style="3" bestFit="1" customWidth="1"/>
    <col min="13795" max="13795" width="7.85546875" style="3" bestFit="1" customWidth="1"/>
    <col min="13796" max="13796" width="11.7109375" style="3" bestFit="1" customWidth="1"/>
    <col min="13797" max="13797" width="14.28515625" style="3" customWidth="1"/>
    <col min="13798" max="13798" width="11.7109375" style="3" bestFit="1" customWidth="1"/>
    <col min="13799" max="13799" width="14.140625" style="3" bestFit="1" customWidth="1"/>
    <col min="13800" max="13800" width="16.7109375" style="3" customWidth="1"/>
    <col min="13801" max="13801" width="16.5703125" style="3" customWidth="1"/>
    <col min="13802" max="13803" width="7.85546875" style="3" bestFit="1" customWidth="1"/>
    <col min="13804" max="13804" width="8" style="3" bestFit="1" customWidth="1"/>
    <col min="13805" max="13806" width="7.85546875" style="3" bestFit="1" customWidth="1"/>
    <col min="13807" max="13807" width="9.7109375" style="3" customWidth="1"/>
    <col min="13808" max="13808" width="12.85546875" style="3" customWidth="1"/>
    <col min="13809" max="14045" width="9.140625" style="3"/>
    <col min="14046" max="14046" width="9" style="3" bestFit="1" customWidth="1"/>
    <col min="14047" max="14047" width="9.85546875" style="3" bestFit="1" customWidth="1"/>
    <col min="14048" max="14048" width="9.140625" style="3" bestFit="1" customWidth="1"/>
    <col min="14049" max="14049" width="16" style="3" bestFit="1" customWidth="1"/>
    <col min="14050" max="14050" width="9" style="3" bestFit="1" customWidth="1"/>
    <col min="14051" max="14051" width="7.85546875" style="3" bestFit="1" customWidth="1"/>
    <col min="14052" max="14052" width="11.7109375" style="3" bestFit="1" customWidth="1"/>
    <col min="14053" max="14053" width="14.28515625" style="3" customWidth="1"/>
    <col min="14054" max="14054" width="11.7109375" style="3" bestFit="1" customWidth="1"/>
    <col min="14055" max="14055" width="14.140625" style="3" bestFit="1" customWidth="1"/>
    <col min="14056" max="14056" width="16.7109375" style="3" customWidth="1"/>
    <col min="14057" max="14057" width="16.5703125" style="3" customWidth="1"/>
    <col min="14058" max="14059" width="7.85546875" style="3" bestFit="1" customWidth="1"/>
    <col min="14060" max="14060" width="8" style="3" bestFit="1" customWidth="1"/>
    <col min="14061" max="14062" width="7.85546875" style="3" bestFit="1" customWidth="1"/>
    <col min="14063" max="14063" width="9.7109375" style="3" customWidth="1"/>
    <col min="14064" max="14064" width="12.85546875" style="3" customWidth="1"/>
    <col min="14065" max="14301" width="9.140625" style="3"/>
    <col min="14302" max="14302" width="9" style="3" bestFit="1" customWidth="1"/>
    <col min="14303" max="14303" width="9.85546875" style="3" bestFit="1" customWidth="1"/>
    <col min="14304" max="14304" width="9.140625" style="3" bestFit="1" customWidth="1"/>
    <col min="14305" max="14305" width="16" style="3" bestFit="1" customWidth="1"/>
    <col min="14306" max="14306" width="9" style="3" bestFit="1" customWidth="1"/>
    <col min="14307" max="14307" width="7.85546875" style="3" bestFit="1" customWidth="1"/>
    <col min="14308" max="14308" width="11.7109375" style="3" bestFit="1" customWidth="1"/>
    <col min="14309" max="14309" width="14.28515625" style="3" customWidth="1"/>
    <col min="14310" max="14310" width="11.7109375" style="3" bestFit="1" customWidth="1"/>
    <col min="14311" max="14311" width="14.140625" style="3" bestFit="1" customWidth="1"/>
    <col min="14312" max="14312" width="16.7109375" style="3" customWidth="1"/>
    <col min="14313" max="14313" width="16.5703125" style="3" customWidth="1"/>
    <col min="14314" max="14315" width="7.85546875" style="3" bestFit="1" customWidth="1"/>
    <col min="14316" max="14316" width="8" style="3" bestFit="1" customWidth="1"/>
    <col min="14317" max="14318" width="7.85546875" style="3" bestFit="1" customWidth="1"/>
    <col min="14319" max="14319" width="9.7109375" style="3" customWidth="1"/>
    <col min="14320" max="14320" width="12.85546875" style="3" customWidth="1"/>
    <col min="14321" max="14557" width="9.140625" style="3"/>
    <col min="14558" max="14558" width="9" style="3" bestFit="1" customWidth="1"/>
    <col min="14559" max="14559" width="9.85546875" style="3" bestFit="1" customWidth="1"/>
    <col min="14560" max="14560" width="9.140625" style="3" bestFit="1" customWidth="1"/>
    <col min="14561" max="14561" width="16" style="3" bestFit="1" customWidth="1"/>
    <col min="14562" max="14562" width="9" style="3" bestFit="1" customWidth="1"/>
    <col min="14563" max="14563" width="7.85546875" style="3" bestFit="1" customWidth="1"/>
    <col min="14564" max="14564" width="11.7109375" style="3" bestFit="1" customWidth="1"/>
    <col min="14565" max="14565" width="14.28515625" style="3" customWidth="1"/>
    <col min="14566" max="14566" width="11.7109375" style="3" bestFit="1" customWidth="1"/>
    <col min="14567" max="14567" width="14.140625" style="3" bestFit="1" customWidth="1"/>
    <col min="14568" max="14568" width="16.7109375" style="3" customWidth="1"/>
    <col min="14569" max="14569" width="16.5703125" style="3" customWidth="1"/>
    <col min="14570" max="14571" width="7.85546875" style="3" bestFit="1" customWidth="1"/>
    <col min="14572" max="14572" width="8" style="3" bestFit="1" customWidth="1"/>
    <col min="14573" max="14574" width="7.85546875" style="3" bestFit="1" customWidth="1"/>
    <col min="14575" max="14575" width="9.7109375" style="3" customWidth="1"/>
    <col min="14576" max="14576" width="12.85546875" style="3" customWidth="1"/>
    <col min="14577" max="14813" width="9.140625" style="3"/>
    <col min="14814" max="14814" width="9" style="3" bestFit="1" customWidth="1"/>
    <col min="14815" max="14815" width="9.85546875" style="3" bestFit="1" customWidth="1"/>
    <col min="14816" max="14816" width="9.140625" style="3" bestFit="1" customWidth="1"/>
    <col min="14817" max="14817" width="16" style="3" bestFit="1" customWidth="1"/>
    <col min="14818" max="14818" width="9" style="3" bestFit="1" customWidth="1"/>
    <col min="14819" max="14819" width="7.85546875" style="3" bestFit="1" customWidth="1"/>
    <col min="14820" max="14820" width="11.7109375" style="3" bestFit="1" customWidth="1"/>
    <col min="14821" max="14821" width="14.28515625" style="3" customWidth="1"/>
    <col min="14822" max="14822" width="11.7109375" style="3" bestFit="1" customWidth="1"/>
    <col min="14823" max="14823" width="14.140625" style="3" bestFit="1" customWidth="1"/>
    <col min="14824" max="14824" width="16.7109375" style="3" customWidth="1"/>
    <col min="14825" max="14825" width="16.5703125" style="3" customWidth="1"/>
    <col min="14826" max="14827" width="7.85546875" style="3" bestFit="1" customWidth="1"/>
    <col min="14828" max="14828" width="8" style="3" bestFit="1" customWidth="1"/>
    <col min="14829" max="14830" width="7.85546875" style="3" bestFit="1" customWidth="1"/>
    <col min="14831" max="14831" width="9.7109375" style="3" customWidth="1"/>
    <col min="14832" max="14832" width="12.85546875" style="3" customWidth="1"/>
    <col min="14833" max="15069" width="9.140625" style="3"/>
    <col min="15070" max="15070" width="9" style="3" bestFit="1" customWidth="1"/>
    <col min="15071" max="15071" width="9.85546875" style="3" bestFit="1" customWidth="1"/>
    <col min="15072" max="15072" width="9.140625" style="3" bestFit="1" customWidth="1"/>
    <col min="15073" max="15073" width="16" style="3" bestFit="1" customWidth="1"/>
    <col min="15074" max="15074" width="9" style="3" bestFit="1" customWidth="1"/>
    <col min="15075" max="15075" width="7.85546875" style="3" bestFit="1" customWidth="1"/>
    <col min="15076" max="15076" width="11.7109375" style="3" bestFit="1" customWidth="1"/>
    <col min="15077" max="15077" width="14.28515625" style="3" customWidth="1"/>
    <col min="15078" max="15078" width="11.7109375" style="3" bestFit="1" customWidth="1"/>
    <col min="15079" max="15079" width="14.140625" style="3" bestFit="1" customWidth="1"/>
    <col min="15080" max="15080" width="16.7109375" style="3" customWidth="1"/>
    <col min="15081" max="15081" width="16.5703125" style="3" customWidth="1"/>
    <col min="15082" max="15083" width="7.85546875" style="3" bestFit="1" customWidth="1"/>
    <col min="15084" max="15084" width="8" style="3" bestFit="1" customWidth="1"/>
    <col min="15085" max="15086" width="7.85546875" style="3" bestFit="1" customWidth="1"/>
    <col min="15087" max="15087" width="9.7109375" style="3" customWidth="1"/>
    <col min="15088" max="15088" width="12.85546875" style="3" customWidth="1"/>
    <col min="15089" max="15325" width="9.140625" style="3"/>
    <col min="15326" max="15326" width="9" style="3" bestFit="1" customWidth="1"/>
    <col min="15327" max="15327" width="9.85546875" style="3" bestFit="1" customWidth="1"/>
    <col min="15328" max="15328" width="9.140625" style="3" bestFit="1" customWidth="1"/>
    <col min="15329" max="15329" width="16" style="3" bestFit="1" customWidth="1"/>
    <col min="15330" max="15330" width="9" style="3" bestFit="1" customWidth="1"/>
    <col min="15331" max="15331" width="7.85546875" style="3" bestFit="1" customWidth="1"/>
    <col min="15332" max="15332" width="11.7109375" style="3" bestFit="1" customWidth="1"/>
    <col min="15333" max="15333" width="14.28515625" style="3" customWidth="1"/>
    <col min="15334" max="15334" width="11.7109375" style="3" bestFit="1" customWidth="1"/>
    <col min="15335" max="15335" width="14.140625" style="3" bestFit="1" customWidth="1"/>
    <col min="15336" max="15336" width="16.7109375" style="3" customWidth="1"/>
    <col min="15337" max="15337" width="16.5703125" style="3" customWidth="1"/>
    <col min="15338" max="15339" width="7.85546875" style="3" bestFit="1" customWidth="1"/>
    <col min="15340" max="15340" width="8" style="3" bestFit="1" customWidth="1"/>
    <col min="15341" max="15342" width="7.85546875" style="3" bestFit="1" customWidth="1"/>
    <col min="15343" max="15343" width="9.7109375" style="3" customWidth="1"/>
    <col min="15344" max="15344" width="12.85546875" style="3" customWidth="1"/>
    <col min="15345" max="15581" width="9.140625" style="3"/>
    <col min="15582" max="15582" width="9" style="3" bestFit="1" customWidth="1"/>
    <col min="15583" max="15583" width="9.85546875" style="3" bestFit="1" customWidth="1"/>
    <col min="15584" max="15584" width="9.140625" style="3" bestFit="1" customWidth="1"/>
    <col min="15585" max="15585" width="16" style="3" bestFit="1" customWidth="1"/>
    <col min="15586" max="15586" width="9" style="3" bestFit="1" customWidth="1"/>
    <col min="15587" max="15587" width="7.85546875" style="3" bestFit="1" customWidth="1"/>
    <col min="15588" max="15588" width="11.7109375" style="3" bestFit="1" customWidth="1"/>
    <col min="15589" max="15589" width="14.28515625" style="3" customWidth="1"/>
    <col min="15590" max="15590" width="11.7109375" style="3" bestFit="1" customWidth="1"/>
    <col min="15591" max="15591" width="14.140625" style="3" bestFit="1" customWidth="1"/>
    <col min="15592" max="15592" width="16.7109375" style="3" customWidth="1"/>
    <col min="15593" max="15593" width="16.5703125" style="3" customWidth="1"/>
    <col min="15594" max="15595" width="7.85546875" style="3" bestFit="1" customWidth="1"/>
    <col min="15596" max="15596" width="8" style="3" bestFit="1" customWidth="1"/>
    <col min="15597" max="15598" width="7.85546875" style="3" bestFit="1" customWidth="1"/>
    <col min="15599" max="15599" width="9.7109375" style="3" customWidth="1"/>
    <col min="15600" max="15600" width="12.85546875" style="3" customWidth="1"/>
    <col min="15601" max="15837" width="9.140625" style="3"/>
    <col min="15838" max="15838" width="9" style="3" bestFit="1" customWidth="1"/>
    <col min="15839" max="15839" width="9.85546875" style="3" bestFit="1" customWidth="1"/>
    <col min="15840" max="15840" width="9.140625" style="3" bestFit="1" customWidth="1"/>
    <col min="15841" max="15841" width="16" style="3" bestFit="1" customWidth="1"/>
    <col min="15842" max="15842" width="9" style="3" bestFit="1" customWidth="1"/>
    <col min="15843" max="15843" width="7.85546875" style="3" bestFit="1" customWidth="1"/>
    <col min="15844" max="15844" width="11.7109375" style="3" bestFit="1" customWidth="1"/>
    <col min="15845" max="15845" width="14.28515625" style="3" customWidth="1"/>
    <col min="15846" max="15846" width="11.7109375" style="3" bestFit="1" customWidth="1"/>
    <col min="15847" max="15847" width="14.140625" style="3" bestFit="1" customWidth="1"/>
    <col min="15848" max="15848" width="16.7109375" style="3" customWidth="1"/>
    <col min="15849" max="15849" width="16.5703125" style="3" customWidth="1"/>
    <col min="15850" max="15851" width="7.85546875" style="3" bestFit="1" customWidth="1"/>
    <col min="15852" max="15852" width="8" style="3" bestFit="1" customWidth="1"/>
    <col min="15853" max="15854" width="7.85546875" style="3" bestFit="1" customWidth="1"/>
    <col min="15855" max="15855" width="9.7109375" style="3" customWidth="1"/>
    <col min="15856" max="15856" width="12.85546875" style="3" customWidth="1"/>
    <col min="15857" max="16093" width="9.140625" style="3"/>
    <col min="16094" max="16094" width="9" style="3" bestFit="1" customWidth="1"/>
    <col min="16095" max="16095" width="9.85546875" style="3" bestFit="1" customWidth="1"/>
    <col min="16096" max="16096" width="9.140625" style="3" bestFit="1" customWidth="1"/>
    <col min="16097" max="16097" width="16" style="3" bestFit="1" customWidth="1"/>
    <col min="16098" max="16098" width="9" style="3" bestFit="1" customWidth="1"/>
    <col min="16099" max="16099" width="7.85546875" style="3" bestFit="1" customWidth="1"/>
    <col min="16100" max="16100" width="11.7109375" style="3" bestFit="1" customWidth="1"/>
    <col min="16101" max="16101" width="14.28515625" style="3" customWidth="1"/>
    <col min="16102" max="16102" width="11.7109375" style="3" bestFit="1" customWidth="1"/>
    <col min="16103" max="16103" width="14.140625" style="3" bestFit="1" customWidth="1"/>
    <col min="16104" max="16104" width="16.7109375" style="3" customWidth="1"/>
    <col min="16105" max="16105" width="16.5703125" style="3" customWidth="1"/>
    <col min="16106" max="16107" width="7.85546875" style="3" bestFit="1" customWidth="1"/>
    <col min="16108" max="16108" width="8" style="3" bestFit="1" customWidth="1"/>
    <col min="16109" max="16110" width="7.85546875" style="3" bestFit="1" customWidth="1"/>
    <col min="16111" max="16111" width="9.7109375" style="3" customWidth="1"/>
    <col min="16112" max="16112" width="12.85546875" style="3" customWidth="1"/>
    <col min="16113" max="16384" width="9.140625" style="3"/>
  </cols>
  <sheetData>
    <row r="1" spans="1:15" s="43" customFormat="1" ht="15.75" customHeight="1">
      <c r="A1" s="809" t="s">
        <v>1</v>
      </c>
      <c r="B1" s="819" t="s">
        <v>572</v>
      </c>
      <c r="C1" s="815" t="s">
        <v>0</v>
      </c>
      <c r="D1" s="817" t="s">
        <v>83</v>
      </c>
      <c r="E1" s="811" t="s">
        <v>3</v>
      </c>
      <c r="F1" s="812"/>
      <c r="G1" s="813" t="s">
        <v>510</v>
      </c>
      <c r="H1" s="814"/>
      <c r="I1" s="800" t="s">
        <v>29</v>
      </c>
      <c r="J1" s="801"/>
      <c r="K1" s="801"/>
      <c r="L1" s="801"/>
      <c r="M1" s="801"/>
      <c r="N1" s="801"/>
      <c r="O1" s="802"/>
    </row>
    <row r="2" spans="1:15" s="8" customFormat="1" ht="23.25" customHeight="1" thickBot="1">
      <c r="A2" s="810"/>
      <c r="B2" s="820"/>
      <c r="C2" s="816"/>
      <c r="D2" s="818"/>
      <c r="E2" s="42"/>
      <c r="F2" s="53" t="s">
        <v>497</v>
      </c>
      <c r="G2" s="316"/>
      <c r="H2" s="92" t="s">
        <v>491</v>
      </c>
      <c r="I2" s="803"/>
      <c r="J2" s="804"/>
      <c r="K2" s="804"/>
      <c r="L2" s="804"/>
      <c r="M2" s="804"/>
      <c r="N2" s="804"/>
      <c r="O2" s="805"/>
    </row>
    <row r="3" spans="1:15" s="131" customFormat="1" ht="15">
      <c r="A3" s="530" t="str">
        <f>'1-συμβολαια'!A3</f>
        <v>93τραπ &amp; σημ</v>
      </c>
      <c r="B3" s="538">
        <f>'1-συμβολαια'!B3</f>
        <v>27790</v>
      </c>
      <c r="C3" s="358" t="str">
        <f>'1-συμβολαια'!C3</f>
        <v>δάνειο</v>
      </c>
      <c r="D3" s="359">
        <f>'1-συμβολαια'!D3</f>
        <v>24000000</v>
      </c>
      <c r="E3" s="360">
        <v>7</v>
      </c>
      <c r="F3" s="360"/>
      <c r="G3" s="361">
        <f>(E3-1)*100</f>
        <v>600</v>
      </c>
      <c r="H3" s="361"/>
      <c r="I3" s="279"/>
      <c r="J3" s="279" t="s">
        <v>122</v>
      </c>
      <c r="K3" s="279"/>
      <c r="L3" s="362"/>
      <c r="M3" s="362"/>
      <c r="N3" s="362"/>
      <c r="O3" s="362"/>
    </row>
    <row r="4" spans="1:15" s="131" customFormat="1" ht="15">
      <c r="A4" s="530">
        <f>'1-συμβολαια'!A4</f>
        <v>0</v>
      </c>
      <c r="B4" s="539"/>
      <c r="C4" s="358" t="str">
        <f>'1-συμβολαια'!C4</f>
        <v>υποθήκη δανείου</v>
      </c>
      <c r="D4" s="359">
        <f>'1-συμβολαια'!D4</f>
        <v>26666666</v>
      </c>
      <c r="E4" s="360">
        <v>7</v>
      </c>
      <c r="F4" s="360"/>
      <c r="G4" s="361">
        <f t="shared" ref="G4:G8" si="0">(E4-1)*100</f>
        <v>600</v>
      </c>
      <c r="H4" s="361"/>
      <c r="I4" s="279" t="s">
        <v>214</v>
      </c>
      <c r="J4" s="279" t="s">
        <v>122</v>
      </c>
      <c r="K4" s="279"/>
      <c r="L4" s="362"/>
      <c r="M4" s="362"/>
      <c r="N4" s="362"/>
      <c r="O4" s="362"/>
    </row>
    <row r="5" spans="1:15" s="131" customFormat="1" ht="15">
      <c r="A5" s="531">
        <f>'1-συμβολαια'!A5</f>
        <v>0</v>
      </c>
      <c r="B5" s="539"/>
      <c r="C5" s="375" t="str">
        <f>'1-συμβολαια'!C5</f>
        <v>τόκοι δανείου {εμπρόθεσμα πληρωθέντες}</v>
      </c>
      <c r="D5" s="415">
        <f>'1-συμβολαια'!D5</f>
        <v>51111111</v>
      </c>
      <c r="E5" s="360">
        <v>7</v>
      </c>
      <c r="F5" s="360"/>
      <c r="G5" s="361">
        <f t="shared" si="0"/>
        <v>600</v>
      </c>
      <c r="H5" s="361"/>
      <c r="I5" s="279" t="s">
        <v>214</v>
      </c>
      <c r="J5" s="279" t="s">
        <v>122</v>
      </c>
      <c r="K5" s="279"/>
      <c r="L5" s="362"/>
      <c r="M5" s="362"/>
      <c r="N5" s="362"/>
      <c r="O5" s="362"/>
    </row>
    <row r="6" spans="1:15" s="131" customFormat="1" ht="15">
      <c r="A6" s="531" t="str">
        <f>'1-συμβολαια'!A6</f>
        <v>375τραπ</v>
      </c>
      <c r="B6" s="539">
        <f>'1-συμβολαια'!B6</f>
        <v>30161</v>
      </c>
      <c r="C6" s="375" t="str">
        <f>'1-συμβολαια'!C6</f>
        <v>δάνειο</v>
      </c>
      <c r="D6" s="415">
        <f>'1-συμβολαια'!D6</f>
        <v>5000000</v>
      </c>
      <c r="E6" s="360">
        <v>7</v>
      </c>
      <c r="F6" s="360"/>
      <c r="G6" s="361">
        <f t="shared" si="0"/>
        <v>600</v>
      </c>
      <c r="H6" s="361"/>
      <c r="I6" s="279" t="s">
        <v>214</v>
      </c>
      <c r="J6" s="279" t="s">
        <v>122</v>
      </c>
      <c r="K6" s="279"/>
      <c r="L6" s="362"/>
      <c r="M6" s="362"/>
      <c r="N6" s="362"/>
      <c r="O6" s="362"/>
    </row>
    <row r="7" spans="1:15" s="131" customFormat="1" ht="15">
      <c r="A7" s="531">
        <f>'1-συμβολαια'!A7</f>
        <v>0</v>
      </c>
      <c r="B7" s="539"/>
      <c r="C7" s="375" t="str">
        <f>'1-συμβολαια'!C7</f>
        <v>υποθήκη δανείου</v>
      </c>
      <c r="D7" s="415">
        <f>'1-συμβολαια'!D7</f>
        <v>6666666</v>
      </c>
      <c r="E7" s="360">
        <v>7</v>
      </c>
      <c r="F7" s="360"/>
      <c r="G7" s="361">
        <f t="shared" si="0"/>
        <v>600</v>
      </c>
      <c r="H7" s="361"/>
      <c r="I7" s="279" t="s">
        <v>214</v>
      </c>
      <c r="J7" s="279" t="s">
        <v>122</v>
      </c>
      <c r="K7" s="279"/>
      <c r="L7" s="362"/>
      <c r="M7" s="362"/>
      <c r="N7" s="362"/>
      <c r="O7" s="362"/>
    </row>
    <row r="8" spans="1:15" s="131" customFormat="1" ht="15">
      <c r="A8" s="531">
        <f>'1-συμβολαια'!A8</f>
        <v>0</v>
      </c>
      <c r="B8" s="539"/>
      <c r="C8" s="375" t="str">
        <f>'1-συμβολαια'!C8</f>
        <v>τόκοι δανείου</v>
      </c>
      <c r="D8" s="415">
        <f>'1-συμβολαια'!D8</f>
        <v>11111111</v>
      </c>
      <c r="E8" s="360">
        <v>7</v>
      </c>
      <c r="F8" s="360"/>
      <c r="G8" s="361">
        <f t="shared" si="0"/>
        <v>600</v>
      </c>
      <c r="H8" s="361"/>
      <c r="I8" s="279" t="s">
        <v>214</v>
      </c>
      <c r="J8" s="279" t="s">
        <v>122</v>
      </c>
      <c r="K8" s="279"/>
      <c r="L8" s="362"/>
      <c r="M8" s="362"/>
      <c r="N8" s="362"/>
      <c r="O8" s="362"/>
    </row>
    <row r="9" spans="1:15" s="131" customFormat="1" ht="15.75" thickBot="1">
      <c r="A9" s="532" t="str">
        <f>'1-συμβολαια'!A9</f>
        <v>1ο</v>
      </c>
      <c r="B9" s="540">
        <f>'1-συμβολαια'!B9</f>
        <v>30265</v>
      </c>
      <c r="C9" s="430" t="str">
        <f>'1-συμβολαια'!C9</f>
        <v>υποθήκη τυχόν αυξήσεως ΤΟΚΩΝ δανείου</v>
      </c>
      <c r="D9" s="431">
        <f>'1-συμβολαια'!D9</f>
        <v>20000</v>
      </c>
      <c r="E9" s="432">
        <v>7</v>
      </c>
      <c r="F9" s="432">
        <v>7</v>
      </c>
      <c r="G9" s="363">
        <f>(E9-1)*100</f>
        <v>600</v>
      </c>
      <c r="H9" s="363">
        <f>(F9-1)*100</f>
        <v>600</v>
      </c>
      <c r="I9" s="593" t="s">
        <v>214</v>
      </c>
      <c r="J9" s="593" t="s">
        <v>122</v>
      </c>
      <c r="K9" s="593"/>
      <c r="L9" s="364"/>
      <c r="M9" s="364"/>
      <c r="N9" s="364"/>
      <c r="O9" s="364"/>
    </row>
    <row r="10" spans="1:15" s="131" customFormat="1" ht="15">
      <c r="A10" s="533" t="str">
        <f>'1-συμβολαια'!A10</f>
        <v>2ο</v>
      </c>
      <c r="B10" s="541">
        <f>'1-συμβολαια'!B10</f>
        <v>30160</v>
      </c>
      <c r="C10" s="457" t="str">
        <f>'1-συμβολαια'!C10</f>
        <v>αγοραπωλησία οικοπεδου τίμημα = 800.000 Δ.Ο.Υ. =</v>
      </c>
      <c r="D10" s="458">
        <f>'1-συμβολαια'!D10</f>
        <v>1000000</v>
      </c>
      <c r="E10" s="459">
        <v>4</v>
      </c>
      <c r="F10" s="459">
        <v>4</v>
      </c>
      <c r="G10" s="376">
        <f>(E10-1)*100</f>
        <v>300</v>
      </c>
      <c r="H10" s="376">
        <f>(F10-1)*100</f>
        <v>300</v>
      </c>
      <c r="I10" s="367"/>
      <c r="J10" s="367" t="s">
        <v>122</v>
      </c>
      <c r="K10" s="367"/>
      <c r="L10" s="584"/>
      <c r="M10" s="584"/>
      <c r="N10" s="584"/>
      <c r="O10" s="584"/>
    </row>
    <row r="11" spans="1:15" s="131" customFormat="1" ht="15">
      <c r="A11" s="534">
        <f>'1-συμβολαια'!A11</f>
        <v>0</v>
      </c>
      <c r="B11" s="539"/>
      <c r="C11" s="358" t="str">
        <f>'1-συμβολαια'!C11</f>
        <v>αγορά εργοστασίου ;;;??? μ2</v>
      </c>
      <c r="D11" s="359">
        <f>'1-συμβολαια'!D11</f>
        <v>11111111</v>
      </c>
      <c r="E11" s="360">
        <v>4</v>
      </c>
      <c r="F11" s="360"/>
      <c r="G11" s="376">
        <f t="shared" ref="G11:H17" si="1">(E11-1)*100</f>
        <v>300</v>
      </c>
      <c r="H11" s="361"/>
      <c r="I11" s="279" t="s">
        <v>214</v>
      </c>
      <c r="J11" s="279" t="s">
        <v>122</v>
      </c>
      <c r="K11" s="279"/>
      <c r="L11" s="362"/>
      <c r="M11" s="362"/>
      <c r="N11" s="362"/>
      <c r="O11" s="362"/>
    </row>
    <row r="12" spans="1:15" s="131" customFormat="1" ht="15.75" thickBot="1">
      <c r="A12" s="535">
        <f>'1-συμβολαια'!A12</f>
        <v>0</v>
      </c>
      <c r="B12" s="540"/>
      <c r="C12" s="430" t="str">
        <f>'1-συμβολαια'!C12</f>
        <v>αγορά εργοστασίου ΕΞΟΠΛΙΣΜΟΣ</v>
      </c>
      <c r="D12" s="431">
        <f>'1-συμβολαια'!D12</f>
        <v>6666666</v>
      </c>
      <c r="E12" s="432">
        <v>4</v>
      </c>
      <c r="F12" s="432"/>
      <c r="G12" s="363">
        <f t="shared" si="1"/>
        <v>300</v>
      </c>
      <c r="H12" s="363"/>
      <c r="I12" s="279" t="s">
        <v>214</v>
      </c>
      <c r="J12" s="279" t="s">
        <v>122</v>
      </c>
      <c r="K12" s="279"/>
      <c r="L12" s="362"/>
      <c r="M12" s="362"/>
      <c r="N12" s="362"/>
      <c r="O12" s="362"/>
    </row>
    <row r="13" spans="1:15" s="131" customFormat="1" ht="15.75" thickBot="1">
      <c r="A13" s="536" t="str">
        <f>'1-συμβολαια'!A13</f>
        <v>3ο</v>
      </c>
      <c r="B13" s="542">
        <f>'1-συμβολαια'!B13</f>
        <v>30149</v>
      </c>
      <c r="C13" s="498" t="str">
        <f>'1-συμβολαια'!C13</f>
        <v>πληρεξούσιο</v>
      </c>
      <c r="D13" s="499">
        <f>'1-συμβολαια'!D13</f>
        <v>0</v>
      </c>
      <c r="E13" s="500">
        <v>3</v>
      </c>
      <c r="F13" s="500">
        <v>3</v>
      </c>
      <c r="G13" s="501">
        <f t="shared" si="1"/>
        <v>200</v>
      </c>
      <c r="H13" s="501">
        <f t="shared" si="1"/>
        <v>200</v>
      </c>
      <c r="I13" s="279"/>
      <c r="J13" s="279" t="s">
        <v>122</v>
      </c>
      <c r="K13" s="279"/>
      <c r="L13" s="362"/>
      <c r="M13" s="362"/>
      <c r="N13" s="362"/>
      <c r="O13" s="362"/>
    </row>
    <row r="14" spans="1:15" s="131" customFormat="1" ht="15">
      <c r="A14" s="537" t="str">
        <f>'1-συμβολαια'!A14</f>
        <v>4ο</v>
      </c>
      <c r="B14" s="541">
        <f>'1-συμβολαια'!B14</f>
        <v>30412</v>
      </c>
      <c r="C14" s="457" t="str">
        <f>'1-συμβολαια'!C14</f>
        <v>υποθήκη [έναντι του δανείου 375-29/07/1982τραπ</v>
      </c>
      <c r="D14" s="458">
        <f>'1-συμβολαια'!D14</f>
        <v>100000</v>
      </c>
      <c r="E14" s="459">
        <v>8</v>
      </c>
      <c r="F14" s="459">
        <v>8</v>
      </c>
      <c r="G14" s="376">
        <f t="shared" si="1"/>
        <v>700</v>
      </c>
      <c r="H14" s="376">
        <f t="shared" si="1"/>
        <v>700</v>
      </c>
      <c r="I14" s="279"/>
      <c r="J14" s="279" t="s">
        <v>122</v>
      </c>
      <c r="K14" s="279"/>
      <c r="L14" s="362"/>
      <c r="M14" s="362"/>
      <c r="N14" s="362"/>
      <c r="O14" s="362"/>
    </row>
    <row r="15" spans="1:15" s="131" customFormat="1" ht="15">
      <c r="A15" s="530" t="str">
        <f>'1-συμβολαια'!A15</f>
        <v>389τραπ</v>
      </c>
      <c r="B15" s="539">
        <f>'1-συμβολαια'!B15</f>
        <v>30228</v>
      </c>
      <c r="C15" s="358" t="str">
        <f>'1-συμβολαια'!C15</f>
        <v>δάνειο</v>
      </c>
      <c r="D15" s="359">
        <f>'1-συμβολαια'!D15</f>
        <v>10000000</v>
      </c>
      <c r="E15" s="360">
        <v>8</v>
      </c>
      <c r="F15" s="360"/>
      <c r="G15" s="376">
        <f t="shared" si="1"/>
        <v>700</v>
      </c>
      <c r="H15" s="361"/>
      <c r="I15" s="279" t="s">
        <v>214</v>
      </c>
      <c r="J15" s="279" t="s">
        <v>122</v>
      </c>
      <c r="K15" s="279"/>
      <c r="L15" s="362"/>
      <c r="M15" s="362"/>
      <c r="N15" s="362"/>
      <c r="O15" s="362"/>
    </row>
    <row r="16" spans="1:15" s="131" customFormat="1" ht="15">
      <c r="A16" s="530">
        <f>'1-συμβολαια'!A16</f>
        <v>0</v>
      </c>
      <c r="B16" s="539"/>
      <c r="C16" s="358" t="str">
        <f>'1-συμβολαια'!C16</f>
        <v>υποθήκη δανείου</v>
      </c>
      <c r="D16" s="359">
        <f>'1-συμβολαια'!D16</f>
        <v>12222222</v>
      </c>
      <c r="E16" s="360">
        <v>8</v>
      </c>
      <c r="F16" s="360"/>
      <c r="G16" s="376">
        <f t="shared" si="1"/>
        <v>700</v>
      </c>
      <c r="H16" s="361"/>
      <c r="I16" s="279" t="s">
        <v>214</v>
      </c>
      <c r="J16" s="279" t="s">
        <v>122</v>
      </c>
      <c r="K16" s="279"/>
      <c r="L16" s="362"/>
      <c r="M16" s="362"/>
      <c r="N16" s="362"/>
      <c r="O16" s="362"/>
    </row>
    <row r="17" spans="1:15" s="131" customFormat="1" ht="15.75" thickBot="1">
      <c r="A17" s="532">
        <f>'1-συμβολαια'!A17</f>
        <v>0</v>
      </c>
      <c r="B17" s="540"/>
      <c r="C17" s="430" t="str">
        <f>'1-συμβολαια'!C17</f>
        <v>τόκοι δανείου</v>
      </c>
      <c r="D17" s="431">
        <f>'1-συμβολαια'!D17</f>
        <v>22222222</v>
      </c>
      <c r="E17" s="432">
        <v>8</v>
      </c>
      <c r="F17" s="432"/>
      <c r="G17" s="363">
        <f t="shared" si="1"/>
        <v>700</v>
      </c>
      <c r="H17" s="363"/>
      <c r="I17" s="279" t="s">
        <v>214</v>
      </c>
      <c r="J17" s="279" t="s">
        <v>122</v>
      </c>
      <c r="K17" s="279"/>
      <c r="L17" s="362"/>
      <c r="M17" s="362"/>
      <c r="N17" s="362"/>
      <c r="O17" s="362"/>
    </row>
    <row r="18" spans="1:15" s="131" customFormat="1" ht="15">
      <c r="A18" s="533" t="str">
        <f>'1-συμβολαια'!A18</f>
        <v>5ο</v>
      </c>
      <c r="B18" s="541">
        <f>'1-συμβολαια'!B18</f>
        <v>32394</v>
      </c>
      <c r="C18" s="457" t="str">
        <f>'1-συμβολαια'!C18</f>
        <v>μίσθωσις νταμάρι  Παναγία -'';;;???'' 29στρ 3έτη [1000/έτος/στρ</v>
      </c>
      <c r="D18" s="458">
        <f>'1-συμβολαια'!D18</f>
        <v>696000</v>
      </c>
      <c r="E18" s="459">
        <v>13</v>
      </c>
      <c r="F18" s="459">
        <v>13</v>
      </c>
      <c r="G18" s="376">
        <f>10*300+3*250</f>
        <v>3750</v>
      </c>
      <c r="H18" s="376">
        <f>10*300+3*250</f>
        <v>3750</v>
      </c>
      <c r="I18" s="279"/>
      <c r="J18" s="279" t="s">
        <v>122</v>
      </c>
      <c r="K18" s="279"/>
      <c r="L18" s="362"/>
      <c r="M18" s="362"/>
      <c r="N18" s="362"/>
      <c r="O18" s="362"/>
    </row>
    <row r="19" spans="1:15" s="131" customFormat="1" ht="15">
      <c r="A19" s="534">
        <f>'1-συμβολαια'!A19</f>
        <v>0</v>
      </c>
      <c r="B19" s="539"/>
      <c r="C19" s="358" t="str">
        <f>'1-συμβολαια'!C19</f>
        <v>μίσθωση … ΚΤΙΡΙΑΚΑ &amp; τεχνικές εγκαταστάσεις &amp; ΚΛΠ</v>
      </c>
      <c r="D19" s="359">
        <f>'1-συμβολαια'!D19</f>
        <v>10000000</v>
      </c>
      <c r="E19" s="360">
        <v>13</v>
      </c>
      <c r="F19" s="360"/>
      <c r="G19" s="376">
        <f t="shared" ref="G19:G21" si="2">10*300+3*250</f>
        <v>3750</v>
      </c>
      <c r="H19" s="361"/>
      <c r="I19" s="279" t="s">
        <v>214</v>
      </c>
      <c r="J19" s="279" t="s">
        <v>122</v>
      </c>
      <c r="K19" s="279"/>
      <c r="L19" s="362"/>
      <c r="M19" s="362"/>
      <c r="N19" s="362"/>
      <c r="O19" s="362"/>
    </row>
    <row r="20" spans="1:15" s="131" customFormat="1" ht="15">
      <c r="A20" s="534">
        <f>'1-συμβολαια'!A20</f>
        <v>0</v>
      </c>
      <c r="B20" s="539"/>
      <c r="C20" s="358" t="str">
        <f>'1-συμβολαια'!C20</f>
        <v>μίσθωση … ΕΡΕΥΝΗΤΙΚΕΣ εργασίες</v>
      </c>
      <c r="D20" s="359"/>
      <c r="E20" s="360">
        <v>13</v>
      </c>
      <c r="F20" s="360"/>
      <c r="G20" s="376">
        <f t="shared" si="2"/>
        <v>3750</v>
      </c>
      <c r="H20" s="361"/>
      <c r="I20" s="279" t="s">
        <v>214</v>
      </c>
      <c r="J20" s="279" t="s">
        <v>122</v>
      </c>
      <c r="K20" s="279"/>
      <c r="L20" s="362"/>
      <c r="M20" s="362"/>
      <c r="N20" s="362"/>
      <c r="O20" s="362"/>
    </row>
    <row r="21" spans="1:15" s="131" customFormat="1" ht="15.75" thickBot="1">
      <c r="A21" s="535">
        <f>'1-συμβολαια'!A21</f>
        <v>0</v>
      </c>
      <c r="B21" s="540"/>
      <c r="C21" s="430" t="str">
        <f>'1-συμβολαια'!C21</f>
        <v>μίσθωση ….. κόστος έργων αποκατάστασης</v>
      </c>
      <c r="D21" s="431"/>
      <c r="E21" s="432">
        <v>13</v>
      </c>
      <c r="F21" s="432"/>
      <c r="G21" s="363">
        <f t="shared" si="2"/>
        <v>3750</v>
      </c>
      <c r="H21" s="363"/>
      <c r="I21" s="593" t="s">
        <v>214</v>
      </c>
      <c r="J21" s="593" t="s">
        <v>122</v>
      </c>
      <c r="K21" s="593"/>
      <c r="L21" s="364"/>
      <c r="M21" s="364"/>
      <c r="N21" s="364"/>
      <c r="O21" s="364"/>
    </row>
    <row r="22" spans="1:15" s="131" customFormat="1" ht="15">
      <c r="A22" s="537" t="str">
        <f>'1-συμβολαια'!A22</f>
        <v>6ο</v>
      </c>
      <c r="B22" s="541">
        <f>'1-συμβολαια'!B22</f>
        <v>33008</v>
      </c>
      <c r="C22" s="457" t="str">
        <f>'1-συμβολαια'!C22</f>
        <v>;;;???ΑΕ σύσταση από ΜΕΤΑΤΡΟΠΗ ατομικής [= 40.000.000δρχ</v>
      </c>
      <c r="D22" s="458">
        <f>'1-συμβολαια'!D22</f>
        <v>0</v>
      </c>
      <c r="E22" s="459">
        <v>32</v>
      </c>
      <c r="F22" s="459">
        <v>32</v>
      </c>
      <c r="G22" s="376">
        <f>10*300+21*250</f>
        <v>8250</v>
      </c>
      <c r="H22" s="376">
        <f>10*300+21*250</f>
        <v>8250</v>
      </c>
      <c r="I22" s="367"/>
      <c r="J22" s="367" t="s">
        <v>122</v>
      </c>
      <c r="K22" s="367"/>
      <c r="L22" s="584"/>
      <c r="M22" s="584"/>
      <c r="N22" s="584"/>
      <c r="O22" s="584"/>
    </row>
    <row r="23" spans="1:15" s="131" customFormat="1" ht="15.75" thickBot="1">
      <c r="A23" s="532">
        <f>'1-συμβολαια'!A23</f>
        <v>0</v>
      </c>
      <c r="B23" s="540"/>
      <c r="C23" s="430" t="str">
        <f>'1-συμβολαια'!C23</f>
        <v>πληρεξουσιότητα</v>
      </c>
      <c r="D23" s="431">
        <f>'1-συμβολαια'!D23</f>
        <v>0</v>
      </c>
      <c r="E23" s="432">
        <v>32</v>
      </c>
      <c r="F23" s="432"/>
      <c r="G23" s="363">
        <f>10*300+21*250</f>
        <v>8250</v>
      </c>
      <c r="H23" s="363"/>
      <c r="I23" s="279" t="s">
        <v>214</v>
      </c>
      <c r="J23" s="279" t="s">
        <v>122</v>
      </c>
      <c r="K23" s="279"/>
      <c r="L23" s="362"/>
      <c r="M23" s="362"/>
      <c r="N23" s="362"/>
      <c r="O23" s="362"/>
    </row>
    <row r="24" spans="1:15" s="131" customFormat="1" ht="15">
      <c r="A24" s="533" t="str">
        <f>'1-συμβολαια'!A24</f>
        <v>7ο</v>
      </c>
      <c r="B24" s="541">
        <f>'1-συμβολαια'!B24</f>
        <v>33401</v>
      </c>
      <c r="C24" s="457" t="str">
        <f>'1-συμβολαια'!C24</f>
        <v>;;;??? υποθήκης ΕΞΑΛΕΙΨΗ</v>
      </c>
      <c r="D24" s="458">
        <f>'1-συμβολαια'!D24</f>
        <v>0</v>
      </c>
      <c r="E24" s="459">
        <v>2</v>
      </c>
      <c r="F24" s="459">
        <v>2</v>
      </c>
      <c r="G24" s="376">
        <f t="shared" ref="G24:H36" si="3">(E24-1)*300</f>
        <v>300</v>
      </c>
      <c r="H24" s="376">
        <f t="shared" si="3"/>
        <v>300</v>
      </c>
      <c r="I24" s="279"/>
      <c r="J24" s="279" t="s">
        <v>122</v>
      </c>
      <c r="K24" s="279"/>
      <c r="L24" s="362"/>
      <c r="M24" s="362"/>
      <c r="N24" s="362"/>
      <c r="O24" s="362"/>
    </row>
    <row r="25" spans="1:15" s="131" customFormat="1" ht="15">
      <c r="A25" s="533">
        <f>'1-συμβολαια'!A25</f>
        <v>0</v>
      </c>
      <c r="B25" s="541"/>
      <c r="C25" s="457" t="str">
        <f>'1-συμβολαια'!C25</f>
        <v>υποθήκης 375τραπ29/7/82 ΕΞΑΛΕΙΨΗ</v>
      </c>
      <c r="D25" s="458">
        <f>'1-συμβολαια'!D25</f>
        <v>0</v>
      </c>
      <c r="E25" s="459">
        <v>2</v>
      </c>
      <c r="F25" s="459"/>
      <c r="G25" s="376">
        <f t="shared" si="3"/>
        <v>300</v>
      </c>
      <c r="H25" s="376"/>
      <c r="I25" s="279" t="s">
        <v>214</v>
      </c>
      <c r="J25" s="279" t="s">
        <v>122</v>
      </c>
      <c r="K25" s="279"/>
      <c r="L25" s="362"/>
      <c r="M25" s="362"/>
      <c r="N25" s="362"/>
      <c r="O25" s="362"/>
    </row>
    <row r="26" spans="1:15" s="131" customFormat="1" ht="15">
      <c r="A26" s="533">
        <f>'1-συμβολαια'!A26</f>
        <v>0</v>
      </c>
      <c r="B26" s="541"/>
      <c r="C26" s="457" t="str">
        <f>'1-συμβολαια'!C26</f>
        <v>δάνειο 375τραπ 9/7/82 ΕΞΟΦΛΗΣΗ</v>
      </c>
      <c r="D26" s="458">
        <f>'1-συμβολαια'!D26</f>
        <v>0</v>
      </c>
      <c r="E26" s="459">
        <v>2</v>
      </c>
      <c r="F26" s="459"/>
      <c r="G26" s="376">
        <f t="shared" si="3"/>
        <v>300</v>
      </c>
      <c r="H26" s="376"/>
      <c r="I26" s="279" t="s">
        <v>214</v>
      </c>
      <c r="J26" s="279" t="s">
        <v>122</v>
      </c>
      <c r="K26" s="279"/>
      <c r="L26" s="362"/>
      <c r="M26" s="362"/>
      <c r="N26" s="362"/>
      <c r="O26" s="362"/>
    </row>
    <row r="27" spans="1:15" s="131" customFormat="1" ht="15">
      <c r="A27" s="533">
        <f>'1-συμβολαια'!A27</f>
        <v>0</v>
      </c>
      <c r="B27" s="541"/>
      <c r="C27" s="457" t="str">
        <f>'1-συμβολαια'!C27</f>
        <v>τόκοι δανείου 375τραπ {= προπληρωθέντες VS υπερΠληρωθέντες</v>
      </c>
      <c r="D27" s="458">
        <f>'1-συμβολαια'!D27</f>
        <v>1111111</v>
      </c>
      <c r="E27" s="459">
        <v>2</v>
      </c>
      <c r="F27" s="459"/>
      <c r="G27" s="376">
        <f t="shared" si="3"/>
        <v>300</v>
      </c>
      <c r="H27" s="376"/>
      <c r="I27" s="279" t="s">
        <v>214</v>
      </c>
      <c r="J27" s="279" t="s">
        <v>122</v>
      </c>
      <c r="K27" s="279"/>
      <c r="L27" s="362"/>
      <c r="M27" s="362"/>
      <c r="N27" s="362"/>
      <c r="O27" s="362"/>
    </row>
    <row r="28" spans="1:15" s="131" customFormat="1" ht="15">
      <c r="A28" s="533">
        <f>'1-συμβολαια'!A28</f>
        <v>0</v>
      </c>
      <c r="B28" s="541"/>
      <c r="C28" s="457" t="str">
        <f>'1-συμβολαια'!C28</f>
        <v>υποθήκης 389τραπ29/7/82 ΕΞΑΛΕΙΨΗ</v>
      </c>
      <c r="D28" s="458">
        <f>'1-συμβολαια'!D28</f>
        <v>0</v>
      </c>
      <c r="E28" s="459">
        <v>2</v>
      </c>
      <c r="F28" s="459"/>
      <c r="G28" s="376">
        <f t="shared" si="3"/>
        <v>300</v>
      </c>
      <c r="H28" s="376"/>
      <c r="I28" s="279" t="s">
        <v>214</v>
      </c>
      <c r="J28" s="279" t="s">
        <v>122</v>
      </c>
      <c r="K28" s="279"/>
      <c r="L28" s="362"/>
      <c r="M28" s="362"/>
      <c r="N28" s="362"/>
      <c r="O28" s="362"/>
    </row>
    <row r="29" spans="1:15" s="131" customFormat="1" ht="15">
      <c r="A29" s="533">
        <f>'1-συμβολαια'!A29</f>
        <v>0</v>
      </c>
      <c r="B29" s="541"/>
      <c r="C29" s="457" t="str">
        <f>'1-συμβολαια'!C29</f>
        <v>δάνειο 389τραπ29/7/82 ΕΞΟΦΛΗΣΗ</v>
      </c>
      <c r="D29" s="458">
        <f>'1-συμβολαια'!D29</f>
        <v>0</v>
      </c>
      <c r="E29" s="459">
        <v>2</v>
      </c>
      <c r="F29" s="459"/>
      <c r="G29" s="376">
        <f t="shared" si="3"/>
        <v>300</v>
      </c>
      <c r="H29" s="376"/>
      <c r="I29" s="279" t="s">
        <v>214</v>
      </c>
      <c r="J29" s="279" t="s">
        <v>122</v>
      </c>
      <c r="K29" s="279"/>
      <c r="L29" s="362"/>
      <c r="M29" s="362"/>
      <c r="N29" s="362"/>
      <c r="O29" s="362"/>
    </row>
    <row r="30" spans="1:15" s="131" customFormat="1" ht="15.75" thickBot="1">
      <c r="A30" s="535">
        <f>'1-συμβολαια'!A30</f>
        <v>0</v>
      </c>
      <c r="B30" s="540"/>
      <c r="C30" s="430" t="str">
        <f>'1-συμβολαια'!C30</f>
        <v>τόκοι δανείου 389τραπ {= προπληρωθέντες VS υπερΠληρωθέντες</v>
      </c>
      <c r="D30" s="431">
        <f>'1-συμβολαια'!D30</f>
        <v>2222222</v>
      </c>
      <c r="E30" s="432">
        <v>2</v>
      </c>
      <c r="F30" s="432"/>
      <c r="G30" s="363">
        <f t="shared" si="3"/>
        <v>300</v>
      </c>
      <c r="H30" s="363"/>
      <c r="I30" s="279" t="s">
        <v>214</v>
      </c>
      <c r="J30" s="279" t="s">
        <v>122</v>
      </c>
      <c r="K30" s="279"/>
      <c r="L30" s="362"/>
      <c r="M30" s="362"/>
      <c r="N30" s="362"/>
      <c r="O30" s="362"/>
    </row>
    <row r="31" spans="1:15" s="131" customFormat="1" ht="15">
      <c r="A31" s="537" t="str">
        <f>'1-συμβολαια'!A31</f>
        <v>8ο</v>
      </c>
      <c r="B31" s="541">
        <f>'1-συμβολαια'!B31</f>
        <v>33515</v>
      </c>
      <c r="C31" s="457" t="str">
        <f>'1-συμβολαια'!C31</f>
        <v>μίσθωσης νταμάρι …. ΠΑΡΑΤΑΣΗ 3έτη</v>
      </c>
      <c r="D31" s="458">
        <f>'1-συμβολαια'!D31</f>
        <v>966657</v>
      </c>
      <c r="E31" s="459">
        <v>2</v>
      </c>
      <c r="F31" s="459">
        <v>2</v>
      </c>
      <c r="G31" s="376">
        <f t="shared" si="3"/>
        <v>300</v>
      </c>
      <c r="H31" s="376">
        <f t="shared" si="3"/>
        <v>300</v>
      </c>
      <c r="I31" s="279"/>
      <c r="J31" s="279" t="s">
        <v>122</v>
      </c>
      <c r="K31" s="279"/>
      <c r="L31" s="362"/>
      <c r="M31" s="362"/>
      <c r="N31" s="362"/>
      <c r="O31" s="362"/>
    </row>
    <row r="32" spans="1:15" s="131" customFormat="1" ht="15.75" thickBot="1">
      <c r="A32" s="532">
        <f>'1-συμβολαια'!A32</f>
        <v>0</v>
      </c>
      <c r="B32" s="540"/>
      <c r="C32" s="585" t="str">
        <f>'1-συμβολαια'!C32</f>
        <v>ΧΑΟΣ= κλείσιμο &amp; εκ ΝΕΟΥ</v>
      </c>
      <c r="D32" s="586">
        <f>'1-συμβολαια'!D32</f>
        <v>0</v>
      </c>
      <c r="E32" s="587"/>
      <c r="F32" s="587"/>
      <c r="G32" s="588"/>
      <c r="H32" s="588"/>
      <c r="I32" s="589" t="s">
        <v>214</v>
      </c>
      <c r="J32" s="589" t="s">
        <v>122</v>
      </c>
      <c r="K32" s="589"/>
      <c r="L32" s="590"/>
      <c r="M32" s="590"/>
      <c r="N32" s="590"/>
      <c r="O32" s="590"/>
    </row>
    <row r="33" spans="1:15" s="131" customFormat="1" ht="15">
      <c r="A33" s="533" t="str">
        <f>'1-συμβολαια'!A33</f>
        <v>9ο</v>
      </c>
      <c r="B33" s="541">
        <f>'1-συμβολαια'!B33</f>
        <v>33675</v>
      </c>
      <c r="C33" s="457" t="str">
        <f>'1-συμβολαια'!C33</f>
        <v xml:space="preserve">υποθήκη </v>
      </c>
      <c r="D33" s="458">
        <f>'1-συμβολαια'!D33</f>
        <v>100000</v>
      </c>
      <c r="E33" s="459">
        <v>9</v>
      </c>
      <c r="F33" s="459">
        <v>9</v>
      </c>
      <c r="G33" s="376">
        <f t="shared" si="3"/>
        <v>2400</v>
      </c>
      <c r="H33" s="376">
        <f t="shared" si="3"/>
        <v>2400</v>
      </c>
      <c r="I33" s="367"/>
      <c r="J33" s="367" t="s">
        <v>122</v>
      </c>
      <c r="K33" s="367"/>
      <c r="L33" s="584"/>
      <c r="M33" s="584"/>
      <c r="N33" s="584"/>
      <c r="O33" s="584"/>
    </row>
    <row r="34" spans="1:15" s="131" customFormat="1" ht="15">
      <c r="A34" s="533" t="str">
        <f>'1-συμβολαια'!A34</f>
        <v>794-1-2-3τραπ</v>
      </c>
      <c r="B34" s="541">
        <f>'1-συμβολαια'!B34</f>
        <v>32727</v>
      </c>
      <c r="C34" s="457" t="str">
        <f>'1-συμβολαια'!C34</f>
        <v>υποθήκες δανείων [7/8/89-25/1/1991-8/3/1991-22/11/1991</v>
      </c>
      <c r="D34" s="458">
        <f>'1-συμβολαια'!D34</f>
        <v>73333333</v>
      </c>
      <c r="E34" s="459">
        <v>9</v>
      </c>
      <c r="F34" s="459"/>
      <c r="G34" s="376">
        <f t="shared" si="3"/>
        <v>2400</v>
      </c>
      <c r="H34" s="376"/>
      <c r="I34" s="279" t="s">
        <v>214</v>
      </c>
      <c r="J34" s="279" t="s">
        <v>122</v>
      </c>
      <c r="K34" s="279"/>
      <c r="L34" s="362"/>
      <c r="M34" s="362"/>
      <c r="N34" s="362"/>
      <c r="O34" s="362"/>
    </row>
    <row r="35" spans="1:15" s="131" customFormat="1" ht="15">
      <c r="A35" s="533">
        <f>'1-συμβολαια'!A35</f>
        <v>0</v>
      </c>
      <c r="B35" s="541"/>
      <c r="C35" s="457" t="str">
        <f>'1-συμβολαια'!C35</f>
        <v>δάνεια ανωτέρω υποθηκών</v>
      </c>
      <c r="D35" s="458">
        <f>'1-συμβολαια'!D35</f>
        <v>61000000</v>
      </c>
      <c r="E35" s="459">
        <v>9</v>
      </c>
      <c r="F35" s="459"/>
      <c r="G35" s="376">
        <f t="shared" si="3"/>
        <v>2400</v>
      </c>
      <c r="H35" s="376"/>
      <c r="I35" s="279" t="s">
        <v>214</v>
      </c>
      <c r="J35" s="279" t="s">
        <v>122</v>
      </c>
      <c r="K35" s="279"/>
      <c r="L35" s="362"/>
      <c r="M35" s="362"/>
      <c r="N35" s="362"/>
      <c r="O35" s="362"/>
    </row>
    <row r="36" spans="1:15" s="131" customFormat="1" ht="15.75" thickBot="1">
      <c r="A36" s="535">
        <f>'1-συμβολαια'!A36</f>
        <v>0</v>
      </c>
      <c r="B36" s="540"/>
      <c r="C36" s="430" t="str">
        <f>'1-συμβολαια'!C36</f>
        <v>τόκοι  ανωτέρω δανείων προπληρωθέντες</v>
      </c>
      <c r="D36" s="431">
        <f>'1-συμβολαια'!D36</f>
        <v>133333333</v>
      </c>
      <c r="E36" s="432">
        <v>9</v>
      </c>
      <c r="F36" s="432"/>
      <c r="G36" s="363">
        <f t="shared" si="3"/>
        <v>2400</v>
      </c>
      <c r="H36" s="363"/>
      <c r="I36" s="593" t="s">
        <v>214</v>
      </c>
      <c r="J36" s="593" t="s">
        <v>122</v>
      </c>
      <c r="K36" s="593"/>
      <c r="L36" s="364"/>
      <c r="M36" s="364"/>
      <c r="N36" s="364"/>
      <c r="O36" s="364"/>
    </row>
    <row r="37" spans="1:15" s="131" customFormat="1" ht="15">
      <c r="A37" s="537" t="str">
        <f>'1-συμβολαια'!A37</f>
        <v>10ο</v>
      </c>
      <c r="B37" s="541">
        <f>'1-συμβολαια'!B37</f>
        <v>34890</v>
      </c>
      <c r="C37" s="457" t="str">
        <f>'1-συμβολαια'!C37</f>
        <v>υποθήκη  τοιχόν τόκων</v>
      </c>
      <c r="D37" s="458">
        <f>'1-συμβολαια'!D37</f>
        <v>100000</v>
      </c>
      <c r="E37" s="459">
        <v>8</v>
      </c>
      <c r="F37" s="459">
        <v>8</v>
      </c>
      <c r="G37" s="376">
        <f>(E37-1)*600</f>
        <v>4200</v>
      </c>
      <c r="H37" s="376">
        <f>(F37-1)*600</f>
        <v>4200</v>
      </c>
      <c r="I37" s="367"/>
      <c r="J37" s="367" t="s">
        <v>122</v>
      </c>
      <c r="K37" s="367"/>
      <c r="L37" s="584"/>
      <c r="M37" s="584"/>
      <c r="N37" s="584"/>
      <c r="O37" s="584"/>
    </row>
    <row r="38" spans="1:15" s="131" customFormat="1" ht="15">
      <c r="A38" s="537" t="str">
        <f>'1-συμβολαια'!A38</f>
        <v>794-4-5τραπ</v>
      </c>
      <c r="B38" s="541">
        <f>'1-συμβολαια'!B38</f>
        <v>33843</v>
      </c>
      <c r="C38" s="457" t="str">
        <f>'1-συμβολαια'!C38</f>
        <v>υποθήκες δανείων [27/08/1992-30/10/1992</v>
      </c>
      <c r="D38" s="458">
        <f>'1-συμβολαια'!D38</f>
        <v>32555555</v>
      </c>
      <c r="E38" s="459">
        <v>8</v>
      </c>
      <c r="F38" s="459"/>
      <c r="G38" s="376">
        <f t="shared" ref="G38:G45" si="4">(E38-1)*600</f>
        <v>4200</v>
      </c>
      <c r="H38" s="376"/>
      <c r="I38" s="279" t="s">
        <v>214</v>
      </c>
      <c r="J38" s="279" t="s">
        <v>122</v>
      </c>
      <c r="K38" s="279"/>
      <c r="L38" s="362"/>
      <c r="M38" s="362"/>
      <c r="N38" s="362"/>
      <c r="O38" s="362"/>
    </row>
    <row r="39" spans="1:15" s="131" customFormat="1" ht="15">
      <c r="A39" s="537">
        <f>'1-συμβολαια'!A39</f>
        <v>0</v>
      </c>
      <c r="B39" s="541"/>
      <c r="C39" s="457" t="str">
        <f>'1-συμβολαια'!C39</f>
        <v>δάνεια ανωτέρω υποθηκών</v>
      </c>
      <c r="D39" s="458">
        <f>'1-συμβολαια'!D39</f>
        <v>27000000</v>
      </c>
      <c r="E39" s="459">
        <v>8</v>
      </c>
      <c r="F39" s="459"/>
      <c r="G39" s="376">
        <f t="shared" si="4"/>
        <v>4200</v>
      </c>
      <c r="H39" s="376"/>
      <c r="I39" s="279" t="s">
        <v>214</v>
      </c>
      <c r="J39" s="279" t="s">
        <v>122</v>
      </c>
      <c r="K39" s="279"/>
      <c r="L39" s="362"/>
      <c r="M39" s="362"/>
      <c r="N39" s="362"/>
      <c r="O39" s="362"/>
    </row>
    <row r="40" spans="1:15" s="131" customFormat="1" ht="15.75" thickBot="1">
      <c r="A40" s="532">
        <f>'1-συμβολαια'!A40</f>
        <v>0</v>
      </c>
      <c r="B40" s="540"/>
      <c r="C40" s="430" t="str">
        <f>'1-συμβολαια'!C40</f>
        <v>τόκοι  ανωτέρω δανείων προπληρωθέντες</v>
      </c>
      <c r="D40" s="431">
        <f>'1-συμβολαια'!D40</f>
        <v>55555555</v>
      </c>
      <c r="E40" s="432">
        <v>8</v>
      </c>
      <c r="F40" s="432"/>
      <c r="G40" s="363">
        <f t="shared" si="4"/>
        <v>4200</v>
      </c>
      <c r="H40" s="363"/>
      <c r="I40" s="593" t="s">
        <v>214</v>
      </c>
      <c r="J40" s="593" t="s">
        <v>122</v>
      </c>
      <c r="K40" s="593"/>
      <c r="L40" s="364"/>
      <c r="M40" s="364"/>
      <c r="N40" s="364"/>
      <c r="O40" s="362"/>
    </row>
    <row r="41" spans="1:15" s="131" customFormat="1" ht="15">
      <c r="A41" s="533" t="str">
        <f>'1-συμβολαια'!A41</f>
        <v>11ο</v>
      </c>
      <c r="B41" s="541">
        <f>'1-συμβολαια'!B41</f>
        <v>34962</v>
      </c>
      <c r="C41" s="457" t="str">
        <f>'1-συμβολαια'!C41</f>
        <v>μίσθωσις νταμάρι  Λιμένας -'';;;???'' 24,526στρ 3έτη [8000/έτος/στρ</v>
      </c>
      <c r="D41" s="458">
        <f>'1-συμβολαια'!D41</f>
        <v>588624</v>
      </c>
      <c r="E41" s="459">
        <v>14</v>
      </c>
      <c r="F41" s="459">
        <v>14</v>
      </c>
      <c r="G41" s="376">
        <f t="shared" si="4"/>
        <v>7800</v>
      </c>
      <c r="H41" s="376"/>
      <c r="I41" s="367"/>
      <c r="J41" s="367" t="s">
        <v>122</v>
      </c>
      <c r="K41" s="367"/>
      <c r="L41" s="584"/>
      <c r="M41" s="584"/>
      <c r="N41" s="584"/>
      <c r="O41" s="362"/>
    </row>
    <row r="42" spans="1:15" s="131" customFormat="1" ht="15">
      <c r="A42" s="533">
        <f>'1-συμβολαια'!A42</f>
        <v>0</v>
      </c>
      <c r="B42" s="541"/>
      <c r="C42" s="457" t="str">
        <f>'1-συμβολαια'!C42</f>
        <v>μίσθωση … ΚΤΙΡΙΑΚΑ &amp; τεχνικές εγκαταστάσεις &amp; ΚΛΠ</v>
      </c>
      <c r="D42" s="458">
        <f>'1-συμβολαια'!D42</f>
        <v>50000000</v>
      </c>
      <c r="E42" s="459">
        <v>14</v>
      </c>
      <c r="F42" s="459"/>
      <c r="G42" s="376">
        <f t="shared" si="4"/>
        <v>7800</v>
      </c>
      <c r="H42" s="376"/>
      <c r="I42" s="279" t="s">
        <v>214</v>
      </c>
      <c r="J42" s="279" t="s">
        <v>122</v>
      </c>
      <c r="K42" s="279"/>
      <c r="L42" s="362"/>
      <c r="M42" s="362"/>
      <c r="N42" s="362"/>
      <c r="O42" s="362"/>
    </row>
    <row r="43" spans="1:15" s="131" customFormat="1" ht="15">
      <c r="A43" s="533">
        <f>'1-συμβολαια'!A43</f>
        <v>0</v>
      </c>
      <c r="B43" s="541"/>
      <c r="C43" s="457" t="str">
        <f>'1-συμβολαια'!C43</f>
        <v>μίσθωση … ΕΡΕΥΝΗΤΙΚΕΣ εργασίες</v>
      </c>
      <c r="D43" s="458">
        <f>'1-συμβολαια'!D43</f>
        <v>3333333</v>
      </c>
      <c r="E43" s="459">
        <v>14</v>
      </c>
      <c r="F43" s="459"/>
      <c r="G43" s="376">
        <f t="shared" si="4"/>
        <v>7800</v>
      </c>
      <c r="H43" s="376"/>
      <c r="I43" s="279" t="s">
        <v>214</v>
      </c>
      <c r="J43" s="279" t="s">
        <v>122</v>
      </c>
      <c r="K43" s="279"/>
      <c r="L43" s="362"/>
      <c r="M43" s="362"/>
      <c r="N43" s="362"/>
      <c r="O43" s="362"/>
    </row>
    <row r="44" spans="1:15" s="131" customFormat="1" ht="15.75" thickBot="1">
      <c r="A44" s="535">
        <f>'1-συμβολαια'!A44</f>
        <v>0</v>
      </c>
      <c r="B44" s="540"/>
      <c r="C44" s="430" t="str">
        <f>'1-συμβολαια'!C44</f>
        <v>μίσθωση ….. κόστος έργων αποκατάστασης</v>
      </c>
      <c r="D44" s="431">
        <f>'1-συμβολαια'!D44</f>
        <v>6000000</v>
      </c>
      <c r="E44" s="432">
        <v>14</v>
      </c>
      <c r="F44" s="432"/>
      <c r="G44" s="363">
        <f t="shared" si="4"/>
        <v>7800</v>
      </c>
      <c r="H44" s="363"/>
      <c r="I44" s="279" t="s">
        <v>214</v>
      </c>
      <c r="J44" s="279" t="s">
        <v>122</v>
      </c>
      <c r="K44" s="279"/>
      <c r="L44" s="362"/>
      <c r="M44" s="362"/>
      <c r="N44" s="362"/>
      <c r="O44" s="362"/>
    </row>
    <row r="45" spans="1:15" s="131" customFormat="1" ht="15">
      <c r="A45" s="537" t="str">
        <f>'1-συμβολαια'!A45</f>
        <v>12ο</v>
      </c>
      <c r="B45" s="541">
        <f>'1-συμβολαια'!B45</f>
        <v>35185</v>
      </c>
      <c r="C45" s="457" t="str">
        <f>'1-συμβολαια'!C45</f>
        <v>μίσθωσης νταμάρι ... &amp; ... ΠΑΡΑΤΑΣΗ 3έτη</v>
      </c>
      <c r="D45" s="458">
        <f>'1-συμβολαια'!D45</f>
        <v>957000</v>
      </c>
      <c r="E45" s="459">
        <v>2</v>
      </c>
      <c r="F45" s="459">
        <v>2</v>
      </c>
      <c r="G45" s="376">
        <f t="shared" si="4"/>
        <v>600</v>
      </c>
      <c r="H45" s="376"/>
      <c r="I45" s="279" t="s">
        <v>214</v>
      </c>
      <c r="J45" s="279" t="s">
        <v>122</v>
      </c>
      <c r="K45" s="279"/>
      <c r="L45" s="362"/>
      <c r="M45" s="362"/>
      <c r="N45" s="362"/>
      <c r="O45" s="362"/>
    </row>
    <row r="46" spans="1:15" s="131" customFormat="1" ht="15.75" thickBot="1">
      <c r="A46" s="532">
        <f>'1-συμβολαια'!A46</f>
        <v>0</v>
      </c>
      <c r="B46" s="540">
        <f>'1-συμβολαια'!B46</f>
        <v>0</v>
      </c>
      <c r="C46" s="430" t="str">
        <f>'1-συμβολαια'!C46</f>
        <v>ΧΑΟΣ= κλείσιμο &amp; εκ ΝΕΟΥ</v>
      </c>
      <c r="D46" s="586"/>
      <c r="E46" s="587"/>
      <c r="F46" s="587"/>
      <c r="G46" s="588"/>
      <c r="H46" s="588"/>
      <c r="I46" s="589"/>
      <c r="J46" s="589"/>
      <c r="K46" s="589"/>
      <c r="L46" s="590"/>
      <c r="M46" s="590"/>
      <c r="N46" s="590"/>
      <c r="O46" s="364"/>
    </row>
    <row r="47" spans="1:15" ht="15.75">
      <c r="A47" s="806" t="s">
        <v>58</v>
      </c>
      <c r="B47" s="807"/>
      <c r="C47" s="807"/>
      <c r="D47" s="807"/>
      <c r="E47" s="807"/>
      <c r="F47" s="808"/>
      <c r="G47" s="282">
        <f>SUM(G3:G46)</f>
        <v>100200</v>
      </c>
      <c r="H47" s="282">
        <f>SUM(H3:H46)</f>
        <v>21000</v>
      </c>
    </row>
    <row r="48" spans="1:15" ht="15.75">
      <c r="I48" s="133" t="s">
        <v>131</v>
      </c>
      <c r="J48" s="134"/>
      <c r="K48" s="134"/>
      <c r="L48" s="134"/>
      <c r="M48" s="134"/>
      <c r="N48" s="134"/>
    </row>
    <row r="49" spans="1:15" ht="15.75">
      <c r="J49" s="134" t="s">
        <v>132</v>
      </c>
      <c r="K49" s="134"/>
      <c r="L49" s="134"/>
      <c r="M49" s="134"/>
      <c r="N49" s="79"/>
    </row>
    <row r="50" spans="1:15" ht="15.75">
      <c r="K50" s="133" t="s">
        <v>133</v>
      </c>
    </row>
    <row r="51" spans="1:15">
      <c r="A51" s="2"/>
      <c r="B51" s="2"/>
    </row>
    <row r="52" spans="1:15" ht="15.75">
      <c r="A52" s="2"/>
      <c r="B52" s="2"/>
      <c r="C52" s="310" t="s">
        <v>588</v>
      </c>
    </row>
    <row r="53" spans="1:15" ht="15.75">
      <c r="A53" s="2"/>
      <c r="B53" s="2"/>
      <c r="C53" s="310" t="s">
        <v>597</v>
      </c>
    </row>
    <row r="54" spans="1:15" s="5" customFormat="1" ht="15.75">
      <c r="A54" s="4"/>
      <c r="B54" s="4"/>
      <c r="C54" s="310" t="s">
        <v>598</v>
      </c>
      <c r="D54" s="52"/>
      <c r="E54" s="52"/>
      <c r="F54" s="52"/>
      <c r="G54" s="4"/>
      <c r="H54" s="4"/>
      <c r="I54" s="79"/>
      <c r="J54" s="79"/>
      <c r="K54" s="79"/>
      <c r="L54" s="79"/>
      <c r="M54" s="79"/>
      <c r="N54" s="79"/>
      <c r="O54" s="79"/>
    </row>
    <row r="55" spans="1:15" s="5" customFormat="1" ht="15.75">
      <c r="A55" s="4"/>
      <c r="B55" s="4"/>
      <c r="C55" s="310" t="s">
        <v>564</v>
      </c>
      <c r="D55" s="52"/>
      <c r="E55" s="52"/>
      <c r="F55" s="52"/>
      <c r="G55" s="4"/>
      <c r="H55" s="4"/>
      <c r="I55" s="79"/>
      <c r="J55" s="79"/>
      <c r="K55" s="79"/>
      <c r="L55" s="79"/>
      <c r="M55" s="79"/>
      <c r="N55" s="79"/>
      <c r="O55" s="79"/>
    </row>
    <row r="56" spans="1:15" ht="15.75">
      <c r="C56" s="310" t="s">
        <v>565</v>
      </c>
    </row>
    <row r="57" spans="1:15" ht="15.75">
      <c r="C57" s="310" t="s">
        <v>613</v>
      </c>
    </row>
    <row r="58" spans="1:15" ht="15.75">
      <c r="C58" s="310" t="s">
        <v>619</v>
      </c>
    </row>
    <row r="59" spans="1:15" ht="15.75">
      <c r="C59" s="3"/>
      <c r="D59" s="218" t="s">
        <v>59</v>
      </c>
      <c r="E59" s="3"/>
      <c r="I59" s="2"/>
      <c r="J59" s="2"/>
      <c r="K59" s="2"/>
    </row>
    <row r="61" spans="1:15">
      <c r="C61" s="125"/>
    </row>
    <row r="62" spans="1:15">
      <c r="C62" s="126"/>
      <c r="G62" s="2">
        <f>1000/340.75</f>
        <v>2.9347028613352899</v>
      </c>
    </row>
    <row r="64" spans="1:15">
      <c r="G64" s="7"/>
      <c r="H64" s="7"/>
      <c r="I64" s="7"/>
      <c r="J64" s="7"/>
      <c r="K64" s="7"/>
      <c r="L64" s="7"/>
      <c r="M64" s="7"/>
    </row>
    <row r="65" spans="7:13">
      <c r="H65" s="7"/>
      <c r="I65" s="7"/>
      <c r="J65" s="7"/>
      <c r="K65" s="7"/>
      <c r="L65" s="7"/>
      <c r="M65" s="7"/>
    </row>
    <row r="66" spans="7:13">
      <c r="G66" s="7"/>
      <c r="H66" s="7"/>
      <c r="I66" s="7"/>
      <c r="J66" s="7"/>
      <c r="K66" s="7"/>
      <c r="L66" s="7"/>
      <c r="M66" s="7"/>
    </row>
    <row r="67" spans="7:13">
      <c r="G67" s="7"/>
      <c r="H67" s="7"/>
      <c r="I67" s="7"/>
      <c r="J67" s="7"/>
      <c r="K67" s="7"/>
      <c r="L67" s="7"/>
      <c r="M67" s="7"/>
    </row>
    <row r="68" spans="7:13">
      <c r="G68" s="7"/>
      <c r="H68" s="7"/>
      <c r="I68" s="7"/>
      <c r="J68" s="7"/>
      <c r="K68" s="7"/>
      <c r="L68" s="7"/>
      <c r="M68" s="7"/>
    </row>
    <row r="69" spans="7:13">
      <c r="G69" s="7"/>
      <c r="H69" s="7"/>
      <c r="I69" s="7"/>
      <c r="J69" s="7"/>
      <c r="K69" s="7"/>
      <c r="L69" s="7"/>
      <c r="M69" s="7"/>
    </row>
    <row r="70" spans="7:13">
      <c r="G70" s="7"/>
      <c r="H70" s="7"/>
      <c r="I70" s="7"/>
      <c r="J70" s="7"/>
      <c r="K70" s="7"/>
      <c r="L70" s="7"/>
      <c r="M70" s="7"/>
    </row>
    <row r="71" spans="7:13">
      <c r="G71" s="7"/>
      <c r="H71" s="7"/>
      <c r="I71" s="7"/>
      <c r="J71" s="7"/>
      <c r="K71" s="7"/>
      <c r="L71" s="7"/>
      <c r="M71" s="7"/>
    </row>
    <row r="72" spans="7:13">
      <c r="G72" s="7"/>
      <c r="H72" s="7"/>
      <c r="I72" s="7"/>
      <c r="J72" s="7"/>
      <c r="K72" s="7"/>
      <c r="L72" s="7"/>
      <c r="M72" s="7"/>
    </row>
    <row r="73" spans="7:13">
      <c r="G73" s="7"/>
      <c r="H73" s="7"/>
      <c r="I73" s="7"/>
      <c r="J73" s="7"/>
      <c r="K73" s="7"/>
      <c r="L73" s="7"/>
      <c r="M73" s="7"/>
    </row>
    <row r="74" spans="7:13">
      <c r="G74" s="7"/>
      <c r="H74" s="7"/>
      <c r="I74" s="7"/>
      <c r="J74" s="7"/>
      <c r="K74" s="7"/>
      <c r="L74" s="7"/>
      <c r="M74" s="7"/>
    </row>
    <row r="75" spans="7:13">
      <c r="G75" s="7"/>
      <c r="H75" s="7"/>
      <c r="I75" s="7"/>
      <c r="J75" s="7"/>
      <c r="K75" s="7"/>
      <c r="L75" s="7"/>
      <c r="M75" s="7"/>
    </row>
    <row r="76" spans="7:13">
      <c r="G76" s="7"/>
      <c r="H76" s="7"/>
      <c r="I76" s="7"/>
      <c r="J76" s="7"/>
      <c r="K76" s="7"/>
      <c r="L76" s="7"/>
      <c r="M76" s="7"/>
    </row>
    <row r="77" spans="7:13">
      <c r="G77" s="7"/>
      <c r="H77" s="7"/>
      <c r="I77" s="7"/>
      <c r="J77" s="7"/>
      <c r="K77" s="7"/>
      <c r="L77" s="7"/>
      <c r="M77" s="7"/>
    </row>
    <row r="78" spans="7:13">
      <c r="G78" s="7"/>
      <c r="H78" s="7"/>
      <c r="I78" s="7"/>
      <c r="J78" s="7"/>
      <c r="K78" s="7"/>
      <c r="L78" s="7"/>
      <c r="M78" s="7"/>
    </row>
    <row r="79" spans="7:13">
      <c r="G79" s="7"/>
      <c r="H79" s="7"/>
      <c r="I79" s="7"/>
      <c r="J79" s="7"/>
      <c r="K79" s="7"/>
      <c r="L79" s="7"/>
      <c r="M79" s="7"/>
    </row>
  </sheetData>
  <mergeCells count="8">
    <mergeCell ref="I1:O2"/>
    <mergeCell ref="A47:F47"/>
    <mergeCell ref="A1:A2"/>
    <mergeCell ref="E1:F1"/>
    <mergeCell ref="G1:H1"/>
    <mergeCell ref="C1:C2"/>
    <mergeCell ref="D1:D2"/>
    <mergeCell ref="B1:B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55"/>
  <sheetViews>
    <sheetView workbookViewId="0">
      <pane ySplit="2" topLeftCell="A3" activePane="bottomLeft" state="frozen"/>
      <selection pane="bottomLeft" activeCell="D50" sqref="D50"/>
    </sheetView>
  </sheetViews>
  <sheetFormatPr defaultRowHeight="11.25"/>
  <cols>
    <col min="1" max="1" width="13.7109375" style="7" bestFit="1" customWidth="1"/>
    <col min="2" max="2" width="49.140625" style="84" bestFit="1" customWidth="1"/>
    <col min="3" max="3" width="7.28515625" style="7" bestFit="1" customWidth="1"/>
    <col min="4" max="4" width="36" style="7" bestFit="1" customWidth="1"/>
    <col min="5" max="5" width="10.140625" style="7" bestFit="1" customWidth="1"/>
    <col min="6" max="6" width="12.85546875" style="7" bestFit="1" customWidth="1"/>
    <col min="7" max="7" width="4.140625" style="7" bestFit="1" customWidth="1"/>
    <col min="8" max="8" width="7.28515625" style="7" bestFit="1" customWidth="1"/>
    <col min="9" max="10" width="7" style="7" bestFit="1" customWidth="1"/>
    <col min="11" max="11" width="22.7109375" style="7" bestFit="1" customWidth="1"/>
    <col min="12" max="12" width="7" style="7" bestFit="1" customWidth="1"/>
    <col min="13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5" customWidth="1"/>
    <col min="18" max="20" width="6.7109375" style="75" customWidth="1"/>
    <col min="21" max="21" width="30.5703125" style="7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>
      <c r="A1" s="755" t="s">
        <v>1</v>
      </c>
      <c r="B1" s="827" t="s">
        <v>0</v>
      </c>
      <c r="C1" s="829" t="s">
        <v>11</v>
      </c>
      <c r="D1" s="829"/>
      <c r="E1" s="829"/>
      <c r="F1" s="829"/>
      <c r="G1" s="829"/>
      <c r="H1" s="830" t="s">
        <v>12</v>
      </c>
      <c r="I1" s="830"/>
      <c r="J1" s="830"/>
      <c r="K1" s="830"/>
      <c r="L1" s="830"/>
      <c r="M1" s="830"/>
      <c r="N1" s="830"/>
      <c r="O1" s="833" t="s">
        <v>84</v>
      </c>
      <c r="P1" s="831" t="s">
        <v>215</v>
      </c>
      <c r="Q1" s="821" t="s">
        <v>29</v>
      </c>
      <c r="R1" s="822"/>
      <c r="S1" s="822"/>
      <c r="T1" s="822"/>
      <c r="U1" s="823"/>
    </row>
    <row r="2" spans="1:21" ht="24" customHeight="1" thickBot="1">
      <c r="A2" s="756"/>
      <c r="B2" s="828"/>
      <c r="C2" s="299" t="s">
        <v>45</v>
      </c>
      <c r="D2" s="750" t="s">
        <v>46</v>
      </c>
      <c r="E2" s="1045" t="s">
        <v>47</v>
      </c>
      <c r="F2" s="750" t="s">
        <v>48</v>
      </c>
      <c r="G2" s="1046" t="s">
        <v>49</v>
      </c>
      <c r="H2" s="750" t="s">
        <v>45</v>
      </c>
      <c r="I2" s="750" t="s">
        <v>46</v>
      </c>
      <c r="J2" s="750" t="s">
        <v>47</v>
      </c>
      <c r="K2" s="750" t="s">
        <v>48</v>
      </c>
      <c r="L2" s="750" t="s">
        <v>49</v>
      </c>
      <c r="M2" s="299" t="s">
        <v>50</v>
      </c>
      <c r="N2" s="34" t="s">
        <v>51</v>
      </c>
      <c r="O2" s="834"/>
      <c r="P2" s="832"/>
      <c r="Q2" s="824"/>
      <c r="R2" s="825"/>
      <c r="S2" s="825"/>
      <c r="T2" s="825"/>
      <c r="U2" s="826"/>
    </row>
    <row r="3" spans="1:21" s="5" customFormat="1">
      <c r="A3" s="355" t="str">
        <f>'1-συμβολαια'!A3</f>
        <v>93τραπ &amp; σημ</v>
      </c>
      <c r="B3" s="353" t="str">
        <f>'1-συμβολαια'!C3</f>
        <v>δάνειο</v>
      </c>
      <c r="C3" s="264"/>
      <c r="D3" s="264" t="s">
        <v>698</v>
      </c>
      <c r="E3" s="264" t="s">
        <v>698</v>
      </c>
      <c r="F3" s="264"/>
      <c r="G3" s="264"/>
      <c r="H3" s="264"/>
      <c r="I3" s="264" t="s">
        <v>699</v>
      </c>
      <c r="J3" s="264" t="s">
        <v>699</v>
      </c>
      <c r="K3" s="264"/>
      <c r="L3" s="264"/>
      <c r="M3" s="264"/>
      <c r="N3" s="264"/>
      <c r="O3" s="260"/>
      <c r="P3" s="354">
        <f>O3*('2-δικαιώμ'!O3+'3-φύλλα2α'!G3)</f>
        <v>0</v>
      </c>
      <c r="Q3" s="279"/>
      <c r="R3" s="279"/>
      <c r="S3" s="279"/>
      <c r="T3" s="279"/>
      <c r="U3" s="263"/>
    </row>
    <row r="4" spans="1:21" s="5" customFormat="1">
      <c r="A4" s="355">
        <f>'1-συμβολαια'!A4</f>
        <v>0</v>
      </c>
      <c r="B4" s="353" t="str">
        <f>'1-συμβολαια'!C4</f>
        <v>υποθήκη δανείου</v>
      </c>
      <c r="C4" s="264"/>
      <c r="D4" s="264" t="s">
        <v>698</v>
      </c>
      <c r="E4" s="264" t="s">
        <v>698</v>
      </c>
      <c r="F4" s="264"/>
      <c r="G4" s="264"/>
      <c r="H4" s="264"/>
      <c r="I4" s="264" t="s">
        <v>699</v>
      </c>
      <c r="J4" s="264" t="s">
        <v>699</v>
      </c>
      <c r="K4" s="264"/>
      <c r="L4" s="264"/>
      <c r="M4" s="264"/>
      <c r="N4" s="264"/>
      <c r="O4" s="260"/>
      <c r="P4" s="354">
        <f>O4*('2-δικαιώμ'!O4+'3-φύλλα2α'!G4)</f>
        <v>0</v>
      </c>
      <c r="Q4" s="279"/>
      <c r="R4" s="279"/>
      <c r="S4" s="279"/>
      <c r="T4" s="279"/>
      <c r="U4" s="263"/>
    </row>
    <row r="5" spans="1:21" s="5" customFormat="1">
      <c r="A5" s="391">
        <f>'1-συμβολαια'!A5</f>
        <v>0</v>
      </c>
      <c r="B5" s="353" t="str">
        <f>'1-συμβολαια'!C5</f>
        <v>τόκοι δανείου {εμπρόθεσμα πληρωθέντες}</v>
      </c>
      <c r="C5" s="264"/>
      <c r="D5" s="264" t="s">
        <v>698</v>
      </c>
      <c r="E5" s="264" t="s">
        <v>698</v>
      </c>
      <c r="F5" s="264"/>
      <c r="G5" s="264"/>
      <c r="H5" s="264"/>
      <c r="I5" s="264" t="s">
        <v>699</v>
      </c>
      <c r="J5" s="264" t="s">
        <v>699</v>
      </c>
      <c r="K5" s="264"/>
      <c r="L5" s="264"/>
      <c r="M5" s="264"/>
      <c r="N5" s="264"/>
      <c r="O5" s="260"/>
      <c r="P5" s="354">
        <f>O5*('2-δικαιώμ'!O5+'3-φύλλα2α'!G5)</f>
        <v>0</v>
      </c>
      <c r="Q5" s="279"/>
      <c r="R5" s="279"/>
      <c r="S5" s="279"/>
      <c r="T5" s="279"/>
      <c r="U5" s="263"/>
    </row>
    <row r="6" spans="1:21" s="5" customFormat="1">
      <c r="A6" s="391" t="str">
        <f>'1-συμβολαια'!A6</f>
        <v>375τραπ</v>
      </c>
      <c r="B6" s="353" t="str">
        <f>'1-συμβολαια'!C6</f>
        <v>δάνειο</v>
      </c>
      <c r="C6" s="264"/>
      <c r="D6" s="264" t="s">
        <v>698</v>
      </c>
      <c r="E6" s="264" t="s">
        <v>698</v>
      </c>
      <c r="F6" s="264"/>
      <c r="G6" s="264"/>
      <c r="H6" s="264"/>
      <c r="I6" s="264" t="s">
        <v>699</v>
      </c>
      <c r="J6" s="264" t="s">
        <v>699</v>
      </c>
      <c r="K6" s="264"/>
      <c r="L6" s="264"/>
      <c r="M6" s="264"/>
      <c r="N6" s="264"/>
      <c r="O6" s="260"/>
      <c r="P6" s="354">
        <f>O6*('2-δικαιώμ'!O6+'3-φύλλα2α'!G6)</f>
        <v>0</v>
      </c>
      <c r="Q6" s="279"/>
      <c r="R6" s="279"/>
      <c r="S6" s="279"/>
      <c r="T6" s="279"/>
      <c r="U6" s="263"/>
    </row>
    <row r="7" spans="1:21" s="5" customFormat="1">
      <c r="A7" s="391">
        <f>'1-συμβολαια'!A7</f>
        <v>0</v>
      </c>
      <c r="B7" s="353" t="str">
        <f>'1-συμβολαια'!C7</f>
        <v>υποθήκη δανείου</v>
      </c>
      <c r="C7" s="264"/>
      <c r="D7" s="264" t="s">
        <v>698</v>
      </c>
      <c r="E7" s="264" t="s">
        <v>698</v>
      </c>
      <c r="F7" s="264"/>
      <c r="G7" s="264"/>
      <c r="H7" s="264"/>
      <c r="I7" s="264" t="s">
        <v>699</v>
      </c>
      <c r="J7" s="264" t="s">
        <v>699</v>
      </c>
      <c r="K7" s="264"/>
      <c r="L7" s="264"/>
      <c r="M7" s="264"/>
      <c r="N7" s="264"/>
      <c r="O7" s="260"/>
      <c r="P7" s="354">
        <f>O7*('2-δικαιώμ'!O7+'3-φύλλα2α'!G7)</f>
        <v>0</v>
      </c>
      <c r="Q7" s="279"/>
      <c r="R7" s="279"/>
      <c r="S7" s="279"/>
      <c r="T7" s="279"/>
      <c r="U7" s="263"/>
    </row>
    <row r="8" spans="1:21" s="5" customFormat="1">
      <c r="A8" s="391">
        <f>'1-συμβολαια'!A8</f>
        <v>0</v>
      </c>
      <c r="B8" s="353" t="str">
        <f>'1-συμβολαια'!C8</f>
        <v>τόκοι δανείου</v>
      </c>
      <c r="C8" s="264"/>
      <c r="D8" s="264" t="s">
        <v>698</v>
      </c>
      <c r="E8" s="264" t="s">
        <v>698</v>
      </c>
      <c r="F8" s="264"/>
      <c r="G8" s="264"/>
      <c r="H8" s="264"/>
      <c r="I8" s="264" t="s">
        <v>699</v>
      </c>
      <c r="J8" s="264" t="s">
        <v>699</v>
      </c>
      <c r="K8" s="264"/>
      <c r="L8" s="264"/>
      <c r="M8" s="264"/>
      <c r="N8" s="264"/>
      <c r="O8" s="260"/>
      <c r="P8" s="354">
        <f>O8*('2-δικαιώμ'!O8+'3-φύλλα2α'!G8)</f>
        <v>0</v>
      </c>
      <c r="Q8" s="279"/>
      <c r="R8" s="279"/>
      <c r="S8" s="279"/>
      <c r="T8" s="279"/>
      <c r="U8" s="263"/>
    </row>
    <row r="9" spans="1:21" s="5" customFormat="1" ht="12" thickBot="1">
      <c r="A9" s="392" t="str">
        <f>'1-συμβολαια'!A9</f>
        <v>1ο</v>
      </c>
      <c r="B9" s="356" t="str">
        <f>'1-συμβολαια'!C9</f>
        <v>υποθήκη τυχόν αυξήσεως ΤΟΚΩΝ δανείου</v>
      </c>
      <c r="C9" s="344"/>
      <c r="D9" s="344" t="s">
        <v>698</v>
      </c>
      <c r="E9" s="344" t="s">
        <v>698</v>
      </c>
      <c r="F9" s="344"/>
      <c r="G9" s="344"/>
      <c r="H9" s="344"/>
      <c r="I9" s="344" t="s">
        <v>699</v>
      </c>
      <c r="J9" s="344" t="s">
        <v>699</v>
      </c>
      <c r="K9" s="344"/>
      <c r="L9" s="344"/>
      <c r="M9" s="344"/>
      <c r="N9" s="344"/>
      <c r="O9" s="342"/>
      <c r="P9" s="343">
        <f>O9*('2-δικαιώμ'!O9+'3-φύλλα2α'!G9)</f>
        <v>0</v>
      </c>
      <c r="Q9" s="279"/>
      <c r="R9" s="279"/>
      <c r="S9" s="279"/>
      <c r="T9" s="279"/>
      <c r="U9" s="263"/>
    </row>
    <row r="10" spans="1:21" s="5" customFormat="1">
      <c r="A10" s="485" t="str">
        <f>'1-συμβολαια'!A10</f>
        <v>2ο</v>
      </c>
      <c r="B10" s="405" t="str">
        <f>'1-συμβολαια'!C10</f>
        <v>αγοραπωλησία οικοπεδου τίμημα = 800.000 Δ.Ο.Υ. =</v>
      </c>
      <c r="C10" s="262"/>
      <c r="D10" s="262" t="s">
        <v>697</v>
      </c>
      <c r="E10" s="262"/>
      <c r="F10" s="262"/>
      <c r="G10" s="262"/>
      <c r="H10" s="262"/>
      <c r="I10" s="262" t="s">
        <v>699</v>
      </c>
      <c r="J10" s="262" t="s">
        <v>699</v>
      </c>
      <c r="K10" s="262"/>
      <c r="L10" s="262"/>
      <c r="M10" s="262"/>
      <c r="N10" s="262"/>
      <c r="O10" s="278"/>
      <c r="P10" s="261">
        <f>O10*('2-δικαιώμ'!O10+'3-φύλλα2α'!G10)</f>
        <v>0</v>
      </c>
      <c r="Q10" s="279"/>
      <c r="R10" s="279"/>
      <c r="S10" s="279"/>
      <c r="T10" s="279"/>
      <c r="U10" s="263"/>
    </row>
    <row r="11" spans="1:21" s="5" customFormat="1">
      <c r="A11" s="483">
        <f>'1-συμβολαια'!A11</f>
        <v>0</v>
      </c>
      <c r="B11" s="353" t="str">
        <f>'1-συμβολαια'!C11</f>
        <v>αγορά εργοστασίου ;;;??? μ2</v>
      </c>
      <c r="C11" s="264"/>
      <c r="D11" s="264" t="s">
        <v>697</v>
      </c>
      <c r="E11" s="264"/>
      <c r="F11" s="264"/>
      <c r="G11" s="264"/>
      <c r="H11" s="264"/>
      <c r="I11" s="264" t="s">
        <v>699</v>
      </c>
      <c r="J11" s="264" t="s">
        <v>699</v>
      </c>
      <c r="K11" s="264"/>
      <c r="L11" s="264"/>
      <c r="M11" s="264"/>
      <c r="N11" s="264"/>
      <c r="O11" s="260"/>
      <c r="P11" s="354">
        <f>O11*('2-δικαιώμ'!O11+'3-φύλλα2α'!G11)</f>
        <v>0</v>
      </c>
      <c r="Q11" s="279"/>
      <c r="R11" s="279"/>
      <c r="S11" s="279"/>
      <c r="T11" s="279"/>
      <c r="U11" s="263"/>
    </row>
    <row r="12" spans="1:21" s="5" customFormat="1" ht="12" thickBot="1">
      <c r="A12" s="484">
        <f>'1-συμβολαια'!A12</f>
        <v>0</v>
      </c>
      <c r="B12" s="356" t="str">
        <f>'1-συμβολαια'!C12</f>
        <v>αγορά εργοστασίου ΕΞΟΠΛΙΣΜΟΣ</v>
      </c>
      <c r="C12" s="344"/>
      <c r="D12" s="344" t="s">
        <v>697</v>
      </c>
      <c r="E12" s="344"/>
      <c r="F12" s="344"/>
      <c r="G12" s="344"/>
      <c r="H12" s="344"/>
      <c r="I12" s="344" t="s">
        <v>699</v>
      </c>
      <c r="J12" s="344" t="s">
        <v>699</v>
      </c>
      <c r="K12" s="344"/>
      <c r="L12" s="344"/>
      <c r="M12" s="344"/>
      <c r="N12" s="344"/>
      <c r="O12" s="342"/>
      <c r="P12" s="343">
        <f>O12*('2-δικαιώμ'!O12+'3-φύλλα2α'!G12)</f>
        <v>0</v>
      </c>
      <c r="Q12" s="279"/>
      <c r="R12" s="279"/>
      <c r="S12" s="279"/>
      <c r="T12" s="279"/>
      <c r="U12" s="263"/>
    </row>
    <row r="13" spans="1:21" s="5" customFormat="1" ht="12" thickBot="1">
      <c r="A13" s="493" t="str">
        <f>'1-συμβολαια'!A13</f>
        <v>3ο</v>
      </c>
      <c r="B13" s="494" t="str">
        <f>'1-συμβολαια'!C13</f>
        <v>πληρεξούσιο</v>
      </c>
      <c r="C13" s="495"/>
      <c r="D13" s="512" t="s">
        <v>699</v>
      </c>
      <c r="E13" s="512"/>
      <c r="F13" s="512"/>
      <c r="G13" s="512"/>
      <c r="H13" s="512"/>
      <c r="I13" s="512" t="s">
        <v>699</v>
      </c>
      <c r="J13" s="512"/>
      <c r="K13" s="512"/>
      <c r="L13" s="512"/>
      <c r="M13" s="512"/>
      <c r="N13" s="495"/>
      <c r="O13" s="496"/>
      <c r="P13" s="497">
        <f>O13*('2-δικαιώμ'!O13+'3-φύλλα2α'!G13)</f>
        <v>0</v>
      </c>
      <c r="Q13" s="593"/>
      <c r="R13" s="593"/>
      <c r="S13" s="593"/>
      <c r="T13" s="279"/>
      <c r="U13" s="263"/>
    </row>
    <row r="14" spans="1:21" s="5" customFormat="1">
      <c r="A14" s="339" t="str">
        <f>'1-συμβολαια'!A14</f>
        <v>4ο</v>
      </c>
      <c r="B14" s="405" t="str">
        <f>'1-συμβολαια'!C14</f>
        <v>υποθήκη [έναντι του δανείου 375-29/07/1982τραπ</v>
      </c>
      <c r="C14" s="262"/>
      <c r="D14" s="262" t="s">
        <v>698</v>
      </c>
      <c r="E14" s="262" t="s">
        <v>698</v>
      </c>
      <c r="F14" s="262"/>
      <c r="G14" s="262"/>
      <c r="H14" s="262"/>
      <c r="I14" s="262" t="s">
        <v>699</v>
      </c>
      <c r="J14" s="262" t="s">
        <v>699</v>
      </c>
      <c r="K14" s="262" t="s">
        <v>699</v>
      </c>
      <c r="L14" s="262" t="s">
        <v>699</v>
      </c>
      <c r="M14" s="262"/>
      <c r="N14" s="262"/>
      <c r="O14" s="278"/>
      <c r="P14" s="261">
        <f>O14*('2-δικαιώμ'!O14+'3-φύλλα2α'!G14)</f>
        <v>0</v>
      </c>
      <c r="Q14" s="367"/>
      <c r="R14" s="367"/>
      <c r="S14" s="367"/>
      <c r="T14" s="279"/>
      <c r="U14" s="263"/>
    </row>
    <row r="15" spans="1:21" s="5" customFormat="1">
      <c r="A15" s="355" t="str">
        <f>'1-συμβολαια'!A15</f>
        <v>389τραπ</v>
      </c>
      <c r="B15" s="353" t="str">
        <f>'1-συμβολαια'!C15</f>
        <v>δάνειο</v>
      </c>
      <c r="C15" s="264"/>
      <c r="D15" s="264" t="s">
        <v>698</v>
      </c>
      <c r="E15" s="264" t="s">
        <v>698</v>
      </c>
      <c r="F15" s="264"/>
      <c r="G15" s="264"/>
      <c r="H15" s="264"/>
      <c r="I15" s="264" t="s">
        <v>699</v>
      </c>
      <c r="J15" s="264" t="s">
        <v>699</v>
      </c>
      <c r="K15" s="264" t="s">
        <v>699</v>
      </c>
      <c r="L15" s="264" t="s">
        <v>699</v>
      </c>
      <c r="M15" s="264"/>
      <c r="N15" s="264"/>
      <c r="O15" s="260"/>
      <c r="P15" s="354">
        <f>O15*('2-δικαιώμ'!O15+'3-φύλλα2α'!G15)</f>
        <v>0</v>
      </c>
      <c r="Q15" s="279"/>
      <c r="R15" s="279"/>
      <c r="S15" s="279"/>
      <c r="T15" s="279"/>
      <c r="U15" s="263"/>
    </row>
    <row r="16" spans="1:21" s="5" customFormat="1">
      <c r="A16" s="355">
        <f>'1-συμβολαια'!A16</f>
        <v>0</v>
      </c>
      <c r="B16" s="353" t="str">
        <f>'1-συμβολαια'!C16</f>
        <v>υποθήκη δανείου</v>
      </c>
      <c r="C16" s="264"/>
      <c r="D16" s="264" t="s">
        <v>698</v>
      </c>
      <c r="E16" s="264" t="s">
        <v>698</v>
      </c>
      <c r="F16" s="264"/>
      <c r="G16" s="264"/>
      <c r="H16" s="264"/>
      <c r="I16" s="264" t="s">
        <v>699</v>
      </c>
      <c r="J16" s="264" t="s">
        <v>699</v>
      </c>
      <c r="K16" s="264" t="s">
        <v>699</v>
      </c>
      <c r="L16" s="264" t="s">
        <v>699</v>
      </c>
      <c r="M16" s="264"/>
      <c r="N16" s="264"/>
      <c r="O16" s="260"/>
      <c r="P16" s="354">
        <f>O16*('2-δικαιώμ'!O16+'3-φύλλα2α'!G16)</f>
        <v>0</v>
      </c>
      <c r="Q16" s="279"/>
      <c r="R16" s="279"/>
      <c r="S16" s="279"/>
      <c r="T16" s="279"/>
      <c r="U16" s="263"/>
    </row>
    <row r="17" spans="1:21" s="5" customFormat="1" ht="12" thickBot="1">
      <c r="A17" s="340">
        <f>'1-συμβολαια'!A17</f>
        <v>0</v>
      </c>
      <c r="B17" s="356" t="str">
        <f>'1-συμβολαια'!C17</f>
        <v>τόκοι δανείου</v>
      </c>
      <c r="C17" s="344"/>
      <c r="D17" s="344" t="s">
        <v>698</v>
      </c>
      <c r="E17" s="344" t="s">
        <v>698</v>
      </c>
      <c r="F17" s="344"/>
      <c r="G17" s="344"/>
      <c r="H17" s="344"/>
      <c r="I17" s="344" t="s">
        <v>699</v>
      </c>
      <c r="J17" s="344" t="s">
        <v>699</v>
      </c>
      <c r="K17" s="344" t="s">
        <v>699</v>
      </c>
      <c r="L17" s="344" t="s">
        <v>699</v>
      </c>
      <c r="M17" s="344"/>
      <c r="N17" s="344"/>
      <c r="O17" s="342"/>
      <c r="P17" s="343">
        <f>O17*('2-δικαιώμ'!O17+'3-φύλλα2α'!G17)</f>
        <v>0</v>
      </c>
      <c r="Q17" s="593"/>
      <c r="R17" s="593"/>
      <c r="S17" s="279"/>
      <c r="T17" s="279"/>
      <c r="U17" s="263"/>
    </row>
    <row r="18" spans="1:21" s="5" customFormat="1">
      <c r="A18" s="428" t="str">
        <f>'1-συμβολαια'!A18</f>
        <v>5ο</v>
      </c>
      <c r="B18" s="405" t="str">
        <f>'1-συμβολαια'!C18</f>
        <v>μίσθωσις νταμάρι  Παναγία -'';;;???'' 29στρ 3έτη [1000/έτος/στρ</v>
      </c>
      <c r="C18" s="262">
        <v>1</v>
      </c>
      <c r="D18" s="262" t="s">
        <v>549</v>
      </c>
      <c r="E18" s="262"/>
      <c r="F18" s="262"/>
      <c r="G18" s="262"/>
      <c r="H18" s="262">
        <v>2</v>
      </c>
      <c r="I18" s="262" t="s">
        <v>699</v>
      </c>
      <c r="J18" s="262" t="s">
        <v>699</v>
      </c>
      <c r="K18" s="262"/>
      <c r="L18" s="262"/>
      <c r="M18" s="262"/>
      <c r="N18" s="262"/>
      <c r="O18" s="278">
        <v>1</v>
      </c>
      <c r="P18" s="261">
        <f>O18*('2-δικαιώμ'!O18+'3-φύλλα2α'!G18)</f>
        <v>4150</v>
      </c>
      <c r="Q18" s="367"/>
      <c r="R18" s="367"/>
      <c r="S18" s="279"/>
      <c r="T18" s="279"/>
      <c r="U18" s="263"/>
    </row>
    <row r="19" spans="1:21" s="5" customFormat="1">
      <c r="A19" s="483">
        <f>'1-συμβολαια'!A19</f>
        <v>0</v>
      </c>
      <c r="B19" s="353" t="str">
        <f>'1-συμβολαια'!C19</f>
        <v>μίσθωση … ΚΤΙΡΙΑΚΑ &amp; τεχνικές εγκαταστάσεις &amp; ΚΛΠ</v>
      </c>
      <c r="C19" s="264">
        <v>1</v>
      </c>
      <c r="D19" s="264" t="s">
        <v>549</v>
      </c>
      <c r="E19" s="264"/>
      <c r="F19" s="264"/>
      <c r="G19" s="264"/>
      <c r="H19" s="264">
        <v>2</v>
      </c>
      <c r="I19" s="264" t="s">
        <v>699</v>
      </c>
      <c r="J19" s="264" t="s">
        <v>699</v>
      </c>
      <c r="K19" s="264"/>
      <c r="L19" s="264"/>
      <c r="M19" s="264"/>
      <c r="N19" s="264"/>
      <c r="O19" s="260">
        <v>1</v>
      </c>
      <c r="P19" s="354">
        <f>O19*('2-δικαιώμ'!O19+'3-φύλλα2α'!G19)</f>
        <v>4150</v>
      </c>
      <c r="Q19" s="279"/>
      <c r="R19" s="279"/>
      <c r="S19" s="279"/>
      <c r="T19" s="279"/>
      <c r="U19" s="263"/>
    </row>
    <row r="20" spans="1:21" s="5" customFormat="1">
      <c r="A20" s="483">
        <f>'1-συμβολαια'!A20</f>
        <v>0</v>
      </c>
      <c r="B20" s="353" t="str">
        <f>'1-συμβολαια'!C20</f>
        <v>μίσθωση … ΕΡΕΥΝΗΤΙΚΕΣ εργασίες</v>
      </c>
      <c r="C20" s="264">
        <v>1</v>
      </c>
      <c r="D20" s="264" t="s">
        <v>549</v>
      </c>
      <c r="E20" s="264"/>
      <c r="F20" s="264"/>
      <c r="G20" s="264"/>
      <c r="H20" s="264">
        <v>2</v>
      </c>
      <c r="I20" s="264" t="s">
        <v>699</v>
      </c>
      <c r="J20" s="264" t="s">
        <v>699</v>
      </c>
      <c r="K20" s="264"/>
      <c r="L20" s="264"/>
      <c r="M20" s="264"/>
      <c r="N20" s="264"/>
      <c r="O20" s="260">
        <v>1</v>
      </c>
      <c r="P20" s="354"/>
      <c r="Q20" s="279"/>
      <c r="R20" s="279"/>
      <c r="S20" s="279"/>
      <c r="T20" s="279"/>
      <c r="U20" s="263"/>
    </row>
    <row r="21" spans="1:21" s="5" customFormat="1" ht="12" thickBot="1">
      <c r="A21" s="484">
        <f>'1-συμβολαια'!A21</f>
        <v>0</v>
      </c>
      <c r="B21" s="356" t="str">
        <f>'1-συμβολαια'!C21</f>
        <v>μίσθωση ….. κόστος έργων αποκατάστασης</v>
      </c>
      <c r="C21" s="344">
        <v>1</v>
      </c>
      <c r="D21" s="344" t="s">
        <v>549</v>
      </c>
      <c r="E21" s="344"/>
      <c r="F21" s="344"/>
      <c r="G21" s="344"/>
      <c r="H21" s="344">
        <v>2</v>
      </c>
      <c r="I21" s="344" t="s">
        <v>699</v>
      </c>
      <c r="J21" s="344" t="s">
        <v>699</v>
      </c>
      <c r="K21" s="344"/>
      <c r="L21" s="344"/>
      <c r="M21" s="344"/>
      <c r="N21" s="344"/>
      <c r="O21" s="342">
        <v>1</v>
      </c>
      <c r="P21" s="343"/>
      <c r="Q21" s="593"/>
      <c r="R21" s="593"/>
      <c r="S21" s="593"/>
      <c r="T21" s="279"/>
      <c r="U21" s="263"/>
    </row>
    <row r="22" spans="1:21" s="5" customFormat="1">
      <c r="A22" s="339" t="str">
        <f>'1-συμβολαια'!A22</f>
        <v>6ο</v>
      </c>
      <c r="B22" s="405" t="str">
        <f>'1-συμβολαια'!C22</f>
        <v>;;;???ΑΕ σύσταση από ΜΕΤΑΤΡΟΠΗ ατομικής [= 40.000.000δρχ</v>
      </c>
      <c r="C22" s="262">
        <v>3</v>
      </c>
      <c r="D22" s="262" t="s">
        <v>699</v>
      </c>
      <c r="E22" s="262" t="s">
        <v>699</v>
      </c>
      <c r="F22" s="262" t="s">
        <v>699</v>
      </c>
      <c r="G22" s="262"/>
      <c r="H22" s="262">
        <v>1</v>
      </c>
      <c r="I22" s="262" t="s">
        <v>699</v>
      </c>
      <c r="J22" s="262"/>
      <c r="K22" s="262"/>
      <c r="L22" s="262"/>
      <c r="M22" s="262"/>
      <c r="N22" s="262"/>
      <c r="O22" s="278">
        <v>2</v>
      </c>
      <c r="P22" s="261">
        <f>O22*('2-δικαιώμ'!O22+'3-φύλλα2α'!G22)</f>
        <v>16700</v>
      </c>
      <c r="Q22" s="367"/>
      <c r="R22" s="367"/>
      <c r="S22" s="367"/>
      <c r="T22" s="279"/>
      <c r="U22" s="263"/>
    </row>
    <row r="23" spans="1:21" s="5" customFormat="1" ht="12" thickBot="1">
      <c r="A23" s="340">
        <f>'1-συμβολαια'!A23</f>
        <v>0</v>
      </c>
      <c r="B23" s="356" t="str">
        <f>'1-συμβολαια'!C23</f>
        <v>πληρεξουσιότητα</v>
      </c>
      <c r="C23" s="344"/>
      <c r="D23" s="344" t="s">
        <v>699</v>
      </c>
      <c r="E23" s="344"/>
      <c r="F23" s="344"/>
      <c r="G23" s="344"/>
      <c r="H23" s="344"/>
      <c r="I23" s="344" t="s">
        <v>699</v>
      </c>
      <c r="J23" s="344"/>
      <c r="K23" s="344"/>
      <c r="L23" s="344"/>
      <c r="M23" s="344"/>
      <c r="N23" s="344"/>
      <c r="O23" s="342"/>
      <c r="P23" s="343">
        <f>O23*('2-δικαιώμ'!O23+'3-φύλλα2α'!G23)</f>
        <v>0</v>
      </c>
      <c r="Q23" s="593"/>
      <c r="R23" s="593"/>
      <c r="S23" s="279"/>
      <c r="T23" s="279"/>
      <c r="U23" s="263"/>
    </row>
    <row r="24" spans="1:21" s="5" customFormat="1">
      <c r="A24" s="428" t="str">
        <f>'1-συμβολαια'!A24</f>
        <v>7ο</v>
      </c>
      <c r="B24" s="405" t="str">
        <f>'1-συμβολαια'!C24</f>
        <v>;;;??? υποθήκης ΕΞΑΛΕΙΨΗ</v>
      </c>
      <c r="C24" s="262"/>
      <c r="D24" s="262" t="s">
        <v>698</v>
      </c>
      <c r="E24" s="262" t="s">
        <v>698</v>
      </c>
      <c r="F24" s="262"/>
      <c r="G24" s="262"/>
      <c r="H24" s="262"/>
      <c r="I24" s="262"/>
      <c r="J24" s="262"/>
      <c r="K24" s="262"/>
      <c r="L24" s="262"/>
      <c r="M24" s="262"/>
      <c r="N24" s="262"/>
      <c r="O24" s="278"/>
      <c r="P24" s="261">
        <f>O24*('2-δικαιώμ'!O24+'3-φύλλα2α'!G24)</f>
        <v>0</v>
      </c>
      <c r="Q24" s="367"/>
      <c r="R24" s="367"/>
      <c r="S24" s="279"/>
      <c r="T24" s="279"/>
      <c r="U24" s="263"/>
    </row>
    <row r="25" spans="1:21" s="5" customFormat="1">
      <c r="A25" s="428">
        <f>'1-συμβολαια'!A25</f>
        <v>0</v>
      </c>
      <c r="B25" s="405" t="str">
        <f>'1-συμβολαια'!C25</f>
        <v>υποθήκης 375τραπ29/7/82 ΕΞΑΛΕΙΨΗ</v>
      </c>
      <c r="C25" s="262"/>
      <c r="D25" s="264" t="s">
        <v>698</v>
      </c>
      <c r="E25" s="264" t="s">
        <v>698</v>
      </c>
      <c r="F25" s="264"/>
      <c r="G25" s="264"/>
      <c r="H25" s="264"/>
      <c r="I25" s="264"/>
      <c r="J25" s="264"/>
      <c r="K25" s="264"/>
      <c r="L25" s="264"/>
      <c r="M25" s="264"/>
      <c r="N25" s="264"/>
      <c r="O25" s="260"/>
      <c r="P25" s="261">
        <f>O25*('2-δικαιώμ'!O25+'3-φύλλα2α'!G25)</f>
        <v>0</v>
      </c>
      <c r="Q25" s="279"/>
      <c r="R25" s="279"/>
      <c r="S25" s="279"/>
      <c r="T25" s="279"/>
      <c r="U25" s="263"/>
    </row>
    <row r="26" spans="1:21" s="5" customFormat="1">
      <c r="A26" s="428">
        <f>'1-συμβολαια'!A26</f>
        <v>0</v>
      </c>
      <c r="B26" s="405" t="str">
        <f>'1-συμβολαια'!C26</f>
        <v>δάνειο 375τραπ 9/7/82 ΕΞΟΦΛΗΣΗ</v>
      </c>
      <c r="C26" s="262"/>
      <c r="D26" s="264" t="s">
        <v>698</v>
      </c>
      <c r="E26" s="264" t="s">
        <v>698</v>
      </c>
      <c r="F26" s="264"/>
      <c r="G26" s="264"/>
      <c r="H26" s="264"/>
      <c r="I26" s="264"/>
      <c r="J26" s="264"/>
      <c r="K26" s="264"/>
      <c r="L26" s="264"/>
      <c r="M26" s="264"/>
      <c r="N26" s="264"/>
      <c r="O26" s="260"/>
      <c r="P26" s="261">
        <f>O26*('2-δικαιώμ'!O26+'3-φύλλα2α'!G26)</f>
        <v>0</v>
      </c>
      <c r="Q26" s="279"/>
      <c r="R26" s="279"/>
      <c r="S26" s="279"/>
      <c r="T26" s="279"/>
      <c r="U26" s="263"/>
    </row>
    <row r="27" spans="1:21" s="5" customFormat="1">
      <c r="A27" s="428">
        <f>'1-συμβολαια'!A27</f>
        <v>0</v>
      </c>
      <c r="B27" s="405" t="str">
        <f>'1-συμβολαια'!C27</f>
        <v>τόκοι δανείου 375τραπ {= προπληρωθέντες VS υπερΠληρωθέντες</v>
      </c>
      <c r="C27" s="262"/>
      <c r="D27" s="264" t="s">
        <v>698</v>
      </c>
      <c r="E27" s="264" t="s">
        <v>698</v>
      </c>
      <c r="F27" s="264"/>
      <c r="G27" s="264"/>
      <c r="H27" s="264"/>
      <c r="I27" s="264"/>
      <c r="J27" s="264"/>
      <c r="K27" s="264"/>
      <c r="L27" s="264"/>
      <c r="M27" s="264"/>
      <c r="N27" s="264"/>
      <c r="O27" s="260"/>
      <c r="P27" s="261">
        <f>O27*('2-δικαιώμ'!O27+'3-φύλλα2α'!G27)</f>
        <v>0</v>
      </c>
      <c r="Q27" s="279"/>
      <c r="R27" s="279"/>
      <c r="S27" s="279"/>
      <c r="T27" s="279"/>
      <c r="U27" s="263"/>
    </row>
    <row r="28" spans="1:21" s="5" customFormat="1">
      <c r="A28" s="428">
        <f>'1-συμβολαια'!A28</f>
        <v>0</v>
      </c>
      <c r="B28" s="405" t="str">
        <f>'1-συμβολαια'!C28</f>
        <v>υποθήκης 389τραπ29/7/82 ΕΞΑΛΕΙΨΗ</v>
      </c>
      <c r="C28" s="262"/>
      <c r="D28" s="264" t="s">
        <v>698</v>
      </c>
      <c r="E28" s="264" t="s">
        <v>698</v>
      </c>
      <c r="F28" s="264"/>
      <c r="G28" s="264"/>
      <c r="H28" s="264"/>
      <c r="I28" s="264"/>
      <c r="J28" s="264"/>
      <c r="K28" s="264"/>
      <c r="L28" s="264"/>
      <c r="M28" s="264"/>
      <c r="N28" s="264"/>
      <c r="O28" s="260"/>
      <c r="P28" s="261">
        <f>O28*('2-δικαιώμ'!O28+'3-φύλλα2α'!G28)</f>
        <v>0</v>
      </c>
      <c r="Q28" s="279"/>
      <c r="R28" s="279"/>
      <c r="S28" s="279"/>
      <c r="T28" s="279"/>
      <c r="U28" s="263"/>
    </row>
    <row r="29" spans="1:21" s="5" customFormat="1">
      <c r="A29" s="428">
        <f>'1-συμβολαια'!A29</f>
        <v>0</v>
      </c>
      <c r="B29" s="405" t="str">
        <f>'1-συμβολαια'!C29</f>
        <v>δάνειο 389τραπ29/7/82 ΕΞΟΦΛΗΣΗ</v>
      </c>
      <c r="C29" s="262"/>
      <c r="D29" s="264" t="s">
        <v>698</v>
      </c>
      <c r="E29" s="264" t="s">
        <v>698</v>
      </c>
      <c r="F29" s="264"/>
      <c r="G29" s="264"/>
      <c r="H29" s="264"/>
      <c r="I29" s="264"/>
      <c r="J29" s="264"/>
      <c r="K29" s="264"/>
      <c r="L29" s="264"/>
      <c r="M29" s="264"/>
      <c r="N29" s="264"/>
      <c r="O29" s="260"/>
      <c r="P29" s="261">
        <f>O29*('2-δικαιώμ'!O29+'3-φύλλα2α'!G29)</f>
        <v>0</v>
      </c>
      <c r="Q29" s="279"/>
      <c r="R29" s="279"/>
      <c r="S29" s="279"/>
      <c r="T29" s="279"/>
      <c r="U29" s="263"/>
    </row>
    <row r="30" spans="1:21" s="5" customFormat="1" ht="12" thickBot="1">
      <c r="A30" s="484">
        <f>'1-συμβολαια'!A30</f>
        <v>0</v>
      </c>
      <c r="B30" s="356" t="str">
        <f>'1-συμβολαια'!C30</f>
        <v>τόκοι δανείου 389τραπ {= προπληρωθέντες VS υπερΠληρωθέντες</v>
      </c>
      <c r="C30" s="344"/>
      <c r="D30" s="344" t="s">
        <v>698</v>
      </c>
      <c r="E30" s="344" t="s">
        <v>698</v>
      </c>
      <c r="F30" s="344"/>
      <c r="G30" s="344"/>
      <c r="H30" s="344"/>
      <c r="I30" s="344"/>
      <c r="J30" s="344"/>
      <c r="K30" s="344"/>
      <c r="L30" s="344"/>
      <c r="M30" s="344"/>
      <c r="N30" s="344"/>
      <c r="O30" s="342"/>
      <c r="P30" s="343">
        <f>O30*('2-δικαιώμ'!O30+'3-φύλλα2α'!G30)</f>
        <v>0</v>
      </c>
      <c r="Q30" s="593"/>
      <c r="R30" s="593"/>
      <c r="S30" s="593"/>
      <c r="T30" s="593"/>
      <c r="U30" s="357"/>
    </row>
    <row r="31" spans="1:21" s="5" customFormat="1">
      <c r="A31" s="339" t="str">
        <f>'1-συμβολαια'!A31</f>
        <v>8ο</v>
      </c>
      <c r="B31" s="405" t="str">
        <f>'1-συμβολαια'!C31</f>
        <v>μίσθωσης νταμάρι …. ΠΑΡΑΤΑΣΗ 3έτη</v>
      </c>
      <c r="C31" s="262"/>
      <c r="D31" s="262" t="s">
        <v>699</v>
      </c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78"/>
      <c r="P31" s="261">
        <f>O31*('2-δικαιώμ'!O31+'3-φύλλα2α'!G31)</f>
        <v>0</v>
      </c>
      <c r="Q31" s="367"/>
      <c r="R31" s="367"/>
      <c r="S31" s="367"/>
      <c r="T31" s="367"/>
      <c r="U31" s="427"/>
    </row>
    <row r="32" spans="1:21" s="5" customFormat="1" ht="12" thickBot="1">
      <c r="A32" s="340">
        <f>'1-συμβολαια'!A32</f>
        <v>0</v>
      </c>
      <c r="B32" s="356" t="str">
        <f>'1-συμβολαια'!C32</f>
        <v>ΧΑΟΣ= κλείσιμο &amp; εκ ΝΕΟΥ</v>
      </c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2"/>
      <c r="P32" s="343">
        <f>O32*('2-δικαιώμ'!O32+'3-φύλλα2α'!G32)</f>
        <v>0</v>
      </c>
      <c r="Q32" s="593"/>
      <c r="R32" s="593"/>
      <c r="S32" s="279"/>
      <c r="T32" s="279"/>
      <c r="U32" s="263"/>
    </row>
    <row r="33" spans="1:21" s="5" customFormat="1">
      <c r="A33" s="428" t="str">
        <f>'1-συμβολαια'!A33</f>
        <v>9ο</v>
      </c>
      <c r="B33" s="405" t="str">
        <f>'1-συμβολαια'!C33</f>
        <v xml:space="preserve">υποθήκη </v>
      </c>
      <c r="C33" s="262"/>
      <c r="D33" s="262" t="s">
        <v>698</v>
      </c>
      <c r="E33" s="262" t="s">
        <v>698</v>
      </c>
      <c r="F33" s="262"/>
      <c r="G33" s="262"/>
      <c r="H33" s="262"/>
      <c r="I33" s="262" t="s">
        <v>699</v>
      </c>
      <c r="J33" s="262"/>
      <c r="K33" s="262"/>
      <c r="L33" s="262"/>
      <c r="M33" s="262"/>
      <c r="N33" s="262"/>
      <c r="O33" s="278"/>
      <c r="P33" s="261">
        <f>O33*('2-δικαιώμ'!O33+'3-φύλλα2α'!G33)</f>
        <v>0</v>
      </c>
      <c r="Q33" s="367"/>
      <c r="R33" s="367"/>
      <c r="S33" s="279"/>
      <c r="T33" s="279"/>
      <c r="U33" s="263"/>
    </row>
    <row r="34" spans="1:21" s="5" customFormat="1">
      <c r="A34" s="428" t="str">
        <f>'1-συμβολαια'!A34</f>
        <v>794-1-2-3τραπ</v>
      </c>
      <c r="B34" s="405" t="str">
        <f>'1-συμβολαια'!C34</f>
        <v>υποθήκες δανείων [7/8/89-25/1/1991-8/3/1991-22/11/1991</v>
      </c>
      <c r="C34" s="262"/>
      <c r="D34" s="264" t="s">
        <v>698</v>
      </c>
      <c r="E34" s="264" t="s">
        <v>698</v>
      </c>
      <c r="F34" s="264"/>
      <c r="G34" s="264"/>
      <c r="H34" s="264"/>
      <c r="I34" s="264" t="s">
        <v>699</v>
      </c>
      <c r="J34" s="264"/>
      <c r="K34" s="264"/>
      <c r="L34" s="264"/>
      <c r="M34" s="264"/>
      <c r="N34" s="264"/>
      <c r="O34" s="260"/>
      <c r="P34" s="261">
        <f>O34*('2-δικαιώμ'!O34+'3-φύλλα2α'!G34)</f>
        <v>0</v>
      </c>
      <c r="Q34" s="279"/>
      <c r="R34" s="279"/>
      <c r="S34" s="279"/>
      <c r="T34" s="279"/>
      <c r="U34" s="263"/>
    </row>
    <row r="35" spans="1:21" s="5" customFormat="1">
      <c r="A35" s="428">
        <f>'1-συμβολαια'!A35</f>
        <v>0</v>
      </c>
      <c r="B35" s="405" t="str">
        <f>'1-συμβολαια'!C35</f>
        <v>δάνεια ανωτέρω υποθηκών</v>
      </c>
      <c r="C35" s="262"/>
      <c r="D35" s="264" t="s">
        <v>698</v>
      </c>
      <c r="E35" s="264" t="s">
        <v>698</v>
      </c>
      <c r="F35" s="264"/>
      <c r="G35" s="264"/>
      <c r="H35" s="264"/>
      <c r="I35" s="264" t="s">
        <v>699</v>
      </c>
      <c r="J35" s="264"/>
      <c r="K35" s="264"/>
      <c r="L35" s="264"/>
      <c r="M35" s="264"/>
      <c r="N35" s="264"/>
      <c r="O35" s="260"/>
      <c r="P35" s="261">
        <f>O35*('2-δικαιώμ'!O35+'3-φύλλα2α'!G35)</f>
        <v>0</v>
      </c>
      <c r="Q35" s="279"/>
      <c r="R35" s="279"/>
      <c r="S35" s="279"/>
      <c r="T35" s="279"/>
      <c r="U35" s="263"/>
    </row>
    <row r="36" spans="1:21" s="5" customFormat="1" ht="12" thickBot="1">
      <c r="A36" s="484">
        <f>'1-συμβολαια'!A36</f>
        <v>0</v>
      </c>
      <c r="B36" s="356" t="str">
        <f>'1-συμβολαια'!C36</f>
        <v>τόκοι  ανωτέρω δανείων προπληρωθέντες</v>
      </c>
      <c r="C36" s="344"/>
      <c r="D36" s="344" t="s">
        <v>698</v>
      </c>
      <c r="E36" s="344" t="s">
        <v>698</v>
      </c>
      <c r="F36" s="344"/>
      <c r="G36" s="344"/>
      <c r="H36" s="344"/>
      <c r="I36" s="344" t="s">
        <v>699</v>
      </c>
      <c r="J36" s="344"/>
      <c r="K36" s="344"/>
      <c r="L36" s="344"/>
      <c r="M36" s="344"/>
      <c r="N36" s="344"/>
      <c r="O36" s="342"/>
      <c r="P36" s="343">
        <f>O36*('2-δικαιώμ'!O36+'3-φύλλα2α'!G36)</f>
        <v>0</v>
      </c>
      <c r="Q36" s="593"/>
      <c r="R36" s="593"/>
      <c r="S36" s="593"/>
      <c r="T36" s="593"/>
      <c r="U36" s="263"/>
    </row>
    <row r="37" spans="1:21" s="5" customFormat="1">
      <c r="A37" s="339" t="str">
        <f>'1-συμβολαια'!A37</f>
        <v>10ο</v>
      </c>
      <c r="B37" s="405" t="str">
        <f>'1-συμβολαια'!C37</f>
        <v>υποθήκη  τοιχόν τόκων</v>
      </c>
      <c r="C37" s="262"/>
      <c r="D37" s="262" t="s">
        <v>698</v>
      </c>
      <c r="E37" s="262" t="s">
        <v>698</v>
      </c>
      <c r="F37" s="262"/>
      <c r="G37" s="262"/>
      <c r="H37" s="262"/>
      <c r="I37" s="262" t="s">
        <v>699</v>
      </c>
      <c r="J37" s="262"/>
      <c r="K37" s="262"/>
      <c r="L37" s="262"/>
      <c r="M37" s="262"/>
      <c r="N37" s="262"/>
      <c r="O37" s="278"/>
      <c r="P37" s="261">
        <f>O37*('2-δικαιώμ'!O37+'3-φύλλα2α'!G37)</f>
        <v>0</v>
      </c>
      <c r="Q37" s="367"/>
      <c r="R37" s="367"/>
      <c r="S37" s="367"/>
      <c r="T37" s="367"/>
      <c r="U37" s="263"/>
    </row>
    <row r="38" spans="1:21" s="5" customFormat="1">
      <c r="A38" s="339" t="str">
        <f>'1-συμβολαια'!A38</f>
        <v>794-4-5τραπ</v>
      </c>
      <c r="B38" s="405" t="str">
        <f>'1-συμβολαια'!C38</f>
        <v>υποθήκες δανείων [27/08/1992-30/10/1992</v>
      </c>
      <c r="C38" s="262"/>
      <c r="D38" s="264" t="s">
        <v>698</v>
      </c>
      <c r="E38" s="264" t="s">
        <v>698</v>
      </c>
      <c r="F38" s="264"/>
      <c r="G38" s="264"/>
      <c r="H38" s="264"/>
      <c r="I38" s="264" t="s">
        <v>699</v>
      </c>
      <c r="J38" s="264"/>
      <c r="K38" s="264"/>
      <c r="L38" s="264"/>
      <c r="M38" s="264"/>
      <c r="N38" s="264"/>
      <c r="O38" s="260"/>
      <c r="P38" s="261">
        <f>O38*('2-δικαιώμ'!O38+'3-φύλλα2α'!G38)</f>
        <v>0</v>
      </c>
      <c r="Q38" s="279"/>
      <c r="R38" s="279"/>
      <c r="S38" s="279"/>
      <c r="T38" s="279"/>
      <c r="U38" s="263"/>
    </row>
    <row r="39" spans="1:21" s="5" customFormat="1">
      <c r="A39" s="339">
        <f>'1-συμβολαια'!A39</f>
        <v>0</v>
      </c>
      <c r="B39" s="405" t="str">
        <f>'1-συμβολαια'!C39</f>
        <v>δάνεια ανωτέρω υποθηκών</v>
      </c>
      <c r="C39" s="262"/>
      <c r="D39" s="264" t="s">
        <v>698</v>
      </c>
      <c r="E39" s="264" t="s">
        <v>698</v>
      </c>
      <c r="F39" s="264"/>
      <c r="G39" s="264"/>
      <c r="H39" s="264"/>
      <c r="I39" s="264" t="s">
        <v>699</v>
      </c>
      <c r="J39" s="264"/>
      <c r="K39" s="264"/>
      <c r="L39" s="264"/>
      <c r="M39" s="264"/>
      <c r="N39" s="264"/>
      <c r="O39" s="260"/>
      <c r="P39" s="261">
        <f>O39*('2-δικαιώμ'!O39+'3-φύλλα2α'!G39)</f>
        <v>0</v>
      </c>
      <c r="Q39" s="279"/>
      <c r="R39" s="279"/>
      <c r="S39" s="279"/>
      <c r="T39" s="279"/>
      <c r="U39" s="263"/>
    </row>
    <row r="40" spans="1:21" s="5" customFormat="1" ht="12" thickBot="1">
      <c r="A40" s="340">
        <f>'1-συμβολαια'!A40</f>
        <v>0</v>
      </c>
      <c r="B40" s="356" t="str">
        <f>'1-συμβολαια'!C40</f>
        <v>τόκοι  ανωτέρω δανείων προπληρωθέντες</v>
      </c>
      <c r="C40" s="344"/>
      <c r="D40" s="344" t="s">
        <v>698</v>
      </c>
      <c r="E40" s="344" t="s">
        <v>698</v>
      </c>
      <c r="F40" s="344"/>
      <c r="G40" s="344"/>
      <c r="H40" s="344"/>
      <c r="I40" s="344" t="s">
        <v>699</v>
      </c>
      <c r="J40" s="344"/>
      <c r="K40" s="344"/>
      <c r="L40" s="344"/>
      <c r="M40" s="344"/>
      <c r="N40" s="344"/>
      <c r="O40" s="342"/>
      <c r="P40" s="343">
        <f>O40*('2-δικαιώμ'!O40+'3-φύλλα2α'!G40)</f>
        <v>0</v>
      </c>
      <c r="Q40" s="593"/>
      <c r="R40" s="593"/>
      <c r="S40" s="593"/>
      <c r="T40" s="593"/>
      <c r="U40" s="357"/>
    </row>
    <row r="41" spans="1:21" s="5" customFormat="1">
      <c r="A41" s="428" t="str">
        <f>'1-συμβολαια'!A41</f>
        <v>11ο</v>
      </c>
      <c r="B41" s="405" t="str">
        <f>'1-συμβολαια'!C41</f>
        <v>μίσθωσις νταμάρι  Λιμένας -'';;;???'' 24,526στρ 3έτη [8000/έτος/στρ</v>
      </c>
      <c r="C41" s="262"/>
      <c r="D41" s="262" t="s">
        <v>654</v>
      </c>
      <c r="E41" s="262"/>
      <c r="F41" s="262"/>
      <c r="G41" s="262"/>
      <c r="H41" s="262"/>
      <c r="I41" s="262" t="s">
        <v>699</v>
      </c>
      <c r="J41" s="262" t="s">
        <v>699</v>
      </c>
      <c r="K41" s="262"/>
      <c r="L41" s="262"/>
      <c r="M41" s="262"/>
      <c r="N41" s="262"/>
      <c r="O41" s="278">
        <v>1</v>
      </c>
      <c r="P41" s="261">
        <f>O41*('2-δικαιώμ'!O41+'3-φύλλα2α'!G41)</f>
        <v>8600</v>
      </c>
      <c r="Q41" s="367"/>
      <c r="R41" s="367"/>
      <c r="S41" s="367"/>
      <c r="T41" s="367"/>
      <c r="U41" s="427"/>
    </row>
    <row r="42" spans="1:21" s="5" customFormat="1">
      <c r="A42" s="428">
        <f>'1-συμβολαια'!A42</f>
        <v>0</v>
      </c>
      <c r="B42" s="405" t="str">
        <f>'1-συμβολαια'!C42</f>
        <v>μίσθωση … ΚΤΙΡΙΑΚΑ &amp; τεχνικές εγκαταστάσεις &amp; ΚΛΠ</v>
      </c>
      <c r="C42" s="262"/>
      <c r="D42" s="264" t="s">
        <v>654</v>
      </c>
      <c r="E42" s="264"/>
      <c r="F42" s="264"/>
      <c r="G42" s="264"/>
      <c r="H42" s="264"/>
      <c r="I42" s="264" t="s">
        <v>699</v>
      </c>
      <c r="J42" s="264" t="s">
        <v>699</v>
      </c>
      <c r="K42" s="264"/>
      <c r="L42" s="264"/>
      <c r="M42" s="264"/>
      <c r="N42" s="264"/>
      <c r="O42" s="260">
        <v>1</v>
      </c>
      <c r="P42" s="261">
        <f>O42*('2-δικαιώμ'!O42+'3-φύλλα2α'!G42)</f>
        <v>8600</v>
      </c>
      <c r="Q42" s="279"/>
      <c r="R42" s="279"/>
      <c r="S42" s="279"/>
      <c r="T42" s="279"/>
      <c r="U42" s="263"/>
    </row>
    <row r="43" spans="1:21" s="5" customFormat="1">
      <c r="A43" s="428">
        <f>'1-συμβολαια'!A43</f>
        <v>0</v>
      </c>
      <c r="B43" s="405" t="str">
        <f>'1-συμβολαια'!C43</f>
        <v>μίσθωση … ΕΡΕΥΝΗΤΙΚΕΣ εργασίες</v>
      </c>
      <c r="C43" s="262"/>
      <c r="D43" s="264" t="s">
        <v>654</v>
      </c>
      <c r="E43" s="264"/>
      <c r="F43" s="264"/>
      <c r="G43" s="264"/>
      <c r="H43" s="264"/>
      <c r="I43" s="264" t="s">
        <v>699</v>
      </c>
      <c r="J43" s="264" t="s">
        <v>699</v>
      </c>
      <c r="K43" s="264"/>
      <c r="L43" s="264"/>
      <c r="M43" s="264"/>
      <c r="N43" s="264"/>
      <c r="O43" s="260">
        <v>1</v>
      </c>
      <c r="P43" s="261">
        <f>O43*('2-δικαιώμ'!O43+'3-φύλλα2α'!G43)</f>
        <v>8600</v>
      </c>
      <c r="Q43" s="279"/>
      <c r="R43" s="279"/>
      <c r="S43" s="279"/>
      <c r="T43" s="279"/>
      <c r="U43" s="263"/>
    </row>
    <row r="44" spans="1:21" s="5" customFormat="1" ht="12" thickBot="1">
      <c r="A44" s="484">
        <f>'1-συμβολαια'!A44</f>
        <v>0</v>
      </c>
      <c r="B44" s="356" t="str">
        <f>'1-συμβολαια'!C44</f>
        <v>μίσθωση ….. κόστος έργων αποκατάστασης</v>
      </c>
      <c r="C44" s="344"/>
      <c r="D44" s="344" t="s">
        <v>654</v>
      </c>
      <c r="E44" s="344"/>
      <c r="F44" s="344"/>
      <c r="G44" s="344"/>
      <c r="H44" s="344"/>
      <c r="I44" s="344" t="s">
        <v>699</v>
      </c>
      <c r="J44" s="344" t="s">
        <v>699</v>
      </c>
      <c r="K44" s="344"/>
      <c r="L44" s="344"/>
      <c r="M44" s="344"/>
      <c r="N44" s="344"/>
      <c r="O44" s="342">
        <v>1</v>
      </c>
      <c r="P44" s="343">
        <f>O44*('2-δικαιώμ'!O44+'3-φύλλα2α'!G44)</f>
        <v>8600</v>
      </c>
      <c r="Q44" s="593"/>
      <c r="R44" s="593"/>
      <c r="S44" s="593"/>
      <c r="T44" s="593"/>
      <c r="U44" s="357"/>
    </row>
    <row r="45" spans="1:21" s="5" customFormat="1">
      <c r="A45" s="339" t="str">
        <f>'1-συμβολαια'!A45</f>
        <v>12ο</v>
      </c>
      <c r="B45" s="405" t="str">
        <f>'1-συμβολαια'!C45</f>
        <v>μίσθωσης νταμάρι ... &amp; ... ΠΑΡΑΤΑΣΗ 3έτη</v>
      </c>
      <c r="C45" s="262"/>
      <c r="D45" s="262" t="s">
        <v>699</v>
      </c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78"/>
      <c r="P45" s="261">
        <f>O45*('2-δικαιώμ'!O45+'3-φύλλα2α'!G45)</f>
        <v>0</v>
      </c>
      <c r="Q45" s="367"/>
      <c r="R45" s="367"/>
      <c r="S45" s="367"/>
      <c r="T45" s="367"/>
      <c r="U45" s="427"/>
    </row>
    <row r="46" spans="1:21" s="5" customFormat="1" ht="12" thickBot="1">
      <c r="A46" s="340">
        <f>'1-συμβολαια'!A46</f>
        <v>0</v>
      </c>
      <c r="B46" s="356" t="str">
        <f>'1-συμβολαια'!C46</f>
        <v>ΧΑΟΣ= κλείσιμο &amp; εκ ΝΕΟΥ</v>
      </c>
      <c r="C46" s="344"/>
      <c r="D46" s="512"/>
      <c r="E46" s="512"/>
      <c r="F46" s="512"/>
      <c r="G46" s="512"/>
      <c r="H46" s="512"/>
      <c r="I46" s="512"/>
      <c r="J46" s="512"/>
      <c r="K46" s="344"/>
      <c r="L46" s="344"/>
      <c r="M46" s="344"/>
      <c r="N46" s="344"/>
      <c r="O46" s="342"/>
      <c r="P46" s="343">
        <f>O46*('2-δικαιώμ'!O46+'3-φύλλα2α'!G46)</f>
        <v>0</v>
      </c>
      <c r="Q46" s="593"/>
      <c r="R46" s="593"/>
      <c r="S46" s="279"/>
      <c r="T46" s="279"/>
      <c r="U46" s="263"/>
    </row>
    <row r="47" spans="1:21">
      <c r="A47" s="752" t="s">
        <v>45</v>
      </c>
      <c r="B47" s="753"/>
      <c r="C47" s="753"/>
      <c r="D47" s="753"/>
      <c r="E47" s="753"/>
      <c r="F47" s="753"/>
      <c r="G47" s="753"/>
      <c r="H47" s="753"/>
      <c r="I47" s="753"/>
      <c r="J47" s="753"/>
      <c r="K47" s="754"/>
      <c r="L47" s="754"/>
      <c r="M47" s="754"/>
      <c r="N47" s="754"/>
      <c r="O47" s="754"/>
      <c r="P47" s="612">
        <f>SUM(P3:P46)</f>
        <v>59400</v>
      </c>
    </row>
    <row r="49" spans="2:24">
      <c r="Q49" s="153" t="s">
        <v>134</v>
      </c>
      <c r="R49" s="300"/>
      <c r="S49" s="300"/>
      <c r="T49" s="300"/>
      <c r="U49" s="300"/>
      <c r="V49" s="300"/>
      <c r="W49" s="300"/>
      <c r="X49" s="300"/>
    </row>
    <row r="50" spans="2:24">
      <c r="R50" s="109" t="s">
        <v>135</v>
      </c>
      <c r="S50" s="109"/>
      <c r="T50" s="109"/>
      <c r="U50" s="109"/>
      <c r="V50" s="109"/>
      <c r="W50" s="109"/>
      <c r="X50" s="109"/>
    </row>
    <row r="51" spans="2:24">
      <c r="S51" s="153" t="s">
        <v>136</v>
      </c>
    </row>
    <row r="54" spans="2:24">
      <c r="B54" s="125"/>
    </row>
    <row r="55" spans="2:24">
      <c r="B55" s="126"/>
    </row>
  </sheetData>
  <mergeCells count="8">
    <mergeCell ref="Q1:U2"/>
    <mergeCell ref="A47:O4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P106"/>
  <sheetViews>
    <sheetView workbookViewId="0">
      <pane ySplit="2" topLeftCell="A51" activePane="bottomLeft" state="frozen"/>
      <selection pane="bottomLeft" activeCell="C95" sqref="C95"/>
    </sheetView>
  </sheetViews>
  <sheetFormatPr defaultRowHeight="11.25"/>
  <cols>
    <col min="1" max="1" width="13.7109375" style="7" bestFit="1" customWidth="1"/>
    <col min="2" max="2" width="13.7109375" style="7" customWidth="1"/>
    <col min="3" max="3" width="61.28515625" style="84" customWidth="1"/>
    <col min="4" max="4" width="12.5703125" style="2" customWidth="1"/>
    <col min="5" max="6" width="7.85546875" style="3" customWidth="1"/>
    <col min="7" max="7" width="6.85546875" style="7" customWidth="1"/>
    <col min="8" max="8" width="8.140625" style="7" customWidth="1"/>
    <col min="9" max="9" width="10.28515625" style="7" customWidth="1"/>
    <col min="10" max="10" width="8.140625" style="7" customWidth="1"/>
    <col min="11" max="11" width="8.5703125" style="7" customWidth="1"/>
    <col min="12" max="12" width="11.42578125" style="7" customWidth="1"/>
    <col min="13" max="13" width="8.28515625" style="7" customWidth="1"/>
    <col min="14" max="15" width="9.5703125" style="7" customWidth="1"/>
    <col min="16" max="16" width="9.42578125" style="7" customWidth="1"/>
    <col min="17" max="17" width="10.28515625" style="7" customWidth="1"/>
    <col min="18" max="18" width="13.28515625" style="7" customWidth="1"/>
    <col min="19" max="19" width="6.42578125" style="76" customWidth="1"/>
    <col min="20" max="20" width="11.5703125" style="75" customWidth="1"/>
    <col min="21" max="21" width="8.42578125" style="76" customWidth="1"/>
    <col min="22" max="22" width="7.28515625" style="76" customWidth="1"/>
    <col min="23" max="23" width="7.28515625" style="75" customWidth="1"/>
    <col min="24" max="24" width="7.140625" style="75" customWidth="1"/>
    <col min="25" max="25" width="4.85546875" style="75" customWidth="1"/>
    <col min="26" max="26" width="5.85546875" style="75" customWidth="1"/>
    <col min="27" max="27" width="5" style="75" customWidth="1"/>
    <col min="28" max="28" width="6.7109375" style="75" customWidth="1"/>
    <col min="29" max="29" width="7.42578125" style="75" customWidth="1"/>
    <col min="30" max="30" width="6.28515625" style="75" customWidth="1"/>
    <col min="31" max="31" width="7.28515625" style="75" customWidth="1"/>
    <col min="32" max="40" width="6.28515625" style="75" customWidth="1"/>
    <col min="41" max="41" width="11.7109375" style="75" customWidth="1"/>
    <col min="42" max="42" width="22.7109375" style="75" customWidth="1"/>
    <col min="43" max="257" width="9.140625" style="3"/>
    <col min="258" max="258" width="9" style="3" bestFit="1" customWidth="1"/>
    <col min="259" max="259" width="9.85546875" style="3" bestFit="1" customWidth="1"/>
    <col min="260" max="260" width="9.140625" style="3" bestFit="1" customWidth="1"/>
    <col min="261" max="261" width="16" style="3" bestFit="1" customWidth="1"/>
    <col min="262" max="262" width="9" style="3" bestFit="1" customWidth="1"/>
    <col min="263" max="263" width="7.85546875" style="3" bestFit="1" customWidth="1"/>
    <col min="264" max="264" width="11.7109375" style="3" bestFit="1" customWidth="1"/>
    <col min="265" max="265" width="14.28515625" style="3" customWidth="1"/>
    <col min="266" max="266" width="11.7109375" style="3" bestFit="1" customWidth="1"/>
    <col min="267" max="267" width="14.140625" style="3" bestFit="1" customWidth="1"/>
    <col min="268" max="268" width="16.7109375" style="3" customWidth="1"/>
    <col min="269" max="269" width="16.5703125" style="3" customWidth="1"/>
    <col min="270" max="271" width="7.85546875" style="3" bestFit="1" customWidth="1"/>
    <col min="272" max="272" width="8" style="3" bestFit="1" customWidth="1"/>
    <col min="273" max="274" width="7.85546875" style="3" bestFit="1" customWidth="1"/>
    <col min="275" max="275" width="9.7109375" style="3" customWidth="1"/>
    <col min="276" max="276" width="12.85546875" style="3" customWidth="1"/>
    <col min="277" max="513" width="9.140625" style="3"/>
    <col min="514" max="514" width="9" style="3" bestFit="1" customWidth="1"/>
    <col min="515" max="515" width="9.85546875" style="3" bestFit="1" customWidth="1"/>
    <col min="516" max="516" width="9.140625" style="3" bestFit="1" customWidth="1"/>
    <col min="517" max="517" width="16" style="3" bestFit="1" customWidth="1"/>
    <col min="518" max="518" width="9" style="3" bestFit="1" customWidth="1"/>
    <col min="519" max="519" width="7.85546875" style="3" bestFit="1" customWidth="1"/>
    <col min="520" max="520" width="11.7109375" style="3" bestFit="1" customWidth="1"/>
    <col min="521" max="521" width="14.28515625" style="3" customWidth="1"/>
    <col min="522" max="522" width="11.7109375" style="3" bestFit="1" customWidth="1"/>
    <col min="523" max="523" width="14.140625" style="3" bestFit="1" customWidth="1"/>
    <col min="524" max="524" width="16.7109375" style="3" customWidth="1"/>
    <col min="525" max="525" width="16.5703125" style="3" customWidth="1"/>
    <col min="526" max="527" width="7.85546875" style="3" bestFit="1" customWidth="1"/>
    <col min="528" max="528" width="8" style="3" bestFit="1" customWidth="1"/>
    <col min="529" max="530" width="7.85546875" style="3" bestFit="1" customWidth="1"/>
    <col min="531" max="531" width="9.7109375" style="3" customWidth="1"/>
    <col min="532" max="532" width="12.85546875" style="3" customWidth="1"/>
    <col min="533" max="769" width="9.140625" style="3"/>
    <col min="770" max="770" width="9" style="3" bestFit="1" customWidth="1"/>
    <col min="771" max="771" width="9.85546875" style="3" bestFit="1" customWidth="1"/>
    <col min="772" max="772" width="9.140625" style="3" bestFit="1" customWidth="1"/>
    <col min="773" max="773" width="16" style="3" bestFit="1" customWidth="1"/>
    <col min="774" max="774" width="9" style="3" bestFit="1" customWidth="1"/>
    <col min="775" max="775" width="7.85546875" style="3" bestFit="1" customWidth="1"/>
    <col min="776" max="776" width="11.7109375" style="3" bestFit="1" customWidth="1"/>
    <col min="777" max="777" width="14.28515625" style="3" customWidth="1"/>
    <col min="778" max="778" width="11.7109375" style="3" bestFit="1" customWidth="1"/>
    <col min="779" max="779" width="14.140625" style="3" bestFit="1" customWidth="1"/>
    <col min="780" max="780" width="16.7109375" style="3" customWidth="1"/>
    <col min="781" max="781" width="16.5703125" style="3" customWidth="1"/>
    <col min="782" max="783" width="7.85546875" style="3" bestFit="1" customWidth="1"/>
    <col min="784" max="784" width="8" style="3" bestFit="1" customWidth="1"/>
    <col min="785" max="786" width="7.85546875" style="3" bestFit="1" customWidth="1"/>
    <col min="787" max="787" width="9.7109375" style="3" customWidth="1"/>
    <col min="788" max="788" width="12.85546875" style="3" customWidth="1"/>
    <col min="789" max="1025" width="9.140625" style="3"/>
    <col min="1026" max="1026" width="9" style="3" bestFit="1" customWidth="1"/>
    <col min="1027" max="1027" width="9.85546875" style="3" bestFit="1" customWidth="1"/>
    <col min="1028" max="1028" width="9.140625" style="3" bestFit="1" customWidth="1"/>
    <col min="1029" max="1029" width="16" style="3" bestFit="1" customWidth="1"/>
    <col min="1030" max="1030" width="9" style="3" bestFit="1" customWidth="1"/>
    <col min="1031" max="1031" width="7.85546875" style="3" bestFit="1" customWidth="1"/>
    <col min="1032" max="1032" width="11.7109375" style="3" bestFit="1" customWidth="1"/>
    <col min="1033" max="1033" width="14.28515625" style="3" customWidth="1"/>
    <col min="1034" max="1034" width="11.7109375" style="3" bestFit="1" customWidth="1"/>
    <col min="1035" max="1035" width="14.140625" style="3" bestFit="1" customWidth="1"/>
    <col min="1036" max="1036" width="16.7109375" style="3" customWidth="1"/>
    <col min="1037" max="1037" width="16.5703125" style="3" customWidth="1"/>
    <col min="1038" max="1039" width="7.85546875" style="3" bestFit="1" customWidth="1"/>
    <col min="1040" max="1040" width="8" style="3" bestFit="1" customWidth="1"/>
    <col min="1041" max="1042" width="7.85546875" style="3" bestFit="1" customWidth="1"/>
    <col min="1043" max="1043" width="9.7109375" style="3" customWidth="1"/>
    <col min="1044" max="1044" width="12.85546875" style="3" customWidth="1"/>
    <col min="1045" max="1281" width="9.140625" style="3"/>
    <col min="1282" max="1282" width="9" style="3" bestFit="1" customWidth="1"/>
    <col min="1283" max="1283" width="9.85546875" style="3" bestFit="1" customWidth="1"/>
    <col min="1284" max="1284" width="9.140625" style="3" bestFit="1" customWidth="1"/>
    <col min="1285" max="1285" width="16" style="3" bestFit="1" customWidth="1"/>
    <col min="1286" max="1286" width="9" style="3" bestFit="1" customWidth="1"/>
    <col min="1287" max="1287" width="7.85546875" style="3" bestFit="1" customWidth="1"/>
    <col min="1288" max="1288" width="11.7109375" style="3" bestFit="1" customWidth="1"/>
    <col min="1289" max="1289" width="14.28515625" style="3" customWidth="1"/>
    <col min="1290" max="1290" width="11.7109375" style="3" bestFit="1" customWidth="1"/>
    <col min="1291" max="1291" width="14.140625" style="3" bestFit="1" customWidth="1"/>
    <col min="1292" max="1292" width="16.7109375" style="3" customWidth="1"/>
    <col min="1293" max="1293" width="16.5703125" style="3" customWidth="1"/>
    <col min="1294" max="1295" width="7.85546875" style="3" bestFit="1" customWidth="1"/>
    <col min="1296" max="1296" width="8" style="3" bestFit="1" customWidth="1"/>
    <col min="1297" max="1298" width="7.85546875" style="3" bestFit="1" customWidth="1"/>
    <col min="1299" max="1299" width="9.7109375" style="3" customWidth="1"/>
    <col min="1300" max="1300" width="12.85546875" style="3" customWidth="1"/>
    <col min="1301" max="1537" width="9.140625" style="3"/>
    <col min="1538" max="1538" width="9" style="3" bestFit="1" customWidth="1"/>
    <col min="1539" max="1539" width="9.85546875" style="3" bestFit="1" customWidth="1"/>
    <col min="1540" max="1540" width="9.140625" style="3" bestFit="1" customWidth="1"/>
    <col min="1541" max="1541" width="16" style="3" bestFit="1" customWidth="1"/>
    <col min="1542" max="1542" width="9" style="3" bestFit="1" customWidth="1"/>
    <col min="1543" max="1543" width="7.85546875" style="3" bestFit="1" customWidth="1"/>
    <col min="1544" max="1544" width="11.7109375" style="3" bestFit="1" customWidth="1"/>
    <col min="1545" max="1545" width="14.28515625" style="3" customWidth="1"/>
    <col min="1546" max="1546" width="11.7109375" style="3" bestFit="1" customWidth="1"/>
    <col min="1547" max="1547" width="14.140625" style="3" bestFit="1" customWidth="1"/>
    <col min="1548" max="1548" width="16.7109375" style="3" customWidth="1"/>
    <col min="1549" max="1549" width="16.5703125" style="3" customWidth="1"/>
    <col min="1550" max="1551" width="7.85546875" style="3" bestFit="1" customWidth="1"/>
    <col min="1552" max="1552" width="8" style="3" bestFit="1" customWidth="1"/>
    <col min="1553" max="1554" width="7.85546875" style="3" bestFit="1" customWidth="1"/>
    <col min="1555" max="1555" width="9.7109375" style="3" customWidth="1"/>
    <col min="1556" max="1556" width="12.85546875" style="3" customWidth="1"/>
    <col min="1557" max="1793" width="9.140625" style="3"/>
    <col min="1794" max="1794" width="9" style="3" bestFit="1" customWidth="1"/>
    <col min="1795" max="1795" width="9.85546875" style="3" bestFit="1" customWidth="1"/>
    <col min="1796" max="1796" width="9.140625" style="3" bestFit="1" customWidth="1"/>
    <col min="1797" max="1797" width="16" style="3" bestFit="1" customWidth="1"/>
    <col min="1798" max="1798" width="9" style="3" bestFit="1" customWidth="1"/>
    <col min="1799" max="1799" width="7.85546875" style="3" bestFit="1" customWidth="1"/>
    <col min="1800" max="1800" width="11.7109375" style="3" bestFit="1" customWidth="1"/>
    <col min="1801" max="1801" width="14.28515625" style="3" customWidth="1"/>
    <col min="1802" max="1802" width="11.7109375" style="3" bestFit="1" customWidth="1"/>
    <col min="1803" max="1803" width="14.140625" style="3" bestFit="1" customWidth="1"/>
    <col min="1804" max="1804" width="16.7109375" style="3" customWidth="1"/>
    <col min="1805" max="1805" width="16.5703125" style="3" customWidth="1"/>
    <col min="1806" max="1807" width="7.85546875" style="3" bestFit="1" customWidth="1"/>
    <col min="1808" max="1808" width="8" style="3" bestFit="1" customWidth="1"/>
    <col min="1809" max="1810" width="7.85546875" style="3" bestFit="1" customWidth="1"/>
    <col min="1811" max="1811" width="9.7109375" style="3" customWidth="1"/>
    <col min="1812" max="1812" width="12.85546875" style="3" customWidth="1"/>
    <col min="1813" max="2049" width="9.140625" style="3"/>
    <col min="2050" max="2050" width="9" style="3" bestFit="1" customWidth="1"/>
    <col min="2051" max="2051" width="9.85546875" style="3" bestFit="1" customWidth="1"/>
    <col min="2052" max="2052" width="9.140625" style="3" bestFit="1" customWidth="1"/>
    <col min="2053" max="2053" width="16" style="3" bestFit="1" customWidth="1"/>
    <col min="2054" max="2054" width="9" style="3" bestFit="1" customWidth="1"/>
    <col min="2055" max="2055" width="7.85546875" style="3" bestFit="1" customWidth="1"/>
    <col min="2056" max="2056" width="11.7109375" style="3" bestFit="1" customWidth="1"/>
    <col min="2057" max="2057" width="14.28515625" style="3" customWidth="1"/>
    <col min="2058" max="2058" width="11.7109375" style="3" bestFit="1" customWidth="1"/>
    <col min="2059" max="2059" width="14.140625" style="3" bestFit="1" customWidth="1"/>
    <col min="2060" max="2060" width="16.7109375" style="3" customWidth="1"/>
    <col min="2061" max="2061" width="16.5703125" style="3" customWidth="1"/>
    <col min="2062" max="2063" width="7.85546875" style="3" bestFit="1" customWidth="1"/>
    <col min="2064" max="2064" width="8" style="3" bestFit="1" customWidth="1"/>
    <col min="2065" max="2066" width="7.85546875" style="3" bestFit="1" customWidth="1"/>
    <col min="2067" max="2067" width="9.7109375" style="3" customWidth="1"/>
    <col min="2068" max="2068" width="12.85546875" style="3" customWidth="1"/>
    <col min="2069" max="2305" width="9.140625" style="3"/>
    <col min="2306" max="2306" width="9" style="3" bestFit="1" customWidth="1"/>
    <col min="2307" max="2307" width="9.85546875" style="3" bestFit="1" customWidth="1"/>
    <col min="2308" max="2308" width="9.140625" style="3" bestFit="1" customWidth="1"/>
    <col min="2309" max="2309" width="16" style="3" bestFit="1" customWidth="1"/>
    <col min="2310" max="2310" width="9" style="3" bestFit="1" customWidth="1"/>
    <col min="2311" max="2311" width="7.85546875" style="3" bestFit="1" customWidth="1"/>
    <col min="2312" max="2312" width="11.7109375" style="3" bestFit="1" customWidth="1"/>
    <col min="2313" max="2313" width="14.28515625" style="3" customWidth="1"/>
    <col min="2314" max="2314" width="11.7109375" style="3" bestFit="1" customWidth="1"/>
    <col min="2315" max="2315" width="14.140625" style="3" bestFit="1" customWidth="1"/>
    <col min="2316" max="2316" width="16.7109375" style="3" customWidth="1"/>
    <col min="2317" max="2317" width="16.5703125" style="3" customWidth="1"/>
    <col min="2318" max="2319" width="7.85546875" style="3" bestFit="1" customWidth="1"/>
    <col min="2320" max="2320" width="8" style="3" bestFit="1" customWidth="1"/>
    <col min="2321" max="2322" width="7.85546875" style="3" bestFit="1" customWidth="1"/>
    <col min="2323" max="2323" width="9.7109375" style="3" customWidth="1"/>
    <col min="2324" max="2324" width="12.85546875" style="3" customWidth="1"/>
    <col min="2325" max="2561" width="9.140625" style="3"/>
    <col min="2562" max="2562" width="9" style="3" bestFit="1" customWidth="1"/>
    <col min="2563" max="2563" width="9.85546875" style="3" bestFit="1" customWidth="1"/>
    <col min="2564" max="2564" width="9.140625" style="3" bestFit="1" customWidth="1"/>
    <col min="2565" max="2565" width="16" style="3" bestFit="1" customWidth="1"/>
    <col min="2566" max="2566" width="9" style="3" bestFit="1" customWidth="1"/>
    <col min="2567" max="2567" width="7.85546875" style="3" bestFit="1" customWidth="1"/>
    <col min="2568" max="2568" width="11.7109375" style="3" bestFit="1" customWidth="1"/>
    <col min="2569" max="2569" width="14.28515625" style="3" customWidth="1"/>
    <col min="2570" max="2570" width="11.7109375" style="3" bestFit="1" customWidth="1"/>
    <col min="2571" max="2571" width="14.140625" style="3" bestFit="1" customWidth="1"/>
    <col min="2572" max="2572" width="16.7109375" style="3" customWidth="1"/>
    <col min="2573" max="2573" width="16.5703125" style="3" customWidth="1"/>
    <col min="2574" max="2575" width="7.85546875" style="3" bestFit="1" customWidth="1"/>
    <col min="2576" max="2576" width="8" style="3" bestFit="1" customWidth="1"/>
    <col min="2577" max="2578" width="7.85546875" style="3" bestFit="1" customWidth="1"/>
    <col min="2579" max="2579" width="9.7109375" style="3" customWidth="1"/>
    <col min="2580" max="2580" width="12.85546875" style="3" customWidth="1"/>
    <col min="2581" max="2817" width="9.140625" style="3"/>
    <col min="2818" max="2818" width="9" style="3" bestFit="1" customWidth="1"/>
    <col min="2819" max="2819" width="9.85546875" style="3" bestFit="1" customWidth="1"/>
    <col min="2820" max="2820" width="9.140625" style="3" bestFit="1" customWidth="1"/>
    <col min="2821" max="2821" width="16" style="3" bestFit="1" customWidth="1"/>
    <col min="2822" max="2822" width="9" style="3" bestFit="1" customWidth="1"/>
    <col min="2823" max="2823" width="7.85546875" style="3" bestFit="1" customWidth="1"/>
    <col min="2824" max="2824" width="11.7109375" style="3" bestFit="1" customWidth="1"/>
    <col min="2825" max="2825" width="14.28515625" style="3" customWidth="1"/>
    <col min="2826" max="2826" width="11.7109375" style="3" bestFit="1" customWidth="1"/>
    <col min="2827" max="2827" width="14.140625" style="3" bestFit="1" customWidth="1"/>
    <col min="2828" max="2828" width="16.7109375" style="3" customWidth="1"/>
    <col min="2829" max="2829" width="16.5703125" style="3" customWidth="1"/>
    <col min="2830" max="2831" width="7.85546875" style="3" bestFit="1" customWidth="1"/>
    <col min="2832" max="2832" width="8" style="3" bestFit="1" customWidth="1"/>
    <col min="2833" max="2834" width="7.85546875" style="3" bestFit="1" customWidth="1"/>
    <col min="2835" max="2835" width="9.7109375" style="3" customWidth="1"/>
    <col min="2836" max="2836" width="12.85546875" style="3" customWidth="1"/>
    <col min="2837" max="3073" width="9.140625" style="3"/>
    <col min="3074" max="3074" width="9" style="3" bestFit="1" customWidth="1"/>
    <col min="3075" max="3075" width="9.85546875" style="3" bestFit="1" customWidth="1"/>
    <col min="3076" max="3076" width="9.140625" style="3" bestFit="1" customWidth="1"/>
    <col min="3077" max="3077" width="16" style="3" bestFit="1" customWidth="1"/>
    <col min="3078" max="3078" width="9" style="3" bestFit="1" customWidth="1"/>
    <col min="3079" max="3079" width="7.85546875" style="3" bestFit="1" customWidth="1"/>
    <col min="3080" max="3080" width="11.7109375" style="3" bestFit="1" customWidth="1"/>
    <col min="3081" max="3081" width="14.28515625" style="3" customWidth="1"/>
    <col min="3082" max="3082" width="11.7109375" style="3" bestFit="1" customWidth="1"/>
    <col min="3083" max="3083" width="14.140625" style="3" bestFit="1" customWidth="1"/>
    <col min="3084" max="3084" width="16.7109375" style="3" customWidth="1"/>
    <col min="3085" max="3085" width="16.5703125" style="3" customWidth="1"/>
    <col min="3086" max="3087" width="7.85546875" style="3" bestFit="1" customWidth="1"/>
    <col min="3088" max="3088" width="8" style="3" bestFit="1" customWidth="1"/>
    <col min="3089" max="3090" width="7.85546875" style="3" bestFit="1" customWidth="1"/>
    <col min="3091" max="3091" width="9.7109375" style="3" customWidth="1"/>
    <col min="3092" max="3092" width="12.85546875" style="3" customWidth="1"/>
    <col min="3093" max="3329" width="9.140625" style="3"/>
    <col min="3330" max="3330" width="9" style="3" bestFit="1" customWidth="1"/>
    <col min="3331" max="3331" width="9.85546875" style="3" bestFit="1" customWidth="1"/>
    <col min="3332" max="3332" width="9.140625" style="3" bestFit="1" customWidth="1"/>
    <col min="3333" max="3333" width="16" style="3" bestFit="1" customWidth="1"/>
    <col min="3334" max="3334" width="9" style="3" bestFit="1" customWidth="1"/>
    <col min="3335" max="3335" width="7.85546875" style="3" bestFit="1" customWidth="1"/>
    <col min="3336" max="3336" width="11.7109375" style="3" bestFit="1" customWidth="1"/>
    <col min="3337" max="3337" width="14.28515625" style="3" customWidth="1"/>
    <col min="3338" max="3338" width="11.7109375" style="3" bestFit="1" customWidth="1"/>
    <col min="3339" max="3339" width="14.140625" style="3" bestFit="1" customWidth="1"/>
    <col min="3340" max="3340" width="16.7109375" style="3" customWidth="1"/>
    <col min="3341" max="3341" width="16.5703125" style="3" customWidth="1"/>
    <col min="3342" max="3343" width="7.85546875" style="3" bestFit="1" customWidth="1"/>
    <col min="3344" max="3344" width="8" style="3" bestFit="1" customWidth="1"/>
    <col min="3345" max="3346" width="7.85546875" style="3" bestFit="1" customWidth="1"/>
    <col min="3347" max="3347" width="9.7109375" style="3" customWidth="1"/>
    <col min="3348" max="3348" width="12.85546875" style="3" customWidth="1"/>
    <col min="3349" max="3585" width="9.140625" style="3"/>
    <col min="3586" max="3586" width="9" style="3" bestFit="1" customWidth="1"/>
    <col min="3587" max="3587" width="9.85546875" style="3" bestFit="1" customWidth="1"/>
    <col min="3588" max="3588" width="9.140625" style="3" bestFit="1" customWidth="1"/>
    <col min="3589" max="3589" width="16" style="3" bestFit="1" customWidth="1"/>
    <col min="3590" max="3590" width="9" style="3" bestFit="1" customWidth="1"/>
    <col min="3591" max="3591" width="7.85546875" style="3" bestFit="1" customWidth="1"/>
    <col min="3592" max="3592" width="11.7109375" style="3" bestFit="1" customWidth="1"/>
    <col min="3593" max="3593" width="14.28515625" style="3" customWidth="1"/>
    <col min="3594" max="3594" width="11.7109375" style="3" bestFit="1" customWidth="1"/>
    <col min="3595" max="3595" width="14.140625" style="3" bestFit="1" customWidth="1"/>
    <col min="3596" max="3596" width="16.7109375" style="3" customWidth="1"/>
    <col min="3597" max="3597" width="16.5703125" style="3" customWidth="1"/>
    <col min="3598" max="3599" width="7.85546875" style="3" bestFit="1" customWidth="1"/>
    <col min="3600" max="3600" width="8" style="3" bestFit="1" customWidth="1"/>
    <col min="3601" max="3602" width="7.85546875" style="3" bestFit="1" customWidth="1"/>
    <col min="3603" max="3603" width="9.7109375" style="3" customWidth="1"/>
    <col min="3604" max="3604" width="12.85546875" style="3" customWidth="1"/>
    <col min="3605" max="3841" width="9.140625" style="3"/>
    <col min="3842" max="3842" width="9" style="3" bestFit="1" customWidth="1"/>
    <col min="3843" max="3843" width="9.85546875" style="3" bestFit="1" customWidth="1"/>
    <col min="3844" max="3844" width="9.140625" style="3" bestFit="1" customWidth="1"/>
    <col min="3845" max="3845" width="16" style="3" bestFit="1" customWidth="1"/>
    <col min="3846" max="3846" width="9" style="3" bestFit="1" customWidth="1"/>
    <col min="3847" max="3847" width="7.85546875" style="3" bestFit="1" customWidth="1"/>
    <col min="3848" max="3848" width="11.7109375" style="3" bestFit="1" customWidth="1"/>
    <col min="3849" max="3849" width="14.28515625" style="3" customWidth="1"/>
    <col min="3850" max="3850" width="11.7109375" style="3" bestFit="1" customWidth="1"/>
    <col min="3851" max="3851" width="14.140625" style="3" bestFit="1" customWidth="1"/>
    <col min="3852" max="3852" width="16.7109375" style="3" customWidth="1"/>
    <col min="3853" max="3853" width="16.5703125" style="3" customWidth="1"/>
    <col min="3854" max="3855" width="7.85546875" style="3" bestFit="1" customWidth="1"/>
    <col min="3856" max="3856" width="8" style="3" bestFit="1" customWidth="1"/>
    <col min="3857" max="3858" width="7.85546875" style="3" bestFit="1" customWidth="1"/>
    <col min="3859" max="3859" width="9.7109375" style="3" customWidth="1"/>
    <col min="3860" max="3860" width="12.85546875" style="3" customWidth="1"/>
    <col min="3861" max="4097" width="9.140625" style="3"/>
    <col min="4098" max="4098" width="9" style="3" bestFit="1" customWidth="1"/>
    <col min="4099" max="4099" width="9.85546875" style="3" bestFit="1" customWidth="1"/>
    <col min="4100" max="4100" width="9.140625" style="3" bestFit="1" customWidth="1"/>
    <col min="4101" max="4101" width="16" style="3" bestFit="1" customWidth="1"/>
    <col min="4102" max="4102" width="9" style="3" bestFit="1" customWidth="1"/>
    <col min="4103" max="4103" width="7.85546875" style="3" bestFit="1" customWidth="1"/>
    <col min="4104" max="4104" width="11.7109375" style="3" bestFit="1" customWidth="1"/>
    <col min="4105" max="4105" width="14.28515625" style="3" customWidth="1"/>
    <col min="4106" max="4106" width="11.7109375" style="3" bestFit="1" customWidth="1"/>
    <col min="4107" max="4107" width="14.140625" style="3" bestFit="1" customWidth="1"/>
    <col min="4108" max="4108" width="16.7109375" style="3" customWidth="1"/>
    <col min="4109" max="4109" width="16.5703125" style="3" customWidth="1"/>
    <col min="4110" max="4111" width="7.85546875" style="3" bestFit="1" customWidth="1"/>
    <col min="4112" max="4112" width="8" style="3" bestFit="1" customWidth="1"/>
    <col min="4113" max="4114" width="7.85546875" style="3" bestFit="1" customWidth="1"/>
    <col min="4115" max="4115" width="9.7109375" style="3" customWidth="1"/>
    <col min="4116" max="4116" width="12.85546875" style="3" customWidth="1"/>
    <col min="4117" max="4353" width="9.140625" style="3"/>
    <col min="4354" max="4354" width="9" style="3" bestFit="1" customWidth="1"/>
    <col min="4355" max="4355" width="9.85546875" style="3" bestFit="1" customWidth="1"/>
    <col min="4356" max="4356" width="9.140625" style="3" bestFit="1" customWidth="1"/>
    <col min="4357" max="4357" width="16" style="3" bestFit="1" customWidth="1"/>
    <col min="4358" max="4358" width="9" style="3" bestFit="1" customWidth="1"/>
    <col min="4359" max="4359" width="7.85546875" style="3" bestFit="1" customWidth="1"/>
    <col min="4360" max="4360" width="11.7109375" style="3" bestFit="1" customWidth="1"/>
    <col min="4361" max="4361" width="14.28515625" style="3" customWidth="1"/>
    <col min="4362" max="4362" width="11.7109375" style="3" bestFit="1" customWidth="1"/>
    <col min="4363" max="4363" width="14.140625" style="3" bestFit="1" customWidth="1"/>
    <col min="4364" max="4364" width="16.7109375" style="3" customWidth="1"/>
    <col min="4365" max="4365" width="16.5703125" style="3" customWidth="1"/>
    <col min="4366" max="4367" width="7.85546875" style="3" bestFit="1" customWidth="1"/>
    <col min="4368" max="4368" width="8" style="3" bestFit="1" customWidth="1"/>
    <col min="4369" max="4370" width="7.85546875" style="3" bestFit="1" customWidth="1"/>
    <col min="4371" max="4371" width="9.7109375" style="3" customWidth="1"/>
    <col min="4372" max="4372" width="12.85546875" style="3" customWidth="1"/>
    <col min="4373" max="4609" width="9.140625" style="3"/>
    <col min="4610" max="4610" width="9" style="3" bestFit="1" customWidth="1"/>
    <col min="4611" max="4611" width="9.85546875" style="3" bestFit="1" customWidth="1"/>
    <col min="4612" max="4612" width="9.140625" style="3" bestFit="1" customWidth="1"/>
    <col min="4613" max="4613" width="16" style="3" bestFit="1" customWidth="1"/>
    <col min="4614" max="4614" width="9" style="3" bestFit="1" customWidth="1"/>
    <col min="4615" max="4615" width="7.85546875" style="3" bestFit="1" customWidth="1"/>
    <col min="4616" max="4616" width="11.7109375" style="3" bestFit="1" customWidth="1"/>
    <col min="4617" max="4617" width="14.28515625" style="3" customWidth="1"/>
    <col min="4618" max="4618" width="11.7109375" style="3" bestFit="1" customWidth="1"/>
    <col min="4619" max="4619" width="14.140625" style="3" bestFit="1" customWidth="1"/>
    <col min="4620" max="4620" width="16.7109375" style="3" customWidth="1"/>
    <col min="4621" max="4621" width="16.5703125" style="3" customWidth="1"/>
    <col min="4622" max="4623" width="7.85546875" style="3" bestFit="1" customWidth="1"/>
    <col min="4624" max="4624" width="8" style="3" bestFit="1" customWidth="1"/>
    <col min="4625" max="4626" width="7.85546875" style="3" bestFit="1" customWidth="1"/>
    <col min="4627" max="4627" width="9.7109375" style="3" customWidth="1"/>
    <col min="4628" max="4628" width="12.85546875" style="3" customWidth="1"/>
    <col min="4629" max="4865" width="9.140625" style="3"/>
    <col min="4866" max="4866" width="9" style="3" bestFit="1" customWidth="1"/>
    <col min="4867" max="4867" width="9.85546875" style="3" bestFit="1" customWidth="1"/>
    <col min="4868" max="4868" width="9.140625" style="3" bestFit="1" customWidth="1"/>
    <col min="4869" max="4869" width="16" style="3" bestFit="1" customWidth="1"/>
    <col min="4870" max="4870" width="9" style="3" bestFit="1" customWidth="1"/>
    <col min="4871" max="4871" width="7.85546875" style="3" bestFit="1" customWidth="1"/>
    <col min="4872" max="4872" width="11.7109375" style="3" bestFit="1" customWidth="1"/>
    <col min="4873" max="4873" width="14.28515625" style="3" customWidth="1"/>
    <col min="4874" max="4874" width="11.7109375" style="3" bestFit="1" customWidth="1"/>
    <col min="4875" max="4875" width="14.140625" style="3" bestFit="1" customWidth="1"/>
    <col min="4876" max="4876" width="16.7109375" style="3" customWidth="1"/>
    <col min="4877" max="4877" width="16.5703125" style="3" customWidth="1"/>
    <col min="4878" max="4879" width="7.85546875" style="3" bestFit="1" customWidth="1"/>
    <col min="4880" max="4880" width="8" style="3" bestFit="1" customWidth="1"/>
    <col min="4881" max="4882" width="7.85546875" style="3" bestFit="1" customWidth="1"/>
    <col min="4883" max="4883" width="9.7109375" style="3" customWidth="1"/>
    <col min="4884" max="4884" width="12.85546875" style="3" customWidth="1"/>
    <col min="4885" max="5121" width="9.140625" style="3"/>
    <col min="5122" max="5122" width="9" style="3" bestFit="1" customWidth="1"/>
    <col min="5123" max="5123" width="9.85546875" style="3" bestFit="1" customWidth="1"/>
    <col min="5124" max="5124" width="9.140625" style="3" bestFit="1" customWidth="1"/>
    <col min="5125" max="5125" width="16" style="3" bestFit="1" customWidth="1"/>
    <col min="5126" max="5126" width="9" style="3" bestFit="1" customWidth="1"/>
    <col min="5127" max="5127" width="7.85546875" style="3" bestFit="1" customWidth="1"/>
    <col min="5128" max="5128" width="11.7109375" style="3" bestFit="1" customWidth="1"/>
    <col min="5129" max="5129" width="14.28515625" style="3" customWidth="1"/>
    <col min="5130" max="5130" width="11.7109375" style="3" bestFit="1" customWidth="1"/>
    <col min="5131" max="5131" width="14.140625" style="3" bestFit="1" customWidth="1"/>
    <col min="5132" max="5132" width="16.7109375" style="3" customWidth="1"/>
    <col min="5133" max="5133" width="16.5703125" style="3" customWidth="1"/>
    <col min="5134" max="5135" width="7.85546875" style="3" bestFit="1" customWidth="1"/>
    <col min="5136" max="5136" width="8" style="3" bestFit="1" customWidth="1"/>
    <col min="5137" max="5138" width="7.85546875" style="3" bestFit="1" customWidth="1"/>
    <col min="5139" max="5139" width="9.7109375" style="3" customWidth="1"/>
    <col min="5140" max="5140" width="12.85546875" style="3" customWidth="1"/>
    <col min="5141" max="5377" width="9.140625" style="3"/>
    <col min="5378" max="5378" width="9" style="3" bestFit="1" customWidth="1"/>
    <col min="5379" max="5379" width="9.85546875" style="3" bestFit="1" customWidth="1"/>
    <col min="5380" max="5380" width="9.140625" style="3" bestFit="1" customWidth="1"/>
    <col min="5381" max="5381" width="16" style="3" bestFit="1" customWidth="1"/>
    <col min="5382" max="5382" width="9" style="3" bestFit="1" customWidth="1"/>
    <col min="5383" max="5383" width="7.85546875" style="3" bestFit="1" customWidth="1"/>
    <col min="5384" max="5384" width="11.7109375" style="3" bestFit="1" customWidth="1"/>
    <col min="5385" max="5385" width="14.28515625" style="3" customWidth="1"/>
    <col min="5386" max="5386" width="11.7109375" style="3" bestFit="1" customWidth="1"/>
    <col min="5387" max="5387" width="14.140625" style="3" bestFit="1" customWidth="1"/>
    <col min="5388" max="5388" width="16.7109375" style="3" customWidth="1"/>
    <col min="5389" max="5389" width="16.5703125" style="3" customWidth="1"/>
    <col min="5390" max="5391" width="7.85546875" style="3" bestFit="1" customWidth="1"/>
    <col min="5392" max="5392" width="8" style="3" bestFit="1" customWidth="1"/>
    <col min="5393" max="5394" width="7.85546875" style="3" bestFit="1" customWidth="1"/>
    <col min="5395" max="5395" width="9.7109375" style="3" customWidth="1"/>
    <col min="5396" max="5396" width="12.85546875" style="3" customWidth="1"/>
    <col min="5397" max="5633" width="9.140625" style="3"/>
    <col min="5634" max="5634" width="9" style="3" bestFit="1" customWidth="1"/>
    <col min="5635" max="5635" width="9.85546875" style="3" bestFit="1" customWidth="1"/>
    <col min="5636" max="5636" width="9.140625" style="3" bestFit="1" customWidth="1"/>
    <col min="5637" max="5637" width="16" style="3" bestFit="1" customWidth="1"/>
    <col min="5638" max="5638" width="9" style="3" bestFit="1" customWidth="1"/>
    <col min="5639" max="5639" width="7.85546875" style="3" bestFit="1" customWidth="1"/>
    <col min="5640" max="5640" width="11.7109375" style="3" bestFit="1" customWidth="1"/>
    <col min="5641" max="5641" width="14.28515625" style="3" customWidth="1"/>
    <col min="5642" max="5642" width="11.7109375" style="3" bestFit="1" customWidth="1"/>
    <col min="5643" max="5643" width="14.140625" style="3" bestFit="1" customWidth="1"/>
    <col min="5644" max="5644" width="16.7109375" style="3" customWidth="1"/>
    <col min="5645" max="5645" width="16.5703125" style="3" customWidth="1"/>
    <col min="5646" max="5647" width="7.85546875" style="3" bestFit="1" customWidth="1"/>
    <col min="5648" max="5648" width="8" style="3" bestFit="1" customWidth="1"/>
    <col min="5649" max="5650" width="7.85546875" style="3" bestFit="1" customWidth="1"/>
    <col min="5651" max="5651" width="9.7109375" style="3" customWidth="1"/>
    <col min="5652" max="5652" width="12.85546875" style="3" customWidth="1"/>
    <col min="5653" max="5889" width="9.140625" style="3"/>
    <col min="5890" max="5890" width="9" style="3" bestFit="1" customWidth="1"/>
    <col min="5891" max="5891" width="9.85546875" style="3" bestFit="1" customWidth="1"/>
    <col min="5892" max="5892" width="9.140625" style="3" bestFit="1" customWidth="1"/>
    <col min="5893" max="5893" width="16" style="3" bestFit="1" customWidth="1"/>
    <col min="5894" max="5894" width="9" style="3" bestFit="1" customWidth="1"/>
    <col min="5895" max="5895" width="7.85546875" style="3" bestFit="1" customWidth="1"/>
    <col min="5896" max="5896" width="11.7109375" style="3" bestFit="1" customWidth="1"/>
    <col min="5897" max="5897" width="14.28515625" style="3" customWidth="1"/>
    <col min="5898" max="5898" width="11.7109375" style="3" bestFit="1" customWidth="1"/>
    <col min="5899" max="5899" width="14.140625" style="3" bestFit="1" customWidth="1"/>
    <col min="5900" max="5900" width="16.7109375" style="3" customWidth="1"/>
    <col min="5901" max="5901" width="16.5703125" style="3" customWidth="1"/>
    <col min="5902" max="5903" width="7.85546875" style="3" bestFit="1" customWidth="1"/>
    <col min="5904" max="5904" width="8" style="3" bestFit="1" customWidth="1"/>
    <col min="5905" max="5906" width="7.85546875" style="3" bestFit="1" customWidth="1"/>
    <col min="5907" max="5907" width="9.7109375" style="3" customWidth="1"/>
    <col min="5908" max="5908" width="12.85546875" style="3" customWidth="1"/>
    <col min="5909" max="6145" width="9.140625" style="3"/>
    <col min="6146" max="6146" width="9" style="3" bestFit="1" customWidth="1"/>
    <col min="6147" max="6147" width="9.85546875" style="3" bestFit="1" customWidth="1"/>
    <col min="6148" max="6148" width="9.140625" style="3" bestFit="1" customWidth="1"/>
    <col min="6149" max="6149" width="16" style="3" bestFit="1" customWidth="1"/>
    <col min="6150" max="6150" width="9" style="3" bestFit="1" customWidth="1"/>
    <col min="6151" max="6151" width="7.85546875" style="3" bestFit="1" customWidth="1"/>
    <col min="6152" max="6152" width="11.7109375" style="3" bestFit="1" customWidth="1"/>
    <col min="6153" max="6153" width="14.28515625" style="3" customWidth="1"/>
    <col min="6154" max="6154" width="11.7109375" style="3" bestFit="1" customWidth="1"/>
    <col min="6155" max="6155" width="14.140625" style="3" bestFit="1" customWidth="1"/>
    <col min="6156" max="6156" width="16.7109375" style="3" customWidth="1"/>
    <col min="6157" max="6157" width="16.5703125" style="3" customWidth="1"/>
    <col min="6158" max="6159" width="7.85546875" style="3" bestFit="1" customWidth="1"/>
    <col min="6160" max="6160" width="8" style="3" bestFit="1" customWidth="1"/>
    <col min="6161" max="6162" width="7.85546875" style="3" bestFit="1" customWidth="1"/>
    <col min="6163" max="6163" width="9.7109375" style="3" customWidth="1"/>
    <col min="6164" max="6164" width="12.85546875" style="3" customWidth="1"/>
    <col min="6165" max="6401" width="9.140625" style="3"/>
    <col min="6402" max="6402" width="9" style="3" bestFit="1" customWidth="1"/>
    <col min="6403" max="6403" width="9.85546875" style="3" bestFit="1" customWidth="1"/>
    <col min="6404" max="6404" width="9.140625" style="3" bestFit="1" customWidth="1"/>
    <col min="6405" max="6405" width="16" style="3" bestFit="1" customWidth="1"/>
    <col min="6406" max="6406" width="9" style="3" bestFit="1" customWidth="1"/>
    <col min="6407" max="6407" width="7.85546875" style="3" bestFit="1" customWidth="1"/>
    <col min="6408" max="6408" width="11.7109375" style="3" bestFit="1" customWidth="1"/>
    <col min="6409" max="6409" width="14.28515625" style="3" customWidth="1"/>
    <col min="6410" max="6410" width="11.7109375" style="3" bestFit="1" customWidth="1"/>
    <col min="6411" max="6411" width="14.140625" style="3" bestFit="1" customWidth="1"/>
    <col min="6412" max="6412" width="16.7109375" style="3" customWidth="1"/>
    <col min="6413" max="6413" width="16.5703125" style="3" customWidth="1"/>
    <col min="6414" max="6415" width="7.85546875" style="3" bestFit="1" customWidth="1"/>
    <col min="6416" max="6416" width="8" style="3" bestFit="1" customWidth="1"/>
    <col min="6417" max="6418" width="7.85546875" style="3" bestFit="1" customWidth="1"/>
    <col min="6419" max="6419" width="9.7109375" style="3" customWidth="1"/>
    <col min="6420" max="6420" width="12.85546875" style="3" customWidth="1"/>
    <col min="6421" max="6657" width="9.140625" style="3"/>
    <col min="6658" max="6658" width="9" style="3" bestFit="1" customWidth="1"/>
    <col min="6659" max="6659" width="9.85546875" style="3" bestFit="1" customWidth="1"/>
    <col min="6660" max="6660" width="9.140625" style="3" bestFit="1" customWidth="1"/>
    <col min="6661" max="6661" width="16" style="3" bestFit="1" customWidth="1"/>
    <col min="6662" max="6662" width="9" style="3" bestFit="1" customWidth="1"/>
    <col min="6663" max="6663" width="7.85546875" style="3" bestFit="1" customWidth="1"/>
    <col min="6664" max="6664" width="11.7109375" style="3" bestFit="1" customWidth="1"/>
    <col min="6665" max="6665" width="14.28515625" style="3" customWidth="1"/>
    <col min="6666" max="6666" width="11.7109375" style="3" bestFit="1" customWidth="1"/>
    <col min="6667" max="6667" width="14.140625" style="3" bestFit="1" customWidth="1"/>
    <col min="6668" max="6668" width="16.7109375" style="3" customWidth="1"/>
    <col min="6669" max="6669" width="16.5703125" style="3" customWidth="1"/>
    <col min="6670" max="6671" width="7.85546875" style="3" bestFit="1" customWidth="1"/>
    <col min="6672" max="6672" width="8" style="3" bestFit="1" customWidth="1"/>
    <col min="6673" max="6674" width="7.85546875" style="3" bestFit="1" customWidth="1"/>
    <col min="6675" max="6675" width="9.7109375" style="3" customWidth="1"/>
    <col min="6676" max="6676" width="12.85546875" style="3" customWidth="1"/>
    <col min="6677" max="6913" width="9.140625" style="3"/>
    <col min="6914" max="6914" width="9" style="3" bestFit="1" customWidth="1"/>
    <col min="6915" max="6915" width="9.85546875" style="3" bestFit="1" customWidth="1"/>
    <col min="6916" max="6916" width="9.140625" style="3" bestFit="1" customWidth="1"/>
    <col min="6917" max="6917" width="16" style="3" bestFit="1" customWidth="1"/>
    <col min="6918" max="6918" width="9" style="3" bestFit="1" customWidth="1"/>
    <col min="6919" max="6919" width="7.85546875" style="3" bestFit="1" customWidth="1"/>
    <col min="6920" max="6920" width="11.7109375" style="3" bestFit="1" customWidth="1"/>
    <col min="6921" max="6921" width="14.28515625" style="3" customWidth="1"/>
    <col min="6922" max="6922" width="11.7109375" style="3" bestFit="1" customWidth="1"/>
    <col min="6923" max="6923" width="14.140625" style="3" bestFit="1" customWidth="1"/>
    <col min="6924" max="6924" width="16.7109375" style="3" customWidth="1"/>
    <col min="6925" max="6925" width="16.5703125" style="3" customWidth="1"/>
    <col min="6926" max="6927" width="7.85546875" style="3" bestFit="1" customWidth="1"/>
    <col min="6928" max="6928" width="8" style="3" bestFit="1" customWidth="1"/>
    <col min="6929" max="6930" width="7.85546875" style="3" bestFit="1" customWidth="1"/>
    <col min="6931" max="6931" width="9.7109375" style="3" customWidth="1"/>
    <col min="6932" max="6932" width="12.85546875" style="3" customWidth="1"/>
    <col min="6933" max="7169" width="9.140625" style="3"/>
    <col min="7170" max="7170" width="9" style="3" bestFit="1" customWidth="1"/>
    <col min="7171" max="7171" width="9.85546875" style="3" bestFit="1" customWidth="1"/>
    <col min="7172" max="7172" width="9.140625" style="3" bestFit="1" customWidth="1"/>
    <col min="7173" max="7173" width="16" style="3" bestFit="1" customWidth="1"/>
    <col min="7174" max="7174" width="9" style="3" bestFit="1" customWidth="1"/>
    <col min="7175" max="7175" width="7.85546875" style="3" bestFit="1" customWidth="1"/>
    <col min="7176" max="7176" width="11.7109375" style="3" bestFit="1" customWidth="1"/>
    <col min="7177" max="7177" width="14.28515625" style="3" customWidth="1"/>
    <col min="7178" max="7178" width="11.7109375" style="3" bestFit="1" customWidth="1"/>
    <col min="7179" max="7179" width="14.140625" style="3" bestFit="1" customWidth="1"/>
    <col min="7180" max="7180" width="16.7109375" style="3" customWidth="1"/>
    <col min="7181" max="7181" width="16.5703125" style="3" customWidth="1"/>
    <col min="7182" max="7183" width="7.85546875" style="3" bestFit="1" customWidth="1"/>
    <col min="7184" max="7184" width="8" style="3" bestFit="1" customWidth="1"/>
    <col min="7185" max="7186" width="7.85546875" style="3" bestFit="1" customWidth="1"/>
    <col min="7187" max="7187" width="9.7109375" style="3" customWidth="1"/>
    <col min="7188" max="7188" width="12.85546875" style="3" customWidth="1"/>
    <col min="7189" max="7425" width="9.140625" style="3"/>
    <col min="7426" max="7426" width="9" style="3" bestFit="1" customWidth="1"/>
    <col min="7427" max="7427" width="9.85546875" style="3" bestFit="1" customWidth="1"/>
    <col min="7428" max="7428" width="9.140625" style="3" bestFit="1" customWidth="1"/>
    <col min="7429" max="7429" width="16" style="3" bestFit="1" customWidth="1"/>
    <col min="7430" max="7430" width="9" style="3" bestFit="1" customWidth="1"/>
    <col min="7431" max="7431" width="7.85546875" style="3" bestFit="1" customWidth="1"/>
    <col min="7432" max="7432" width="11.7109375" style="3" bestFit="1" customWidth="1"/>
    <col min="7433" max="7433" width="14.28515625" style="3" customWidth="1"/>
    <col min="7434" max="7434" width="11.7109375" style="3" bestFit="1" customWidth="1"/>
    <col min="7435" max="7435" width="14.140625" style="3" bestFit="1" customWidth="1"/>
    <col min="7436" max="7436" width="16.7109375" style="3" customWidth="1"/>
    <col min="7437" max="7437" width="16.5703125" style="3" customWidth="1"/>
    <col min="7438" max="7439" width="7.85546875" style="3" bestFit="1" customWidth="1"/>
    <col min="7440" max="7440" width="8" style="3" bestFit="1" customWidth="1"/>
    <col min="7441" max="7442" width="7.85546875" style="3" bestFit="1" customWidth="1"/>
    <col min="7443" max="7443" width="9.7109375" style="3" customWidth="1"/>
    <col min="7444" max="7444" width="12.85546875" style="3" customWidth="1"/>
    <col min="7445" max="7681" width="9.140625" style="3"/>
    <col min="7682" max="7682" width="9" style="3" bestFit="1" customWidth="1"/>
    <col min="7683" max="7683" width="9.85546875" style="3" bestFit="1" customWidth="1"/>
    <col min="7684" max="7684" width="9.140625" style="3" bestFit="1" customWidth="1"/>
    <col min="7685" max="7685" width="16" style="3" bestFit="1" customWidth="1"/>
    <col min="7686" max="7686" width="9" style="3" bestFit="1" customWidth="1"/>
    <col min="7687" max="7687" width="7.85546875" style="3" bestFit="1" customWidth="1"/>
    <col min="7688" max="7688" width="11.7109375" style="3" bestFit="1" customWidth="1"/>
    <col min="7689" max="7689" width="14.28515625" style="3" customWidth="1"/>
    <col min="7690" max="7690" width="11.7109375" style="3" bestFit="1" customWidth="1"/>
    <col min="7691" max="7691" width="14.140625" style="3" bestFit="1" customWidth="1"/>
    <col min="7692" max="7692" width="16.7109375" style="3" customWidth="1"/>
    <col min="7693" max="7693" width="16.5703125" style="3" customWidth="1"/>
    <col min="7694" max="7695" width="7.85546875" style="3" bestFit="1" customWidth="1"/>
    <col min="7696" max="7696" width="8" style="3" bestFit="1" customWidth="1"/>
    <col min="7697" max="7698" width="7.85546875" style="3" bestFit="1" customWidth="1"/>
    <col min="7699" max="7699" width="9.7109375" style="3" customWidth="1"/>
    <col min="7700" max="7700" width="12.85546875" style="3" customWidth="1"/>
    <col min="7701" max="7937" width="9.140625" style="3"/>
    <col min="7938" max="7938" width="9" style="3" bestFit="1" customWidth="1"/>
    <col min="7939" max="7939" width="9.85546875" style="3" bestFit="1" customWidth="1"/>
    <col min="7940" max="7940" width="9.140625" style="3" bestFit="1" customWidth="1"/>
    <col min="7941" max="7941" width="16" style="3" bestFit="1" customWidth="1"/>
    <col min="7942" max="7942" width="9" style="3" bestFit="1" customWidth="1"/>
    <col min="7943" max="7943" width="7.85546875" style="3" bestFit="1" customWidth="1"/>
    <col min="7944" max="7944" width="11.7109375" style="3" bestFit="1" customWidth="1"/>
    <col min="7945" max="7945" width="14.28515625" style="3" customWidth="1"/>
    <col min="7946" max="7946" width="11.7109375" style="3" bestFit="1" customWidth="1"/>
    <col min="7947" max="7947" width="14.140625" style="3" bestFit="1" customWidth="1"/>
    <col min="7948" max="7948" width="16.7109375" style="3" customWidth="1"/>
    <col min="7949" max="7949" width="16.5703125" style="3" customWidth="1"/>
    <col min="7950" max="7951" width="7.85546875" style="3" bestFit="1" customWidth="1"/>
    <col min="7952" max="7952" width="8" style="3" bestFit="1" customWidth="1"/>
    <col min="7953" max="7954" width="7.85546875" style="3" bestFit="1" customWidth="1"/>
    <col min="7955" max="7955" width="9.7109375" style="3" customWidth="1"/>
    <col min="7956" max="7956" width="12.85546875" style="3" customWidth="1"/>
    <col min="7957" max="8193" width="9.140625" style="3"/>
    <col min="8194" max="8194" width="9" style="3" bestFit="1" customWidth="1"/>
    <col min="8195" max="8195" width="9.85546875" style="3" bestFit="1" customWidth="1"/>
    <col min="8196" max="8196" width="9.140625" style="3" bestFit="1" customWidth="1"/>
    <col min="8197" max="8197" width="16" style="3" bestFit="1" customWidth="1"/>
    <col min="8198" max="8198" width="9" style="3" bestFit="1" customWidth="1"/>
    <col min="8199" max="8199" width="7.85546875" style="3" bestFit="1" customWidth="1"/>
    <col min="8200" max="8200" width="11.7109375" style="3" bestFit="1" customWidth="1"/>
    <col min="8201" max="8201" width="14.28515625" style="3" customWidth="1"/>
    <col min="8202" max="8202" width="11.7109375" style="3" bestFit="1" customWidth="1"/>
    <col min="8203" max="8203" width="14.140625" style="3" bestFit="1" customWidth="1"/>
    <col min="8204" max="8204" width="16.7109375" style="3" customWidth="1"/>
    <col min="8205" max="8205" width="16.5703125" style="3" customWidth="1"/>
    <col min="8206" max="8207" width="7.85546875" style="3" bestFit="1" customWidth="1"/>
    <col min="8208" max="8208" width="8" style="3" bestFit="1" customWidth="1"/>
    <col min="8209" max="8210" width="7.85546875" style="3" bestFit="1" customWidth="1"/>
    <col min="8211" max="8211" width="9.7109375" style="3" customWidth="1"/>
    <col min="8212" max="8212" width="12.85546875" style="3" customWidth="1"/>
    <col min="8213" max="8449" width="9.140625" style="3"/>
    <col min="8450" max="8450" width="9" style="3" bestFit="1" customWidth="1"/>
    <col min="8451" max="8451" width="9.85546875" style="3" bestFit="1" customWidth="1"/>
    <col min="8452" max="8452" width="9.140625" style="3" bestFit="1" customWidth="1"/>
    <col min="8453" max="8453" width="16" style="3" bestFit="1" customWidth="1"/>
    <col min="8454" max="8454" width="9" style="3" bestFit="1" customWidth="1"/>
    <col min="8455" max="8455" width="7.85546875" style="3" bestFit="1" customWidth="1"/>
    <col min="8456" max="8456" width="11.7109375" style="3" bestFit="1" customWidth="1"/>
    <col min="8457" max="8457" width="14.28515625" style="3" customWidth="1"/>
    <col min="8458" max="8458" width="11.7109375" style="3" bestFit="1" customWidth="1"/>
    <col min="8459" max="8459" width="14.140625" style="3" bestFit="1" customWidth="1"/>
    <col min="8460" max="8460" width="16.7109375" style="3" customWidth="1"/>
    <col min="8461" max="8461" width="16.5703125" style="3" customWidth="1"/>
    <col min="8462" max="8463" width="7.85546875" style="3" bestFit="1" customWidth="1"/>
    <col min="8464" max="8464" width="8" style="3" bestFit="1" customWidth="1"/>
    <col min="8465" max="8466" width="7.85546875" style="3" bestFit="1" customWidth="1"/>
    <col min="8467" max="8467" width="9.7109375" style="3" customWidth="1"/>
    <col min="8468" max="8468" width="12.85546875" style="3" customWidth="1"/>
    <col min="8469" max="8705" width="9.140625" style="3"/>
    <col min="8706" max="8706" width="9" style="3" bestFit="1" customWidth="1"/>
    <col min="8707" max="8707" width="9.85546875" style="3" bestFit="1" customWidth="1"/>
    <col min="8708" max="8708" width="9.140625" style="3" bestFit="1" customWidth="1"/>
    <col min="8709" max="8709" width="16" style="3" bestFit="1" customWidth="1"/>
    <col min="8710" max="8710" width="9" style="3" bestFit="1" customWidth="1"/>
    <col min="8711" max="8711" width="7.85546875" style="3" bestFit="1" customWidth="1"/>
    <col min="8712" max="8712" width="11.7109375" style="3" bestFit="1" customWidth="1"/>
    <col min="8713" max="8713" width="14.28515625" style="3" customWidth="1"/>
    <col min="8714" max="8714" width="11.7109375" style="3" bestFit="1" customWidth="1"/>
    <col min="8715" max="8715" width="14.140625" style="3" bestFit="1" customWidth="1"/>
    <col min="8716" max="8716" width="16.7109375" style="3" customWidth="1"/>
    <col min="8717" max="8717" width="16.5703125" style="3" customWidth="1"/>
    <col min="8718" max="8719" width="7.85546875" style="3" bestFit="1" customWidth="1"/>
    <col min="8720" max="8720" width="8" style="3" bestFit="1" customWidth="1"/>
    <col min="8721" max="8722" width="7.85546875" style="3" bestFit="1" customWidth="1"/>
    <col min="8723" max="8723" width="9.7109375" style="3" customWidth="1"/>
    <col min="8724" max="8724" width="12.85546875" style="3" customWidth="1"/>
    <col min="8725" max="8961" width="9.140625" style="3"/>
    <col min="8962" max="8962" width="9" style="3" bestFit="1" customWidth="1"/>
    <col min="8963" max="8963" width="9.85546875" style="3" bestFit="1" customWidth="1"/>
    <col min="8964" max="8964" width="9.140625" style="3" bestFit="1" customWidth="1"/>
    <col min="8965" max="8965" width="16" style="3" bestFit="1" customWidth="1"/>
    <col min="8966" max="8966" width="9" style="3" bestFit="1" customWidth="1"/>
    <col min="8967" max="8967" width="7.85546875" style="3" bestFit="1" customWidth="1"/>
    <col min="8968" max="8968" width="11.7109375" style="3" bestFit="1" customWidth="1"/>
    <col min="8969" max="8969" width="14.28515625" style="3" customWidth="1"/>
    <col min="8970" max="8970" width="11.7109375" style="3" bestFit="1" customWidth="1"/>
    <col min="8971" max="8971" width="14.140625" style="3" bestFit="1" customWidth="1"/>
    <col min="8972" max="8972" width="16.7109375" style="3" customWidth="1"/>
    <col min="8973" max="8973" width="16.5703125" style="3" customWidth="1"/>
    <col min="8974" max="8975" width="7.85546875" style="3" bestFit="1" customWidth="1"/>
    <col min="8976" max="8976" width="8" style="3" bestFit="1" customWidth="1"/>
    <col min="8977" max="8978" width="7.85546875" style="3" bestFit="1" customWidth="1"/>
    <col min="8979" max="8979" width="9.7109375" style="3" customWidth="1"/>
    <col min="8980" max="8980" width="12.85546875" style="3" customWidth="1"/>
    <col min="8981" max="9217" width="9.140625" style="3"/>
    <col min="9218" max="9218" width="9" style="3" bestFit="1" customWidth="1"/>
    <col min="9219" max="9219" width="9.85546875" style="3" bestFit="1" customWidth="1"/>
    <col min="9220" max="9220" width="9.140625" style="3" bestFit="1" customWidth="1"/>
    <col min="9221" max="9221" width="16" style="3" bestFit="1" customWidth="1"/>
    <col min="9222" max="9222" width="9" style="3" bestFit="1" customWidth="1"/>
    <col min="9223" max="9223" width="7.85546875" style="3" bestFit="1" customWidth="1"/>
    <col min="9224" max="9224" width="11.7109375" style="3" bestFit="1" customWidth="1"/>
    <col min="9225" max="9225" width="14.28515625" style="3" customWidth="1"/>
    <col min="9226" max="9226" width="11.7109375" style="3" bestFit="1" customWidth="1"/>
    <col min="9227" max="9227" width="14.140625" style="3" bestFit="1" customWidth="1"/>
    <col min="9228" max="9228" width="16.7109375" style="3" customWidth="1"/>
    <col min="9229" max="9229" width="16.5703125" style="3" customWidth="1"/>
    <col min="9230" max="9231" width="7.85546875" style="3" bestFit="1" customWidth="1"/>
    <col min="9232" max="9232" width="8" style="3" bestFit="1" customWidth="1"/>
    <col min="9233" max="9234" width="7.85546875" style="3" bestFit="1" customWidth="1"/>
    <col min="9235" max="9235" width="9.7109375" style="3" customWidth="1"/>
    <col min="9236" max="9236" width="12.85546875" style="3" customWidth="1"/>
    <col min="9237" max="9473" width="9.140625" style="3"/>
    <col min="9474" max="9474" width="9" style="3" bestFit="1" customWidth="1"/>
    <col min="9475" max="9475" width="9.85546875" style="3" bestFit="1" customWidth="1"/>
    <col min="9476" max="9476" width="9.140625" style="3" bestFit="1" customWidth="1"/>
    <col min="9477" max="9477" width="16" style="3" bestFit="1" customWidth="1"/>
    <col min="9478" max="9478" width="9" style="3" bestFit="1" customWidth="1"/>
    <col min="9479" max="9479" width="7.85546875" style="3" bestFit="1" customWidth="1"/>
    <col min="9480" max="9480" width="11.7109375" style="3" bestFit="1" customWidth="1"/>
    <col min="9481" max="9481" width="14.28515625" style="3" customWidth="1"/>
    <col min="9482" max="9482" width="11.7109375" style="3" bestFit="1" customWidth="1"/>
    <col min="9483" max="9483" width="14.140625" style="3" bestFit="1" customWidth="1"/>
    <col min="9484" max="9484" width="16.7109375" style="3" customWidth="1"/>
    <col min="9485" max="9485" width="16.5703125" style="3" customWidth="1"/>
    <col min="9486" max="9487" width="7.85546875" style="3" bestFit="1" customWidth="1"/>
    <col min="9488" max="9488" width="8" style="3" bestFit="1" customWidth="1"/>
    <col min="9489" max="9490" width="7.85546875" style="3" bestFit="1" customWidth="1"/>
    <col min="9491" max="9491" width="9.7109375" style="3" customWidth="1"/>
    <col min="9492" max="9492" width="12.85546875" style="3" customWidth="1"/>
    <col min="9493" max="9729" width="9.140625" style="3"/>
    <col min="9730" max="9730" width="9" style="3" bestFit="1" customWidth="1"/>
    <col min="9731" max="9731" width="9.85546875" style="3" bestFit="1" customWidth="1"/>
    <col min="9732" max="9732" width="9.140625" style="3" bestFit="1" customWidth="1"/>
    <col min="9733" max="9733" width="16" style="3" bestFit="1" customWidth="1"/>
    <col min="9734" max="9734" width="9" style="3" bestFit="1" customWidth="1"/>
    <col min="9735" max="9735" width="7.85546875" style="3" bestFit="1" customWidth="1"/>
    <col min="9736" max="9736" width="11.7109375" style="3" bestFit="1" customWidth="1"/>
    <col min="9737" max="9737" width="14.28515625" style="3" customWidth="1"/>
    <col min="9738" max="9738" width="11.7109375" style="3" bestFit="1" customWidth="1"/>
    <col min="9739" max="9739" width="14.140625" style="3" bestFit="1" customWidth="1"/>
    <col min="9740" max="9740" width="16.7109375" style="3" customWidth="1"/>
    <col min="9741" max="9741" width="16.5703125" style="3" customWidth="1"/>
    <col min="9742" max="9743" width="7.85546875" style="3" bestFit="1" customWidth="1"/>
    <col min="9744" max="9744" width="8" style="3" bestFit="1" customWidth="1"/>
    <col min="9745" max="9746" width="7.85546875" style="3" bestFit="1" customWidth="1"/>
    <col min="9747" max="9747" width="9.7109375" style="3" customWidth="1"/>
    <col min="9748" max="9748" width="12.85546875" style="3" customWidth="1"/>
    <col min="9749" max="9985" width="9.140625" style="3"/>
    <col min="9986" max="9986" width="9" style="3" bestFit="1" customWidth="1"/>
    <col min="9987" max="9987" width="9.85546875" style="3" bestFit="1" customWidth="1"/>
    <col min="9988" max="9988" width="9.140625" style="3" bestFit="1" customWidth="1"/>
    <col min="9989" max="9989" width="16" style="3" bestFit="1" customWidth="1"/>
    <col min="9990" max="9990" width="9" style="3" bestFit="1" customWidth="1"/>
    <col min="9991" max="9991" width="7.85546875" style="3" bestFit="1" customWidth="1"/>
    <col min="9992" max="9992" width="11.7109375" style="3" bestFit="1" customWidth="1"/>
    <col min="9993" max="9993" width="14.28515625" style="3" customWidth="1"/>
    <col min="9994" max="9994" width="11.7109375" style="3" bestFit="1" customWidth="1"/>
    <col min="9995" max="9995" width="14.140625" style="3" bestFit="1" customWidth="1"/>
    <col min="9996" max="9996" width="16.7109375" style="3" customWidth="1"/>
    <col min="9997" max="9997" width="16.5703125" style="3" customWidth="1"/>
    <col min="9998" max="9999" width="7.85546875" style="3" bestFit="1" customWidth="1"/>
    <col min="10000" max="10000" width="8" style="3" bestFit="1" customWidth="1"/>
    <col min="10001" max="10002" width="7.85546875" style="3" bestFit="1" customWidth="1"/>
    <col min="10003" max="10003" width="9.7109375" style="3" customWidth="1"/>
    <col min="10004" max="10004" width="12.85546875" style="3" customWidth="1"/>
    <col min="10005" max="10241" width="9.140625" style="3"/>
    <col min="10242" max="10242" width="9" style="3" bestFit="1" customWidth="1"/>
    <col min="10243" max="10243" width="9.85546875" style="3" bestFit="1" customWidth="1"/>
    <col min="10244" max="10244" width="9.140625" style="3" bestFit="1" customWidth="1"/>
    <col min="10245" max="10245" width="16" style="3" bestFit="1" customWidth="1"/>
    <col min="10246" max="10246" width="9" style="3" bestFit="1" customWidth="1"/>
    <col min="10247" max="10247" width="7.85546875" style="3" bestFit="1" customWidth="1"/>
    <col min="10248" max="10248" width="11.7109375" style="3" bestFit="1" customWidth="1"/>
    <col min="10249" max="10249" width="14.28515625" style="3" customWidth="1"/>
    <col min="10250" max="10250" width="11.7109375" style="3" bestFit="1" customWidth="1"/>
    <col min="10251" max="10251" width="14.140625" style="3" bestFit="1" customWidth="1"/>
    <col min="10252" max="10252" width="16.7109375" style="3" customWidth="1"/>
    <col min="10253" max="10253" width="16.5703125" style="3" customWidth="1"/>
    <col min="10254" max="10255" width="7.85546875" style="3" bestFit="1" customWidth="1"/>
    <col min="10256" max="10256" width="8" style="3" bestFit="1" customWidth="1"/>
    <col min="10257" max="10258" width="7.85546875" style="3" bestFit="1" customWidth="1"/>
    <col min="10259" max="10259" width="9.7109375" style="3" customWidth="1"/>
    <col min="10260" max="10260" width="12.85546875" style="3" customWidth="1"/>
    <col min="10261" max="10497" width="9.140625" style="3"/>
    <col min="10498" max="10498" width="9" style="3" bestFit="1" customWidth="1"/>
    <col min="10499" max="10499" width="9.85546875" style="3" bestFit="1" customWidth="1"/>
    <col min="10500" max="10500" width="9.140625" style="3" bestFit="1" customWidth="1"/>
    <col min="10501" max="10501" width="16" style="3" bestFit="1" customWidth="1"/>
    <col min="10502" max="10502" width="9" style="3" bestFit="1" customWidth="1"/>
    <col min="10503" max="10503" width="7.85546875" style="3" bestFit="1" customWidth="1"/>
    <col min="10504" max="10504" width="11.7109375" style="3" bestFit="1" customWidth="1"/>
    <col min="10505" max="10505" width="14.28515625" style="3" customWidth="1"/>
    <col min="10506" max="10506" width="11.7109375" style="3" bestFit="1" customWidth="1"/>
    <col min="10507" max="10507" width="14.140625" style="3" bestFit="1" customWidth="1"/>
    <col min="10508" max="10508" width="16.7109375" style="3" customWidth="1"/>
    <col min="10509" max="10509" width="16.5703125" style="3" customWidth="1"/>
    <col min="10510" max="10511" width="7.85546875" style="3" bestFit="1" customWidth="1"/>
    <col min="10512" max="10512" width="8" style="3" bestFit="1" customWidth="1"/>
    <col min="10513" max="10514" width="7.85546875" style="3" bestFit="1" customWidth="1"/>
    <col min="10515" max="10515" width="9.7109375" style="3" customWidth="1"/>
    <col min="10516" max="10516" width="12.85546875" style="3" customWidth="1"/>
    <col min="10517" max="10753" width="9.140625" style="3"/>
    <col min="10754" max="10754" width="9" style="3" bestFit="1" customWidth="1"/>
    <col min="10755" max="10755" width="9.85546875" style="3" bestFit="1" customWidth="1"/>
    <col min="10756" max="10756" width="9.140625" style="3" bestFit="1" customWidth="1"/>
    <col min="10757" max="10757" width="16" style="3" bestFit="1" customWidth="1"/>
    <col min="10758" max="10758" width="9" style="3" bestFit="1" customWidth="1"/>
    <col min="10759" max="10759" width="7.85546875" style="3" bestFit="1" customWidth="1"/>
    <col min="10760" max="10760" width="11.7109375" style="3" bestFit="1" customWidth="1"/>
    <col min="10761" max="10761" width="14.28515625" style="3" customWidth="1"/>
    <col min="10762" max="10762" width="11.7109375" style="3" bestFit="1" customWidth="1"/>
    <col min="10763" max="10763" width="14.140625" style="3" bestFit="1" customWidth="1"/>
    <col min="10764" max="10764" width="16.7109375" style="3" customWidth="1"/>
    <col min="10765" max="10765" width="16.5703125" style="3" customWidth="1"/>
    <col min="10766" max="10767" width="7.85546875" style="3" bestFit="1" customWidth="1"/>
    <col min="10768" max="10768" width="8" style="3" bestFit="1" customWidth="1"/>
    <col min="10769" max="10770" width="7.85546875" style="3" bestFit="1" customWidth="1"/>
    <col min="10771" max="10771" width="9.7109375" style="3" customWidth="1"/>
    <col min="10772" max="10772" width="12.85546875" style="3" customWidth="1"/>
    <col min="10773" max="11009" width="9.140625" style="3"/>
    <col min="11010" max="11010" width="9" style="3" bestFit="1" customWidth="1"/>
    <col min="11011" max="11011" width="9.85546875" style="3" bestFit="1" customWidth="1"/>
    <col min="11012" max="11012" width="9.140625" style="3" bestFit="1" customWidth="1"/>
    <col min="11013" max="11013" width="16" style="3" bestFit="1" customWidth="1"/>
    <col min="11014" max="11014" width="9" style="3" bestFit="1" customWidth="1"/>
    <col min="11015" max="11015" width="7.85546875" style="3" bestFit="1" customWidth="1"/>
    <col min="11016" max="11016" width="11.7109375" style="3" bestFit="1" customWidth="1"/>
    <col min="11017" max="11017" width="14.28515625" style="3" customWidth="1"/>
    <col min="11018" max="11018" width="11.7109375" style="3" bestFit="1" customWidth="1"/>
    <col min="11019" max="11019" width="14.140625" style="3" bestFit="1" customWidth="1"/>
    <col min="11020" max="11020" width="16.7109375" style="3" customWidth="1"/>
    <col min="11021" max="11021" width="16.5703125" style="3" customWidth="1"/>
    <col min="11022" max="11023" width="7.85546875" style="3" bestFit="1" customWidth="1"/>
    <col min="11024" max="11024" width="8" style="3" bestFit="1" customWidth="1"/>
    <col min="11025" max="11026" width="7.85546875" style="3" bestFit="1" customWidth="1"/>
    <col min="11027" max="11027" width="9.7109375" style="3" customWidth="1"/>
    <col min="11028" max="11028" width="12.85546875" style="3" customWidth="1"/>
    <col min="11029" max="11265" width="9.140625" style="3"/>
    <col min="11266" max="11266" width="9" style="3" bestFit="1" customWidth="1"/>
    <col min="11267" max="11267" width="9.85546875" style="3" bestFit="1" customWidth="1"/>
    <col min="11268" max="11268" width="9.140625" style="3" bestFit="1" customWidth="1"/>
    <col min="11269" max="11269" width="16" style="3" bestFit="1" customWidth="1"/>
    <col min="11270" max="11270" width="9" style="3" bestFit="1" customWidth="1"/>
    <col min="11271" max="11271" width="7.85546875" style="3" bestFit="1" customWidth="1"/>
    <col min="11272" max="11272" width="11.7109375" style="3" bestFit="1" customWidth="1"/>
    <col min="11273" max="11273" width="14.28515625" style="3" customWidth="1"/>
    <col min="11274" max="11274" width="11.7109375" style="3" bestFit="1" customWidth="1"/>
    <col min="11275" max="11275" width="14.140625" style="3" bestFit="1" customWidth="1"/>
    <col min="11276" max="11276" width="16.7109375" style="3" customWidth="1"/>
    <col min="11277" max="11277" width="16.5703125" style="3" customWidth="1"/>
    <col min="11278" max="11279" width="7.85546875" style="3" bestFit="1" customWidth="1"/>
    <col min="11280" max="11280" width="8" style="3" bestFit="1" customWidth="1"/>
    <col min="11281" max="11282" width="7.85546875" style="3" bestFit="1" customWidth="1"/>
    <col min="11283" max="11283" width="9.7109375" style="3" customWidth="1"/>
    <col min="11284" max="11284" width="12.85546875" style="3" customWidth="1"/>
    <col min="11285" max="11521" width="9.140625" style="3"/>
    <col min="11522" max="11522" width="9" style="3" bestFit="1" customWidth="1"/>
    <col min="11523" max="11523" width="9.85546875" style="3" bestFit="1" customWidth="1"/>
    <col min="11524" max="11524" width="9.140625" style="3" bestFit="1" customWidth="1"/>
    <col min="11525" max="11525" width="16" style="3" bestFit="1" customWidth="1"/>
    <col min="11526" max="11526" width="9" style="3" bestFit="1" customWidth="1"/>
    <col min="11527" max="11527" width="7.85546875" style="3" bestFit="1" customWidth="1"/>
    <col min="11528" max="11528" width="11.7109375" style="3" bestFit="1" customWidth="1"/>
    <col min="11529" max="11529" width="14.28515625" style="3" customWidth="1"/>
    <col min="11530" max="11530" width="11.7109375" style="3" bestFit="1" customWidth="1"/>
    <col min="11531" max="11531" width="14.140625" style="3" bestFit="1" customWidth="1"/>
    <col min="11532" max="11532" width="16.7109375" style="3" customWidth="1"/>
    <col min="11533" max="11533" width="16.5703125" style="3" customWidth="1"/>
    <col min="11534" max="11535" width="7.85546875" style="3" bestFit="1" customWidth="1"/>
    <col min="11536" max="11536" width="8" style="3" bestFit="1" customWidth="1"/>
    <col min="11537" max="11538" width="7.85546875" style="3" bestFit="1" customWidth="1"/>
    <col min="11539" max="11539" width="9.7109375" style="3" customWidth="1"/>
    <col min="11540" max="11540" width="12.85546875" style="3" customWidth="1"/>
    <col min="11541" max="11777" width="9.140625" style="3"/>
    <col min="11778" max="11778" width="9" style="3" bestFit="1" customWidth="1"/>
    <col min="11779" max="11779" width="9.85546875" style="3" bestFit="1" customWidth="1"/>
    <col min="11780" max="11780" width="9.140625" style="3" bestFit="1" customWidth="1"/>
    <col min="11781" max="11781" width="16" style="3" bestFit="1" customWidth="1"/>
    <col min="11782" max="11782" width="9" style="3" bestFit="1" customWidth="1"/>
    <col min="11783" max="11783" width="7.85546875" style="3" bestFit="1" customWidth="1"/>
    <col min="11784" max="11784" width="11.7109375" style="3" bestFit="1" customWidth="1"/>
    <col min="11785" max="11785" width="14.28515625" style="3" customWidth="1"/>
    <col min="11786" max="11786" width="11.7109375" style="3" bestFit="1" customWidth="1"/>
    <col min="11787" max="11787" width="14.140625" style="3" bestFit="1" customWidth="1"/>
    <col min="11788" max="11788" width="16.7109375" style="3" customWidth="1"/>
    <col min="11789" max="11789" width="16.5703125" style="3" customWidth="1"/>
    <col min="11790" max="11791" width="7.85546875" style="3" bestFit="1" customWidth="1"/>
    <col min="11792" max="11792" width="8" style="3" bestFit="1" customWidth="1"/>
    <col min="11793" max="11794" width="7.85546875" style="3" bestFit="1" customWidth="1"/>
    <col min="11795" max="11795" width="9.7109375" style="3" customWidth="1"/>
    <col min="11796" max="11796" width="12.85546875" style="3" customWidth="1"/>
    <col min="11797" max="12033" width="9.140625" style="3"/>
    <col min="12034" max="12034" width="9" style="3" bestFit="1" customWidth="1"/>
    <col min="12035" max="12035" width="9.85546875" style="3" bestFit="1" customWidth="1"/>
    <col min="12036" max="12036" width="9.140625" style="3" bestFit="1" customWidth="1"/>
    <col min="12037" max="12037" width="16" style="3" bestFit="1" customWidth="1"/>
    <col min="12038" max="12038" width="9" style="3" bestFit="1" customWidth="1"/>
    <col min="12039" max="12039" width="7.85546875" style="3" bestFit="1" customWidth="1"/>
    <col min="12040" max="12040" width="11.7109375" style="3" bestFit="1" customWidth="1"/>
    <col min="12041" max="12041" width="14.28515625" style="3" customWidth="1"/>
    <col min="12042" max="12042" width="11.7109375" style="3" bestFit="1" customWidth="1"/>
    <col min="12043" max="12043" width="14.140625" style="3" bestFit="1" customWidth="1"/>
    <col min="12044" max="12044" width="16.7109375" style="3" customWidth="1"/>
    <col min="12045" max="12045" width="16.5703125" style="3" customWidth="1"/>
    <col min="12046" max="12047" width="7.85546875" style="3" bestFit="1" customWidth="1"/>
    <col min="12048" max="12048" width="8" style="3" bestFit="1" customWidth="1"/>
    <col min="12049" max="12050" width="7.85546875" style="3" bestFit="1" customWidth="1"/>
    <col min="12051" max="12051" width="9.7109375" style="3" customWidth="1"/>
    <col min="12052" max="12052" width="12.85546875" style="3" customWidth="1"/>
    <col min="12053" max="12289" width="9.140625" style="3"/>
    <col min="12290" max="12290" width="9" style="3" bestFit="1" customWidth="1"/>
    <col min="12291" max="12291" width="9.85546875" style="3" bestFit="1" customWidth="1"/>
    <col min="12292" max="12292" width="9.140625" style="3" bestFit="1" customWidth="1"/>
    <col min="12293" max="12293" width="16" style="3" bestFit="1" customWidth="1"/>
    <col min="12294" max="12294" width="9" style="3" bestFit="1" customWidth="1"/>
    <col min="12295" max="12295" width="7.85546875" style="3" bestFit="1" customWidth="1"/>
    <col min="12296" max="12296" width="11.7109375" style="3" bestFit="1" customWidth="1"/>
    <col min="12297" max="12297" width="14.28515625" style="3" customWidth="1"/>
    <col min="12298" max="12298" width="11.7109375" style="3" bestFit="1" customWidth="1"/>
    <col min="12299" max="12299" width="14.140625" style="3" bestFit="1" customWidth="1"/>
    <col min="12300" max="12300" width="16.7109375" style="3" customWidth="1"/>
    <col min="12301" max="12301" width="16.5703125" style="3" customWidth="1"/>
    <col min="12302" max="12303" width="7.85546875" style="3" bestFit="1" customWidth="1"/>
    <col min="12304" max="12304" width="8" style="3" bestFit="1" customWidth="1"/>
    <col min="12305" max="12306" width="7.85546875" style="3" bestFit="1" customWidth="1"/>
    <col min="12307" max="12307" width="9.7109375" style="3" customWidth="1"/>
    <col min="12308" max="12308" width="12.85546875" style="3" customWidth="1"/>
    <col min="12309" max="12545" width="9.140625" style="3"/>
    <col min="12546" max="12546" width="9" style="3" bestFit="1" customWidth="1"/>
    <col min="12547" max="12547" width="9.85546875" style="3" bestFit="1" customWidth="1"/>
    <col min="12548" max="12548" width="9.140625" style="3" bestFit="1" customWidth="1"/>
    <col min="12549" max="12549" width="16" style="3" bestFit="1" customWidth="1"/>
    <col min="12550" max="12550" width="9" style="3" bestFit="1" customWidth="1"/>
    <col min="12551" max="12551" width="7.85546875" style="3" bestFit="1" customWidth="1"/>
    <col min="12552" max="12552" width="11.7109375" style="3" bestFit="1" customWidth="1"/>
    <col min="12553" max="12553" width="14.28515625" style="3" customWidth="1"/>
    <col min="12554" max="12554" width="11.7109375" style="3" bestFit="1" customWidth="1"/>
    <col min="12555" max="12555" width="14.140625" style="3" bestFit="1" customWidth="1"/>
    <col min="12556" max="12556" width="16.7109375" style="3" customWidth="1"/>
    <col min="12557" max="12557" width="16.5703125" style="3" customWidth="1"/>
    <col min="12558" max="12559" width="7.85546875" style="3" bestFit="1" customWidth="1"/>
    <col min="12560" max="12560" width="8" style="3" bestFit="1" customWidth="1"/>
    <col min="12561" max="12562" width="7.85546875" style="3" bestFit="1" customWidth="1"/>
    <col min="12563" max="12563" width="9.7109375" style="3" customWidth="1"/>
    <col min="12564" max="12564" width="12.85546875" style="3" customWidth="1"/>
    <col min="12565" max="12801" width="9.140625" style="3"/>
    <col min="12802" max="12802" width="9" style="3" bestFit="1" customWidth="1"/>
    <col min="12803" max="12803" width="9.85546875" style="3" bestFit="1" customWidth="1"/>
    <col min="12804" max="12804" width="9.140625" style="3" bestFit="1" customWidth="1"/>
    <col min="12805" max="12805" width="16" style="3" bestFit="1" customWidth="1"/>
    <col min="12806" max="12806" width="9" style="3" bestFit="1" customWidth="1"/>
    <col min="12807" max="12807" width="7.85546875" style="3" bestFit="1" customWidth="1"/>
    <col min="12808" max="12808" width="11.7109375" style="3" bestFit="1" customWidth="1"/>
    <col min="12809" max="12809" width="14.28515625" style="3" customWidth="1"/>
    <col min="12810" max="12810" width="11.7109375" style="3" bestFit="1" customWidth="1"/>
    <col min="12811" max="12811" width="14.140625" style="3" bestFit="1" customWidth="1"/>
    <col min="12812" max="12812" width="16.7109375" style="3" customWidth="1"/>
    <col min="12813" max="12813" width="16.5703125" style="3" customWidth="1"/>
    <col min="12814" max="12815" width="7.85546875" style="3" bestFit="1" customWidth="1"/>
    <col min="12816" max="12816" width="8" style="3" bestFit="1" customWidth="1"/>
    <col min="12817" max="12818" width="7.85546875" style="3" bestFit="1" customWidth="1"/>
    <col min="12819" max="12819" width="9.7109375" style="3" customWidth="1"/>
    <col min="12820" max="12820" width="12.85546875" style="3" customWidth="1"/>
    <col min="12821" max="13057" width="9.140625" style="3"/>
    <col min="13058" max="13058" width="9" style="3" bestFit="1" customWidth="1"/>
    <col min="13059" max="13059" width="9.85546875" style="3" bestFit="1" customWidth="1"/>
    <col min="13060" max="13060" width="9.140625" style="3" bestFit="1" customWidth="1"/>
    <col min="13061" max="13061" width="16" style="3" bestFit="1" customWidth="1"/>
    <col min="13062" max="13062" width="9" style="3" bestFit="1" customWidth="1"/>
    <col min="13063" max="13063" width="7.85546875" style="3" bestFit="1" customWidth="1"/>
    <col min="13064" max="13064" width="11.7109375" style="3" bestFit="1" customWidth="1"/>
    <col min="13065" max="13065" width="14.28515625" style="3" customWidth="1"/>
    <col min="13066" max="13066" width="11.7109375" style="3" bestFit="1" customWidth="1"/>
    <col min="13067" max="13067" width="14.140625" style="3" bestFit="1" customWidth="1"/>
    <col min="13068" max="13068" width="16.7109375" style="3" customWidth="1"/>
    <col min="13069" max="13069" width="16.5703125" style="3" customWidth="1"/>
    <col min="13070" max="13071" width="7.85546875" style="3" bestFit="1" customWidth="1"/>
    <col min="13072" max="13072" width="8" style="3" bestFit="1" customWidth="1"/>
    <col min="13073" max="13074" width="7.85546875" style="3" bestFit="1" customWidth="1"/>
    <col min="13075" max="13075" width="9.7109375" style="3" customWidth="1"/>
    <col min="13076" max="13076" width="12.85546875" style="3" customWidth="1"/>
    <col min="13077" max="13313" width="9.140625" style="3"/>
    <col min="13314" max="13314" width="9" style="3" bestFit="1" customWidth="1"/>
    <col min="13315" max="13315" width="9.85546875" style="3" bestFit="1" customWidth="1"/>
    <col min="13316" max="13316" width="9.140625" style="3" bestFit="1" customWidth="1"/>
    <col min="13317" max="13317" width="16" style="3" bestFit="1" customWidth="1"/>
    <col min="13318" max="13318" width="9" style="3" bestFit="1" customWidth="1"/>
    <col min="13319" max="13319" width="7.85546875" style="3" bestFit="1" customWidth="1"/>
    <col min="13320" max="13320" width="11.7109375" style="3" bestFit="1" customWidth="1"/>
    <col min="13321" max="13321" width="14.28515625" style="3" customWidth="1"/>
    <col min="13322" max="13322" width="11.7109375" style="3" bestFit="1" customWidth="1"/>
    <col min="13323" max="13323" width="14.140625" style="3" bestFit="1" customWidth="1"/>
    <col min="13324" max="13324" width="16.7109375" style="3" customWidth="1"/>
    <col min="13325" max="13325" width="16.5703125" style="3" customWidth="1"/>
    <col min="13326" max="13327" width="7.85546875" style="3" bestFit="1" customWidth="1"/>
    <col min="13328" max="13328" width="8" style="3" bestFit="1" customWidth="1"/>
    <col min="13329" max="13330" width="7.85546875" style="3" bestFit="1" customWidth="1"/>
    <col min="13331" max="13331" width="9.7109375" style="3" customWidth="1"/>
    <col min="13332" max="13332" width="12.85546875" style="3" customWidth="1"/>
    <col min="13333" max="13569" width="9.140625" style="3"/>
    <col min="13570" max="13570" width="9" style="3" bestFit="1" customWidth="1"/>
    <col min="13571" max="13571" width="9.85546875" style="3" bestFit="1" customWidth="1"/>
    <col min="13572" max="13572" width="9.140625" style="3" bestFit="1" customWidth="1"/>
    <col min="13573" max="13573" width="16" style="3" bestFit="1" customWidth="1"/>
    <col min="13574" max="13574" width="9" style="3" bestFit="1" customWidth="1"/>
    <col min="13575" max="13575" width="7.85546875" style="3" bestFit="1" customWidth="1"/>
    <col min="13576" max="13576" width="11.7109375" style="3" bestFit="1" customWidth="1"/>
    <col min="13577" max="13577" width="14.28515625" style="3" customWidth="1"/>
    <col min="13578" max="13578" width="11.7109375" style="3" bestFit="1" customWidth="1"/>
    <col min="13579" max="13579" width="14.140625" style="3" bestFit="1" customWidth="1"/>
    <col min="13580" max="13580" width="16.7109375" style="3" customWidth="1"/>
    <col min="13581" max="13581" width="16.5703125" style="3" customWidth="1"/>
    <col min="13582" max="13583" width="7.85546875" style="3" bestFit="1" customWidth="1"/>
    <col min="13584" max="13584" width="8" style="3" bestFit="1" customWidth="1"/>
    <col min="13585" max="13586" width="7.85546875" style="3" bestFit="1" customWidth="1"/>
    <col min="13587" max="13587" width="9.7109375" style="3" customWidth="1"/>
    <col min="13588" max="13588" width="12.85546875" style="3" customWidth="1"/>
    <col min="13589" max="13825" width="9.140625" style="3"/>
    <col min="13826" max="13826" width="9" style="3" bestFit="1" customWidth="1"/>
    <col min="13827" max="13827" width="9.85546875" style="3" bestFit="1" customWidth="1"/>
    <col min="13828" max="13828" width="9.140625" style="3" bestFit="1" customWidth="1"/>
    <col min="13829" max="13829" width="16" style="3" bestFit="1" customWidth="1"/>
    <col min="13830" max="13830" width="9" style="3" bestFit="1" customWidth="1"/>
    <col min="13831" max="13831" width="7.85546875" style="3" bestFit="1" customWidth="1"/>
    <col min="13832" max="13832" width="11.7109375" style="3" bestFit="1" customWidth="1"/>
    <col min="13833" max="13833" width="14.28515625" style="3" customWidth="1"/>
    <col min="13834" max="13834" width="11.7109375" style="3" bestFit="1" customWidth="1"/>
    <col min="13835" max="13835" width="14.140625" style="3" bestFit="1" customWidth="1"/>
    <col min="13836" max="13836" width="16.7109375" style="3" customWidth="1"/>
    <col min="13837" max="13837" width="16.5703125" style="3" customWidth="1"/>
    <col min="13838" max="13839" width="7.85546875" style="3" bestFit="1" customWidth="1"/>
    <col min="13840" max="13840" width="8" style="3" bestFit="1" customWidth="1"/>
    <col min="13841" max="13842" width="7.85546875" style="3" bestFit="1" customWidth="1"/>
    <col min="13843" max="13843" width="9.7109375" style="3" customWidth="1"/>
    <col min="13844" max="13844" width="12.85546875" style="3" customWidth="1"/>
    <col min="13845" max="14081" width="9.140625" style="3"/>
    <col min="14082" max="14082" width="9" style="3" bestFit="1" customWidth="1"/>
    <col min="14083" max="14083" width="9.85546875" style="3" bestFit="1" customWidth="1"/>
    <col min="14084" max="14084" width="9.140625" style="3" bestFit="1" customWidth="1"/>
    <col min="14085" max="14085" width="16" style="3" bestFit="1" customWidth="1"/>
    <col min="14086" max="14086" width="9" style="3" bestFit="1" customWidth="1"/>
    <col min="14087" max="14087" width="7.85546875" style="3" bestFit="1" customWidth="1"/>
    <col min="14088" max="14088" width="11.7109375" style="3" bestFit="1" customWidth="1"/>
    <col min="14089" max="14089" width="14.28515625" style="3" customWidth="1"/>
    <col min="14090" max="14090" width="11.7109375" style="3" bestFit="1" customWidth="1"/>
    <col min="14091" max="14091" width="14.140625" style="3" bestFit="1" customWidth="1"/>
    <col min="14092" max="14092" width="16.7109375" style="3" customWidth="1"/>
    <col min="14093" max="14093" width="16.5703125" style="3" customWidth="1"/>
    <col min="14094" max="14095" width="7.85546875" style="3" bestFit="1" customWidth="1"/>
    <col min="14096" max="14096" width="8" style="3" bestFit="1" customWidth="1"/>
    <col min="14097" max="14098" width="7.85546875" style="3" bestFit="1" customWidth="1"/>
    <col min="14099" max="14099" width="9.7109375" style="3" customWidth="1"/>
    <col min="14100" max="14100" width="12.85546875" style="3" customWidth="1"/>
    <col min="14101" max="14337" width="9.140625" style="3"/>
    <col min="14338" max="14338" width="9" style="3" bestFit="1" customWidth="1"/>
    <col min="14339" max="14339" width="9.85546875" style="3" bestFit="1" customWidth="1"/>
    <col min="14340" max="14340" width="9.140625" style="3" bestFit="1" customWidth="1"/>
    <col min="14341" max="14341" width="16" style="3" bestFit="1" customWidth="1"/>
    <col min="14342" max="14342" width="9" style="3" bestFit="1" customWidth="1"/>
    <col min="14343" max="14343" width="7.85546875" style="3" bestFit="1" customWidth="1"/>
    <col min="14344" max="14344" width="11.7109375" style="3" bestFit="1" customWidth="1"/>
    <col min="14345" max="14345" width="14.28515625" style="3" customWidth="1"/>
    <col min="14346" max="14346" width="11.7109375" style="3" bestFit="1" customWidth="1"/>
    <col min="14347" max="14347" width="14.140625" style="3" bestFit="1" customWidth="1"/>
    <col min="14348" max="14348" width="16.7109375" style="3" customWidth="1"/>
    <col min="14349" max="14349" width="16.5703125" style="3" customWidth="1"/>
    <col min="14350" max="14351" width="7.85546875" style="3" bestFit="1" customWidth="1"/>
    <col min="14352" max="14352" width="8" style="3" bestFit="1" customWidth="1"/>
    <col min="14353" max="14354" width="7.85546875" style="3" bestFit="1" customWidth="1"/>
    <col min="14355" max="14355" width="9.7109375" style="3" customWidth="1"/>
    <col min="14356" max="14356" width="12.85546875" style="3" customWidth="1"/>
    <col min="14357" max="14593" width="9.140625" style="3"/>
    <col min="14594" max="14594" width="9" style="3" bestFit="1" customWidth="1"/>
    <col min="14595" max="14595" width="9.85546875" style="3" bestFit="1" customWidth="1"/>
    <col min="14596" max="14596" width="9.140625" style="3" bestFit="1" customWidth="1"/>
    <col min="14597" max="14597" width="16" style="3" bestFit="1" customWidth="1"/>
    <col min="14598" max="14598" width="9" style="3" bestFit="1" customWidth="1"/>
    <col min="14599" max="14599" width="7.85546875" style="3" bestFit="1" customWidth="1"/>
    <col min="14600" max="14600" width="11.7109375" style="3" bestFit="1" customWidth="1"/>
    <col min="14601" max="14601" width="14.28515625" style="3" customWidth="1"/>
    <col min="14602" max="14602" width="11.7109375" style="3" bestFit="1" customWidth="1"/>
    <col min="14603" max="14603" width="14.140625" style="3" bestFit="1" customWidth="1"/>
    <col min="14604" max="14604" width="16.7109375" style="3" customWidth="1"/>
    <col min="14605" max="14605" width="16.5703125" style="3" customWidth="1"/>
    <col min="14606" max="14607" width="7.85546875" style="3" bestFit="1" customWidth="1"/>
    <col min="14608" max="14608" width="8" style="3" bestFit="1" customWidth="1"/>
    <col min="14609" max="14610" width="7.85546875" style="3" bestFit="1" customWidth="1"/>
    <col min="14611" max="14611" width="9.7109375" style="3" customWidth="1"/>
    <col min="14612" max="14612" width="12.85546875" style="3" customWidth="1"/>
    <col min="14613" max="14849" width="9.140625" style="3"/>
    <col min="14850" max="14850" width="9" style="3" bestFit="1" customWidth="1"/>
    <col min="14851" max="14851" width="9.85546875" style="3" bestFit="1" customWidth="1"/>
    <col min="14852" max="14852" width="9.140625" style="3" bestFit="1" customWidth="1"/>
    <col min="14853" max="14853" width="16" style="3" bestFit="1" customWidth="1"/>
    <col min="14854" max="14854" width="9" style="3" bestFit="1" customWidth="1"/>
    <col min="14855" max="14855" width="7.85546875" style="3" bestFit="1" customWidth="1"/>
    <col min="14856" max="14856" width="11.7109375" style="3" bestFit="1" customWidth="1"/>
    <col min="14857" max="14857" width="14.28515625" style="3" customWidth="1"/>
    <col min="14858" max="14858" width="11.7109375" style="3" bestFit="1" customWidth="1"/>
    <col min="14859" max="14859" width="14.140625" style="3" bestFit="1" customWidth="1"/>
    <col min="14860" max="14860" width="16.7109375" style="3" customWidth="1"/>
    <col min="14861" max="14861" width="16.5703125" style="3" customWidth="1"/>
    <col min="14862" max="14863" width="7.85546875" style="3" bestFit="1" customWidth="1"/>
    <col min="14864" max="14864" width="8" style="3" bestFit="1" customWidth="1"/>
    <col min="14865" max="14866" width="7.85546875" style="3" bestFit="1" customWidth="1"/>
    <col min="14867" max="14867" width="9.7109375" style="3" customWidth="1"/>
    <col min="14868" max="14868" width="12.85546875" style="3" customWidth="1"/>
    <col min="14869" max="15105" width="9.140625" style="3"/>
    <col min="15106" max="15106" width="9" style="3" bestFit="1" customWidth="1"/>
    <col min="15107" max="15107" width="9.85546875" style="3" bestFit="1" customWidth="1"/>
    <col min="15108" max="15108" width="9.140625" style="3" bestFit="1" customWidth="1"/>
    <col min="15109" max="15109" width="16" style="3" bestFit="1" customWidth="1"/>
    <col min="15110" max="15110" width="9" style="3" bestFit="1" customWidth="1"/>
    <col min="15111" max="15111" width="7.85546875" style="3" bestFit="1" customWidth="1"/>
    <col min="15112" max="15112" width="11.7109375" style="3" bestFit="1" customWidth="1"/>
    <col min="15113" max="15113" width="14.28515625" style="3" customWidth="1"/>
    <col min="15114" max="15114" width="11.7109375" style="3" bestFit="1" customWidth="1"/>
    <col min="15115" max="15115" width="14.140625" style="3" bestFit="1" customWidth="1"/>
    <col min="15116" max="15116" width="16.7109375" style="3" customWidth="1"/>
    <col min="15117" max="15117" width="16.5703125" style="3" customWidth="1"/>
    <col min="15118" max="15119" width="7.85546875" style="3" bestFit="1" customWidth="1"/>
    <col min="15120" max="15120" width="8" style="3" bestFit="1" customWidth="1"/>
    <col min="15121" max="15122" width="7.85546875" style="3" bestFit="1" customWidth="1"/>
    <col min="15123" max="15123" width="9.7109375" style="3" customWidth="1"/>
    <col min="15124" max="15124" width="12.85546875" style="3" customWidth="1"/>
    <col min="15125" max="15361" width="9.140625" style="3"/>
    <col min="15362" max="15362" width="9" style="3" bestFit="1" customWidth="1"/>
    <col min="15363" max="15363" width="9.85546875" style="3" bestFit="1" customWidth="1"/>
    <col min="15364" max="15364" width="9.140625" style="3" bestFit="1" customWidth="1"/>
    <col min="15365" max="15365" width="16" style="3" bestFit="1" customWidth="1"/>
    <col min="15366" max="15366" width="9" style="3" bestFit="1" customWidth="1"/>
    <col min="15367" max="15367" width="7.85546875" style="3" bestFit="1" customWidth="1"/>
    <col min="15368" max="15368" width="11.7109375" style="3" bestFit="1" customWidth="1"/>
    <col min="15369" max="15369" width="14.28515625" style="3" customWidth="1"/>
    <col min="15370" max="15370" width="11.7109375" style="3" bestFit="1" customWidth="1"/>
    <col min="15371" max="15371" width="14.140625" style="3" bestFit="1" customWidth="1"/>
    <col min="15372" max="15372" width="16.7109375" style="3" customWidth="1"/>
    <col min="15373" max="15373" width="16.5703125" style="3" customWidth="1"/>
    <col min="15374" max="15375" width="7.85546875" style="3" bestFit="1" customWidth="1"/>
    <col min="15376" max="15376" width="8" style="3" bestFit="1" customWidth="1"/>
    <col min="15377" max="15378" width="7.85546875" style="3" bestFit="1" customWidth="1"/>
    <col min="15379" max="15379" width="9.7109375" style="3" customWidth="1"/>
    <col min="15380" max="15380" width="12.85546875" style="3" customWidth="1"/>
    <col min="15381" max="15617" width="9.140625" style="3"/>
    <col min="15618" max="15618" width="9" style="3" bestFit="1" customWidth="1"/>
    <col min="15619" max="15619" width="9.85546875" style="3" bestFit="1" customWidth="1"/>
    <col min="15620" max="15620" width="9.140625" style="3" bestFit="1" customWidth="1"/>
    <col min="15621" max="15621" width="16" style="3" bestFit="1" customWidth="1"/>
    <col min="15622" max="15622" width="9" style="3" bestFit="1" customWidth="1"/>
    <col min="15623" max="15623" width="7.85546875" style="3" bestFit="1" customWidth="1"/>
    <col min="15624" max="15624" width="11.7109375" style="3" bestFit="1" customWidth="1"/>
    <col min="15625" max="15625" width="14.28515625" style="3" customWidth="1"/>
    <col min="15626" max="15626" width="11.7109375" style="3" bestFit="1" customWidth="1"/>
    <col min="15627" max="15627" width="14.140625" style="3" bestFit="1" customWidth="1"/>
    <col min="15628" max="15628" width="16.7109375" style="3" customWidth="1"/>
    <col min="15629" max="15629" width="16.5703125" style="3" customWidth="1"/>
    <col min="15630" max="15631" width="7.85546875" style="3" bestFit="1" customWidth="1"/>
    <col min="15632" max="15632" width="8" style="3" bestFit="1" customWidth="1"/>
    <col min="15633" max="15634" width="7.85546875" style="3" bestFit="1" customWidth="1"/>
    <col min="15635" max="15635" width="9.7109375" style="3" customWidth="1"/>
    <col min="15636" max="15636" width="12.85546875" style="3" customWidth="1"/>
    <col min="15637" max="15873" width="9.140625" style="3"/>
    <col min="15874" max="15874" width="9" style="3" bestFit="1" customWidth="1"/>
    <col min="15875" max="15875" width="9.85546875" style="3" bestFit="1" customWidth="1"/>
    <col min="15876" max="15876" width="9.140625" style="3" bestFit="1" customWidth="1"/>
    <col min="15877" max="15877" width="16" style="3" bestFit="1" customWidth="1"/>
    <col min="15878" max="15878" width="9" style="3" bestFit="1" customWidth="1"/>
    <col min="15879" max="15879" width="7.85546875" style="3" bestFit="1" customWidth="1"/>
    <col min="15880" max="15880" width="11.7109375" style="3" bestFit="1" customWidth="1"/>
    <col min="15881" max="15881" width="14.28515625" style="3" customWidth="1"/>
    <col min="15882" max="15882" width="11.7109375" style="3" bestFit="1" customWidth="1"/>
    <col min="15883" max="15883" width="14.140625" style="3" bestFit="1" customWidth="1"/>
    <col min="15884" max="15884" width="16.7109375" style="3" customWidth="1"/>
    <col min="15885" max="15885" width="16.5703125" style="3" customWidth="1"/>
    <col min="15886" max="15887" width="7.85546875" style="3" bestFit="1" customWidth="1"/>
    <col min="15888" max="15888" width="8" style="3" bestFit="1" customWidth="1"/>
    <col min="15889" max="15890" width="7.85546875" style="3" bestFit="1" customWidth="1"/>
    <col min="15891" max="15891" width="9.7109375" style="3" customWidth="1"/>
    <col min="15892" max="15892" width="12.85546875" style="3" customWidth="1"/>
    <col min="15893" max="16129" width="9.140625" style="3"/>
    <col min="16130" max="16130" width="9" style="3" bestFit="1" customWidth="1"/>
    <col min="16131" max="16131" width="9.85546875" style="3" bestFit="1" customWidth="1"/>
    <col min="16132" max="16132" width="9.140625" style="3" bestFit="1" customWidth="1"/>
    <col min="16133" max="16133" width="16" style="3" bestFit="1" customWidth="1"/>
    <col min="16134" max="16134" width="9" style="3" bestFit="1" customWidth="1"/>
    <col min="16135" max="16135" width="7.85546875" style="3" bestFit="1" customWidth="1"/>
    <col min="16136" max="16136" width="11.7109375" style="3" bestFit="1" customWidth="1"/>
    <col min="16137" max="16137" width="14.28515625" style="3" customWidth="1"/>
    <col min="16138" max="16138" width="11.7109375" style="3" bestFit="1" customWidth="1"/>
    <col min="16139" max="16139" width="14.140625" style="3" bestFit="1" customWidth="1"/>
    <col min="16140" max="16140" width="16.7109375" style="3" customWidth="1"/>
    <col min="16141" max="16141" width="16.5703125" style="3" customWidth="1"/>
    <col min="16142" max="16143" width="7.85546875" style="3" bestFit="1" customWidth="1"/>
    <col min="16144" max="16144" width="8" style="3" bestFit="1" customWidth="1"/>
    <col min="16145" max="16146" width="7.85546875" style="3" bestFit="1" customWidth="1"/>
    <col min="16147" max="16147" width="9.7109375" style="3" customWidth="1"/>
    <col min="16148" max="16148" width="12.85546875" style="3" customWidth="1"/>
    <col min="16149" max="16384" width="9.140625" style="3"/>
  </cols>
  <sheetData>
    <row r="1" spans="1:42" s="6" customFormat="1" ht="12.75" customHeight="1">
      <c r="A1" s="755" t="s">
        <v>1</v>
      </c>
      <c r="B1" s="560"/>
      <c r="C1" s="827" t="s">
        <v>0</v>
      </c>
      <c r="D1" s="761" t="s">
        <v>7</v>
      </c>
      <c r="E1" s="835" t="s">
        <v>3</v>
      </c>
      <c r="F1" s="836"/>
      <c r="G1" s="837" t="s">
        <v>493</v>
      </c>
      <c r="H1" s="838"/>
      <c r="I1" s="838"/>
      <c r="J1" s="838"/>
      <c r="K1" s="838"/>
      <c r="L1" s="838"/>
      <c r="M1" s="839"/>
      <c r="N1" s="840" t="s">
        <v>386</v>
      </c>
      <c r="O1" s="841"/>
      <c r="P1" s="842" t="s">
        <v>240</v>
      </c>
      <c r="Q1" s="843"/>
      <c r="R1" s="844" t="s">
        <v>385</v>
      </c>
      <c r="S1" s="846" t="s">
        <v>160</v>
      </c>
      <c r="T1" s="846"/>
      <c r="U1" s="846"/>
      <c r="V1" s="846"/>
      <c r="W1" s="846"/>
      <c r="X1" s="846"/>
      <c r="Y1" s="846"/>
      <c r="Z1" s="846"/>
      <c r="AA1" s="846"/>
      <c r="AB1" s="846"/>
      <c r="AC1" s="846"/>
      <c r="AD1" s="846"/>
      <c r="AE1" s="846"/>
      <c r="AF1" s="846"/>
      <c r="AG1" s="846"/>
      <c r="AH1" s="846"/>
      <c r="AI1" s="846"/>
      <c r="AJ1" s="846"/>
      <c r="AK1" s="846"/>
      <c r="AL1" s="846"/>
      <c r="AM1" s="846"/>
      <c r="AN1" s="846"/>
      <c r="AO1" s="846"/>
      <c r="AP1" s="846"/>
    </row>
    <row r="2" spans="1:42" ht="23.25" thickBot="1">
      <c r="A2" s="756"/>
      <c r="B2" s="561"/>
      <c r="C2" s="828"/>
      <c r="D2" s="762"/>
      <c r="E2" s="157" t="s">
        <v>4</v>
      </c>
      <c r="F2" s="142" t="s">
        <v>9</v>
      </c>
      <c r="G2" s="219" t="s">
        <v>4</v>
      </c>
      <c r="H2" s="158" t="s">
        <v>497</v>
      </c>
      <c r="I2" s="322" t="s">
        <v>45</v>
      </c>
      <c r="J2" s="219" t="s">
        <v>497</v>
      </c>
      <c r="K2" s="307" t="s">
        <v>343</v>
      </c>
      <c r="L2" s="307" t="s">
        <v>365</v>
      </c>
      <c r="M2" s="308" t="s">
        <v>345</v>
      </c>
      <c r="N2" s="219" t="s">
        <v>23</v>
      </c>
      <c r="O2" s="309" t="s">
        <v>85</v>
      </c>
      <c r="P2" s="219" t="s">
        <v>23</v>
      </c>
      <c r="Q2" s="338" t="s">
        <v>497</v>
      </c>
      <c r="R2" s="845"/>
      <c r="S2" s="311" t="s">
        <v>118</v>
      </c>
      <c r="T2" s="160" t="s">
        <v>158</v>
      </c>
      <c r="U2" s="311" t="s">
        <v>119</v>
      </c>
      <c r="V2" s="311" t="s">
        <v>242</v>
      </c>
      <c r="W2" s="160" t="s">
        <v>120</v>
      </c>
      <c r="X2" s="160" t="s">
        <v>243</v>
      </c>
      <c r="Y2" s="160" t="s">
        <v>137</v>
      </c>
      <c r="Z2" s="160" t="s">
        <v>159</v>
      </c>
      <c r="AA2" s="160" t="s">
        <v>138</v>
      </c>
      <c r="AB2" s="160" t="s">
        <v>244</v>
      </c>
      <c r="AC2" s="160" t="s">
        <v>139</v>
      </c>
      <c r="AD2" s="160" t="s">
        <v>245</v>
      </c>
      <c r="AE2" s="160" t="s">
        <v>140</v>
      </c>
      <c r="AF2" s="160" t="s">
        <v>257</v>
      </c>
      <c r="AG2" s="160" t="s">
        <v>258</v>
      </c>
      <c r="AH2" s="258" t="s">
        <v>259</v>
      </c>
      <c r="AI2" s="258" t="s">
        <v>260</v>
      </c>
      <c r="AJ2" s="258" t="s">
        <v>261</v>
      </c>
      <c r="AK2" s="160" t="s">
        <v>445</v>
      </c>
      <c r="AL2" s="160" t="s">
        <v>446</v>
      </c>
      <c r="AM2" s="160"/>
      <c r="AN2" s="303" t="s">
        <v>89</v>
      </c>
      <c r="AO2" s="242" t="s">
        <v>45</v>
      </c>
      <c r="AP2" s="243" t="s">
        <v>29</v>
      </c>
    </row>
    <row r="3" spans="1:42" s="5" customFormat="1">
      <c r="A3" s="562" t="str">
        <f>'1-συμβολαια'!A3</f>
        <v>93τραπ &amp; σημ</v>
      </c>
      <c r="B3" s="564">
        <f>'1-συμβολαια'!B3</f>
        <v>27790</v>
      </c>
      <c r="C3" s="353" t="str">
        <f>'1-συμβολαια'!C3</f>
        <v>δάνειο</v>
      </c>
      <c r="D3" s="278">
        <f>'1-συμβολαια'!D3</f>
        <v>24000000</v>
      </c>
      <c r="E3" s="365">
        <f>'3-φύλλα2α'!E3</f>
        <v>7</v>
      </c>
      <c r="F3" s="365">
        <f>'3-φύλλα2α'!F3</f>
        <v>0</v>
      </c>
      <c r="G3" s="264"/>
      <c r="H3" s="264"/>
      <c r="I3" s="354">
        <f>G3*E3*100</f>
        <v>0</v>
      </c>
      <c r="J3" s="354">
        <f t="shared" ref="J3:J12" si="0">H3*F3*300</f>
        <v>0</v>
      </c>
      <c r="K3" s="366">
        <f t="shared" ref="K3:K18" si="1">I3*5%</f>
        <v>0</v>
      </c>
      <c r="L3" s="366">
        <f t="shared" ref="L3:L18" si="2">I3*5%</f>
        <v>0</v>
      </c>
      <c r="M3" s="366">
        <f t="shared" ref="M3:M18" si="3">I3*1%</f>
        <v>0</v>
      </c>
      <c r="N3" s="366">
        <f t="shared" ref="N3:N18" si="4">I3-P3</f>
        <v>0</v>
      </c>
      <c r="O3" s="366">
        <f t="shared" ref="O3:O18" si="5">J3-Q3</f>
        <v>0</v>
      </c>
      <c r="P3" s="366">
        <f t="shared" ref="P3:P18" si="6">K3+L3+M3</f>
        <v>0</v>
      </c>
      <c r="Q3" s="366">
        <f t="shared" ref="Q3:Q18" si="7">J3*11%</f>
        <v>0</v>
      </c>
      <c r="R3" s="366">
        <f t="shared" ref="R3:R18" si="8">P3-Q3</f>
        <v>0</v>
      </c>
      <c r="S3" s="629"/>
      <c r="T3" s="630"/>
      <c r="U3" s="629"/>
      <c r="V3" s="629"/>
      <c r="W3" s="630"/>
      <c r="X3" s="630"/>
      <c r="Y3" s="630"/>
      <c r="Z3" s="629"/>
      <c r="AA3" s="630"/>
      <c r="AB3" s="629"/>
      <c r="AC3" s="630"/>
      <c r="AD3" s="630"/>
      <c r="AE3" s="630"/>
      <c r="AF3" s="630"/>
      <c r="AG3" s="631"/>
      <c r="AH3" s="633"/>
      <c r="AI3" s="633"/>
      <c r="AJ3" s="633"/>
      <c r="AK3" s="631"/>
      <c r="AL3" s="631"/>
      <c r="AM3" s="631"/>
      <c r="AN3" s="632">
        <f t="shared" ref="AN3:AN18" si="9">V3+Z3+AB3+AJ3+AL3</f>
        <v>0</v>
      </c>
      <c r="AO3" s="632">
        <f t="shared" ref="AO3:AO18" si="10">S3+T3+U3+W3+X3+Y3+AA3+AC3+AD3+AE3+AF3++AG3+AH3+AI3+AK3</f>
        <v>0</v>
      </c>
      <c r="AP3" s="630"/>
    </row>
    <row r="4" spans="1:42" s="5" customFormat="1">
      <c r="A4" s="562">
        <f>'1-συμβολαια'!A4</f>
        <v>0</v>
      </c>
      <c r="B4" s="413"/>
      <c r="C4" s="353" t="str">
        <f>'1-συμβολαια'!C4</f>
        <v>υποθήκη δανείου</v>
      </c>
      <c r="D4" s="278">
        <f>'1-συμβολαια'!D4</f>
        <v>26666666</v>
      </c>
      <c r="E4" s="365">
        <f>'3-φύλλα2α'!E4</f>
        <v>7</v>
      </c>
      <c r="F4" s="365">
        <f>'3-φύλλα2α'!F4</f>
        <v>0</v>
      </c>
      <c r="G4" s="264"/>
      <c r="H4" s="264"/>
      <c r="I4" s="354">
        <f t="shared" ref="I4:I8" si="11">G4*E4*100</f>
        <v>0</v>
      </c>
      <c r="J4" s="354">
        <f t="shared" si="0"/>
        <v>0</v>
      </c>
      <c r="K4" s="366">
        <f t="shared" si="1"/>
        <v>0</v>
      </c>
      <c r="L4" s="366">
        <f t="shared" si="2"/>
        <v>0</v>
      </c>
      <c r="M4" s="366">
        <f t="shared" si="3"/>
        <v>0</v>
      </c>
      <c r="N4" s="366">
        <f t="shared" si="4"/>
        <v>0</v>
      </c>
      <c r="O4" s="366">
        <f t="shared" si="5"/>
        <v>0</v>
      </c>
      <c r="P4" s="366">
        <f t="shared" si="6"/>
        <v>0</v>
      </c>
      <c r="Q4" s="366">
        <f t="shared" si="7"/>
        <v>0</v>
      </c>
      <c r="R4" s="366">
        <f t="shared" si="8"/>
        <v>0</v>
      </c>
      <c r="S4" s="629"/>
      <c r="T4" s="630"/>
      <c r="U4" s="629"/>
      <c r="V4" s="629"/>
      <c r="W4" s="630"/>
      <c r="X4" s="630"/>
      <c r="Y4" s="630"/>
      <c r="Z4" s="629"/>
      <c r="AA4" s="630"/>
      <c r="AB4" s="629"/>
      <c r="AC4" s="630"/>
      <c r="AD4" s="630"/>
      <c r="AE4" s="630"/>
      <c r="AF4" s="630"/>
      <c r="AG4" s="631"/>
      <c r="AH4" s="633"/>
      <c r="AI4" s="633"/>
      <c r="AJ4" s="633"/>
      <c r="AK4" s="631"/>
      <c r="AL4" s="631"/>
      <c r="AM4" s="631"/>
      <c r="AN4" s="632">
        <f t="shared" si="9"/>
        <v>0</v>
      </c>
      <c r="AO4" s="632">
        <f t="shared" si="10"/>
        <v>0</v>
      </c>
      <c r="AP4" s="630"/>
    </row>
    <row r="5" spans="1:42" s="5" customFormat="1">
      <c r="A5" s="563">
        <f>'1-συμβολαια'!A5</f>
        <v>0</v>
      </c>
      <c r="B5" s="413"/>
      <c r="C5" s="353" t="str">
        <f>'1-συμβολαια'!C5</f>
        <v>τόκοι δανείου {εμπρόθεσμα πληρωθέντες}</v>
      </c>
      <c r="D5" s="260">
        <f>'1-συμβολαια'!D5</f>
        <v>51111111</v>
      </c>
      <c r="E5" s="365">
        <f>'3-φύλλα2α'!E5</f>
        <v>7</v>
      </c>
      <c r="F5" s="365">
        <f>'3-φύλλα2α'!F5</f>
        <v>0</v>
      </c>
      <c r="G5" s="264"/>
      <c r="H5" s="264"/>
      <c r="I5" s="354">
        <f t="shared" si="11"/>
        <v>0</v>
      </c>
      <c r="J5" s="354">
        <f t="shared" si="0"/>
        <v>0</v>
      </c>
      <c r="K5" s="354">
        <f t="shared" si="1"/>
        <v>0</v>
      </c>
      <c r="L5" s="354">
        <f t="shared" si="2"/>
        <v>0</v>
      </c>
      <c r="M5" s="354">
        <f t="shared" si="3"/>
        <v>0</v>
      </c>
      <c r="N5" s="354">
        <f t="shared" si="4"/>
        <v>0</v>
      </c>
      <c r="O5" s="354">
        <f t="shared" si="5"/>
        <v>0</v>
      </c>
      <c r="P5" s="354">
        <f t="shared" si="6"/>
        <v>0</v>
      </c>
      <c r="Q5" s="354">
        <f t="shared" si="7"/>
        <v>0</v>
      </c>
      <c r="R5" s="354">
        <f t="shared" si="8"/>
        <v>0</v>
      </c>
      <c r="S5" s="629"/>
      <c r="T5" s="630"/>
      <c r="U5" s="629"/>
      <c r="V5" s="629"/>
      <c r="W5" s="630"/>
      <c r="X5" s="630"/>
      <c r="Y5" s="630"/>
      <c r="Z5" s="629"/>
      <c r="AA5" s="630"/>
      <c r="AB5" s="629"/>
      <c r="AC5" s="630"/>
      <c r="AD5" s="630"/>
      <c r="AE5" s="630"/>
      <c r="AF5" s="630"/>
      <c r="AG5" s="630"/>
      <c r="AH5" s="634"/>
      <c r="AI5" s="634"/>
      <c r="AJ5" s="634"/>
      <c r="AK5" s="630"/>
      <c r="AL5" s="630"/>
      <c r="AM5" s="630"/>
      <c r="AN5" s="629">
        <f t="shared" si="9"/>
        <v>0</v>
      </c>
      <c r="AO5" s="629">
        <f t="shared" si="10"/>
        <v>0</v>
      </c>
      <c r="AP5" s="630"/>
    </row>
    <row r="6" spans="1:42" s="5" customFormat="1">
      <c r="A6" s="548" t="str">
        <f>'1-συμβολαια'!A6</f>
        <v>375τραπ</v>
      </c>
      <c r="B6" s="304">
        <f>'1-συμβολαια'!B6</f>
        <v>30161</v>
      </c>
      <c r="C6" s="353" t="str">
        <f>'1-συμβολαια'!C6</f>
        <v>δάνειο</v>
      </c>
      <c r="D6" s="260">
        <f>'1-συμβολαια'!D6</f>
        <v>5000000</v>
      </c>
      <c r="E6" s="365">
        <f>'3-φύλλα2α'!E6</f>
        <v>7</v>
      </c>
      <c r="F6" s="365">
        <f>'3-φύλλα2α'!F6</f>
        <v>0</v>
      </c>
      <c r="G6" s="264"/>
      <c r="H6" s="264"/>
      <c r="I6" s="354">
        <f t="shared" si="11"/>
        <v>0</v>
      </c>
      <c r="J6" s="354">
        <f t="shared" si="0"/>
        <v>0</v>
      </c>
      <c r="K6" s="354">
        <f t="shared" si="1"/>
        <v>0</v>
      </c>
      <c r="L6" s="354">
        <f t="shared" si="2"/>
        <v>0</v>
      </c>
      <c r="M6" s="354">
        <f t="shared" si="3"/>
        <v>0</v>
      </c>
      <c r="N6" s="354">
        <f t="shared" si="4"/>
        <v>0</v>
      </c>
      <c r="O6" s="354">
        <f t="shared" si="5"/>
        <v>0</v>
      </c>
      <c r="P6" s="354">
        <f t="shared" si="6"/>
        <v>0</v>
      </c>
      <c r="Q6" s="354">
        <f t="shared" si="7"/>
        <v>0</v>
      </c>
      <c r="R6" s="354">
        <f t="shared" si="8"/>
        <v>0</v>
      </c>
      <c r="S6" s="629"/>
      <c r="T6" s="630"/>
      <c r="U6" s="629"/>
      <c r="V6" s="629"/>
      <c r="W6" s="630"/>
      <c r="X6" s="630"/>
      <c r="Y6" s="630"/>
      <c r="Z6" s="629"/>
      <c r="AA6" s="630"/>
      <c r="AB6" s="629"/>
      <c r="AC6" s="630"/>
      <c r="AD6" s="630"/>
      <c r="AE6" s="630"/>
      <c r="AF6" s="630"/>
      <c r="AG6" s="630"/>
      <c r="AH6" s="634"/>
      <c r="AI6" s="634"/>
      <c r="AJ6" s="634"/>
      <c r="AK6" s="630"/>
      <c r="AL6" s="630"/>
      <c r="AM6" s="630"/>
      <c r="AN6" s="629">
        <f t="shared" si="9"/>
        <v>0</v>
      </c>
      <c r="AO6" s="629">
        <f t="shared" si="10"/>
        <v>0</v>
      </c>
      <c r="AP6" s="630"/>
    </row>
    <row r="7" spans="1:42" s="5" customFormat="1">
      <c r="A7" s="548">
        <f>'1-συμβολαια'!A7</f>
        <v>0</v>
      </c>
      <c r="B7" s="413"/>
      <c r="C7" s="353" t="str">
        <f>'1-συμβολαια'!C7</f>
        <v>υποθήκη δανείου</v>
      </c>
      <c r="D7" s="260">
        <f>'1-συμβολαια'!D7</f>
        <v>6666666</v>
      </c>
      <c r="E7" s="365">
        <f>'3-φύλλα2α'!E7</f>
        <v>7</v>
      </c>
      <c r="F7" s="365">
        <f>'3-φύλλα2α'!F7</f>
        <v>0</v>
      </c>
      <c r="G7" s="264"/>
      <c r="H7" s="264"/>
      <c r="I7" s="354">
        <f t="shared" si="11"/>
        <v>0</v>
      </c>
      <c r="J7" s="354">
        <f t="shared" si="0"/>
        <v>0</v>
      </c>
      <c r="K7" s="354">
        <f t="shared" si="1"/>
        <v>0</v>
      </c>
      <c r="L7" s="354">
        <f t="shared" si="2"/>
        <v>0</v>
      </c>
      <c r="M7" s="354">
        <f t="shared" si="3"/>
        <v>0</v>
      </c>
      <c r="N7" s="354">
        <f t="shared" si="4"/>
        <v>0</v>
      </c>
      <c r="O7" s="354">
        <f t="shared" si="5"/>
        <v>0</v>
      </c>
      <c r="P7" s="354">
        <f t="shared" si="6"/>
        <v>0</v>
      </c>
      <c r="Q7" s="354">
        <f t="shared" si="7"/>
        <v>0</v>
      </c>
      <c r="R7" s="354">
        <f t="shared" si="8"/>
        <v>0</v>
      </c>
      <c r="S7" s="629"/>
      <c r="T7" s="630"/>
      <c r="U7" s="629"/>
      <c r="V7" s="629"/>
      <c r="W7" s="630"/>
      <c r="X7" s="630"/>
      <c r="Y7" s="630"/>
      <c r="Z7" s="629"/>
      <c r="AA7" s="630"/>
      <c r="AB7" s="629"/>
      <c r="AC7" s="630"/>
      <c r="AD7" s="630"/>
      <c r="AE7" s="630"/>
      <c r="AF7" s="630"/>
      <c r="AG7" s="630"/>
      <c r="AH7" s="634"/>
      <c r="AI7" s="634"/>
      <c r="AJ7" s="634"/>
      <c r="AK7" s="630"/>
      <c r="AL7" s="630"/>
      <c r="AM7" s="630"/>
      <c r="AN7" s="629">
        <f t="shared" si="9"/>
        <v>0</v>
      </c>
      <c r="AO7" s="629">
        <f t="shared" si="10"/>
        <v>0</v>
      </c>
      <c r="AP7" s="630"/>
    </row>
    <row r="8" spans="1:42" s="5" customFormat="1">
      <c r="A8" s="548">
        <f>'1-συμβολαια'!A8</f>
        <v>0</v>
      </c>
      <c r="B8" s="413"/>
      <c r="C8" s="353" t="str">
        <f>'1-συμβολαια'!C8</f>
        <v>τόκοι δανείου</v>
      </c>
      <c r="D8" s="260">
        <f>'1-συμβολαια'!D8</f>
        <v>11111111</v>
      </c>
      <c r="E8" s="365">
        <f>'3-φύλλα2α'!E8</f>
        <v>7</v>
      </c>
      <c r="F8" s="365">
        <f>'3-φύλλα2α'!F8</f>
        <v>0</v>
      </c>
      <c r="G8" s="264"/>
      <c r="H8" s="264"/>
      <c r="I8" s="354">
        <f t="shared" si="11"/>
        <v>0</v>
      </c>
      <c r="J8" s="354">
        <f t="shared" si="0"/>
        <v>0</v>
      </c>
      <c r="K8" s="354">
        <f t="shared" si="1"/>
        <v>0</v>
      </c>
      <c r="L8" s="354">
        <f t="shared" si="2"/>
        <v>0</v>
      </c>
      <c r="M8" s="354">
        <f t="shared" si="3"/>
        <v>0</v>
      </c>
      <c r="N8" s="354">
        <f t="shared" si="4"/>
        <v>0</v>
      </c>
      <c r="O8" s="354">
        <f t="shared" si="5"/>
        <v>0</v>
      </c>
      <c r="P8" s="354">
        <f t="shared" si="6"/>
        <v>0</v>
      </c>
      <c r="Q8" s="354">
        <f t="shared" si="7"/>
        <v>0</v>
      </c>
      <c r="R8" s="354">
        <f t="shared" si="8"/>
        <v>0</v>
      </c>
      <c r="S8" s="629"/>
      <c r="T8" s="630"/>
      <c r="U8" s="629"/>
      <c r="V8" s="629"/>
      <c r="W8" s="630"/>
      <c r="X8" s="630"/>
      <c r="Y8" s="630"/>
      <c r="Z8" s="629"/>
      <c r="AA8" s="630"/>
      <c r="AB8" s="629"/>
      <c r="AC8" s="630"/>
      <c r="AD8" s="630"/>
      <c r="AE8" s="630"/>
      <c r="AF8" s="630"/>
      <c r="AG8" s="630"/>
      <c r="AH8" s="634"/>
      <c r="AI8" s="634"/>
      <c r="AJ8" s="634"/>
      <c r="AK8" s="630"/>
      <c r="AL8" s="630"/>
      <c r="AM8" s="630"/>
      <c r="AN8" s="629">
        <f t="shared" si="9"/>
        <v>0</v>
      </c>
      <c r="AO8" s="629">
        <f t="shared" si="10"/>
        <v>0</v>
      </c>
      <c r="AP8" s="630"/>
    </row>
    <row r="9" spans="1:42" s="5" customFormat="1" ht="12" thickBot="1">
      <c r="A9" s="549" t="str">
        <f>'1-συμβολαια'!A9</f>
        <v>1ο</v>
      </c>
      <c r="B9" s="341">
        <f>'1-συμβολαια'!B9</f>
        <v>30265</v>
      </c>
      <c r="C9" s="356" t="str">
        <f>'1-συμβολαια'!C9</f>
        <v>υποθήκη τυχόν αυξήσεως ΤΟΚΩΝ δανείου</v>
      </c>
      <c r="D9" s="342">
        <f>'1-συμβολαια'!D9</f>
        <v>20000</v>
      </c>
      <c r="E9" s="434">
        <f>'3-φύλλα2α'!E9</f>
        <v>7</v>
      </c>
      <c r="F9" s="434">
        <f>'3-φύλλα2α'!F9</f>
        <v>7</v>
      </c>
      <c r="G9" s="344">
        <v>2</v>
      </c>
      <c r="H9" s="522"/>
      <c r="I9" s="343">
        <f t="shared" ref="I9:I17" si="12">G9*E9*100</f>
        <v>1400</v>
      </c>
      <c r="J9" s="524">
        <f t="shared" si="0"/>
        <v>0</v>
      </c>
      <c r="K9" s="343">
        <f t="shared" si="1"/>
        <v>70</v>
      </c>
      <c r="L9" s="343">
        <f t="shared" si="2"/>
        <v>70</v>
      </c>
      <c r="M9" s="343">
        <f t="shared" si="3"/>
        <v>14</v>
      </c>
      <c r="N9" s="343">
        <f t="shared" si="4"/>
        <v>1246</v>
      </c>
      <c r="O9" s="343">
        <f t="shared" si="5"/>
        <v>0</v>
      </c>
      <c r="P9" s="368">
        <f t="shared" si="6"/>
        <v>154</v>
      </c>
      <c r="Q9" s="368">
        <f t="shared" si="7"/>
        <v>0</v>
      </c>
      <c r="R9" s="343">
        <f t="shared" si="8"/>
        <v>154</v>
      </c>
      <c r="S9" s="636">
        <v>400</v>
      </c>
      <c r="T9" s="637">
        <v>50</v>
      </c>
      <c r="U9" s="636">
        <v>700</v>
      </c>
      <c r="V9" s="636">
        <v>55</v>
      </c>
      <c r="W9" s="637"/>
      <c r="X9" s="637"/>
      <c r="Y9" s="637"/>
      <c r="Z9" s="636"/>
      <c r="AA9" s="637"/>
      <c r="AB9" s="636"/>
      <c r="AC9" s="637"/>
      <c r="AD9" s="637"/>
      <c r="AE9" s="637">
        <v>150</v>
      </c>
      <c r="AF9" s="637"/>
      <c r="AG9" s="637"/>
      <c r="AH9" s="638"/>
      <c r="AI9" s="638"/>
      <c r="AJ9" s="638"/>
      <c r="AK9" s="637"/>
      <c r="AL9" s="637"/>
      <c r="AM9" s="637"/>
      <c r="AN9" s="636">
        <f t="shared" si="9"/>
        <v>55</v>
      </c>
      <c r="AO9" s="636">
        <f t="shared" si="10"/>
        <v>1300</v>
      </c>
      <c r="AP9" s="637"/>
    </row>
    <row r="10" spans="1:42" s="5" customFormat="1">
      <c r="A10" s="550" t="str">
        <f>'1-συμβολαια'!A10</f>
        <v>2ο</v>
      </c>
      <c r="B10" s="304">
        <f>'1-συμβολαια'!B10</f>
        <v>30160</v>
      </c>
      <c r="C10" s="405" t="str">
        <f>'1-συμβολαια'!C10</f>
        <v>αγοραπωλησία οικοπεδου τίμημα = 800.000 Δ.Ο.Υ. =</v>
      </c>
      <c r="D10" s="278">
        <f>'1-συμβολαια'!D10</f>
        <v>1000000</v>
      </c>
      <c r="E10" s="451">
        <f>'3-φύλλα2α'!E10</f>
        <v>4</v>
      </c>
      <c r="F10" s="451">
        <f>'3-φύλλα2α'!F10</f>
        <v>4</v>
      </c>
      <c r="G10" s="262">
        <v>2</v>
      </c>
      <c r="H10" s="523"/>
      <c r="I10" s="261">
        <f t="shared" si="12"/>
        <v>800</v>
      </c>
      <c r="J10" s="525">
        <f t="shared" si="0"/>
        <v>0</v>
      </c>
      <c r="K10" s="463">
        <f t="shared" si="1"/>
        <v>40</v>
      </c>
      <c r="L10" s="463">
        <f t="shared" si="2"/>
        <v>40</v>
      </c>
      <c r="M10" s="463">
        <f t="shared" si="3"/>
        <v>8</v>
      </c>
      <c r="N10" s="463">
        <f t="shared" si="4"/>
        <v>712</v>
      </c>
      <c r="O10" s="463">
        <f t="shared" si="5"/>
        <v>0</v>
      </c>
      <c r="P10" s="463">
        <f t="shared" si="6"/>
        <v>88</v>
      </c>
      <c r="Q10" s="463">
        <f t="shared" si="7"/>
        <v>0</v>
      </c>
      <c r="R10" s="463">
        <f t="shared" si="8"/>
        <v>88</v>
      </c>
      <c r="S10" s="632">
        <f>5*150</f>
        <v>750</v>
      </c>
      <c r="T10" s="631">
        <v>50</v>
      </c>
      <c r="U10" s="632">
        <v>400</v>
      </c>
      <c r="V10" s="632">
        <v>55</v>
      </c>
      <c r="W10" s="632">
        <v>400</v>
      </c>
      <c r="X10" s="632">
        <v>55</v>
      </c>
      <c r="Y10" s="631"/>
      <c r="Z10" s="632"/>
      <c r="AA10" s="631"/>
      <c r="AB10" s="632"/>
      <c r="AC10" s="631"/>
      <c r="AD10" s="631"/>
      <c r="AE10" s="631">
        <v>150</v>
      </c>
      <c r="AF10" s="631">
        <v>300</v>
      </c>
      <c r="AG10" s="631">
        <v>110</v>
      </c>
      <c r="AH10" s="633"/>
      <c r="AI10" s="633"/>
      <c r="AJ10" s="633"/>
      <c r="AK10" s="631"/>
      <c r="AL10" s="631"/>
      <c r="AM10" s="631"/>
      <c r="AN10" s="632">
        <f t="shared" si="9"/>
        <v>55</v>
      </c>
      <c r="AO10" s="632">
        <f t="shared" si="10"/>
        <v>2215</v>
      </c>
      <c r="AP10" s="631"/>
    </row>
    <row r="11" spans="1:42" s="5" customFormat="1">
      <c r="A11" s="551">
        <f>'1-συμβολαια'!A11</f>
        <v>0</v>
      </c>
      <c r="B11" s="413"/>
      <c r="C11" s="353" t="str">
        <f>'1-συμβολαια'!C11</f>
        <v>αγορά εργοστασίου ;;;??? μ2</v>
      </c>
      <c r="D11" s="278">
        <f>'1-συμβολαια'!D11</f>
        <v>11111111</v>
      </c>
      <c r="E11" s="365">
        <f>'3-φύλλα2α'!E11</f>
        <v>4</v>
      </c>
      <c r="F11" s="365">
        <f>'3-φύλλα2α'!F11</f>
        <v>0</v>
      </c>
      <c r="G11" s="264"/>
      <c r="H11" s="264"/>
      <c r="I11" s="354">
        <f t="shared" si="12"/>
        <v>0</v>
      </c>
      <c r="J11" s="354">
        <f t="shared" si="0"/>
        <v>0</v>
      </c>
      <c r="K11" s="366">
        <f t="shared" si="1"/>
        <v>0</v>
      </c>
      <c r="L11" s="366">
        <f t="shared" si="2"/>
        <v>0</v>
      </c>
      <c r="M11" s="366">
        <f t="shared" si="3"/>
        <v>0</v>
      </c>
      <c r="N11" s="366">
        <f t="shared" si="4"/>
        <v>0</v>
      </c>
      <c r="O11" s="366">
        <f t="shared" si="5"/>
        <v>0</v>
      </c>
      <c r="P11" s="366">
        <f t="shared" si="6"/>
        <v>0</v>
      </c>
      <c r="Q11" s="366">
        <f t="shared" si="7"/>
        <v>0</v>
      </c>
      <c r="R11" s="366">
        <f t="shared" si="8"/>
        <v>0</v>
      </c>
      <c r="S11" s="629"/>
      <c r="T11" s="630"/>
      <c r="U11" s="629"/>
      <c r="V11" s="629"/>
      <c r="W11" s="630"/>
      <c r="X11" s="630"/>
      <c r="Y11" s="630"/>
      <c r="Z11" s="629"/>
      <c r="AA11" s="630"/>
      <c r="AB11" s="629"/>
      <c r="AC11" s="630"/>
      <c r="AD11" s="630"/>
      <c r="AE11" s="630"/>
      <c r="AF11" s="630"/>
      <c r="AG11" s="631"/>
      <c r="AH11" s="633"/>
      <c r="AI11" s="633"/>
      <c r="AJ11" s="633"/>
      <c r="AK11" s="631"/>
      <c r="AL11" s="631"/>
      <c r="AM11" s="631"/>
      <c r="AN11" s="632">
        <f t="shared" si="9"/>
        <v>0</v>
      </c>
      <c r="AO11" s="632">
        <f t="shared" si="10"/>
        <v>0</v>
      </c>
      <c r="AP11" s="630"/>
    </row>
    <row r="12" spans="1:42" s="5" customFormat="1" ht="12" thickBot="1">
      <c r="A12" s="552">
        <f>'1-συμβολαια'!A12</f>
        <v>0</v>
      </c>
      <c r="B12" s="341"/>
      <c r="C12" s="356" t="str">
        <f>'1-συμβολαια'!C12</f>
        <v>αγορά εργοστασίου ΕΞΟΠΛΙΣΜΟΣ</v>
      </c>
      <c r="D12" s="342">
        <f>'1-συμβολαια'!D12</f>
        <v>6666666</v>
      </c>
      <c r="E12" s="434">
        <f>'3-φύλλα2α'!E12</f>
        <v>4</v>
      </c>
      <c r="F12" s="434">
        <f>'3-φύλλα2α'!F12</f>
        <v>0</v>
      </c>
      <c r="G12" s="344"/>
      <c r="H12" s="344"/>
      <c r="I12" s="343">
        <f t="shared" si="12"/>
        <v>0</v>
      </c>
      <c r="J12" s="343">
        <f t="shared" si="0"/>
        <v>0</v>
      </c>
      <c r="K12" s="368">
        <f t="shared" si="1"/>
        <v>0</v>
      </c>
      <c r="L12" s="368">
        <f t="shared" si="2"/>
        <v>0</v>
      </c>
      <c r="M12" s="368">
        <f t="shared" si="3"/>
        <v>0</v>
      </c>
      <c r="N12" s="368">
        <f t="shared" si="4"/>
        <v>0</v>
      </c>
      <c r="O12" s="368">
        <f t="shared" si="5"/>
        <v>0</v>
      </c>
      <c r="P12" s="368">
        <f t="shared" si="6"/>
        <v>0</v>
      </c>
      <c r="Q12" s="368">
        <f t="shared" si="7"/>
        <v>0</v>
      </c>
      <c r="R12" s="343">
        <f t="shared" si="8"/>
        <v>0</v>
      </c>
      <c r="S12" s="636"/>
      <c r="T12" s="637"/>
      <c r="U12" s="636"/>
      <c r="V12" s="636"/>
      <c r="W12" s="637"/>
      <c r="X12" s="637"/>
      <c r="Y12" s="637"/>
      <c r="Z12" s="636"/>
      <c r="AA12" s="637"/>
      <c r="AB12" s="636"/>
      <c r="AC12" s="637"/>
      <c r="AD12" s="637"/>
      <c r="AE12" s="637"/>
      <c r="AF12" s="637"/>
      <c r="AG12" s="637"/>
      <c r="AH12" s="638"/>
      <c r="AI12" s="638"/>
      <c r="AJ12" s="638"/>
      <c r="AK12" s="637"/>
      <c r="AL12" s="637"/>
      <c r="AM12" s="637"/>
      <c r="AN12" s="636">
        <f t="shared" si="9"/>
        <v>0</v>
      </c>
      <c r="AO12" s="636">
        <f t="shared" si="10"/>
        <v>0</v>
      </c>
      <c r="AP12" s="637"/>
    </row>
    <row r="13" spans="1:42" s="5" customFormat="1" ht="12" thickBot="1">
      <c r="A13" s="553" t="str">
        <f>'1-συμβολαια'!A13</f>
        <v>3ο</v>
      </c>
      <c r="B13" s="506">
        <f>'1-συμβολαια'!B13</f>
        <v>30149</v>
      </c>
      <c r="C13" s="494" t="str">
        <f>'1-συμβολαια'!C13</f>
        <v>πληρεξούσιο</v>
      </c>
      <c r="D13" s="496">
        <f>'1-συμβολαια'!D13</f>
        <v>0</v>
      </c>
      <c r="E13" s="505">
        <f>'3-φύλλα2α'!E13</f>
        <v>3</v>
      </c>
      <c r="F13" s="505">
        <f>'3-φύλλα2α'!F13</f>
        <v>3</v>
      </c>
      <c r="G13" s="495">
        <v>1</v>
      </c>
      <c r="H13" s="495">
        <v>1</v>
      </c>
      <c r="I13" s="497">
        <f t="shared" si="12"/>
        <v>300</v>
      </c>
      <c r="J13" s="497">
        <f>H13*F13*100</f>
        <v>300</v>
      </c>
      <c r="K13" s="515">
        <f t="shared" si="1"/>
        <v>15</v>
      </c>
      <c r="L13" s="515">
        <f t="shared" si="2"/>
        <v>15</v>
      </c>
      <c r="M13" s="515">
        <f t="shared" si="3"/>
        <v>3</v>
      </c>
      <c r="N13" s="515">
        <f t="shared" si="4"/>
        <v>267</v>
      </c>
      <c r="O13" s="515">
        <f t="shared" si="5"/>
        <v>267</v>
      </c>
      <c r="P13" s="515">
        <f t="shared" si="6"/>
        <v>33</v>
      </c>
      <c r="Q13" s="515">
        <f t="shared" si="7"/>
        <v>33</v>
      </c>
      <c r="R13" s="642">
        <f t="shared" si="8"/>
        <v>0</v>
      </c>
      <c r="S13" s="641"/>
      <c r="T13" s="639"/>
      <c r="U13" s="641"/>
      <c r="V13" s="641"/>
      <c r="W13" s="639"/>
      <c r="X13" s="639"/>
      <c r="Y13" s="639"/>
      <c r="Z13" s="641"/>
      <c r="AA13" s="639"/>
      <c r="AB13" s="641"/>
      <c r="AC13" s="639"/>
      <c r="AD13" s="639"/>
      <c r="AE13" s="639"/>
      <c r="AF13" s="639"/>
      <c r="AG13" s="639"/>
      <c r="AH13" s="640"/>
      <c r="AI13" s="640"/>
      <c r="AJ13" s="640"/>
      <c r="AK13" s="639"/>
      <c r="AL13" s="639"/>
      <c r="AM13" s="639"/>
      <c r="AN13" s="641">
        <f t="shared" si="9"/>
        <v>0</v>
      </c>
      <c r="AO13" s="641">
        <f t="shared" si="10"/>
        <v>0</v>
      </c>
      <c r="AP13" s="639"/>
    </row>
    <row r="14" spans="1:42" s="5" customFormat="1">
      <c r="A14" s="554" t="str">
        <f>'1-συμβολαια'!A14</f>
        <v>4ο</v>
      </c>
      <c r="B14" s="304">
        <f>'1-συμβολαια'!B14</f>
        <v>30412</v>
      </c>
      <c r="C14" s="405" t="str">
        <f>'1-συμβολαια'!C14</f>
        <v>υποθήκη [έναντι του δανείου 375-29/07/1982τραπ</v>
      </c>
      <c r="D14" s="278">
        <f>'1-συμβολαια'!D14</f>
        <v>100000</v>
      </c>
      <c r="E14" s="451">
        <f>'3-φύλλα2α'!E14</f>
        <v>8</v>
      </c>
      <c r="F14" s="451">
        <f>'3-φύλλα2α'!F14</f>
        <v>8</v>
      </c>
      <c r="G14" s="262">
        <v>2</v>
      </c>
      <c r="H14" s="523"/>
      <c r="I14" s="261">
        <f t="shared" si="12"/>
        <v>1600</v>
      </c>
      <c r="J14" s="525">
        <f>H14*F14*100</f>
        <v>0</v>
      </c>
      <c r="K14" s="463">
        <f t="shared" si="1"/>
        <v>80</v>
      </c>
      <c r="L14" s="463">
        <f t="shared" si="2"/>
        <v>80</v>
      </c>
      <c r="M14" s="463">
        <f t="shared" si="3"/>
        <v>16</v>
      </c>
      <c r="N14" s="463">
        <f t="shared" si="4"/>
        <v>1424</v>
      </c>
      <c r="O14" s="463">
        <f t="shared" si="5"/>
        <v>0</v>
      </c>
      <c r="P14" s="463">
        <f t="shared" si="6"/>
        <v>176</v>
      </c>
      <c r="Q14" s="463">
        <f t="shared" si="7"/>
        <v>0</v>
      </c>
      <c r="R14" s="463">
        <f t="shared" si="8"/>
        <v>176</v>
      </c>
      <c r="S14" s="632">
        <f>10*150</f>
        <v>1500</v>
      </c>
      <c r="T14" s="631">
        <v>100</v>
      </c>
      <c r="U14" s="632">
        <v>800</v>
      </c>
      <c r="V14" s="632">
        <v>55</v>
      </c>
      <c r="W14" s="631"/>
      <c r="X14" s="631"/>
      <c r="Y14" s="631"/>
      <c r="Z14" s="632"/>
      <c r="AA14" s="631"/>
      <c r="AB14" s="632"/>
      <c r="AC14" s="631"/>
      <c r="AD14" s="631"/>
      <c r="AE14" s="631">
        <v>150</v>
      </c>
      <c r="AF14" s="631"/>
      <c r="AG14" s="631"/>
      <c r="AH14" s="633"/>
      <c r="AI14" s="633"/>
      <c r="AJ14" s="633"/>
      <c r="AK14" s="631"/>
      <c r="AL14" s="631"/>
      <c r="AM14" s="631"/>
      <c r="AN14" s="632">
        <f t="shared" si="9"/>
        <v>55</v>
      </c>
      <c r="AO14" s="632">
        <f t="shared" si="10"/>
        <v>2550</v>
      </c>
      <c r="AP14" s="631"/>
    </row>
    <row r="15" spans="1:42" s="5" customFormat="1">
      <c r="A15" s="546" t="str">
        <f>'1-συμβολαια'!A15</f>
        <v>389τραπ</v>
      </c>
      <c r="B15" s="413">
        <f>'1-συμβολαια'!B15</f>
        <v>30228</v>
      </c>
      <c r="C15" s="353" t="str">
        <f>'1-συμβολαια'!C15</f>
        <v>δάνειο</v>
      </c>
      <c r="D15" s="278">
        <f>'1-συμβολαια'!D15</f>
        <v>10000000</v>
      </c>
      <c r="E15" s="365">
        <f>'3-φύλλα2α'!E15</f>
        <v>8</v>
      </c>
      <c r="F15" s="365">
        <f>'3-φύλλα2α'!F15</f>
        <v>0</v>
      </c>
      <c r="G15" s="264"/>
      <c r="H15" s="264"/>
      <c r="I15" s="261">
        <f t="shared" si="12"/>
        <v>0</v>
      </c>
      <c r="J15" s="261">
        <f t="shared" ref="J15:J17" si="13">H15*F15*100</f>
        <v>0</v>
      </c>
      <c r="K15" s="366">
        <f t="shared" si="1"/>
        <v>0</v>
      </c>
      <c r="L15" s="366">
        <f t="shared" si="2"/>
        <v>0</v>
      </c>
      <c r="M15" s="366">
        <f t="shared" si="3"/>
        <v>0</v>
      </c>
      <c r="N15" s="366">
        <f t="shared" si="4"/>
        <v>0</v>
      </c>
      <c r="O15" s="366">
        <f t="shared" si="5"/>
        <v>0</v>
      </c>
      <c r="P15" s="366">
        <f t="shared" si="6"/>
        <v>0</v>
      </c>
      <c r="Q15" s="366">
        <f t="shared" si="7"/>
        <v>0</v>
      </c>
      <c r="R15" s="366">
        <f t="shared" si="8"/>
        <v>0</v>
      </c>
      <c r="S15" s="629"/>
      <c r="T15" s="630"/>
      <c r="U15" s="629"/>
      <c r="V15" s="629"/>
      <c r="W15" s="630"/>
      <c r="X15" s="630"/>
      <c r="Y15" s="630"/>
      <c r="Z15" s="629"/>
      <c r="AA15" s="630"/>
      <c r="AB15" s="629"/>
      <c r="AC15" s="630"/>
      <c r="AD15" s="630"/>
      <c r="AE15" s="630">
        <v>300</v>
      </c>
      <c r="AF15" s="630"/>
      <c r="AG15" s="631"/>
      <c r="AH15" s="633"/>
      <c r="AI15" s="633"/>
      <c r="AJ15" s="633"/>
      <c r="AK15" s="631"/>
      <c r="AL15" s="631"/>
      <c r="AM15" s="631"/>
      <c r="AN15" s="632">
        <f t="shared" si="9"/>
        <v>0</v>
      </c>
      <c r="AO15" s="632">
        <f t="shared" si="10"/>
        <v>300</v>
      </c>
      <c r="AP15" s="630"/>
    </row>
    <row r="16" spans="1:42" s="5" customFormat="1">
      <c r="A16" s="546">
        <f>'1-συμβολαια'!A16</f>
        <v>0</v>
      </c>
      <c r="B16" s="413"/>
      <c r="C16" s="353" t="str">
        <f>'1-συμβολαια'!C16</f>
        <v>υποθήκη δανείου</v>
      </c>
      <c r="D16" s="278">
        <f>'1-συμβολαια'!D16</f>
        <v>12222222</v>
      </c>
      <c r="E16" s="365">
        <f>'3-φύλλα2α'!E16</f>
        <v>8</v>
      </c>
      <c r="F16" s="365">
        <f>'3-φύλλα2α'!F16</f>
        <v>0</v>
      </c>
      <c r="G16" s="264"/>
      <c r="H16" s="264"/>
      <c r="I16" s="261">
        <f t="shared" si="12"/>
        <v>0</v>
      </c>
      <c r="J16" s="261">
        <f t="shared" si="13"/>
        <v>0</v>
      </c>
      <c r="K16" s="366">
        <f t="shared" si="1"/>
        <v>0</v>
      </c>
      <c r="L16" s="366">
        <f t="shared" si="2"/>
        <v>0</v>
      </c>
      <c r="M16" s="366">
        <f t="shared" si="3"/>
        <v>0</v>
      </c>
      <c r="N16" s="366">
        <f t="shared" si="4"/>
        <v>0</v>
      </c>
      <c r="O16" s="366">
        <f t="shared" si="5"/>
        <v>0</v>
      </c>
      <c r="P16" s="366">
        <f t="shared" si="6"/>
        <v>0</v>
      </c>
      <c r="Q16" s="366">
        <f t="shared" si="7"/>
        <v>0</v>
      </c>
      <c r="R16" s="366">
        <f t="shared" si="8"/>
        <v>0</v>
      </c>
      <c r="S16" s="629"/>
      <c r="T16" s="630"/>
      <c r="U16" s="629"/>
      <c r="V16" s="629"/>
      <c r="W16" s="630"/>
      <c r="X16" s="630"/>
      <c r="Y16" s="630"/>
      <c r="Z16" s="629"/>
      <c r="AA16" s="630"/>
      <c r="AB16" s="629"/>
      <c r="AC16" s="630"/>
      <c r="AD16" s="630"/>
      <c r="AE16" s="630"/>
      <c r="AF16" s="630"/>
      <c r="AG16" s="631"/>
      <c r="AH16" s="633"/>
      <c r="AI16" s="633"/>
      <c r="AJ16" s="633"/>
      <c r="AK16" s="631"/>
      <c r="AL16" s="631"/>
      <c r="AM16" s="631"/>
      <c r="AN16" s="632">
        <f t="shared" si="9"/>
        <v>0</v>
      </c>
      <c r="AO16" s="632">
        <f t="shared" si="10"/>
        <v>0</v>
      </c>
      <c r="AP16" s="630"/>
    </row>
    <row r="17" spans="1:42" s="5" customFormat="1" ht="12" thickBot="1">
      <c r="A17" s="555">
        <f>'1-συμβολαια'!A17</f>
        <v>0</v>
      </c>
      <c r="B17" s="341"/>
      <c r="C17" s="356" t="str">
        <f>'1-συμβολαια'!C17</f>
        <v>τόκοι δανείου</v>
      </c>
      <c r="D17" s="342">
        <f>'1-συμβολαια'!D17</f>
        <v>22222222</v>
      </c>
      <c r="E17" s="434">
        <f>'3-φύλλα2α'!E17</f>
        <v>8</v>
      </c>
      <c r="F17" s="434">
        <f>'3-φύλλα2α'!F17</f>
        <v>0</v>
      </c>
      <c r="G17" s="344"/>
      <c r="H17" s="344"/>
      <c r="I17" s="343">
        <f t="shared" si="12"/>
        <v>0</v>
      </c>
      <c r="J17" s="343">
        <f t="shared" si="13"/>
        <v>0</v>
      </c>
      <c r="K17" s="368">
        <f t="shared" si="1"/>
        <v>0</v>
      </c>
      <c r="L17" s="368">
        <f t="shared" si="2"/>
        <v>0</v>
      </c>
      <c r="M17" s="368">
        <f t="shared" si="3"/>
        <v>0</v>
      </c>
      <c r="N17" s="368">
        <f t="shared" si="4"/>
        <v>0</v>
      </c>
      <c r="O17" s="368">
        <f t="shared" si="5"/>
        <v>0</v>
      </c>
      <c r="P17" s="368">
        <f t="shared" si="6"/>
        <v>0</v>
      </c>
      <c r="Q17" s="368">
        <f t="shared" si="7"/>
        <v>0</v>
      </c>
      <c r="R17" s="343">
        <f t="shared" si="8"/>
        <v>0</v>
      </c>
      <c r="S17" s="636"/>
      <c r="T17" s="637"/>
      <c r="U17" s="636"/>
      <c r="V17" s="636"/>
      <c r="W17" s="637"/>
      <c r="X17" s="637"/>
      <c r="Y17" s="637"/>
      <c r="Z17" s="636"/>
      <c r="AA17" s="637"/>
      <c r="AB17" s="636"/>
      <c r="AC17" s="637"/>
      <c r="AD17" s="637"/>
      <c r="AE17" s="637"/>
      <c r="AF17" s="637"/>
      <c r="AG17" s="637"/>
      <c r="AH17" s="638"/>
      <c r="AI17" s="638"/>
      <c r="AJ17" s="638"/>
      <c r="AK17" s="637"/>
      <c r="AL17" s="637"/>
      <c r="AM17" s="637"/>
      <c r="AN17" s="636">
        <f t="shared" si="9"/>
        <v>0</v>
      </c>
      <c r="AO17" s="636">
        <f t="shared" si="10"/>
        <v>0</v>
      </c>
      <c r="AP17" s="637"/>
    </row>
    <row r="18" spans="1:42" s="5" customFormat="1">
      <c r="A18" s="550" t="str">
        <f>'1-συμβολαια'!A18</f>
        <v>5ο</v>
      </c>
      <c r="B18" s="304">
        <f>'1-συμβολαια'!B18</f>
        <v>32394</v>
      </c>
      <c r="C18" s="405" t="str">
        <f>'1-συμβολαια'!C18</f>
        <v>μίσθωσις νταμάρι  Παναγία -'';;;???'' 29στρ 3έτη [1000/έτος/στρ</v>
      </c>
      <c r="D18" s="278">
        <f>'1-συμβολαια'!D18</f>
        <v>696000</v>
      </c>
      <c r="E18" s="451">
        <f>'3-φύλλα2α'!E18</f>
        <v>13</v>
      </c>
      <c r="F18" s="451">
        <f>'3-φύλλα2α'!F18</f>
        <v>13</v>
      </c>
      <c r="G18" s="262">
        <v>2</v>
      </c>
      <c r="H18" s="523"/>
      <c r="I18" s="261">
        <f>G18*E18*300</f>
        <v>7800</v>
      </c>
      <c r="J18" s="525">
        <f>H18*F18*300</f>
        <v>0</v>
      </c>
      <c r="K18" s="463">
        <f t="shared" si="1"/>
        <v>390</v>
      </c>
      <c r="L18" s="463">
        <f t="shared" si="2"/>
        <v>390</v>
      </c>
      <c r="M18" s="463">
        <f t="shared" si="3"/>
        <v>78</v>
      </c>
      <c r="N18" s="463">
        <f t="shared" si="4"/>
        <v>6942</v>
      </c>
      <c r="O18" s="463">
        <f t="shared" si="5"/>
        <v>0</v>
      </c>
      <c r="P18" s="463">
        <f t="shared" si="6"/>
        <v>858</v>
      </c>
      <c r="Q18" s="463">
        <f t="shared" si="7"/>
        <v>0</v>
      </c>
      <c r="R18" s="463">
        <f t="shared" si="8"/>
        <v>858</v>
      </c>
      <c r="S18" s="632"/>
      <c r="T18" s="631"/>
      <c r="U18" s="632"/>
      <c r="V18" s="632"/>
      <c r="W18" s="631"/>
      <c r="X18" s="631"/>
      <c r="Y18" s="631"/>
      <c r="Z18" s="632"/>
      <c r="AA18" s="631">
        <v>3900</v>
      </c>
      <c r="AB18" s="632">
        <v>66</v>
      </c>
      <c r="AC18" s="631"/>
      <c r="AD18" s="631"/>
      <c r="AE18" s="631"/>
      <c r="AF18" s="631"/>
      <c r="AG18" s="631"/>
      <c r="AH18" s="633"/>
      <c r="AI18" s="633"/>
      <c r="AJ18" s="633"/>
      <c r="AK18" s="631"/>
      <c r="AL18" s="631"/>
      <c r="AM18" s="631"/>
      <c r="AN18" s="632">
        <f t="shared" si="9"/>
        <v>66</v>
      </c>
      <c r="AO18" s="632">
        <f t="shared" si="10"/>
        <v>3900</v>
      </c>
      <c r="AP18" s="631"/>
    </row>
    <row r="19" spans="1:42" s="5" customFormat="1">
      <c r="A19" s="551">
        <f>'1-συμβολαια'!A19</f>
        <v>0</v>
      </c>
      <c r="B19" s="413"/>
      <c r="C19" s="353" t="str">
        <f>'1-συμβολαια'!C19</f>
        <v>μίσθωση … ΚΤΙΡΙΑΚΑ &amp; τεχνικές εγκαταστάσεις &amp; ΚΛΠ</v>
      </c>
      <c r="D19" s="278">
        <f>'1-συμβολαια'!D19</f>
        <v>10000000</v>
      </c>
      <c r="E19" s="365">
        <f>'3-φύλλα2α'!E19</f>
        <v>13</v>
      </c>
      <c r="F19" s="365">
        <f>'3-φύλλα2α'!F19</f>
        <v>0</v>
      </c>
      <c r="G19" s="264"/>
      <c r="H19" s="264"/>
      <c r="I19" s="261">
        <f t="shared" ref="I19:I21" si="14">G19*E19*300</f>
        <v>0</v>
      </c>
      <c r="J19" s="261">
        <f t="shared" ref="J19:J24" si="15">H19*F19*300</f>
        <v>0</v>
      </c>
      <c r="K19" s="366">
        <f t="shared" ref="K19:K22" si="16">I19*5%</f>
        <v>0</v>
      </c>
      <c r="L19" s="366">
        <f t="shared" ref="L19:L22" si="17">I19*5%</f>
        <v>0</v>
      </c>
      <c r="M19" s="366">
        <f t="shared" ref="M19:M22" si="18">I19*1%</f>
        <v>0</v>
      </c>
      <c r="N19" s="366">
        <f t="shared" ref="N19:N22" si="19">I19-P19</f>
        <v>0</v>
      </c>
      <c r="O19" s="366">
        <f t="shared" ref="O19:O22" si="20">J19-Q19</f>
        <v>0</v>
      </c>
      <c r="P19" s="366">
        <f t="shared" ref="P19:P22" si="21">K19+L19+M19</f>
        <v>0</v>
      </c>
      <c r="Q19" s="366">
        <f t="shared" ref="Q19:Q22" si="22">J19*11%</f>
        <v>0</v>
      </c>
      <c r="R19" s="366">
        <f t="shared" ref="R19:R22" si="23">P19-Q19</f>
        <v>0</v>
      </c>
      <c r="S19" s="629"/>
      <c r="T19" s="630"/>
      <c r="U19" s="629"/>
      <c r="V19" s="629"/>
      <c r="W19" s="630"/>
      <c r="X19" s="630"/>
      <c r="Y19" s="630"/>
      <c r="Z19" s="629"/>
      <c r="AA19" s="630"/>
      <c r="AB19" s="629"/>
      <c r="AC19" s="630"/>
      <c r="AD19" s="630"/>
      <c r="AE19" s="630"/>
      <c r="AF19" s="630"/>
      <c r="AG19" s="631"/>
      <c r="AH19" s="633"/>
      <c r="AI19" s="633"/>
      <c r="AJ19" s="633"/>
      <c r="AK19" s="631"/>
      <c r="AL19" s="631"/>
      <c r="AM19" s="631"/>
      <c r="AN19" s="632">
        <f t="shared" ref="AN19:AN22" si="24">V19+Z19+AB19+AJ19+AL19</f>
        <v>0</v>
      </c>
      <c r="AO19" s="632">
        <f t="shared" ref="AO19:AO22" si="25">S19+T19+U19+W19+X19+Y19+AA19+AC19+AD19+AE19+AF19++AG19+AH19+AI19+AK19</f>
        <v>0</v>
      </c>
      <c r="AP19" s="630"/>
    </row>
    <row r="20" spans="1:42" s="5" customFormat="1">
      <c r="A20" s="551">
        <f>'1-συμβολαια'!A20</f>
        <v>0</v>
      </c>
      <c r="B20" s="413"/>
      <c r="C20" s="353" t="str">
        <f>'1-συμβολαια'!C20</f>
        <v>μίσθωση … ΕΡΕΥΝΗΤΙΚΕΣ εργασίες</v>
      </c>
      <c r="D20" s="278">
        <f>'1-συμβολαια'!D20</f>
        <v>3333333</v>
      </c>
      <c r="E20" s="365">
        <f>'3-φύλλα2α'!E20</f>
        <v>13</v>
      </c>
      <c r="F20" s="365">
        <f>'3-φύλλα2α'!F20</f>
        <v>0</v>
      </c>
      <c r="G20" s="264"/>
      <c r="H20" s="264"/>
      <c r="I20" s="261">
        <f t="shared" si="14"/>
        <v>0</v>
      </c>
      <c r="J20" s="261">
        <f t="shared" si="15"/>
        <v>0</v>
      </c>
      <c r="K20" s="366">
        <f t="shared" si="16"/>
        <v>0</v>
      </c>
      <c r="L20" s="366">
        <f t="shared" si="17"/>
        <v>0</v>
      </c>
      <c r="M20" s="366">
        <f t="shared" si="18"/>
        <v>0</v>
      </c>
      <c r="N20" s="366">
        <f t="shared" si="19"/>
        <v>0</v>
      </c>
      <c r="O20" s="366">
        <f t="shared" si="20"/>
        <v>0</v>
      </c>
      <c r="P20" s="366">
        <f t="shared" si="21"/>
        <v>0</v>
      </c>
      <c r="Q20" s="366">
        <f t="shared" si="22"/>
        <v>0</v>
      </c>
      <c r="R20" s="366">
        <f t="shared" si="23"/>
        <v>0</v>
      </c>
      <c r="S20" s="629"/>
      <c r="T20" s="630"/>
      <c r="U20" s="629"/>
      <c r="V20" s="629"/>
      <c r="W20" s="630"/>
      <c r="X20" s="630"/>
      <c r="Y20" s="630"/>
      <c r="Z20" s="629"/>
      <c r="AA20" s="630"/>
      <c r="AB20" s="629"/>
      <c r="AC20" s="630"/>
      <c r="AD20" s="630"/>
      <c r="AE20" s="630"/>
      <c r="AF20" s="630"/>
      <c r="AG20" s="631"/>
      <c r="AH20" s="633"/>
      <c r="AI20" s="633"/>
      <c r="AJ20" s="633"/>
      <c r="AK20" s="631"/>
      <c r="AL20" s="631"/>
      <c r="AM20" s="631"/>
      <c r="AN20" s="632">
        <f t="shared" si="24"/>
        <v>0</v>
      </c>
      <c r="AO20" s="632">
        <f t="shared" si="25"/>
        <v>0</v>
      </c>
      <c r="AP20" s="630"/>
    </row>
    <row r="21" spans="1:42" s="5" customFormat="1" ht="12" thickBot="1">
      <c r="A21" s="552">
        <f>'1-συμβολαια'!A21</f>
        <v>0</v>
      </c>
      <c r="B21" s="341"/>
      <c r="C21" s="356" t="str">
        <f>'1-συμβολαια'!C21</f>
        <v>μίσθωση ….. κόστος έργων αποκατάστασης</v>
      </c>
      <c r="D21" s="342">
        <f>'1-συμβολαια'!D21</f>
        <v>6000000</v>
      </c>
      <c r="E21" s="434">
        <f>'3-φύλλα2α'!E21</f>
        <v>13</v>
      </c>
      <c r="F21" s="434">
        <f>'3-φύλλα2α'!F21</f>
        <v>0</v>
      </c>
      <c r="G21" s="344"/>
      <c r="H21" s="344"/>
      <c r="I21" s="343">
        <f t="shared" si="14"/>
        <v>0</v>
      </c>
      <c r="J21" s="343">
        <f t="shared" si="15"/>
        <v>0</v>
      </c>
      <c r="K21" s="368">
        <f t="shared" si="16"/>
        <v>0</v>
      </c>
      <c r="L21" s="368">
        <f t="shared" si="17"/>
        <v>0</v>
      </c>
      <c r="M21" s="368">
        <f t="shared" si="18"/>
        <v>0</v>
      </c>
      <c r="N21" s="368">
        <f t="shared" si="19"/>
        <v>0</v>
      </c>
      <c r="O21" s="368">
        <f t="shared" si="20"/>
        <v>0</v>
      </c>
      <c r="P21" s="368">
        <f t="shared" si="21"/>
        <v>0</v>
      </c>
      <c r="Q21" s="368">
        <f t="shared" si="22"/>
        <v>0</v>
      </c>
      <c r="R21" s="343">
        <f t="shared" si="23"/>
        <v>0</v>
      </c>
      <c r="S21" s="636"/>
      <c r="T21" s="637"/>
      <c r="U21" s="636"/>
      <c r="V21" s="636"/>
      <c r="W21" s="637"/>
      <c r="X21" s="637"/>
      <c r="Y21" s="637"/>
      <c r="Z21" s="636"/>
      <c r="AA21" s="637"/>
      <c r="AB21" s="636"/>
      <c r="AC21" s="637"/>
      <c r="AD21" s="637"/>
      <c r="AE21" s="637"/>
      <c r="AF21" s="637"/>
      <c r="AG21" s="637"/>
      <c r="AH21" s="638"/>
      <c r="AI21" s="638"/>
      <c r="AJ21" s="638"/>
      <c r="AK21" s="637"/>
      <c r="AL21" s="637"/>
      <c r="AM21" s="637"/>
      <c r="AN21" s="636">
        <f t="shared" si="24"/>
        <v>0</v>
      </c>
      <c r="AO21" s="636">
        <f t="shared" si="25"/>
        <v>0</v>
      </c>
      <c r="AP21" s="637"/>
    </row>
    <row r="22" spans="1:42" s="5" customFormat="1">
      <c r="A22" s="554" t="str">
        <f>'1-συμβολαια'!A22</f>
        <v>6ο</v>
      </c>
      <c r="B22" s="304">
        <f>'1-συμβολαια'!B22</f>
        <v>33008</v>
      </c>
      <c r="C22" s="405" t="str">
        <f>'1-συμβολαια'!C22</f>
        <v>;;;???ΑΕ σύσταση από ΜΕΤΑΤΡΟΠΗ ατομικής [= 40.000.000δρχ</v>
      </c>
      <c r="D22" s="278">
        <f>'1-συμβολαια'!D22</f>
        <v>0</v>
      </c>
      <c r="E22" s="451">
        <f>'3-φύλλα2α'!E22</f>
        <v>32</v>
      </c>
      <c r="F22" s="451">
        <f>'3-φύλλα2α'!F22</f>
        <v>32</v>
      </c>
      <c r="G22" s="262">
        <v>1</v>
      </c>
      <c r="H22" s="523"/>
      <c r="I22" s="261">
        <f>10*300+22*250</f>
        <v>8500</v>
      </c>
      <c r="J22" s="525">
        <f t="shared" si="15"/>
        <v>0</v>
      </c>
      <c r="K22" s="463">
        <f t="shared" si="16"/>
        <v>425</v>
      </c>
      <c r="L22" s="463">
        <f t="shared" si="17"/>
        <v>425</v>
      </c>
      <c r="M22" s="463">
        <f t="shared" si="18"/>
        <v>85</v>
      </c>
      <c r="N22" s="463">
        <f t="shared" si="19"/>
        <v>7565</v>
      </c>
      <c r="O22" s="463">
        <f t="shared" si="20"/>
        <v>0</v>
      </c>
      <c r="P22" s="463">
        <f t="shared" si="21"/>
        <v>935</v>
      </c>
      <c r="Q22" s="463">
        <f t="shared" si="22"/>
        <v>0</v>
      </c>
      <c r="R22" s="463">
        <f t="shared" si="23"/>
        <v>935</v>
      </c>
      <c r="S22" s="632">
        <f>6*150</f>
        <v>900</v>
      </c>
      <c r="T22" s="631">
        <v>50</v>
      </c>
      <c r="U22" s="632">
        <v>8500</v>
      </c>
      <c r="V22" s="632">
        <v>77</v>
      </c>
      <c r="W22" s="632">
        <v>8500</v>
      </c>
      <c r="X22" s="632">
        <v>77</v>
      </c>
      <c r="Y22" s="631"/>
      <c r="Z22" s="632"/>
      <c r="AA22" s="631"/>
      <c r="AB22" s="632"/>
      <c r="AC22" s="631"/>
      <c r="AD22" s="631"/>
      <c r="AE22" s="631">
        <v>150</v>
      </c>
      <c r="AF22" s="631">
        <v>300</v>
      </c>
      <c r="AG22" s="631">
        <v>154</v>
      </c>
      <c r="AH22" s="633"/>
      <c r="AI22" s="633"/>
      <c r="AJ22" s="633"/>
      <c r="AK22" s="631"/>
      <c r="AL22" s="631"/>
      <c r="AM22" s="631"/>
      <c r="AN22" s="632">
        <f t="shared" si="24"/>
        <v>77</v>
      </c>
      <c r="AO22" s="632">
        <f t="shared" si="25"/>
        <v>18631</v>
      </c>
      <c r="AP22" s="631"/>
    </row>
    <row r="23" spans="1:42" s="5" customFormat="1" ht="12" thickBot="1">
      <c r="A23" s="555">
        <f>'1-συμβολαια'!A23</f>
        <v>0</v>
      </c>
      <c r="B23" s="341"/>
      <c r="C23" s="356" t="str">
        <f>'1-συμβολαια'!C23</f>
        <v>πληρεξουσιότητα</v>
      </c>
      <c r="D23" s="342">
        <f>'1-συμβολαια'!D23</f>
        <v>0</v>
      </c>
      <c r="E23" s="434">
        <f>'3-φύλλα2α'!E23</f>
        <v>32</v>
      </c>
      <c r="F23" s="434">
        <f>'3-φύλλα2α'!F23</f>
        <v>0</v>
      </c>
      <c r="G23" s="344"/>
      <c r="H23" s="344"/>
      <c r="I23" s="343">
        <f>10*300+22*250</f>
        <v>8500</v>
      </c>
      <c r="J23" s="343">
        <f t="shared" ref="J23:J37" si="26">H23*F23*300</f>
        <v>0</v>
      </c>
      <c r="K23" s="368">
        <f t="shared" ref="K23:K37" si="27">I23*5%</f>
        <v>425</v>
      </c>
      <c r="L23" s="368">
        <f t="shared" ref="L23:L37" si="28">I23*5%</f>
        <v>425</v>
      </c>
      <c r="M23" s="368">
        <f t="shared" ref="M23:M37" si="29">I23*1%</f>
        <v>85</v>
      </c>
      <c r="N23" s="368">
        <f t="shared" ref="N23:N37" si="30">I23-P23</f>
        <v>7565</v>
      </c>
      <c r="O23" s="368">
        <f t="shared" ref="O23:O37" si="31">J23-Q23</f>
        <v>0</v>
      </c>
      <c r="P23" s="368">
        <f t="shared" ref="P23:P37" si="32">K23+L23+M23</f>
        <v>935</v>
      </c>
      <c r="Q23" s="368">
        <f t="shared" ref="Q23:Q37" si="33">J23*11%</f>
        <v>0</v>
      </c>
      <c r="R23" s="343">
        <f t="shared" ref="R23:R37" si="34">P23-Q23</f>
        <v>935</v>
      </c>
      <c r="S23" s="636"/>
      <c r="T23" s="637"/>
      <c r="U23" s="636"/>
      <c r="V23" s="636"/>
      <c r="W23" s="637"/>
      <c r="X23" s="637"/>
      <c r="Y23" s="637"/>
      <c r="Z23" s="636"/>
      <c r="AA23" s="637"/>
      <c r="AB23" s="636"/>
      <c r="AC23" s="637"/>
      <c r="AD23" s="637"/>
      <c r="AE23" s="637"/>
      <c r="AF23" s="637"/>
      <c r="AG23" s="637"/>
      <c r="AH23" s="638"/>
      <c r="AI23" s="638"/>
      <c r="AJ23" s="638"/>
      <c r="AK23" s="637"/>
      <c r="AL23" s="637"/>
      <c r="AM23" s="637"/>
      <c r="AN23" s="636">
        <f t="shared" ref="AN23:AN37" si="35">V23+Z23+AB23+AJ23+AL23</f>
        <v>0</v>
      </c>
      <c r="AO23" s="636">
        <f t="shared" ref="AO23:AO37" si="36">S23+T23+U23+W23+X23+Y23+AA23+AC23+AD23+AE23+AF23++AG23+AH23+AI23+AK23</f>
        <v>0</v>
      </c>
      <c r="AP23" s="637"/>
    </row>
    <row r="24" spans="1:42" s="5" customFormat="1">
      <c r="A24" s="550" t="str">
        <f>'1-συμβολαια'!A24</f>
        <v>7ο</v>
      </c>
      <c r="B24" s="304">
        <f>'1-συμβολαια'!B24</f>
        <v>33401</v>
      </c>
      <c r="C24" s="405" t="str">
        <f>'1-συμβολαια'!C24</f>
        <v>;;;??? υποθήκης ΕΞΑΛΕΙΨΗ</v>
      </c>
      <c r="D24" s="278">
        <f>'1-συμβολαια'!D24</f>
        <v>0</v>
      </c>
      <c r="E24" s="451">
        <f>'3-φύλλα2α'!E24</f>
        <v>2</v>
      </c>
      <c r="F24" s="451">
        <f>'3-φύλλα2α'!F24</f>
        <v>2</v>
      </c>
      <c r="G24" s="262">
        <v>1</v>
      </c>
      <c r="H24" s="523"/>
      <c r="I24" s="261">
        <f t="shared" ref="I24:I36" si="37">G24*E24*300</f>
        <v>600</v>
      </c>
      <c r="J24" s="525">
        <f t="shared" si="15"/>
        <v>0</v>
      </c>
      <c r="K24" s="463">
        <f t="shared" si="27"/>
        <v>30</v>
      </c>
      <c r="L24" s="463">
        <f t="shared" si="28"/>
        <v>30</v>
      </c>
      <c r="M24" s="463">
        <f t="shared" si="29"/>
        <v>6</v>
      </c>
      <c r="N24" s="463">
        <f t="shared" si="30"/>
        <v>534</v>
      </c>
      <c r="O24" s="463">
        <f t="shared" si="31"/>
        <v>0</v>
      </c>
      <c r="P24" s="463">
        <f t="shared" si="32"/>
        <v>66</v>
      </c>
      <c r="Q24" s="463">
        <f t="shared" si="33"/>
        <v>0</v>
      </c>
      <c r="R24" s="463">
        <f t="shared" si="34"/>
        <v>66</v>
      </c>
      <c r="S24" s="632">
        <f>4*150+800</f>
        <v>1400</v>
      </c>
      <c r="T24" s="631">
        <v>150</v>
      </c>
      <c r="U24" s="632">
        <v>600</v>
      </c>
      <c r="V24" s="632">
        <v>77</v>
      </c>
      <c r="W24" s="631"/>
      <c r="X24" s="631"/>
      <c r="Y24" s="631"/>
      <c r="Z24" s="632"/>
      <c r="AA24" s="631"/>
      <c r="AB24" s="632"/>
      <c r="AC24" s="631"/>
      <c r="AD24" s="631"/>
      <c r="AE24" s="631">
        <v>450</v>
      </c>
      <c r="AF24" s="631"/>
      <c r="AG24" s="631"/>
      <c r="AH24" s="633"/>
      <c r="AI24" s="633"/>
      <c r="AJ24" s="633"/>
      <c r="AK24" s="631"/>
      <c r="AL24" s="631"/>
      <c r="AM24" s="631"/>
      <c r="AN24" s="632">
        <f t="shared" si="35"/>
        <v>77</v>
      </c>
      <c r="AO24" s="632">
        <f t="shared" si="36"/>
        <v>2600</v>
      </c>
      <c r="AP24" s="631"/>
    </row>
    <row r="25" spans="1:42" s="5" customFormat="1">
      <c r="A25" s="550">
        <f>'1-συμβολαια'!A25</f>
        <v>0</v>
      </c>
      <c r="B25" s="413"/>
      <c r="C25" s="405" t="str">
        <f>'1-συμβολαια'!C25</f>
        <v>υποθήκης 375τραπ29/7/82 ΕΞΑΛΕΙΨΗ</v>
      </c>
      <c r="D25" s="278">
        <f>'1-συμβολαια'!D25</f>
        <v>0</v>
      </c>
      <c r="E25" s="451">
        <f>'3-φύλλα2α'!E25</f>
        <v>2</v>
      </c>
      <c r="F25" s="451">
        <f>'3-φύλλα2α'!F25</f>
        <v>0</v>
      </c>
      <c r="G25" s="262"/>
      <c r="H25" s="262"/>
      <c r="I25" s="261">
        <f t="shared" si="37"/>
        <v>0</v>
      </c>
      <c r="J25" s="261">
        <f t="shared" si="26"/>
        <v>0</v>
      </c>
      <c r="K25" s="463">
        <f t="shared" si="27"/>
        <v>0</v>
      </c>
      <c r="L25" s="463">
        <f t="shared" si="28"/>
        <v>0</v>
      </c>
      <c r="M25" s="463">
        <f t="shared" si="29"/>
        <v>0</v>
      </c>
      <c r="N25" s="463">
        <f t="shared" si="30"/>
        <v>0</v>
      </c>
      <c r="O25" s="463">
        <f t="shared" si="31"/>
        <v>0</v>
      </c>
      <c r="P25" s="463">
        <f t="shared" si="32"/>
        <v>0</v>
      </c>
      <c r="Q25" s="463">
        <f t="shared" si="33"/>
        <v>0</v>
      </c>
      <c r="R25" s="463">
        <f t="shared" si="34"/>
        <v>0</v>
      </c>
      <c r="S25" s="629"/>
      <c r="T25" s="630"/>
      <c r="U25" s="629"/>
      <c r="V25" s="629"/>
      <c r="W25" s="630"/>
      <c r="X25" s="630"/>
      <c r="Y25" s="630"/>
      <c r="Z25" s="629"/>
      <c r="AA25" s="630"/>
      <c r="AB25" s="629"/>
      <c r="AC25" s="630"/>
      <c r="AD25" s="630"/>
      <c r="AE25" s="630"/>
      <c r="AF25" s="630"/>
      <c r="AG25" s="631"/>
      <c r="AH25" s="633"/>
      <c r="AI25" s="633"/>
      <c r="AJ25" s="633"/>
      <c r="AK25" s="631"/>
      <c r="AL25" s="631"/>
      <c r="AM25" s="631"/>
      <c r="AN25" s="632">
        <f t="shared" si="35"/>
        <v>0</v>
      </c>
      <c r="AO25" s="632">
        <f t="shared" si="36"/>
        <v>0</v>
      </c>
      <c r="AP25" s="630"/>
    </row>
    <row r="26" spans="1:42" s="5" customFormat="1">
      <c r="A26" s="550">
        <f>'1-συμβολαια'!A26</f>
        <v>0</v>
      </c>
      <c r="B26" s="413"/>
      <c r="C26" s="405" t="str">
        <f>'1-συμβολαια'!C26</f>
        <v>δάνειο 375τραπ 9/7/82 ΕΞΟΦΛΗΣΗ</v>
      </c>
      <c r="D26" s="278">
        <f>'1-συμβολαια'!D26</f>
        <v>0</v>
      </c>
      <c r="E26" s="451">
        <f>'3-φύλλα2α'!E26</f>
        <v>2</v>
      </c>
      <c r="F26" s="451">
        <f>'3-φύλλα2α'!F26</f>
        <v>0</v>
      </c>
      <c r="G26" s="262"/>
      <c r="H26" s="262"/>
      <c r="I26" s="261">
        <f t="shared" si="37"/>
        <v>0</v>
      </c>
      <c r="J26" s="261">
        <f t="shared" si="26"/>
        <v>0</v>
      </c>
      <c r="K26" s="463">
        <f t="shared" si="27"/>
        <v>0</v>
      </c>
      <c r="L26" s="463">
        <f t="shared" si="28"/>
        <v>0</v>
      </c>
      <c r="M26" s="463">
        <f t="shared" si="29"/>
        <v>0</v>
      </c>
      <c r="N26" s="463">
        <f t="shared" si="30"/>
        <v>0</v>
      </c>
      <c r="O26" s="463">
        <f t="shared" si="31"/>
        <v>0</v>
      </c>
      <c r="P26" s="463">
        <f t="shared" si="32"/>
        <v>0</v>
      </c>
      <c r="Q26" s="463">
        <f t="shared" si="33"/>
        <v>0</v>
      </c>
      <c r="R26" s="463">
        <f t="shared" si="34"/>
        <v>0</v>
      </c>
      <c r="S26" s="629"/>
      <c r="T26" s="630"/>
      <c r="U26" s="629"/>
      <c r="V26" s="629"/>
      <c r="W26" s="630"/>
      <c r="X26" s="630"/>
      <c r="Y26" s="630"/>
      <c r="Z26" s="629"/>
      <c r="AA26" s="630"/>
      <c r="AB26" s="629"/>
      <c r="AC26" s="630"/>
      <c r="AD26" s="630"/>
      <c r="AE26" s="630"/>
      <c r="AF26" s="630"/>
      <c r="AG26" s="631"/>
      <c r="AH26" s="633"/>
      <c r="AI26" s="633"/>
      <c r="AJ26" s="633"/>
      <c r="AK26" s="631"/>
      <c r="AL26" s="631"/>
      <c r="AM26" s="631"/>
      <c r="AN26" s="632">
        <f t="shared" si="35"/>
        <v>0</v>
      </c>
      <c r="AO26" s="632">
        <f t="shared" si="36"/>
        <v>0</v>
      </c>
      <c r="AP26" s="630"/>
    </row>
    <row r="27" spans="1:42" s="5" customFormat="1">
      <c r="A27" s="550">
        <f>'1-συμβολαια'!A27</f>
        <v>0</v>
      </c>
      <c r="B27" s="413"/>
      <c r="C27" s="405" t="str">
        <f>'1-συμβολαια'!C27</f>
        <v>τόκοι δανείου 375τραπ {= προπληρωθέντες VS υπερΠληρωθέντες</v>
      </c>
      <c r="D27" s="278">
        <f>'1-συμβολαια'!D27</f>
        <v>1111111</v>
      </c>
      <c r="E27" s="451">
        <f>'3-φύλλα2α'!E27</f>
        <v>2</v>
      </c>
      <c r="F27" s="451">
        <f>'3-φύλλα2α'!F27</f>
        <v>0</v>
      </c>
      <c r="G27" s="262"/>
      <c r="H27" s="262"/>
      <c r="I27" s="261">
        <f t="shared" si="37"/>
        <v>0</v>
      </c>
      <c r="J27" s="261">
        <f t="shared" si="26"/>
        <v>0</v>
      </c>
      <c r="K27" s="463">
        <f t="shared" si="27"/>
        <v>0</v>
      </c>
      <c r="L27" s="463">
        <f t="shared" si="28"/>
        <v>0</v>
      </c>
      <c r="M27" s="463">
        <f t="shared" si="29"/>
        <v>0</v>
      </c>
      <c r="N27" s="463">
        <f t="shared" si="30"/>
        <v>0</v>
      </c>
      <c r="O27" s="463">
        <f t="shared" si="31"/>
        <v>0</v>
      </c>
      <c r="P27" s="463">
        <f t="shared" si="32"/>
        <v>0</v>
      </c>
      <c r="Q27" s="463">
        <f t="shared" si="33"/>
        <v>0</v>
      </c>
      <c r="R27" s="463">
        <f t="shared" si="34"/>
        <v>0</v>
      </c>
      <c r="S27" s="629"/>
      <c r="T27" s="630"/>
      <c r="U27" s="629"/>
      <c r="V27" s="629"/>
      <c r="W27" s="630"/>
      <c r="X27" s="630"/>
      <c r="Y27" s="630"/>
      <c r="Z27" s="629"/>
      <c r="AA27" s="630"/>
      <c r="AB27" s="629"/>
      <c r="AC27" s="630"/>
      <c r="AD27" s="630"/>
      <c r="AE27" s="630"/>
      <c r="AF27" s="630"/>
      <c r="AG27" s="631"/>
      <c r="AH27" s="633"/>
      <c r="AI27" s="633"/>
      <c r="AJ27" s="633"/>
      <c r="AK27" s="631"/>
      <c r="AL27" s="631"/>
      <c r="AM27" s="631"/>
      <c r="AN27" s="632">
        <f t="shared" si="35"/>
        <v>0</v>
      </c>
      <c r="AO27" s="632">
        <f t="shared" si="36"/>
        <v>0</v>
      </c>
      <c r="AP27" s="630"/>
    </row>
    <row r="28" spans="1:42" s="5" customFormat="1">
      <c r="A28" s="550">
        <f>'1-συμβολαια'!A28</f>
        <v>0</v>
      </c>
      <c r="B28" s="413"/>
      <c r="C28" s="405" t="str">
        <f>'1-συμβολαια'!C28</f>
        <v>υποθήκης 389τραπ29/7/82 ΕΞΑΛΕΙΨΗ</v>
      </c>
      <c r="D28" s="278">
        <f>'1-συμβολαια'!D28</f>
        <v>0</v>
      </c>
      <c r="E28" s="451">
        <f>'3-φύλλα2α'!E28</f>
        <v>2</v>
      </c>
      <c r="F28" s="451">
        <f>'3-φύλλα2α'!F28</f>
        <v>0</v>
      </c>
      <c r="G28" s="262"/>
      <c r="H28" s="262"/>
      <c r="I28" s="261">
        <f t="shared" si="37"/>
        <v>0</v>
      </c>
      <c r="J28" s="261">
        <f t="shared" si="26"/>
        <v>0</v>
      </c>
      <c r="K28" s="463">
        <f t="shared" si="27"/>
        <v>0</v>
      </c>
      <c r="L28" s="463">
        <f t="shared" si="28"/>
        <v>0</v>
      </c>
      <c r="M28" s="463">
        <f t="shared" si="29"/>
        <v>0</v>
      </c>
      <c r="N28" s="463">
        <f t="shared" si="30"/>
        <v>0</v>
      </c>
      <c r="O28" s="463">
        <f t="shared" si="31"/>
        <v>0</v>
      </c>
      <c r="P28" s="463">
        <f t="shared" si="32"/>
        <v>0</v>
      </c>
      <c r="Q28" s="463">
        <f t="shared" si="33"/>
        <v>0</v>
      </c>
      <c r="R28" s="463">
        <f t="shared" si="34"/>
        <v>0</v>
      </c>
      <c r="S28" s="629"/>
      <c r="T28" s="630"/>
      <c r="U28" s="629"/>
      <c r="V28" s="629"/>
      <c r="W28" s="630"/>
      <c r="X28" s="630"/>
      <c r="Y28" s="630"/>
      <c r="Z28" s="629"/>
      <c r="AA28" s="630"/>
      <c r="AB28" s="629"/>
      <c r="AC28" s="630"/>
      <c r="AD28" s="630"/>
      <c r="AE28" s="630"/>
      <c r="AF28" s="630"/>
      <c r="AG28" s="631"/>
      <c r="AH28" s="633"/>
      <c r="AI28" s="633"/>
      <c r="AJ28" s="633"/>
      <c r="AK28" s="631"/>
      <c r="AL28" s="631"/>
      <c r="AM28" s="631"/>
      <c r="AN28" s="632">
        <f t="shared" si="35"/>
        <v>0</v>
      </c>
      <c r="AO28" s="632">
        <f t="shared" si="36"/>
        <v>0</v>
      </c>
      <c r="AP28" s="630"/>
    </row>
    <row r="29" spans="1:42" s="5" customFormat="1">
      <c r="A29" s="550">
        <f>'1-συμβολαια'!A29</f>
        <v>0</v>
      </c>
      <c r="B29" s="413"/>
      <c r="C29" s="405" t="str">
        <f>'1-συμβολαια'!C29</f>
        <v>δάνειο 389τραπ29/7/82 ΕΞΟΦΛΗΣΗ</v>
      </c>
      <c r="D29" s="278">
        <f>'1-συμβολαια'!D29</f>
        <v>0</v>
      </c>
      <c r="E29" s="451">
        <f>'3-φύλλα2α'!E29</f>
        <v>2</v>
      </c>
      <c r="F29" s="451">
        <f>'3-φύλλα2α'!F29</f>
        <v>0</v>
      </c>
      <c r="G29" s="262"/>
      <c r="H29" s="262"/>
      <c r="I29" s="261">
        <f t="shared" si="37"/>
        <v>0</v>
      </c>
      <c r="J29" s="261">
        <f t="shared" si="26"/>
        <v>0</v>
      </c>
      <c r="K29" s="463">
        <f t="shared" si="27"/>
        <v>0</v>
      </c>
      <c r="L29" s="463">
        <f t="shared" si="28"/>
        <v>0</v>
      </c>
      <c r="M29" s="463">
        <f t="shared" si="29"/>
        <v>0</v>
      </c>
      <c r="N29" s="463">
        <f t="shared" si="30"/>
        <v>0</v>
      </c>
      <c r="O29" s="463">
        <f t="shared" si="31"/>
        <v>0</v>
      </c>
      <c r="P29" s="463">
        <f t="shared" si="32"/>
        <v>0</v>
      </c>
      <c r="Q29" s="463">
        <f t="shared" si="33"/>
        <v>0</v>
      </c>
      <c r="R29" s="463">
        <f t="shared" si="34"/>
        <v>0</v>
      </c>
      <c r="S29" s="629"/>
      <c r="T29" s="630"/>
      <c r="U29" s="629"/>
      <c r="V29" s="629"/>
      <c r="W29" s="630"/>
      <c r="X29" s="630"/>
      <c r="Y29" s="630"/>
      <c r="Z29" s="629"/>
      <c r="AA29" s="630"/>
      <c r="AB29" s="629"/>
      <c r="AC29" s="630"/>
      <c r="AD29" s="630"/>
      <c r="AE29" s="630"/>
      <c r="AF29" s="630"/>
      <c r="AG29" s="631"/>
      <c r="AH29" s="633"/>
      <c r="AI29" s="633"/>
      <c r="AJ29" s="633"/>
      <c r="AK29" s="631"/>
      <c r="AL29" s="631"/>
      <c r="AM29" s="631"/>
      <c r="AN29" s="632">
        <f t="shared" si="35"/>
        <v>0</v>
      </c>
      <c r="AO29" s="632">
        <f t="shared" si="36"/>
        <v>0</v>
      </c>
      <c r="AP29" s="630"/>
    </row>
    <row r="30" spans="1:42" s="5" customFormat="1" ht="12" thickBot="1">
      <c r="A30" s="552">
        <f>'1-συμβολαια'!A30</f>
        <v>0</v>
      </c>
      <c r="B30" s="341"/>
      <c r="C30" s="356" t="str">
        <f>'1-συμβολαια'!C30</f>
        <v>τόκοι δανείου 389τραπ {= προπληρωθέντες VS υπερΠληρωθέντες</v>
      </c>
      <c r="D30" s="342">
        <f>'1-συμβολαια'!D30</f>
        <v>2222222</v>
      </c>
      <c r="E30" s="434">
        <f>'3-φύλλα2α'!E30</f>
        <v>2</v>
      </c>
      <c r="F30" s="434">
        <f>'3-φύλλα2α'!F30</f>
        <v>0</v>
      </c>
      <c r="G30" s="344"/>
      <c r="H30" s="344"/>
      <c r="I30" s="343">
        <f t="shared" si="37"/>
        <v>0</v>
      </c>
      <c r="J30" s="343">
        <f t="shared" si="26"/>
        <v>0</v>
      </c>
      <c r="K30" s="368">
        <f t="shared" si="27"/>
        <v>0</v>
      </c>
      <c r="L30" s="368">
        <f t="shared" si="28"/>
        <v>0</v>
      </c>
      <c r="M30" s="368">
        <f t="shared" si="29"/>
        <v>0</v>
      </c>
      <c r="N30" s="368">
        <f t="shared" si="30"/>
        <v>0</v>
      </c>
      <c r="O30" s="368">
        <f t="shared" si="31"/>
        <v>0</v>
      </c>
      <c r="P30" s="368">
        <f t="shared" si="32"/>
        <v>0</v>
      </c>
      <c r="Q30" s="368">
        <f t="shared" si="33"/>
        <v>0</v>
      </c>
      <c r="R30" s="343">
        <f t="shared" si="34"/>
        <v>0</v>
      </c>
      <c r="S30" s="636"/>
      <c r="T30" s="637"/>
      <c r="U30" s="636"/>
      <c r="V30" s="636"/>
      <c r="W30" s="637"/>
      <c r="X30" s="637"/>
      <c r="Y30" s="637"/>
      <c r="Z30" s="636"/>
      <c r="AA30" s="637"/>
      <c r="AB30" s="636"/>
      <c r="AC30" s="637"/>
      <c r="AD30" s="637"/>
      <c r="AE30" s="637"/>
      <c r="AF30" s="637"/>
      <c r="AG30" s="637"/>
      <c r="AH30" s="638"/>
      <c r="AI30" s="638"/>
      <c r="AJ30" s="638"/>
      <c r="AK30" s="637"/>
      <c r="AL30" s="637"/>
      <c r="AM30" s="637"/>
      <c r="AN30" s="636">
        <f t="shared" si="35"/>
        <v>0</v>
      </c>
      <c r="AO30" s="636">
        <f t="shared" si="36"/>
        <v>0</v>
      </c>
      <c r="AP30" s="637"/>
    </row>
    <row r="31" spans="1:42" s="5" customFormat="1">
      <c r="A31" s="554" t="str">
        <f>'1-συμβολαια'!A31</f>
        <v>8ο</v>
      </c>
      <c r="B31" s="304">
        <f>'1-συμβολαια'!B31</f>
        <v>33515</v>
      </c>
      <c r="C31" s="405" t="str">
        <f>'1-συμβολαια'!C31</f>
        <v>μίσθωσης νταμάρι …. ΠΑΡΑΤΑΣΗ 3έτη</v>
      </c>
      <c r="D31" s="278">
        <f>'1-συμβολαια'!D31</f>
        <v>966657</v>
      </c>
      <c r="E31" s="451">
        <f>'3-φύλλα2α'!E31</f>
        <v>2</v>
      </c>
      <c r="F31" s="451">
        <f>'3-φύλλα2α'!F31</f>
        <v>2</v>
      </c>
      <c r="G31" s="262">
        <v>2</v>
      </c>
      <c r="H31" s="523"/>
      <c r="I31" s="261">
        <f t="shared" si="37"/>
        <v>1200</v>
      </c>
      <c r="J31" s="525">
        <f t="shared" si="26"/>
        <v>0</v>
      </c>
      <c r="K31" s="463">
        <f t="shared" si="27"/>
        <v>60</v>
      </c>
      <c r="L31" s="463">
        <f t="shared" si="28"/>
        <v>60</v>
      </c>
      <c r="M31" s="463">
        <f t="shared" si="29"/>
        <v>12</v>
      </c>
      <c r="N31" s="463">
        <f t="shared" si="30"/>
        <v>1068</v>
      </c>
      <c r="O31" s="463">
        <f t="shared" si="31"/>
        <v>0</v>
      </c>
      <c r="P31" s="463">
        <f t="shared" si="32"/>
        <v>132</v>
      </c>
      <c r="Q31" s="463">
        <f t="shared" si="33"/>
        <v>0</v>
      </c>
      <c r="R31" s="463">
        <f t="shared" si="34"/>
        <v>132</v>
      </c>
      <c r="S31" s="632">
        <v>3900</v>
      </c>
      <c r="T31" s="631">
        <v>50</v>
      </c>
      <c r="U31" s="632"/>
      <c r="V31" s="632"/>
      <c r="W31" s="631"/>
      <c r="X31" s="631"/>
      <c r="Y31" s="631"/>
      <c r="Z31" s="632"/>
      <c r="AA31" s="631"/>
      <c r="AB31" s="632"/>
      <c r="AC31" s="631"/>
      <c r="AD31" s="631"/>
      <c r="AE31" s="631"/>
      <c r="AF31" s="631"/>
      <c r="AG31" s="631"/>
      <c r="AH31" s="633"/>
      <c r="AI31" s="633"/>
      <c r="AJ31" s="633"/>
      <c r="AK31" s="631"/>
      <c r="AL31" s="631"/>
      <c r="AM31" s="631"/>
      <c r="AN31" s="632">
        <f t="shared" si="35"/>
        <v>0</v>
      </c>
      <c r="AO31" s="632">
        <f t="shared" si="36"/>
        <v>3950</v>
      </c>
      <c r="AP31" s="631"/>
    </row>
    <row r="32" spans="1:42" s="5" customFormat="1" ht="12" thickBot="1">
      <c r="A32" s="555">
        <f>'1-συμβολαια'!A32</f>
        <v>0</v>
      </c>
      <c r="B32" s="341"/>
      <c r="C32" s="591" t="str">
        <f>'1-συμβολαια'!C32</f>
        <v>ΧΑΟΣ= κλείσιμο &amp; εκ ΝΕΟΥ</v>
      </c>
      <c r="D32" s="582">
        <f>'1-συμβολαια'!D32</f>
        <v>0</v>
      </c>
      <c r="E32" s="595">
        <f>'3-φύλλα2α'!E32</f>
        <v>0</v>
      </c>
      <c r="F32" s="595">
        <f>'3-φύλλα2α'!F32</f>
        <v>0</v>
      </c>
      <c r="G32" s="596"/>
      <c r="H32" s="596"/>
      <c r="I32" s="581">
        <f t="shared" si="37"/>
        <v>0</v>
      </c>
      <c r="J32" s="581">
        <f t="shared" si="26"/>
        <v>0</v>
      </c>
      <c r="K32" s="597">
        <f t="shared" si="27"/>
        <v>0</v>
      </c>
      <c r="L32" s="597">
        <f t="shared" si="28"/>
        <v>0</v>
      </c>
      <c r="M32" s="597">
        <f t="shared" si="29"/>
        <v>0</v>
      </c>
      <c r="N32" s="597">
        <f t="shared" si="30"/>
        <v>0</v>
      </c>
      <c r="O32" s="597">
        <f t="shared" si="31"/>
        <v>0</v>
      </c>
      <c r="P32" s="597">
        <f t="shared" si="32"/>
        <v>0</v>
      </c>
      <c r="Q32" s="597">
        <f t="shared" si="33"/>
        <v>0</v>
      </c>
      <c r="R32" s="581">
        <f t="shared" si="34"/>
        <v>0</v>
      </c>
      <c r="S32" s="643"/>
      <c r="T32" s="644"/>
      <c r="U32" s="643"/>
      <c r="V32" s="643"/>
      <c r="W32" s="644"/>
      <c r="X32" s="644"/>
      <c r="Y32" s="644"/>
      <c r="Z32" s="643"/>
      <c r="AA32" s="644"/>
      <c r="AB32" s="643"/>
      <c r="AC32" s="644"/>
      <c r="AD32" s="644"/>
      <c r="AE32" s="644"/>
      <c r="AF32" s="644"/>
      <c r="AG32" s="644"/>
      <c r="AH32" s="638"/>
      <c r="AI32" s="638"/>
      <c r="AJ32" s="638"/>
      <c r="AK32" s="644"/>
      <c r="AL32" s="644"/>
      <c r="AM32" s="644"/>
      <c r="AN32" s="643"/>
      <c r="AO32" s="643"/>
      <c r="AP32" s="644"/>
    </row>
    <row r="33" spans="1:42" s="5" customFormat="1">
      <c r="A33" s="550" t="str">
        <f>'1-συμβολαια'!A33</f>
        <v>9ο</v>
      </c>
      <c r="B33" s="304">
        <f>'1-συμβολαια'!B33</f>
        <v>33675</v>
      </c>
      <c r="C33" s="405" t="str">
        <f>'1-συμβολαια'!C33</f>
        <v xml:space="preserve">υποθήκη </v>
      </c>
      <c r="D33" s="278">
        <f>'1-συμβολαια'!D33</f>
        <v>100000</v>
      </c>
      <c r="E33" s="451">
        <f>'3-φύλλα2α'!E33</f>
        <v>9</v>
      </c>
      <c r="F33" s="451">
        <f>'3-φύλλα2α'!F33</f>
        <v>9</v>
      </c>
      <c r="G33" s="262">
        <v>2</v>
      </c>
      <c r="H33" s="523"/>
      <c r="I33" s="261">
        <f t="shared" si="37"/>
        <v>5400</v>
      </c>
      <c r="J33" s="525">
        <f t="shared" si="26"/>
        <v>0</v>
      </c>
      <c r="K33" s="463">
        <f t="shared" si="27"/>
        <v>270</v>
      </c>
      <c r="L33" s="463">
        <f t="shared" si="28"/>
        <v>270</v>
      </c>
      <c r="M33" s="463">
        <f t="shared" si="29"/>
        <v>54</v>
      </c>
      <c r="N33" s="463">
        <f t="shared" si="30"/>
        <v>4806</v>
      </c>
      <c r="O33" s="463">
        <f t="shared" si="31"/>
        <v>0</v>
      </c>
      <c r="P33" s="463">
        <f t="shared" si="32"/>
        <v>594</v>
      </c>
      <c r="Q33" s="463">
        <f t="shared" si="33"/>
        <v>0</v>
      </c>
      <c r="R33" s="463">
        <f t="shared" si="34"/>
        <v>594</v>
      </c>
      <c r="S33" s="632"/>
      <c r="T33" s="631"/>
      <c r="U33" s="632">
        <v>2700</v>
      </c>
      <c r="V33" s="632">
        <v>88</v>
      </c>
      <c r="W33" s="631"/>
      <c r="X33" s="631"/>
      <c r="Y33" s="631"/>
      <c r="Z33" s="632"/>
      <c r="AA33" s="631"/>
      <c r="AB33" s="632"/>
      <c r="AC33" s="631"/>
      <c r="AD33" s="631"/>
      <c r="AE33" s="631"/>
      <c r="AF33" s="631"/>
      <c r="AG33" s="631"/>
      <c r="AH33" s="633"/>
      <c r="AI33" s="633"/>
      <c r="AJ33" s="633"/>
      <c r="AK33" s="631"/>
      <c r="AL33" s="631"/>
      <c r="AM33" s="631"/>
      <c r="AN33" s="632">
        <f t="shared" si="35"/>
        <v>88</v>
      </c>
      <c r="AO33" s="632">
        <f t="shared" si="36"/>
        <v>2700</v>
      </c>
      <c r="AP33" s="631"/>
    </row>
    <row r="34" spans="1:42" s="5" customFormat="1">
      <c r="A34" s="550" t="str">
        <f>'1-συμβολαια'!A34</f>
        <v>794-1-2-3τραπ</v>
      </c>
      <c r="B34" s="413">
        <f>'1-συμβολαια'!B34</f>
        <v>32727</v>
      </c>
      <c r="C34" s="405" t="str">
        <f>'1-συμβολαια'!C34</f>
        <v>υποθήκες δανείων [7/8/89-25/1/1991-8/3/1991-22/11/1991</v>
      </c>
      <c r="D34" s="278">
        <f>'1-συμβολαια'!D34</f>
        <v>73333333</v>
      </c>
      <c r="E34" s="451">
        <f>'3-φύλλα2α'!E34</f>
        <v>9</v>
      </c>
      <c r="F34" s="451">
        <f>'3-φύλλα2α'!F34</f>
        <v>0</v>
      </c>
      <c r="G34" s="262"/>
      <c r="H34" s="262"/>
      <c r="I34" s="261">
        <f t="shared" si="37"/>
        <v>0</v>
      </c>
      <c r="J34" s="261">
        <f t="shared" si="26"/>
        <v>0</v>
      </c>
      <c r="K34" s="463">
        <f t="shared" si="27"/>
        <v>0</v>
      </c>
      <c r="L34" s="463">
        <f t="shared" si="28"/>
        <v>0</v>
      </c>
      <c r="M34" s="463">
        <f t="shared" si="29"/>
        <v>0</v>
      </c>
      <c r="N34" s="463">
        <f t="shared" si="30"/>
        <v>0</v>
      </c>
      <c r="O34" s="463">
        <f t="shared" si="31"/>
        <v>0</v>
      </c>
      <c r="P34" s="463">
        <f t="shared" si="32"/>
        <v>0</v>
      </c>
      <c r="Q34" s="463">
        <f t="shared" si="33"/>
        <v>0</v>
      </c>
      <c r="R34" s="463">
        <f t="shared" si="34"/>
        <v>0</v>
      </c>
      <c r="S34" s="629"/>
      <c r="T34" s="630"/>
      <c r="U34" s="629"/>
      <c r="V34" s="629"/>
      <c r="W34" s="630"/>
      <c r="X34" s="630"/>
      <c r="Y34" s="630"/>
      <c r="Z34" s="629"/>
      <c r="AA34" s="630"/>
      <c r="AB34" s="629"/>
      <c r="AC34" s="630"/>
      <c r="AD34" s="630"/>
      <c r="AE34" s="630"/>
      <c r="AF34" s="630"/>
      <c r="AG34" s="631"/>
      <c r="AH34" s="633"/>
      <c r="AI34" s="633"/>
      <c r="AJ34" s="633"/>
      <c r="AK34" s="631"/>
      <c r="AL34" s="631"/>
      <c r="AM34" s="631"/>
      <c r="AN34" s="632">
        <f t="shared" si="35"/>
        <v>0</v>
      </c>
      <c r="AO34" s="632">
        <f t="shared" si="36"/>
        <v>0</v>
      </c>
      <c r="AP34" s="630"/>
    </row>
    <row r="35" spans="1:42" s="5" customFormat="1">
      <c r="A35" s="550">
        <f>'1-συμβολαια'!A35</f>
        <v>0</v>
      </c>
      <c r="B35" s="413"/>
      <c r="C35" s="405" t="str">
        <f>'1-συμβολαια'!C35</f>
        <v>δάνεια ανωτέρω υποθηκών</v>
      </c>
      <c r="D35" s="278">
        <f>'1-συμβολαια'!D35</f>
        <v>61000000</v>
      </c>
      <c r="E35" s="451">
        <f>'3-φύλλα2α'!E35</f>
        <v>9</v>
      </c>
      <c r="F35" s="451">
        <f>'3-φύλλα2α'!F35</f>
        <v>0</v>
      </c>
      <c r="G35" s="262"/>
      <c r="H35" s="262"/>
      <c r="I35" s="261">
        <f t="shared" si="37"/>
        <v>0</v>
      </c>
      <c r="J35" s="261">
        <f t="shared" si="26"/>
        <v>0</v>
      </c>
      <c r="K35" s="463">
        <f t="shared" si="27"/>
        <v>0</v>
      </c>
      <c r="L35" s="463">
        <f t="shared" si="28"/>
        <v>0</v>
      </c>
      <c r="M35" s="463">
        <f t="shared" si="29"/>
        <v>0</v>
      </c>
      <c r="N35" s="463">
        <f t="shared" si="30"/>
        <v>0</v>
      </c>
      <c r="O35" s="463">
        <f t="shared" si="31"/>
        <v>0</v>
      </c>
      <c r="P35" s="463">
        <f t="shared" si="32"/>
        <v>0</v>
      </c>
      <c r="Q35" s="463">
        <f t="shared" si="33"/>
        <v>0</v>
      </c>
      <c r="R35" s="463">
        <f t="shared" si="34"/>
        <v>0</v>
      </c>
      <c r="S35" s="629"/>
      <c r="T35" s="630"/>
      <c r="U35" s="629"/>
      <c r="V35" s="629"/>
      <c r="W35" s="630"/>
      <c r="X35" s="630"/>
      <c r="Y35" s="630"/>
      <c r="Z35" s="629"/>
      <c r="AA35" s="630"/>
      <c r="AB35" s="629"/>
      <c r="AC35" s="630"/>
      <c r="AD35" s="630"/>
      <c r="AE35" s="630"/>
      <c r="AF35" s="630"/>
      <c r="AG35" s="631"/>
      <c r="AH35" s="633"/>
      <c r="AI35" s="633"/>
      <c r="AJ35" s="633"/>
      <c r="AK35" s="631"/>
      <c r="AL35" s="631"/>
      <c r="AM35" s="631"/>
      <c r="AN35" s="632">
        <f t="shared" si="35"/>
        <v>0</v>
      </c>
      <c r="AO35" s="632">
        <f t="shared" si="36"/>
        <v>0</v>
      </c>
      <c r="AP35" s="630"/>
    </row>
    <row r="36" spans="1:42" s="5" customFormat="1" ht="12" thickBot="1">
      <c r="A36" s="552">
        <f>'1-συμβολαια'!A36</f>
        <v>0</v>
      </c>
      <c r="B36" s="341"/>
      <c r="C36" s="356" t="str">
        <f>'1-συμβολαια'!C36</f>
        <v>τόκοι  ανωτέρω δανείων προπληρωθέντες</v>
      </c>
      <c r="D36" s="342">
        <f>'1-συμβολαια'!D36</f>
        <v>133333333</v>
      </c>
      <c r="E36" s="434">
        <f>'3-φύλλα2α'!E36</f>
        <v>9</v>
      </c>
      <c r="F36" s="434">
        <f>'3-φύλλα2α'!F36</f>
        <v>0</v>
      </c>
      <c r="G36" s="344"/>
      <c r="H36" s="344"/>
      <c r="I36" s="343">
        <f t="shared" si="37"/>
        <v>0</v>
      </c>
      <c r="J36" s="343">
        <f t="shared" si="26"/>
        <v>0</v>
      </c>
      <c r="K36" s="368">
        <f t="shared" si="27"/>
        <v>0</v>
      </c>
      <c r="L36" s="368">
        <f t="shared" si="28"/>
        <v>0</v>
      </c>
      <c r="M36" s="368">
        <f t="shared" si="29"/>
        <v>0</v>
      </c>
      <c r="N36" s="368">
        <f t="shared" si="30"/>
        <v>0</v>
      </c>
      <c r="O36" s="368">
        <f t="shared" si="31"/>
        <v>0</v>
      </c>
      <c r="P36" s="368">
        <f t="shared" si="32"/>
        <v>0</v>
      </c>
      <c r="Q36" s="368">
        <f t="shared" si="33"/>
        <v>0</v>
      </c>
      <c r="R36" s="343">
        <f t="shared" si="34"/>
        <v>0</v>
      </c>
      <c r="S36" s="636"/>
      <c r="T36" s="637"/>
      <c r="U36" s="636"/>
      <c r="V36" s="636"/>
      <c r="W36" s="637"/>
      <c r="X36" s="637"/>
      <c r="Y36" s="637"/>
      <c r="Z36" s="636"/>
      <c r="AA36" s="637"/>
      <c r="AB36" s="636"/>
      <c r="AC36" s="637"/>
      <c r="AD36" s="637"/>
      <c r="AE36" s="637"/>
      <c r="AF36" s="637"/>
      <c r="AG36" s="637"/>
      <c r="AH36" s="638"/>
      <c r="AI36" s="638"/>
      <c r="AJ36" s="638"/>
      <c r="AK36" s="637"/>
      <c r="AL36" s="637"/>
      <c r="AM36" s="637"/>
      <c r="AN36" s="636">
        <f t="shared" si="35"/>
        <v>0</v>
      </c>
      <c r="AO36" s="636">
        <f t="shared" si="36"/>
        <v>0</v>
      </c>
      <c r="AP36" s="637"/>
    </row>
    <row r="37" spans="1:42" s="5" customFormat="1">
      <c r="A37" s="554" t="str">
        <f>'1-συμβολαια'!A37</f>
        <v>10ο</v>
      </c>
      <c r="B37" s="304">
        <f>'1-συμβολαια'!B37</f>
        <v>34890</v>
      </c>
      <c r="C37" s="405" t="str">
        <f>'1-συμβολαια'!C37</f>
        <v>υποθήκη  τοιχόν τόκων</v>
      </c>
      <c r="D37" s="278">
        <f>'1-συμβολαια'!D37</f>
        <v>100000</v>
      </c>
      <c r="E37" s="451">
        <f>'3-φύλλα2α'!E37</f>
        <v>8</v>
      </c>
      <c r="F37" s="451">
        <f>'3-φύλλα2α'!F37</f>
        <v>8</v>
      </c>
      <c r="G37" s="262">
        <v>2</v>
      </c>
      <c r="H37" s="262">
        <v>2</v>
      </c>
      <c r="I37" s="261">
        <f>G37*E37*600</f>
        <v>9600</v>
      </c>
      <c r="J37" s="261">
        <f t="shared" si="26"/>
        <v>4800</v>
      </c>
      <c r="K37" s="463">
        <f t="shared" si="27"/>
        <v>480</v>
      </c>
      <c r="L37" s="463">
        <f t="shared" si="28"/>
        <v>480</v>
      </c>
      <c r="M37" s="463">
        <f t="shared" si="29"/>
        <v>96</v>
      </c>
      <c r="N37" s="463">
        <f t="shared" si="30"/>
        <v>8544</v>
      </c>
      <c r="O37" s="463">
        <f t="shared" si="31"/>
        <v>4272</v>
      </c>
      <c r="P37" s="463">
        <f t="shared" si="32"/>
        <v>1056</v>
      </c>
      <c r="Q37" s="463">
        <f t="shared" si="33"/>
        <v>528</v>
      </c>
      <c r="R37" s="463">
        <f t="shared" si="34"/>
        <v>528</v>
      </c>
      <c r="S37" s="632"/>
      <c r="T37" s="631"/>
      <c r="U37" s="632">
        <v>4800</v>
      </c>
      <c r="V37" s="632">
        <v>99</v>
      </c>
      <c r="W37" s="631"/>
      <c r="X37" s="631"/>
      <c r="Y37" s="631"/>
      <c r="Z37" s="632"/>
      <c r="AA37" s="631"/>
      <c r="AB37" s="632"/>
      <c r="AC37" s="631"/>
      <c r="AD37" s="631"/>
      <c r="AE37" s="631"/>
      <c r="AF37" s="631"/>
      <c r="AG37" s="631"/>
      <c r="AH37" s="633"/>
      <c r="AI37" s="633"/>
      <c r="AJ37" s="633"/>
      <c r="AK37" s="631"/>
      <c r="AL37" s="631"/>
      <c r="AM37" s="631"/>
      <c r="AN37" s="632">
        <f t="shared" si="35"/>
        <v>99</v>
      </c>
      <c r="AO37" s="632">
        <f t="shared" si="36"/>
        <v>4800</v>
      </c>
      <c r="AP37" s="631"/>
    </row>
    <row r="38" spans="1:42" s="5" customFormat="1">
      <c r="A38" s="554" t="str">
        <f>'1-συμβολαια'!A38</f>
        <v>794-4-5τραπ</v>
      </c>
      <c r="B38" s="304">
        <f>'1-συμβολαια'!B38</f>
        <v>33843</v>
      </c>
      <c r="C38" s="405" t="str">
        <f>'1-συμβολαια'!C38</f>
        <v>υποθήκες δανείων [27/08/1992-30/10/1992</v>
      </c>
      <c r="D38" s="278">
        <f>'1-συμβολαια'!D38</f>
        <v>32555555</v>
      </c>
      <c r="E38" s="451">
        <f>'3-φύλλα2α'!E38</f>
        <v>8</v>
      </c>
      <c r="F38" s="451">
        <f>'3-φύλλα2α'!F38</f>
        <v>0</v>
      </c>
      <c r="G38" s="262"/>
      <c r="H38" s="262"/>
      <c r="I38" s="261">
        <f t="shared" ref="I38:I45" si="38">G38*E38*600</f>
        <v>0</v>
      </c>
      <c r="J38" s="261">
        <f t="shared" ref="J38:J44" si="39">H38*F38*300</f>
        <v>0</v>
      </c>
      <c r="K38" s="463">
        <f t="shared" ref="K38:K45" si="40">I38*5%</f>
        <v>0</v>
      </c>
      <c r="L38" s="463">
        <f t="shared" ref="L38:L45" si="41">I38*5%</f>
        <v>0</v>
      </c>
      <c r="M38" s="463">
        <f t="shared" ref="M38:M45" si="42">I38*1%</f>
        <v>0</v>
      </c>
      <c r="N38" s="463">
        <f t="shared" ref="N38:N45" si="43">I38-P38</f>
        <v>0</v>
      </c>
      <c r="O38" s="463">
        <f t="shared" ref="O38:O45" si="44">J38-Q38</f>
        <v>0</v>
      </c>
      <c r="P38" s="463">
        <f t="shared" ref="P38:P45" si="45">K38+L38+M38</f>
        <v>0</v>
      </c>
      <c r="Q38" s="463">
        <f t="shared" ref="Q38:Q45" si="46">J38*11%</f>
        <v>0</v>
      </c>
      <c r="R38" s="463">
        <f t="shared" ref="R38:R45" si="47">P38-Q38</f>
        <v>0</v>
      </c>
      <c r="S38" s="629"/>
      <c r="T38" s="630"/>
      <c r="U38" s="629"/>
      <c r="V38" s="629"/>
      <c r="W38" s="630"/>
      <c r="X38" s="630"/>
      <c r="Y38" s="630"/>
      <c r="Z38" s="629"/>
      <c r="AA38" s="630"/>
      <c r="AB38" s="629"/>
      <c r="AC38" s="630"/>
      <c r="AD38" s="630"/>
      <c r="AE38" s="630"/>
      <c r="AF38" s="630"/>
      <c r="AG38" s="631"/>
      <c r="AH38" s="633"/>
      <c r="AI38" s="633"/>
      <c r="AJ38" s="633"/>
      <c r="AK38" s="631"/>
      <c r="AL38" s="631"/>
      <c r="AM38" s="631"/>
      <c r="AN38" s="632">
        <f t="shared" ref="AN38:AN45" si="48">V38+Z38+AB38+AJ38+AL38</f>
        <v>0</v>
      </c>
      <c r="AO38" s="632">
        <f t="shared" ref="AO38:AO45" si="49">S38+T38+U38+W38+X38+Y38+AA38+AC38+AD38+AE38+AF38++AG38+AH38+AI38+AK38</f>
        <v>0</v>
      </c>
      <c r="AP38" s="630"/>
    </row>
    <row r="39" spans="1:42" s="5" customFormat="1">
      <c r="A39" s="554">
        <f>'1-συμβολαια'!A39</f>
        <v>0</v>
      </c>
      <c r="B39" s="304"/>
      <c r="C39" s="405" t="str">
        <f>'1-συμβολαια'!C39</f>
        <v>δάνεια ανωτέρω υποθηκών</v>
      </c>
      <c r="D39" s="278">
        <f>'1-συμβολαια'!D39</f>
        <v>27000000</v>
      </c>
      <c r="E39" s="451">
        <f>'3-φύλλα2α'!E39</f>
        <v>8</v>
      </c>
      <c r="F39" s="451">
        <f>'3-φύλλα2α'!F39</f>
        <v>0</v>
      </c>
      <c r="G39" s="262"/>
      <c r="H39" s="262"/>
      <c r="I39" s="261">
        <f t="shared" si="38"/>
        <v>0</v>
      </c>
      <c r="J39" s="261">
        <f t="shared" si="39"/>
        <v>0</v>
      </c>
      <c r="K39" s="463">
        <f t="shared" si="40"/>
        <v>0</v>
      </c>
      <c r="L39" s="463">
        <f t="shared" si="41"/>
        <v>0</v>
      </c>
      <c r="M39" s="463">
        <f t="shared" si="42"/>
        <v>0</v>
      </c>
      <c r="N39" s="463">
        <f t="shared" si="43"/>
        <v>0</v>
      </c>
      <c r="O39" s="463">
        <f t="shared" si="44"/>
        <v>0</v>
      </c>
      <c r="P39" s="463">
        <f t="shared" si="45"/>
        <v>0</v>
      </c>
      <c r="Q39" s="463">
        <f t="shared" si="46"/>
        <v>0</v>
      </c>
      <c r="R39" s="463">
        <f t="shared" si="47"/>
        <v>0</v>
      </c>
      <c r="S39" s="629"/>
      <c r="T39" s="630"/>
      <c r="U39" s="629"/>
      <c r="V39" s="629"/>
      <c r="W39" s="630"/>
      <c r="X39" s="630"/>
      <c r="Y39" s="630"/>
      <c r="Z39" s="629"/>
      <c r="AA39" s="630"/>
      <c r="AB39" s="629"/>
      <c r="AC39" s="630"/>
      <c r="AD39" s="630"/>
      <c r="AE39" s="630"/>
      <c r="AF39" s="630"/>
      <c r="AG39" s="631"/>
      <c r="AH39" s="633"/>
      <c r="AI39" s="633"/>
      <c r="AJ39" s="633"/>
      <c r="AK39" s="631"/>
      <c r="AL39" s="631"/>
      <c r="AM39" s="631"/>
      <c r="AN39" s="632">
        <f t="shared" si="48"/>
        <v>0</v>
      </c>
      <c r="AO39" s="632">
        <f t="shared" si="49"/>
        <v>0</v>
      </c>
      <c r="AP39" s="630"/>
    </row>
    <row r="40" spans="1:42" s="5" customFormat="1" ht="12" thickBot="1">
      <c r="A40" s="555">
        <f>'1-συμβολαια'!A40</f>
        <v>0</v>
      </c>
      <c r="B40" s="341"/>
      <c r="C40" s="356" t="str">
        <f>'1-συμβολαια'!C40</f>
        <v>τόκοι  ανωτέρω δανείων προπληρωθέντες</v>
      </c>
      <c r="D40" s="342">
        <f>'1-συμβολαια'!D40</f>
        <v>55555555</v>
      </c>
      <c r="E40" s="434">
        <f>'3-φύλλα2α'!E40</f>
        <v>8</v>
      </c>
      <c r="F40" s="434">
        <f>'3-φύλλα2α'!F40</f>
        <v>0</v>
      </c>
      <c r="G40" s="344"/>
      <c r="H40" s="344"/>
      <c r="I40" s="343">
        <f t="shared" si="38"/>
        <v>0</v>
      </c>
      <c r="J40" s="343">
        <f t="shared" si="39"/>
        <v>0</v>
      </c>
      <c r="K40" s="368">
        <f t="shared" si="40"/>
        <v>0</v>
      </c>
      <c r="L40" s="368">
        <f t="shared" si="41"/>
        <v>0</v>
      </c>
      <c r="M40" s="368">
        <f t="shared" si="42"/>
        <v>0</v>
      </c>
      <c r="N40" s="368">
        <f t="shared" si="43"/>
        <v>0</v>
      </c>
      <c r="O40" s="368">
        <f t="shared" si="44"/>
        <v>0</v>
      </c>
      <c r="P40" s="368">
        <f t="shared" si="45"/>
        <v>0</v>
      </c>
      <c r="Q40" s="368">
        <f t="shared" si="46"/>
        <v>0</v>
      </c>
      <c r="R40" s="343">
        <f t="shared" si="47"/>
        <v>0</v>
      </c>
      <c r="S40" s="636"/>
      <c r="T40" s="637"/>
      <c r="U40" s="636"/>
      <c r="V40" s="636"/>
      <c r="W40" s="637"/>
      <c r="X40" s="637"/>
      <c r="Y40" s="637"/>
      <c r="Z40" s="636"/>
      <c r="AA40" s="637"/>
      <c r="AB40" s="636"/>
      <c r="AC40" s="637"/>
      <c r="AD40" s="637"/>
      <c r="AE40" s="637"/>
      <c r="AF40" s="637"/>
      <c r="AG40" s="637"/>
      <c r="AH40" s="638"/>
      <c r="AI40" s="638"/>
      <c r="AJ40" s="638"/>
      <c r="AK40" s="637"/>
      <c r="AL40" s="637"/>
      <c r="AM40" s="637"/>
      <c r="AN40" s="636">
        <f t="shared" si="48"/>
        <v>0</v>
      </c>
      <c r="AO40" s="636">
        <f t="shared" si="49"/>
        <v>0</v>
      </c>
      <c r="AP40" s="637"/>
    </row>
    <row r="41" spans="1:42" s="5" customFormat="1">
      <c r="A41" s="550" t="str">
        <f>'1-συμβολαια'!A41</f>
        <v>11ο</v>
      </c>
      <c r="B41" s="304">
        <f>'1-συμβολαια'!B41</f>
        <v>34962</v>
      </c>
      <c r="C41" s="405" t="str">
        <f>'1-συμβολαια'!C41</f>
        <v>μίσθωσις νταμάρι  Λιμένας -'';;;???'' 24,526στρ 3έτη [8000/έτος/στρ</v>
      </c>
      <c r="D41" s="278">
        <f>'1-συμβολαια'!D41</f>
        <v>588624</v>
      </c>
      <c r="E41" s="451">
        <f>'3-φύλλα2α'!E41</f>
        <v>14</v>
      </c>
      <c r="F41" s="451">
        <f>'3-φύλλα2α'!F41</f>
        <v>14</v>
      </c>
      <c r="G41" s="262">
        <v>2</v>
      </c>
      <c r="H41" s="523"/>
      <c r="I41" s="261">
        <f t="shared" si="38"/>
        <v>16800</v>
      </c>
      <c r="J41" s="525">
        <f t="shared" si="39"/>
        <v>0</v>
      </c>
      <c r="K41" s="463">
        <f t="shared" si="40"/>
        <v>840</v>
      </c>
      <c r="L41" s="463">
        <f t="shared" si="41"/>
        <v>840</v>
      </c>
      <c r="M41" s="463">
        <f t="shared" si="42"/>
        <v>168</v>
      </c>
      <c r="N41" s="463">
        <f t="shared" si="43"/>
        <v>14952</v>
      </c>
      <c r="O41" s="463">
        <f t="shared" si="44"/>
        <v>0</v>
      </c>
      <c r="P41" s="463">
        <f t="shared" si="45"/>
        <v>1848</v>
      </c>
      <c r="Q41" s="463">
        <f t="shared" si="46"/>
        <v>0</v>
      </c>
      <c r="R41" s="463">
        <f t="shared" si="47"/>
        <v>1848</v>
      </c>
      <c r="S41" s="632"/>
      <c r="T41" s="631"/>
      <c r="U41" s="632"/>
      <c r="V41" s="632"/>
      <c r="W41" s="631"/>
      <c r="X41" s="631"/>
      <c r="Y41" s="631"/>
      <c r="Z41" s="632"/>
      <c r="AA41" s="631">
        <v>8400</v>
      </c>
      <c r="AB41" s="632">
        <v>99</v>
      </c>
      <c r="AC41" s="631"/>
      <c r="AD41" s="631"/>
      <c r="AE41" s="631"/>
      <c r="AF41" s="631"/>
      <c r="AG41" s="631"/>
      <c r="AH41" s="633"/>
      <c r="AI41" s="633"/>
      <c r="AJ41" s="633"/>
      <c r="AK41" s="631"/>
      <c r="AL41" s="631"/>
      <c r="AM41" s="631"/>
      <c r="AN41" s="632">
        <f t="shared" si="48"/>
        <v>99</v>
      </c>
      <c r="AO41" s="632">
        <f t="shared" si="49"/>
        <v>8400</v>
      </c>
      <c r="AP41" s="631"/>
    </row>
    <row r="42" spans="1:42" s="5" customFormat="1">
      <c r="A42" s="550">
        <f>'1-συμβολαια'!A42</f>
        <v>0</v>
      </c>
      <c r="B42" s="304"/>
      <c r="C42" s="405" t="str">
        <f>'1-συμβολαια'!C42</f>
        <v>μίσθωση … ΚΤΙΡΙΑΚΑ &amp; τεχνικές εγκαταστάσεις &amp; ΚΛΠ</v>
      </c>
      <c r="D42" s="278">
        <f>'1-συμβολαια'!D42</f>
        <v>50000000</v>
      </c>
      <c r="E42" s="451">
        <f>'3-φύλλα2α'!E42</f>
        <v>14</v>
      </c>
      <c r="F42" s="451">
        <f>'3-φύλλα2α'!F42</f>
        <v>0</v>
      </c>
      <c r="G42" s="262"/>
      <c r="H42" s="262"/>
      <c r="I42" s="261">
        <f t="shared" si="38"/>
        <v>0</v>
      </c>
      <c r="J42" s="261">
        <f t="shared" si="39"/>
        <v>0</v>
      </c>
      <c r="K42" s="463">
        <f t="shared" si="40"/>
        <v>0</v>
      </c>
      <c r="L42" s="463">
        <f t="shared" si="41"/>
        <v>0</v>
      </c>
      <c r="M42" s="463">
        <f t="shared" si="42"/>
        <v>0</v>
      </c>
      <c r="N42" s="463">
        <f t="shared" si="43"/>
        <v>0</v>
      </c>
      <c r="O42" s="463">
        <f t="shared" si="44"/>
        <v>0</v>
      </c>
      <c r="P42" s="463">
        <f t="shared" si="45"/>
        <v>0</v>
      </c>
      <c r="Q42" s="463">
        <f t="shared" si="46"/>
        <v>0</v>
      </c>
      <c r="R42" s="463">
        <f t="shared" si="47"/>
        <v>0</v>
      </c>
      <c r="S42" s="629"/>
      <c r="T42" s="630"/>
      <c r="U42" s="629"/>
      <c r="V42" s="629"/>
      <c r="W42" s="630"/>
      <c r="X42" s="630"/>
      <c r="Y42" s="630"/>
      <c r="Z42" s="629"/>
      <c r="AA42" s="630"/>
      <c r="AB42" s="629"/>
      <c r="AC42" s="630"/>
      <c r="AD42" s="630"/>
      <c r="AE42" s="630"/>
      <c r="AF42" s="630"/>
      <c r="AG42" s="631"/>
      <c r="AH42" s="633"/>
      <c r="AI42" s="633"/>
      <c r="AJ42" s="633"/>
      <c r="AK42" s="631"/>
      <c r="AL42" s="631"/>
      <c r="AM42" s="631"/>
      <c r="AN42" s="632">
        <f t="shared" si="48"/>
        <v>0</v>
      </c>
      <c r="AO42" s="632">
        <f t="shared" si="49"/>
        <v>0</v>
      </c>
      <c r="AP42" s="630"/>
    </row>
    <row r="43" spans="1:42" s="5" customFormat="1">
      <c r="A43" s="550">
        <f>'1-συμβολαια'!A43</f>
        <v>0</v>
      </c>
      <c r="B43" s="304"/>
      <c r="C43" s="405" t="str">
        <f>'1-συμβολαια'!C43</f>
        <v>μίσθωση … ΕΡΕΥΝΗΤΙΚΕΣ εργασίες</v>
      </c>
      <c r="D43" s="278">
        <f>'1-συμβολαια'!D43</f>
        <v>3333333</v>
      </c>
      <c r="E43" s="451">
        <f>'3-φύλλα2α'!E43</f>
        <v>14</v>
      </c>
      <c r="F43" s="451">
        <f>'3-φύλλα2α'!F43</f>
        <v>0</v>
      </c>
      <c r="G43" s="262"/>
      <c r="H43" s="262"/>
      <c r="I43" s="261">
        <f t="shared" si="38"/>
        <v>0</v>
      </c>
      <c r="J43" s="261">
        <f t="shared" si="39"/>
        <v>0</v>
      </c>
      <c r="K43" s="463">
        <f t="shared" si="40"/>
        <v>0</v>
      </c>
      <c r="L43" s="463">
        <f t="shared" si="41"/>
        <v>0</v>
      </c>
      <c r="M43" s="463">
        <f t="shared" si="42"/>
        <v>0</v>
      </c>
      <c r="N43" s="463">
        <f t="shared" si="43"/>
        <v>0</v>
      </c>
      <c r="O43" s="463">
        <f t="shared" si="44"/>
        <v>0</v>
      </c>
      <c r="P43" s="463">
        <f t="shared" si="45"/>
        <v>0</v>
      </c>
      <c r="Q43" s="463">
        <f t="shared" si="46"/>
        <v>0</v>
      </c>
      <c r="R43" s="463">
        <f t="shared" si="47"/>
        <v>0</v>
      </c>
      <c r="S43" s="629"/>
      <c r="T43" s="630"/>
      <c r="U43" s="629"/>
      <c r="V43" s="629"/>
      <c r="W43" s="630"/>
      <c r="X43" s="630"/>
      <c r="Y43" s="630"/>
      <c r="Z43" s="629"/>
      <c r="AA43" s="630"/>
      <c r="AB43" s="629"/>
      <c r="AC43" s="630"/>
      <c r="AD43" s="630"/>
      <c r="AE43" s="630"/>
      <c r="AF43" s="630"/>
      <c r="AG43" s="631"/>
      <c r="AH43" s="633"/>
      <c r="AI43" s="633"/>
      <c r="AJ43" s="633"/>
      <c r="AK43" s="631"/>
      <c r="AL43" s="631"/>
      <c r="AM43" s="631"/>
      <c r="AN43" s="632">
        <f t="shared" si="48"/>
        <v>0</v>
      </c>
      <c r="AO43" s="632">
        <f t="shared" si="49"/>
        <v>0</v>
      </c>
      <c r="AP43" s="630"/>
    </row>
    <row r="44" spans="1:42" s="5" customFormat="1" ht="12" thickBot="1">
      <c r="A44" s="552">
        <f>'1-συμβολαια'!A44</f>
        <v>0</v>
      </c>
      <c r="B44" s="341"/>
      <c r="C44" s="356" t="str">
        <f>'1-συμβολαια'!C44</f>
        <v>μίσθωση ….. κόστος έργων αποκατάστασης</v>
      </c>
      <c r="D44" s="342">
        <f>'1-συμβολαια'!D44</f>
        <v>6000000</v>
      </c>
      <c r="E44" s="434">
        <f>'3-φύλλα2α'!E44</f>
        <v>14</v>
      </c>
      <c r="F44" s="434">
        <f>'3-φύλλα2α'!F44</f>
        <v>0</v>
      </c>
      <c r="G44" s="344"/>
      <c r="H44" s="344"/>
      <c r="I44" s="343">
        <f t="shared" si="38"/>
        <v>0</v>
      </c>
      <c r="J44" s="343">
        <f t="shared" si="39"/>
        <v>0</v>
      </c>
      <c r="K44" s="368">
        <f t="shared" si="40"/>
        <v>0</v>
      </c>
      <c r="L44" s="368">
        <f t="shared" si="41"/>
        <v>0</v>
      </c>
      <c r="M44" s="368">
        <f t="shared" si="42"/>
        <v>0</v>
      </c>
      <c r="N44" s="368">
        <f t="shared" si="43"/>
        <v>0</v>
      </c>
      <c r="O44" s="368">
        <f t="shared" si="44"/>
        <v>0</v>
      </c>
      <c r="P44" s="368">
        <f t="shared" si="45"/>
        <v>0</v>
      </c>
      <c r="Q44" s="368">
        <f t="shared" si="46"/>
        <v>0</v>
      </c>
      <c r="R44" s="343">
        <f t="shared" si="47"/>
        <v>0</v>
      </c>
      <c r="S44" s="636"/>
      <c r="T44" s="637"/>
      <c r="U44" s="636"/>
      <c r="V44" s="636"/>
      <c r="W44" s="637"/>
      <c r="X44" s="637"/>
      <c r="Y44" s="637"/>
      <c r="Z44" s="636"/>
      <c r="AA44" s="637"/>
      <c r="AB44" s="636"/>
      <c r="AC44" s="637"/>
      <c r="AD44" s="637"/>
      <c r="AE44" s="637"/>
      <c r="AF44" s="637"/>
      <c r="AG44" s="637"/>
      <c r="AH44" s="638"/>
      <c r="AI44" s="638"/>
      <c r="AJ44" s="638"/>
      <c r="AK44" s="637"/>
      <c r="AL44" s="637"/>
      <c r="AM44" s="637"/>
      <c r="AN44" s="636">
        <f t="shared" si="48"/>
        <v>0</v>
      </c>
      <c r="AO44" s="636">
        <f t="shared" si="49"/>
        <v>0</v>
      </c>
      <c r="AP44" s="637"/>
    </row>
    <row r="45" spans="1:42" s="5" customFormat="1">
      <c r="A45" s="554" t="str">
        <f>'1-συμβολαια'!A45</f>
        <v>12ο</v>
      </c>
      <c r="B45" s="304">
        <f>'1-συμβολαια'!B45</f>
        <v>35185</v>
      </c>
      <c r="C45" s="405" t="str">
        <f>'1-συμβολαια'!C45</f>
        <v>μίσθωσης νταμάρι ... &amp; ... ΠΑΡΑΤΑΣΗ 3έτη</v>
      </c>
      <c r="D45" s="278">
        <f>'1-συμβολαια'!D45</f>
        <v>957000</v>
      </c>
      <c r="E45" s="451">
        <f>'3-φύλλα2α'!E45</f>
        <v>2</v>
      </c>
      <c r="F45" s="451">
        <f>'3-φύλλα2α'!F45</f>
        <v>2</v>
      </c>
      <c r="G45" s="262">
        <v>2</v>
      </c>
      <c r="H45" s="615">
        <v>1</v>
      </c>
      <c r="I45" s="261">
        <f t="shared" si="38"/>
        <v>2400</v>
      </c>
      <c r="J45" s="616">
        <f>H45*F45*600</f>
        <v>1200</v>
      </c>
      <c r="K45" s="463">
        <f t="shared" si="40"/>
        <v>120</v>
      </c>
      <c r="L45" s="463">
        <f t="shared" si="41"/>
        <v>120</v>
      </c>
      <c r="M45" s="463">
        <f t="shared" si="42"/>
        <v>24</v>
      </c>
      <c r="N45" s="463">
        <f t="shared" si="43"/>
        <v>2136</v>
      </c>
      <c r="O45" s="463">
        <f t="shared" si="44"/>
        <v>1068</v>
      </c>
      <c r="P45" s="463">
        <f t="shared" si="45"/>
        <v>264</v>
      </c>
      <c r="Q45" s="463">
        <f t="shared" si="46"/>
        <v>132</v>
      </c>
      <c r="R45" s="463">
        <f t="shared" si="47"/>
        <v>132</v>
      </c>
      <c r="S45" s="632">
        <f>3900+600</f>
        <v>4500</v>
      </c>
      <c r="T45" s="631">
        <v>100</v>
      </c>
      <c r="U45" s="632"/>
      <c r="V45" s="632"/>
      <c r="W45" s="631"/>
      <c r="X45" s="631"/>
      <c r="Y45" s="631"/>
      <c r="Z45" s="632"/>
      <c r="AA45" s="631"/>
      <c r="AB45" s="632"/>
      <c r="AC45" s="631"/>
      <c r="AD45" s="631"/>
      <c r="AE45" s="631"/>
      <c r="AF45" s="631"/>
      <c r="AG45" s="631"/>
      <c r="AH45" s="633"/>
      <c r="AI45" s="633"/>
      <c r="AJ45" s="633"/>
      <c r="AK45" s="631"/>
      <c r="AL45" s="631"/>
      <c r="AM45" s="631"/>
      <c r="AN45" s="632">
        <f t="shared" si="48"/>
        <v>0</v>
      </c>
      <c r="AO45" s="632">
        <f t="shared" si="49"/>
        <v>4600</v>
      </c>
      <c r="AP45" s="631"/>
    </row>
    <row r="46" spans="1:42" s="5" customFormat="1" ht="12" thickBot="1">
      <c r="A46" s="555">
        <f>'1-συμβολαια'!A46</f>
        <v>0</v>
      </c>
      <c r="B46" s="341">
        <f>'1-συμβολαια'!B46</f>
        <v>0</v>
      </c>
      <c r="C46" s="591" t="str">
        <f>'1-συμβολαια'!C46</f>
        <v>ΧΑΟΣ= κλείσιμο &amp; εκ ΝΕΟΥ</v>
      </c>
      <c r="D46" s="582"/>
      <c r="E46" s="595"/>
      <c r="F46" s="595"/>
      <c r="G46" s="596"/>
      <c r="H46" s="596"/>
      <c r="I46" s="581"/>
      <c r="J46" s="581"/>
      <c r="K46" s="597"/>
      <c r="L46" s="597"/>
      <c r="M46" s="597"/>
      <c r="N46" s="597"/>
      <c r="O46" s="597"/>
      <c r="P46" s="597"/>
      <c r="Q46" s="597"/>
      <c r="R46" s="581"/>
      <c r="S46" s="646"/>
      <c r="T46" s="589"/>
      <c r="U46" s="646"/>
      <c r="V46" s="646"/>
      <c r="W46" s="589"/>
      <c r="X46" s="589"/>
      <c r="Y46" s="589"/>
      <c r="Z46" s="646"/>
      <c r="AA46" s="589"/>
      <c r="AB46" s="646"/>
      <c r="AC46" s="589"/>
      <c r="AD46" s="589"/>
      <c r="AE46" s="589"/>
      <c r="AF46" s="589"/>
      <c r="AG46" s="589"/>
      <c r="AH46" s="589"/>
      <c r="AI46" s="589"/>
      <c r="AJ46" s="589"/>
      <c r="AK46" s="589"/>
      <c r="AL46" s="589"/>
      <c r="AM46" s="589"/>
      <c r="AN46" s="646"/>
      <c r="AO46" s="646"/>
      <c r="AP46" s="647"/>
    </row>
    <row r="47" spans="1:42">
      <c r="A47" s="752" t="s">
        <v>45</v>
      </c>
      <c r="B47" s="753"/>
      <c r="C47" s="753"/>
      <c r="D47" s="753"/>
      <c r="E47" s="753"/>
      <c r="F47" s="753"/>
      <c r="G47" s="149">
        <f t="shared" ref="G47:X47" si="50">SUM(G3:G46)</f>
        <v>21</v>
      </c>
      <c r="H47" s="149">
        <f t="shared" si="50"/>
        <v>4</v>
      </c>
      <c r="I47" s="149">
        <f t="shared" si="50"/>
        <v>64900</v>
      </c>
      <c r="J47" s="149">
        <f t="shared" si="50"/>
        <v>6300</v>
      </c>
      <c r="K47" s="149">
        <f t="shared" si="50"/>
        <v>3245</v>
      </c>
      <c r="L47" s="149">
        <f t="shared" si="50"/>
        <v>3245</v>
      </c>
      <c r="M47" s="149">
        <f t="shared" si="50"/>
        <v>649</v>
      </c>
      <c r="N47" s="149">
        <f t="shared" si="50"/>
        <v>57761</v>
      </c>
      <c r="O47" s="149">
        <f t="shared" si="50"/>
        <v>5607</v>
      </c>
      <c r="P47" s="149">
        <f t="shared" si="50"/>
        <v>7139</v>
      </c>
      <c r="Q47" s="149">
        <f t="shared" si="50"/>
        <v>693</v>
      </c>
      <c r="R47" s="612">
        <f t="shared" si="50"/>
        <v>6446</v>
      </c>
      <c r="S47" s="612">
        <f t="shared" si="50"/>
        <v>13350</v>
      </c>
      <c r="T47" s="612">
        <f t="shared" si="50"/>
        <v>550</v>
      </c>
      <c r="U47" s="612">
        <f t="shared" si="50"/>
        <v>18500</v>
      </c>
      <c r="V47" s="612">
        <f t="shared" si="50"/>
        <v>506</v>
      </c>
      <c r="W47" s="612">
        <f t="shared" si="50"/>
        <v>8900</v>
      </c>
      <c r="X47" s="612">
        <f t="shared" si="50"/>
        <v>132</v>
      </c>
      <c r="Y47" s="612"/>
      <c r="Z47" s="612"/>
      <c r="AA47" s="612"/>
      <c r="AB47" s="612">
        <f t="shared" ref="AB47:AG47" si="51">SUM(AB3:AB46)</f>
        <v>165</v>
      </c>
      <c r="AC47" s="612">
        <f t="shared" si="51"/>
        <v>0</v>
      </c>
      <c r="AD47" s="612">
        <f t="shared" si="51"/>
        <v>0</v>
      </c>
      <c r="AE47" s="612">
        <f t="shared" si="51"/>
        <v>1350</v>
      </c>
      <c r="AF47" s="612">
        <f t="shared" si="51"/>
        <v>600</v>
      </c>
      <c r="AG47" s="612">
        <f t="shared" si="51"/>
        <v>264</v>
      </c>
      <c r="AH47" s="302"/>
      <c r="AI47" s="645">
        <f>SUM(AI3:AI46)</f>
        <v>0</v>
      </c>
      <c r="AJ47" s="645">
        <f>SUM(AJ3:AJ46)</f>
        <v>0</v>
      </c>
      <c r="AK47" s="612"/>
      <c r="AL47" s="612"/>
      <c r="AM47" s="612">
        <f>SUM(AM3:AM46)</f>
        <v>0</v>
      </c>
      <c r="AN47" s="612">
        <f>SUM(AN3:AN46)</f>
        <v>671</v>
      </c>
      <c r="AO47" s="612">
        <f>SUM(AO3:AO46)</f>
        <v>55946</v>
      </c>
    </row>
    <row r="49" spans="3:42">
      <c r="C49" s="648" t="s">
        <v>589</v>
      </c>
      <c r="S49" s="317" t="s">
        <v>482</v>
      </c>
      <c r="T49" s="163"/>
      <c r="U49" s="312"/>
      <c r="V49" s="312"/>
      <c r="W49" s="163"/>
      <c r="X49" s="163"/>
      <c r="Y49" s="164"/>
      <c r="Z49" s="164"/>
      <c r="AA49" s="164"/>
      <c r="AB49" s="164"/>
      <c r="AC49" s="164"/>
      <c r="AD49" s="164"/>
      <c r="AE49" s="164"/>
      <c r="AF49" s="79"/>
      <c r="AG49" s="79"/>
      <c r="AH49" s="79"/>
      <c r="AI49" s="79"/>
      <c r="AJ49" s="79"/>
      <c r="AK49" s="79"/>
      <c r="AL49" s="79"/>
      <c r="AM49" s="79"/>
      <c r="AN49" s="79"/>
      <c r="AO49" s="79"/>
    </row>
    <row r="50" spans="3:42">
      <c r="C50" s="648" t="s">
        <v>595</v>
      </c>
      <c r="E50" s="7"/>
      <c r="F50" s="7"/>
      <c r="R50" s="71" t="s">
        <v>669</v>
      </c>
      <c r="S50" s="313"/>
      <c r="T50" s="165" t="s">
        <v>479</v>
      </c>
      <c r="U50" s="313"/>
      <c r="V50" s="313"/>
      <c r="W50" s="164"/>
      <c r="X50" s="164"/>
      <c r="Y50" s="164"/>
      <c r="Z50" s="164"/>
      <c r="AA50" s="164"/>
      <c r="AB50" s="164"/>
      <c r="AC50" s="164"/>
      <c r="AD50" s="164"/>
      <c r="AE50" s="164"/>
      <c r="AF50" s="79"/>
      <c r="AG50" s="79"/>
      <c r="AH50" s="79"/>
      <c r="AI50" s="79"/>
      <c r="AJ50" s="79"/>
      <c r="AK50" s="79"/>
      <c r="AL50" s="79"/>
      <c r="AM50" s="79"/>
      <c r="AN50" s="79"/>
      <c r="AO50" s="79"/>
    </row>
    <row r="51" spans="3:42">
      <c r="C51" s="648" t="s">
        <v>596</v>
      </c>
      <c r="R51" s="71" t="s">
        <v>668</v>
      </c>
      <c r="S51" s="313"/>
      <c r="T51" s="164"/>
      <c r="U51" s="317" t="s">
        <v>216</v>
      </c>
      <c r="V51" s="313"/>
      <c r="W51" s="164"/>
      <c r="X51" s="164"/>
      <c r="Y51" s="164"/>
      <c r="Z51" s="164"/>
      <c r="AA51" s="164"/>
      <c r="AB51" s="164"/>
      <c r="AC51" s="164"/>
      <c r="AD51" s="164"/>
      <c r="AE51" s="164"/>
      <c r="AF51" s="79"/>
      <c r="AG51" s="79"/>
      <c r="AH51" s="79"/>
      <c r="AI51" s="79"/>
      <c r="AJ51" s="79"/>
      <c r="AK51" s="79"/>
      <c r="AL51" s="79"/>
      <c r="AM51" s="79"/>
      <c r="AN51" s="79"/>
      <c r="AO51" s="79"/>
    </row>
    <row r="52" spans="3:42">
      <c r="C52" s="648" t="s">
        <v>566</v>
      </c>
      <c r="R52" s="75" t="s">
        <v>667</v>
      </c>
      <c r="S52" s="313"/>
      <c r="U52" s="312"/>
      <c r="V52" s="314" t="s">
        <v>217</v>
      </c>
      <c r="W52" s="164"/>
      <c r="X52" s="164"/>
      <c r="Y52" s="164"/>
      <c r="Z52" s="164"/>
      <c r="AA52" s="164"/>
      <c r="AB52" s="164"/>
      <c r="AC52" s="164"/>
      <c r="AD52" s="164"/>
      <c r="AE52" s="164"/>
      <c r="AF52" s="79"/>
      <c r="AG52" s="79"/>
      <c r="AH52" s="79"/>
      <c r="AI52" s="79"/>
      <c r="AJ52" s="79"/>
      <c r="AK52" s="79"/>
      <c r="AL52" s="79"/>
      <c r="AM52" s="79"/>
      <c r="AN52" s="79"/>
      <c r="AO52" s="79"/>
    </row>
    <row r="53" spans="3:42">
      <c r="C53" s="648" t="s">
        <v>567</v>
      </c>
      <c r="R53" s="75" t="s">
        <v>607</v>
      </c>
      <c r="S53" s="313"/>
      <c r="U53" s="312"/>
      <c r="V53" s="313"/>
      <c r="W53" s="162" t="s">
        <v>480</v>
      </c>
      <c r="X53" s="164"/>
      <c r="Y53" s="164"/>
      <c r="Z53" s="164"/>
      <c r="AA53" s="164"/>
      <c r="AB53" s="164"/>
      <c r="AC53" s="164"/>
      <c r="AD53" s="164"/>
      <c r="AE53" s="164"/>
      <c r="AF53" s="164"/>
      <c r="AG53" s="164"/>
      <c r="AH53" s="164"/>
      <c r="AI53" s="164"/>
      <c r="AJ53" s="164"/>
      <c r="AK53" s="164"/>
      <c r="AL53" s="164"/>
      <c r="AM53" s="79"/>
      <c r="AN53" s="79"/>
      <c r="AO53" s="79"/>
    </row>
    <row r="54" spans="3:42">
      <c r="C54" s="648" t="s">
        <v>614</v>
      </c>
      <c r="R54" s="75" t="s">
        <v>608</v>
      </c>
      <c r="S54" s="313"/>
      <c r="T54" s="164"/>
      <c r="U54" s="312"/>
      <c r="V54" s="313"/>
      <c r="W54" s="164"/>
      <c r="X54" s="165" t="s">
        <v>218</v>
      </c>
      <c r="Y54" s="164"/>
      <c r="Z54" s="164"/>
      <c r="AA54" s="164"/>
      <c r="AB54" s="164"/>
      <c r="AC54" s="164"/>
      <c r="AD54" s="164"/>
      <c r="AE54" s="164"/>
      <c r="AF54" s="164"/>
      <c r="AG54" s="164"/>
      <c r="AH54" s="164"/>
      <c r="AI54" s="164"/>
      <c r="AJ54" s="164"/>
      <c r="AK54" s="164"/>
      <c r="AL54" s="164"/>
      <c r="AM54" s="79"/>
      <c r="AN54" s="79"/>
      <c r="AO54" s="79"/>
    </row>
    <row r="55" spans="3:42">
      <c r="C55" s="648" t="s">
        <v>620</v>
      </c>
      <c r="S55" s="313"/>
      <c r="T55" s="164"/>
      <c r="U55" s="312"/>
      <c r="V55" s="313"/>
      <c r="W55" s="164"/>
      <c r="X55" s="164"/>
      <c r="Y55" s="162" t="s">
        <v>219</v>
      </c>
      <c r="Z55" s="162"/>
      <c r="AA55" s="164"/>
      <c r="AB55" s="164"/>
      <c r="AC55" s="164"/>
      <c r="AD55" s="164"/>
      <c r="AE55" s="164"/>
      <c r="AF55" s="164"/>
      <c r="AG55" s="164"/>
      <c r="AH55" s="164"/>
      <c r="AI55" s="164"/>
      <c r="AJ55" s="164"/>
      <c r="AK55" s="164"/>
      <c r="AL55" s="164"/>
      <c r="AM55" s="79"/>
      <c r="AN55" s="79"/>
      <c r="AO55" s="79"/>
    </row>
    <row r="56" spans="3:42">
      <c r="C56" s="327"/>
      <c r="S56" s="313"/>
      <c r="T56" s="164"/>
      <c r="U56" s="313"/>
      <c r="V56" s="313"/>
      <c r="W56" s="164"/>
      <c r="X56" s="164"/>
      <c r="Y56" s="164"/>
      <c r="Z56" s="165" t="s">
        <v>246</v>
      </c>
      <c r="AA56" s="164"/>
      <c r="AB56" s="164"/>
      <c r="AC56" s="164"/>
      <c r="AD56" s="164"/>
      <c r="AE56" s="164"/>
      <c r="AF56" s="164"/>
      <c r="AG56" s="164"/>
      <c r="AH56" s="164"/>
      <c r="AI56" s="164"/>
      <c r="AJ56" s="164"/>
      <c r="AK56" s="164"/>
      <c r="AL56" s="164"/>
      <c r="AM56" s="79"/>
      <c r="AN56" s="79"/>
      <c r="AO56" s="79"/>
    </row>
    <row r="57" spans="3:42">
      <c r="C57" s="327"/>
      <c r="R57" s="7" t="s">
        <v>683</v>
      </c>
      <c r="S57" s="313" t="s">
        <v>697</v>
      </c>
      <c r="T57" s="164" t="s">
        <v>507</v>
      </c>
      <c r="U57" s="313"/>
      <c r="V57" s="313"/>
      <c r="W57" s="164"/>
      <c r="X57" s="164"/>
      <c r="Y57" s="164"/>
      <c r="Z57" s="164"/>
      <c r="AA57" s="162" t="s">
        <v>220</v>
      </c>
      <c r="AB57" s="165"/>
      <c r="AC57" s="164"/>
      <c r="AD57" s="164"/>
      <c r="AE57" s="164"/>
      <c r="AF57" s="164"/>
      <c r="AG57" s="164"/>
      <c r="AH57" s="164"/>
      <c r="AI57" s="164"/>
      <c r="AJ57" s="164"/>
      <c r="AK57" s="164"/>
      <c r="AL57" s="164"/>
      <c r="AM57" s="164"/>
      <c r="AN57" s="79"/>
      <c r="AO57" s="79"/>
    </row>
    <row r="58" spans="3:42">
      <c r="C58" s="327"/>
      <c r="R58" s="7" t="s">
        <v>684</v>
      </c>
      <c r="S58" s="313" t="s">
        <v>697</v>
      </c>
      <c r="T58" s="164" t="s">
        <v>507</v>
      </c>
      <c r="U58" s="313"/>
      <c r="V58" s="313"/>
      <c r="W58" s="164"/>
      <c r="X58" s="164"/>
      <c r="Y58" s="164"/>
      <c r="Z58" s="164"/>
      <c r="AA58" s="165"/>
      <c r="AB58" s="165" t="s">
        <v>247</v>
      </c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79"/>
      <c r="AO58" s="79"/>
    </row>
    <row r="59" spans="3:42">
      <c r="C59" s="327"/>
      <c r="R59" s="7" t="s">
        <v>686</v>
      </c>
      <c r="S59" s="313" t="s">
        <v>685</v>
      </c>
      <c r="T59" s="313" t="s">
        <v>684</v>
      </c>
      <c r="U59" s="313"/>
      <c r="V59" s="313"/>
      <c r="W59" s="164"/>
      <c r="X59" s="164"/>
      <c r="Y59" s="164"/>
      <c r="Z59" s="164"/>
      <c r="AA59" s="164"/>
      <c r="AB59" s="164"/>
      <c r="AC59" s="162" t="s">
        <v>221</v>
      </c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79"/>
      <c r="AO59" s="79"/>
    </row>
    <row r="60" spans="3:42">
      <c r="C60" s="327"/>
      <c r="D60" s="71" t="s">
        <v>683</v>
      </c>
      <c r="E60" s="3">
        <f>I9/G9</f>
        <v>700</v>
      </c>
      <c r="R60" s="7" t="s">
        <v>688</v>
      </c>
      <c r="S60" s="313" t="s">
        <v>697</v>
      </c>
      <c r="T60" s="164" t="s">
        <v>507</v>
      </c>
      <c r="U60" s="313"/>
      <c r="V60" s="313"/>
      <c r="W60" s="164"/>
      <c r="X60" s="164"/>
      <c r="Y60" s="164"/>
      <c r="Z60" s="164"/>
      <c r="AA60" s="164"/>
      <c r="AB60" s="164"/>
      <c r="AC60" s="164"/>
      <c r="AD60" s="165" t="s">
        <v>222</v>
      </c>
      <c r="AE60" s="164"/>
      <c r="AF60" s="164"/>
      <c r="AG60" s="164"/>
      <c r="AH60" s="164"/>
      <c r="AI60" s="164"/>
      <c r="AJ60" s="164"/>
      <c r="AK60" s="164"/>
      <c r="AL60" s="164"/>
      <c r="AM60" s="164"/>
      <c r="AN60" s="79"/>
      <c r="AO60" s="79"/>
    </row>
    <row r="61" spans="3:42">
      <c r="C61" s="327"/>
      <c r="D61" s="464" t="s">
        <v>511</v>
      </c>
      <c r="R61" s="7" t="s">
        <v>689</v>
      </c>
      <c r="S61" s="313" t="s">
        <v>686</v>
      </c>
      <c r="T61" s="313" t="s">
        <v>697</v>
      </c>
      <c r="U61" s="313" t="s">
        <v>697</v>
      </c>
      <c r="V61" s="313"/>
      <c r="W61" s="164"/>
      <c r="X61" s="164"/>
      <c r="Y61" s="164"/>
      <c r="Z61" s="164"/>
      <c r="AA61" s="164"/>
      <c r="AB61" s="164"/>
      <c r="AC61" s="164"/>
      <c r="AD61" s="164"/>
      <c r="AE61" s="162" t="s">
        <v>262</v>
      </c>
      <c r="AF61" s="166"/>
      <c r="AG61" s="166"/>
      <c r="AH61" s="166"/>
      <c r="AI61" s="166"/>
      <c r="AJ61" s="166"/>
      <c r="AK61" s="166"/>
      <c r="AL61" s="166"/>
      <c r="AM61" s="164"/>
      <c r="AN61" s="79"/>
      <c r="AO61" s="79"/>
      <c r="AP61" s="161"/>
    </row>
    <row r="62" spans="3:42">
      <c r="C62" s="327"/>
      <c r="D62" s="464" t="s">
        <v>512</v>
      </c>
      <c r="R62" s="7" t="s">
        <v>690</v>
      </c>
      <c r="S62" s="313" t="s">
        <v>687</v>
      </c>
      <c r="T62" s="164"/>
      <c r="U62" s="313"/>
      <c r="V62" s="315"/>
      <c r="W62" s="164"/>
      <c r="X62" s="164"/>
      <c r="Y62" s="164"/>
      <c r="Z62" s="164"/>
      <c r="AA62" s="164"/>
      <c r="AB62" s="164"/>
      <c r="AC62" s="164"/>
      <c r="AD62" s="164"/>
      <c r="AE62" s="164"/>
      <c r="AF62" s="162" t="s">
        <v>263</v>
      </c>
      <c r="AG62" s="165"/>
      <c r="AH62" s="165"/>
      <c r="AI62" s="165"/>
      <c r="AJ62" s="165"/>
      <c r="AK62" s="165"/>
      <c r="AL62" s="165"/>
      <c r="AM62" s="164"/>
      <c r="AN62" s="79"/>
      <c r="AO62" s="79"/>
      <c r="AP62" s="161"/>
    </row>
    <row r="63" spans="3:42">
      <c r="C63" s="327"/>
      <c r="D63" s="464"/>
      <c r="R63" s="7" t="s">
        <v>692</v>
      </c>
      <c r="S63" s="313"/>
      <c r="T63" s="164"/>
      <c r="U63" s="313"/>
      <c r="V63" s="7"/>
      <c r="AG63" s="165" t="s">
        <v>264</v>
      </c>
      <c r="AH63" s="166"/>
      <c r="AI63" s="166"/>
      <c r="AJ63" s="166"/>
      <c r="AK63" s="166"/>
      <c r="AL63" s="166"/>
      <c r="AM63" s="164"/>
      <c r="AN63" s="79"/>
      <c r="AO63" s="165"/>
    </row>
    <row r="64" spans="3:42">
      <c r="C64" s="336" t="s">
        <v>521</v>
      </c>
      <c r="D64" s="71" t="s">
        <v>684</v>
      </c>
      <c r="E64" s="3">
        <f>I10/G10</f>
        <v>400</v>
      </c>
      <c r="G64" s="281"/>
      <c r="R64" s="7" t="s">
        <v>694</v>
      </c>
      <c r="S64" s="313" t="s">
        <v>687</v>
      </c>
      <c r="T64" s="164" t="s">
        <v>690</v>
      </c>
      <c r="U64" s="313"/>
      <c r="AG64" s="164"/>
      <c r="AH64" s="259" t="s">
        <v>265</v>
      </c>
      <c r="AI64" s="259"/>
      <c r="AJ64" s="259"/>
      <c r="AK64" s="259"/>
      <c r="AL64" s="259"/>
      <c r="AM64" s="164"/>
      <c r="AN64" s="79"/>
      <c r="AO64" s="79"/>
    </row>
    <row r="65" spans="3:40">
      <c r="C65" s="479" t="s">
        <v>695</v>
      </c>
      <c r="D65" s="464" t="s">
        <v>536</v>
      </c>
      <c r="G65" s="2"/>
      <c r="S65" s="313"/>
      <c r="T65" s="164"/>
      <c r="U65" s="313"/>
      <c r="AH65" s="164"/>
      <c r="AI65" s="259" t="s">
        <v>450</v>
      </c>
      <c r="AJ65" s="164"/>
      <c r="AK65" s="164"/>
      <c r="AL65" s="164"/>
      <c r="AM65" s="166"/>
      <c r="AN65" s="165"/>
    </row>
    <row r="66" spans="3:40">
      <c r="D66" s="464" t="s">
        <v>512</v>
      </c>
      <c r="G66" s="2"/>
      <c r="S66" s="315"/>
      <c r="T66" s="79"/>
      <c r="U66" s="315"/>
      <c r="AJ66" s="635" t="s">
        <v>447</v>
      </c>
      <c r="AK66" s="165"/>
      <c r="AL66" s="165"/>
      <c r="AM66" s="165"/>
      <c r="AN66" s="79"/>
    </row>
    <row r="67" spans="3:40">
      <c r="D67" s="464"/>
      <c r="E67" s="281"/>
      <c r="G67" s="2"/>
      <c r="S67" s="7"/>
      <c r="T67" s="2"/>
      <c r="U67" s="7"/>
      <c r="AK67" s="162" t="s">
        <v>448</v>
      </c>
      <c r="AL67" s="164"/>
    </row>
    <row r="68" spans="3:40">
      <c r="D68" s="71" t="s">
        <v>685</v>
      </c>
      <c r="E68" s="3">
        <f>I13/G13</f>
        <v>300</v>
      </c>
      <c r="F68" s="7"/>
      <c r="G68" s="2"/>
      <c r="N68" s="216"/>
      <c r="AL68" s="165" t="s">
        <v>449</v>
      </c>
      <c r="AM68" s="259"/>
    </row>
    <row r="69" spans="3:40">
      <c r="D69" s="464" t="s">
        <v>535</v>
      </c>
      <c r="F69" s="7"/>
      <c r="G69" s="2"/>
      <c r="N69" s="216"/>
      <c r="AM69" s="165"/>
    </row>
    <row r="70" spans="3:40">
      <c r="D70" s="464" t="s">
        <v>512</v>
      </c>
      <c r="G70" s="281"/>
      <c r="AJ70" s="165"/>
      <c r="AK70" s="165"/>
      <c r="AL70" s="165"/>
    </row>
    <row r="71" spans="3:40">
      <c r="E71" s="281"/>
      <c r="F71" s="301"/>
      <c r="G71" s="2"/>
      <c r="AK71" s="162"/>
      <c r="AL71" s="164"/>
    </row>
    <row r="72" spans="3:40">
      <c r="D72" s="71" t="s">
        <v>686</v>
      </c>
      <c r="E72" s="3">
        <f>I14/G14</f>
        <v>800</v>
      </c>
      <c r="G72" s="2"/>
      <c r="AL72" s="165"/>
    </row>
    <row r="73" spans="3:40">
      <c r="D73" s="464" t="s">
        <v>535</v>
      </c>
      <c r="G73" s="2"/>
    </row>
    <row r="74" spans="3:40">
      <c r="D74" s="464" t="s">
        <v>512</v>
      </c>
      <c r="F74" s="7"/>
      <c r="G74" s="2"/>
    </row>
    <row r="75" spans="3:40">
      <c r="D75" s="464"/>
      <c r="F75" s="7"/>
      <c r="G75" s="2"/>
    </row>
    <row r="76" spans="3:40">
      <c r="D76" s="71" t="s">
        <v>687</v>
      </c>
      <c r="E76" s="3">
        <f>I18/G18</f>
        <v>3900</v>
      </c>
      <c r="G76" s="281"/>
    </row>
    <row r="77" spans="3:40">
      <c r="D77" s="464" t="s">
        <v>573</v>
      </c>
    </row>
    <row r="78" spans="3:40">
      <c r="D78" s="464" t="s">
        <v>512</v>
      </c>
    </row>
    <row r="79" spans="3:40">
      <c r="D79" s="464"/>
    </row>
    <row r="80" spans="3:40">
      <c r="C80" s="3" t="s">
        <v>696</v>
      </c>
      <c r="D80" s="71" t="s">
        <v>688</v>
      </c>
      <c r="E80" s="3">
        <f>I22/G22</f>
        <v>8500</v>
      </c>
    </row>
    <row r="81" spans="3:5">
      <c r="C81" s="8" t="s">
        <v>575</v>
      </c>
      <c r="D81" s="464" t="s">
        <v>623</v>
      </c>
    </row>
    <row r="82" spans="3:5">
      <c r="C82" s="8" t="s">
        <v>576</v>
      </c>
      <c r="D82" s="464" t="s">
        <v>624</v>
      </c>
    </row>
    <row r="83" spans="3:5">
      <c r="C83" s="320" t="s">
        <v>579</v>
      </c>
      <c r="D83" s="464"/>
    </row>
    <row r="84" spans="3:5">
      <c r="D84" s="71" t="s">
        <v>689</v>
      </c>
      <c r="E84" s="3">
        <f>I24/G24</f>
        <v>600</v>
      </c>
    </row>
    <row r="85" spans="3:5">
      <c r="D85" s="464" t="s">
        <v>623</v>
      </c>
    </row>
    <row r="86" spans="3:5">
      <c r="D86" s="464" t="s">
        <v>624</v>
      </c>
    </row>
    <row r="87" spans="3:5">
      <c r="D87" s="464"/>
    </row>
    <row r="88" spans="3:5">
      <c r="D88" s="71" t="s">
        <v>690</v>
      </c>
      <c r="E88" s="3">
        <f>I31/F31</f>
        <v>600</v>
      </c>
    </row>
    <row r="89" spans="3:5">
      <c r="D89" s="464" t="s">
        <v>640</v>
      </c>
    </row>
    <row r="90" spans="3:5">
      <c r="D90" s="464" t="s">
        <v>641</v>
      </c>
    </row>
    <row r="91" spans="3:5">
      <c r="D91" s="464"/>
    </row>
    <row r="92" spans="3:5">
      <c r="D92" s="71" t="s">
        <v>691</v>
      </c>
      <c r="E92" s="3">
        <f>I33/G33</f>
        <v>2700</v>
      </c>
    </row>
    <row r="93" spans="3:5">
      <c r="D93" s="464" t="s">
        <v>640</v>
      </c>
    </row>
    <row r="94" spans="3:5">
      <c r="D94" s="464" t="s">
        <v>641</v>
      </c>
    </row>
    <row r="95" spans="3:5">
      <c r="D95" s="464"/>
    </row>
    <row r="96" spans="3:5">
      <c r="D96" s="71" t="s">
        <v>692</v>
      </c>
      <c r="E96" s="3">
        <f>I37/G37</f>
        <v>4800</v>
      </c>
    </row>
    <row r="97" spans="4:5">
      <c r="D97" s="464" t="s">
        <v>653</v>
      </c>
    </row>
    <row r="98" spans="4:5">
      <c r="D98" s="464" t="s">
        <v>641</v>
      </c>
    </row>
    <row r="99" spans="4:5">
      <c r="D99" s="464"/>
    </row>
    <row r="100" spans="4:5">
      <c r="D100" s="71" t="s">
        <v>693</v>
      </c>
      <c r="E100" s="3">
        <f>I41/G41</f>
        <v>8400</v>
      </c>
    </row>
    <row r="101" spans="4:5">
      <c r="D101" s="464" t="s">
        <v>662</v>
      </c>
    </row>
    <row r="102" spans="4:5">
      <c r="D102" s="464" t="s">
        <v>663</v>
      </c>
    </row>
    <row r="103" spans="4:5">
      <c r="D103" s="464"/>
    </row>
    <row r="104" spans="4:5">
      <c r="D104" s="71" t="s">
        <v>694</v>
      </c>
      <c r="E104" s="3">
        <f>I45/G45</f>
        <v>1200</v>
      </c>
    </row>
    <row r="105" spans="4:5">
      <c r="D105" s="464" t="s">
        <v>640</v>
      </c>
    </row>
    <row r="106" spans="4:5">
      <c r="D106" s="464" t="s">
        <v>665</v>
      </c>
    </row>
  </sheetData>
  <mergeCells count="10">
    <mergeCell ref="G1:M1"/>
    <mergeCell ref="N1:O1"/>
    <mergeCell ref="P1:Q1"/>
    <mergeCell ref="R1:R2"/>
    <mergeCell ref="S1:AP1"/>
    <mergeCell ref="A47:F47"/>
    <mergeCell ref="A1:A2"/>
    <mergeCell ref="C1:C2"/>
    <mergeCell ref="E1:F1"/>
    <mergeCell ref="D1:D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07"/>
  <sheetViews>
    <sheetView workbookViewId="0">
      <pane ySplit="2" topLeftCell="A43" activePane="bottomLeft" state="frozen"/>
      <selection pane="bottomLeft" activeCell="C57" sqref="C57:D104"/>
    </sheetView>
  </sheetViews>
  <sheetFormatPr defaultRowHeight="11.25"/>
  <cols>
    <col min="1" max="1" width="10.7109375" style="7" bestFit="1" customWidth="1"/>
    <col min="2" max="2" width="8.7109375" style="7" bestFit="1" customWidth="1"/>
    <col min="3" max="3" width="61.7109375" style="82" customWidth="1"/>
    <col min="4" max="4" width="11.7109375" style="3" customWidth="1"/>
    <col min="5" max="5" width="13.140625" style="3" customWidth="1"/>
    <col min="6" max="6" width="10.28515625" style="3" customWidth="1"/>
    <col min="7" max="7" width="9.5703125" style="2" bestFit="1" customWidth="1"/>
    <col min="8" max="11" width="9.5703125" style="2" customWidth="1"/>
    <col min="12" max="12" width="10.7109375" style="2" bestFit="1" customWidth="1"/>
    <col min="13" max="13" width="10.140625" style="2" bestFit="1" customWidth="1"/>
    <col min="14" max="14" width="6" style="2" bestFit="1" customWidth="1"/>
    <col min="15" max="15" width="12.5703125" style="2" customWidth="1"/>
    <col min="16" max="16" width="9.57031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7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7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7" customWidth="1"/>
    <col min="38" max="38" width="6.85546875" style="7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7" bestFit="1" customWidth="1"/>
    <col min="61" max="62" width="8.85546875" style="3" bestFit="1" customWidth="1"/>
    <col min="63" max="16384" width="9.140625" style="3"/>
  </cols>
  <sheetData>
    <row r="1" spans="1:62" s="58" customFormat="1" ht="15.75" customHeight="1">
      <c r="A1" s="847" t="s">
        <v>31</v>
      </c>
      <c r="B1" s="848"/>
      <c r="C1" s="848"/>
      <c r="D1" s="848"/>
      <c r="E1" s="849"/>
      <c r="F1" s="860" t="s">
        <v>494</v>
      </c>
      <c r="G1" s="861"/>
      <c r="H1" s="861"/>
      <c r="I1" s="861"/>
      <c r="J1" s="861"/>
      <c r="K1" s="861"/>
      <c r="L1" s="861"/>
      <c r="M1" s="861"/>
      <c r="N1" s="861"/>
      <c r="O1" s="861"/>
      <c r="P1" s="861"/>
      <c r="Q1" s="861"/>
      <c r="R1" s="861"/>
      <c r="S1" s="844" t="s">
        <v>67</v>
      </c>
      <c r="T1" s="866" t="s">
        <v>150</v>
      </c>
      <c r="U1" s="847" t="s">
        <v>13</v>
      </c>
      <c r="V1" s="848"/>
      <c r="W1" s="848"/>
      <c r="X1" s="848"/>
      <c r="Y1" s="848"/>
      <c r="Z1" s="848"/>
      <c r="AA1" s="848"/>
      <c r="AB1" s="848"/>
      <c r="AC1" s="848"/>
      <c r="AD1" s="849"/>
      <c r="AE1" s="859" t="s">
        <v>14</v>
      </c>
      <c r="AF1" s="859"/>
      <c r="AG1" s="859"/>
      <c r="AH1" s="859"/>
      <c r="AI1" s="859"/>
      <c r="AJ1" s="859"/>
      <c r="AK1" s="859"/>
      <c r="AL1" s="859"/>
      <c r="AM1" s="859"/>
      <c r="AN1" s="847" t="s">
        <v>15</v>
      </c>
      <c r="AO1" s="848"/>
      <c r="AP1" s="848"/>
      <c r="AQ1" s="848"/>
      <c r="AR1" s="848"/>
      <c r="AS1" s="848"/>
      <c r="AT1" s="848"/>
      <c r="AU1" s="848"/>
      <c r="AV1" s="848"/>
      <c r="AW1" s="849"/>
      <c r="AX1" s="850" t="s">
        <v>16</v>
      </c>
      <c r="AY1" s="850"/>
      <c r="AZ1" s="850"/>
      <c r="BA1" s="850"/>
      <c r="BB1" s="850"/>
      <c r="BC1" s="850"/>
      <c r="BD1" s="850"/>
      <c r="BE1" s="850"/>
      <c r="BF1" s="851" t="s">
        <v>17</v>
      </c>
      <c r="BG1" s="852"/>
      <c r="BH1" s="852"/>
      <c r="BI1" s="852"/>
      <c r="BJ1" s="853"/>
    </row>
    <row r="2" spans="1:62" s="4" customFormat="1" ht="45.75" customHeight="1" thickBot="1">
      <c r="A2" s="72" t="s">
        <v>19</v>
      </c>
      <c r="B2" s="72"/>
      <c r="C2" s="81" t="s">
        <v>0</v>
      </c>
      <c r="D2" s="59" t="s">
        <v>11</v>
      </c>
      <c r="E2" s="60" t="s">
        <v>12</v>
      </c>
      <c r="F2" s="49" t="s">
        <v>68</v>
      </c>
      <c r="G2" s="35" t="s">
        <v>69</v>
      </c>
      <c r="H2" s="35" t="s">
        <v>241</v>
      </c>
      <c r="I2" s="35" t="s">
        <v>70</v>
      </c>
      <c r="J2" s="864" t="s">
        <v>29</v>
      </c>
      <c r="K2" s="865"/>
      <c r="L2" s="35" t="s">
        <v>141</v>
      </c>
      <c r="M2" s="35" t="s">
        <v>142</v>
      </c>
      <c r="N2" s="35" t="s">
        <v>89</v>
      </c>
      <c r="O2" s="35"/>
      <c r="P2" s="35" t="s">
        <v>149</v>
      </c>
      <c r="Q2" s="86" t="s">
        <v>95</v>
      </c>
      <c r="R2" s="104" t="s">
        <v>94</v>
      </c>
      <c r="S2" s="845"/>
      <c r="T2" s="867"/>
      <c r="U2" s="49" t="s">
        <v>32</v>
      </c>
      <c r="V2" s="49" t="s">
        <v>19</v>
      </c>
      <c r="W2" s="35" t="s">
        <v>20</v>
      </c>
      <c r="X2" s="9" t="s">
        <v>21</v>
      </c>
      <c r="Y2" s="9" t="s">
        <v>22</v>
      </c>
      <c r="Z2" s="35" t="s">
        <v>23</v>
      </c>
      <c r="AA2" s="35" t="s">
        <v>24</v>
      </c>
      <c r="AB2" s="35" t="s">
        <v>25</v>
      </c>
      <c r="AC2" s="854" t="s">
        <v>29</v>
      </c>
      <c r="AD2" s="855"/>
      <c r="AE2" s="49" t="s">
        <v>28</v>
      </c>
      <c r="AF2" s="49" t="s">
        <v>19</v>
      </c>
      <c r="AG2" s="35" t="s">
        <v>20</v>
      </c>
      <c r="AH2" s="9" t="s">
        <v>27</v>
      </c>
      <c r="AI2" s="9" t="s">
        <v>19</v>
      </c>
      <c r="AJ2" s="64" t="s">
        <v>71</v>
      </c>
      <c r="AK2" s="64" t="s">
        <v>72</v>
      </c>
      <c r="AL2" s="862" t="s">
        <v>29</v>
      </c>
      <c r="AM2" s="863"/>
      <c r="AN2" s="49" t="s">
        <v>18</v>
      </c>
      <c r="AO2" s="49" t="s">
        <v>19</v>
      </c>
      <c r="AP2" s="35" t="s">
        <v>20</v>
      </c>
      <c r="AQ2" s="9" t="s">
        <v>21</v>
      </c>
      <c r="AR2" s="9" t="s">
        <v>22</v>
      </c>
      <c r="AS2" s="35" t="s">
        <v>23</v>
      </c>
      <c r="AT2" s="35" t="s">
        <v>24</v>
      </c>
      <c r="AU2" s="35" t="s">
        <v>25</v>
      </c>
      <c r="AV2" s="854" t="s">
        <v>29</v>
      </c>
      <c r="AW2" s="855"/>
      <c r="AX2" s="49" t="s">
        <v>18</v>
      </c>
      <c r="AY2" s="35" t="s">
        <v>19</v>
      </c>
      <c r="AZ2" s="35" t="s">
        <v>20</v>
      </c>
      <c r="BA2" s="35" t="s">
        <v>26</v>
      </c>
      <c r="BB2" s="9" t="s">
        <v>27</v>
      </c>
      <c r="BC2" s="9" t="s">
        <v>19</v>
      </c>
      <c r="BD2" s="35" t="s">
        <v>28</v>
      </c>
      <c r="BE2" s="36" t="s">
        <v>29</v>
      </c>
      <c r="BF2" s="50" t="s">
        <v>30</v>
      </c>
      <c r="BG2" s="50" t="s">
        <v>19</v>
      </c>
      <c r="BH2" s="51" t="s">
        <v>18</v>
      </c>
      <c r="BI2" s="854" t="s">
        <v>29</v>
      </c>
      <c r="BJ2" s="855"/>
    </row>
    <row r="3" spans="1:62" s="5" customFormat="1">
      <c r="A3" s="436" t="str">
        <f>'1-συμβολαια'!A3</f>
        <v>93τραπ &amp; σημ</v>
      </c>
      <c r="B3" s="565">
        <f>'1-συμβολαια'!B3</f>
        <v>27790</v>
      </c>
      <c r="C3" s="284" t="str">
        <f>'1-συμβολαια'!C3</f>
        <v>δάνειο</v>
      </c>
      <c r="D3" s="260" t="str">
        <f>'4-πολλυπρ'!D3</f>
        <v xml:space="preserve">τραπεζα [= </v>
      </c>
      <c r="E3" s="260" t="str">
        <f>'4-πολλυπρ'!I3</f>
        <v>219-16</v>
      </c>
      <c r="F3" s="260"/>
      <c r="G3" s="287"/>
      <c r="H3" s="278"/>
      <c r="I3" s="278"/>
      <c r="J3" s="286"/>
      <c r="K3" s="286"/>
      <c r="L3" s="278"/>
      <c r="M3" s="278"/>
      <c r="N3" s="278"/>
      <c r="O3" s="278"/>
      <c r="P3" s="278">
        <f t="shared" ref="P3" si="0">L3+M3</f>
        <v>0</v>
      </c>
      <c r="Q3" s="260"/>
      <c r="R3" s="260"/>
      <c r="S3" s="260"/>
      <c r="T3" s="369"/>
      <c r="U3" s="370"/>
      <c r="V3" s="67"/>
      <c r="W3" s="371" t="s">
        <v>387</v>
      </c>
      <c r="X3" s="67"/>
      <c r="Y3" s="371" t="s">
        <v>9</v>
      </c>
      <c r="Z3" s="372"/>
      <c r="AA3" s="67"/>
      <c r="AB3" s="67"/>
      <c r="AC3" s="67"/>
      <c r="AD3" s="67"/>
      <c r="AE3" s="370"/>
      <c r="AF3" s="67"/>
      <c r="AG3" s="67"/>
      <c r="AH3" s="67"/>
      <c r="AI3" s="67"/>
      <c r="AJ3" s="264"/>
      <c r="AK3" s="264"/>
      <c r="AL3" s="264"/>
      <c r="AM3" s="67"/>
      <c r="AN3" s="67"/>
      <c r="AO3" s="67"/>
      <c r="AP3" s="371" t="s">
        <v>387</v>
      </c>
      <c r="AQ3" s="67"/>
      <c r="AR3" s="371" t="s">
        <v>9</v>
      </c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370"/>
      <c r="BI3" s="67"/>
      <c r="BJ3" s="67"/>
    </row>
    <row r="4" spans="1:62" s="5" customFormat="1">
      <c r="A4" s="436">
        <f>'1-συμβολαια'!A4</f>
        <v>0</v>
      </c>
      <c r="B4" s="565"/>
      <c r="C4" s="284" t="str">
        <f>'1-συμβολαια'!C4</f>
        <v>υποθήκη δανείου</v>
      </c>
      <c r="D4" s="260" t="str">
        <f>'4-πολλυπρ'!D4</f>
        <v xml:space="preserve">τραπεζα [= </v>
      </c>
      <c r="E4" s="260" t="str">
        <f>'4-πολλυπρ'!I4</f>
        <v>219-16</v>
      </c>
      <c r="F4" s="260">
        <v>3</v>
      </c>
      <c r="G4" s="287">
        <f t="shared" ref="G4" si="1">F4*300</f>
        <v>900</v>
      </c>
      <c r="H4" s="278">
        <v>300</v>
      </c>
      <c r="I4" s="278">
        <f t="shared" ref="I4" si="2">G4+H4</f>
        <v>1200</v>
      </c>
      <c r="J4" s="286" t="s">
        <v>147</v>
      </c>
      <c r="K4" s="286" t="s">
        <v>148</v>
      </c>
      <c r="L4" s="278">
        <v>120</v>
      </c>
      <c r="M4" s="278">
        <v>120</v>
      </c>
      <c r="N4" s="278">
        <v>30</v>
      </c>
      <c r="O4" s="278"/>
      <c r="P4" s="278">
        <f t="shared" ref="P4" si="3">L4+M4</f>
        <v>240</v>
      </c>
      <c r="Q4" s="260"/>
      <c r="R4" s="260"/>
      <c r="S4" s="260"/>
      <c r="T4" s="369"/>
      <c r="U4" s="370"/>
      <c r="V4" s="67"/>
      <c r="W4" s="371" t="s">
        <v>387</v>
      </c>
      <c r="X4" s="67"/>
      <c r="Y4" s="371" t="s">
        <v>9</v>
      </c>
      <c r="Z4" s="372"/>
      <c r="AA4" s="67"/>
      <c r="AB4" s="67"/>
      <c r="AC4" s="67"/>
      <c r="AD4" s="67"/>
      <c r="AE4" s="370"/>
      <c r="AF4" s="67"/>
      <c r="AG4" s="67"/>
      <c r="AH4" s="67"/>
      <c r="AI4" s="67"/>
      <c r="AJ4" s="264"/>
      <c r="AK4" s="264"/>
      <c r="AL4" s="264"/>
      <c r="AM4" s="67"/>
      <c r="AN4" s="67"/>
      <c r="AO4" s="67"/>
      <c r="AP4" s="371" t="s">
        <v>387</v>
      </c>
      <c r="AQ4" s="67"/>
      <c r="AR4" s="371" t="s">
        <v>9</v>
      </c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370"/>
      <c r="BI4" s="67"/>
      <c r="BJ4" s="67"/>
    </row>
    <row r="5" spans="1:62" s="5" customFormat="1">
      <c r="A5" s="436">
        <f>'1-συμβολαια'!A5</f>
        <v>0</v>
      </c>
      <c r="B5" s="565"/>
      <c r="C5" s="435" t="str">
        <f>'1-συμβολαια'!C5</f>
        <v>τόκοι δανείου {εμπρόθεσμα πληρωθέντες}</v>
      </c>
      <c r="D5" s="260" t="str">
        <f>'4-πολλυπρ'!D5</f>
        <v xml:space="preserve">τραπεζα [= </v>
      </c>
      <c r="E5" s="260" t="str">
        <f>'4-πολλυπρ'!I5</f>
        <v>219-16</v>
      </c>
      <c r="F5" s="260"/>
      <c r="G5" s="287"/>
      <c r="H5" s="278"/>
      <c r="I5" s="278"/>
      <c r="J5" s="286"/>
      <c r="K5" s="286"/>
      <c r="L5" s="278"/>
      <c r="M5" s="278"/>
      <c r="N5" s="278"/>
      <c r="O5" s="278"/>
      <c r="P5" s="278">
        <f t="shared" ref="P5:P21" si="4">L5+M5</f>
        <v>0</v>
      </c>
      <c r="Q5" s="260"/>
      <c r="R5" s="260"/>
      <c r="S5" s="260"/>
      <c r="T5" s="369"/>
      <c r="U5" s="370"/>
      <c r="V5" s="67"/>
      <c r="W5" s="371" t="s">
        <v>387</v>
      </c>
      <c r="X5" s="67"/>
      <c r="Y5" s="371" t="s">
        <v>9</v>
      </c>
      <c r="Z5" s="372"/>
      <c r="AA5" s="67"/>
      <c r="AB5" s="67"/>
      <c r="AC5" s="67"/>
      <c r="AD5" s="67"/>
      <c r="AE5" s="370"/>
      <c r="AF5" s="67"/>
      <c r="AG5" s="67"/>
      <c r="AH5" s="67"/>
      <c r="AI5" s="67"/>
      <c r="AJ5" s="264"/>
      <c r="AK5" s="264"/>
      <c r="AL5" s="264"/>
      <c r="AM5" s="67"/>
      <c r="AN5" s="67"/>
      <c r="AO5" s="67"/>
      <c r="AP5" s="371" t="s">
        <v>387</v>
      </c>
      <c r="AQ5" s="67"/>
      <c r="AR5" s="371" t="s">
        <v>9</v>
      </c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370"/>
      <c r="BI5" s="67"/>
      <c r="BJ5" s="67"/>
    </row>
    <row r="6" spans="1:62" s="5" customFormat="1">
      <c r="A6" s="436" t="str">
        <f>'1-συμβολαια'!A6</f>
        <v>375τραπ</v>
      </c>
      <c r="B6" s="565">
        <f>'1-συμβολαια'!B6</f>
        <v>30161</v>
      </c>
      <c r="C6" s="435" t="str">
        <f>'1-συμβολαια'!C6</f>
        <v>δάνειο</v>
      </c>
      <c r="D6" s="260" t="str">
        <f>'4-πολλυπρ'!D6</f>
        <v xml:space="preserve">τραπεζα [= </v>
      </c>
      <c r="E6" s="260" t="str">
        <f>'4-πολλυπρ'!I6</f>
        <v>219-16</v>
      </c>
      <c r="F6" s="260"/>
      <c r="G6" s="287"/>
      <c r="H6" s="278"/>
      <c r="I6" s="278"/>
      <c r="J6" s="286"/>
      <c r="K6" s="286"/>
      <c r="L6" s="278"/>
      <c r="M6" s="278"/>
      <c r="N6" s="278"/>
      <c r="O6" s="278"/>
      <c r="P6" s="278">
        <f t="shared" si="4"/>
        <v>0</v>
      </c>
      <c r="Q6" s="260"/>
      <c r="R6" s="260"/>
      <c r="S6" s="260"/>
      <c r="T6" s="369"/>
      <c r="U6" s="370"/>
      <c r="V6" s="67"/>
      <c r="W6" s="371" t="s">
        <v>387</v>
      </c>
      <c r="X6" s="67"/>
      <c r="Y6" s="371" t="s">
        <v>9</v>
      </c>
      <c r="Z6" s="372"/>
      <c r="AA6" s="67"/>
      <c r="AB6" s="67"/>
      <c r="AC6" s="67"/>
      <c r="AD6" s="67"/>
      <c r="AE6" s="370"/>
      <c r="AF6" s="67"/>
      <c r="AG6" s="67"/>
      <c r="AH6" s="67"/>
      <c r="AI6" s="67"/>
      <c r="AJ6" s="264"/>
      <c r="AK6" s="264"/>
      <c r="AL6" s="264"/>
      <c r="AM6" s="67"/>
      <c r="AN6" s="67"/>
      <c r="AO6" s="67"/>
      <c r="AP6" s="371" t="s">
        <v>387</v>
      </c>
      <c r="AQ6" s="67"/>
      <c r="AR6" s="371" t="s">
        <v>9</v>
      </c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370"/>
      <c r="BI6" s="67"/>
      <c r="BJ6" s="67"/>
    </row>
    <row r="7" spans="1:62" s="5" customFormat="1">
      <c r="A7" s="436">
        <f>'1-συμβολαια'!A7</f>
        <v>0</v>
      </c>
      <c r="B7" s="565"/>
      <c r="C7" s="435" t="str">
        <f>'1-συμβολαια'!C7</f>
        <v>υποθήκη δανείου</v>
      </c>
      <c r="D7" s="260" t="str">
        <f>'4-πολλυπρ'!D7</f>
        <v xml:space="preserve">τραπεζα [= </v>
      </c>
      <c r="E7" s="260" t="str">
        <f>'4-πολλυπρ'!I7</f>
        <v>219-16</v>
      </c>
      <c r="F7" s="260">
        <v>3</v>
      </c>
      <c r="G7" s="287">
        <f t="shared" ref="G7:G16" si="5">F7*300</f>
        <v>900</v>
      </c>
      <c r="H7" s="278">
        <v>300</v>
      </c>
      <c r="I7" s="278">
        <f t="shared" ref="I7:I16" si="6">G7+H7</f>
        <v>1200</v>
      </c>
      <c r="J7" s="286" t="s">
        <v>147</v>
      </c>
      <c r="K7" s="286" t="s">
        <v>148</v>
      </c>
      <c r="L7" s="278">
        <v>120</v>
      </c>
      <c r="M7" s="278">
        <v>120</v>
      </c>
      <c r="N7" s="278">
        <v>30</v>
      </c>
      <c r="O7" s="278"/>
      <c r="P7" s="278">
        <f t="shared" si="4"/>
        <v>240</v>
      </c>
      <c r="Q7" s="260"/>
      <c r="R7" s="260"/>
      <c r="S7" s="260"/>
      <c r="T7" s="369"/>
      <c r="U7" s="370"/>
      <c r="V7" s="67"/>
      <c r="W7" s="371" t="s">
        <v>387</v>
      </c>
      <c r="X7" s="67"/>
      <c r="Y7" s="371" t="s">
        <v>9</v>
      </c>
      <c r="Z7" s="372"/>
      <c r="AA7" s="67"/>
      <c r="AB7" s="67"/>
      <c r="AC7" s="67"/>
      <c r="AD7" s="67"/>
      <c r="AE7" s="370"/>
      <c r="AF7" s="67"/>
      <c r="AG7" s="67"/>
      <c r="AH7" s="67"/>
      <c r="AI7" s="67"/>
      <c r="AJ7" s="264"/>
      <c r="AK7" s="264"/>
      <c r="AL7" s="264"/>
      <c r="AM7" s="67"/>
      <c r="AN7" s="67"/>
      <c r="AO7" s="67"/>
      <c r="AP7" s="371" t="s">
        <v>387</v>
      </c>
      <c r="AQ7" s="67"/>
      <c r="AR7" s="371" t="s">
        <v>9</v>
      </c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370"/>
      <c r="BI7" s="67"/>
      <c r="BJ7" s="67"/>
    </row>
    <row r="8" spans="1:62" s="5" customFormat="1">
      <c r="A8" s="436">
        <f>'1-συμβολαια'!A8</f>
        <v>0</v>
      </c>
      <c r="B8" s="565"/>
      <c r="C8" s="435" t="str">
        <f>'1-συμβολαια'!C8</f>
        <v>τόκοι δανείου</v>
      </c>
      <c r="D8" s="260" t="str">
        <f>'4-πολλυπρ'!D8</f>
        <v xml:space="preserve">τραπεζα [= </v>
      </c>
      <c r="E8" s="260" t="str">
        <f>'4-πολλυπρ'!I8</f>
        <v>219-16</v>
      </c>
      <c r="F8" s="260"/>
      <c r="G8" s="287"/>
      <c r="H8" s="278"/>
      <c r="I8" s="278"/>
      <c r="J8" s="286"/>
      <c r="K8" s="286"/>
      <c r="L8" s="278"/>
      <c r="M8" s="278"/>
      <c r="N8" s="278"/>
      <c r="O8" s="278"/>
      <c r="P8" s="278">
        <f t="shared" si="4"/>
        <v>0</v>
      </c>
      <c r="Q8" s="260"/>
      <c r="R8" s="260"/>
      <c r="S8" s="260"/>
      <c r="T8" s="369"/>
      <c r="U8" s="370"/>
      <c r="V8" s="67"/>
      <c r="W8" s="371" t="s">
        <v>387</v>
      </c>
      <c r="X8" s="67"/>
      <c r="Y8" s="371" t="s">
        <v>9</v>
      </c>
      <c r="Z8" s="372"/>
      <c r="AA8" s="67"/>
      <c r="AB8" s="67"/>
      <c r="AC8" s="67"/>
      <c r="AD8" s="67"/>
      <c r="AE8" s="370"/>
      <c r="AF8" s="67"/>
      <c r="AG8" s="67"/>
      <c r="AH8" s="67"/>
      <c r="AI8" s="67"/>
      <c r="AJ8" s="264"/>
      <c r="AK8" s="264"/>
      <c r="AL8" s="264"/>
      <c r="AM8" s="67"/>
      <c r="AN8" s="67"/>
      <c r="AO8" s="67"/>
      <c r="AP8" s="371" t="s">
        <v>387</v>
      </c>
      <c r="AQ8" s="67"/>
      <c r="AR8" s="371" t="s">
        <v>9</v>
      </c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370"/>
      <c r="BI8" s="67"/>
      <c r="BJ8" s="67"/>
    </row>
    <row r="9" spans="1:62" s="5" customFormat="1" ht="12" thickBot="1">
      <c r="A9" s="666" t="str">
        <f>'1-συμβολαια'!A9</f>
        <v>1ο</v>
      </c>
      <c r="B9" s="667">
        <f>'1-συμβολαια'!B9</f>
        <v>30265</v>
      </c>
      <c r="C9" s="668" t="str">
        <f>'1-συμβολαια'!C9</f>
        <v>υποθήκη τυχόν αυξήσεως ΤΟΚΩΝ δανείου</v>
      </c>
      <c r="D9" s="669" t="str">
        <f>'4-πολλυπρ'!D9</f>
        <v xml:space="preserve">τραπεζα [= </v>
      </c>
      <c r="E9" s="669" t="str">
        <f>'4-πολλυπρ'!I9</f>
        <v>219-16</v>
      </c>
      <c r="F9" s="260">
        <v>1</v>
      </c>
      <c r="G9" s="287">
        <f t="shared" si="5"/>
        <v>300</v>
      </c>
      <c r="H9" s="278">
        <v>300</v>
      </c>
      <c r="I9" s="278">
        <f t="shared" si="6"/>
        <v>600</v>
      </c>
      <c r="J9" s="286" t="s">
        <v>147</v>
      </c>
      <c r="K9" s="286" t="s">
        <v>148</v>
      </c>
      <c r="L9" s="278">
        <v>120</v>
      </c>
      <c r="M9" s="278">
        <v>120</v>
      </c>
      <c r="N9" s="278">
        <v>30</v>
      </c>
      <c r="O9" s="278"/>
      <c r="P9" s="278">
        <f t="shared" si="4"/>
        <v>240</v>
      </c>
      <c r="Q9" s="260"/>
      <c r="R9" s="260"/>
      <c r="S9" s="260"/>
      <c r="T9" s="369"/>
      <c r="U9" s="370"/>
      <c r="V9" s="67"/>
      <c r="W9" s="371" t="s">
        <v>387</v>
      </c>
      <c r="X9" s="67"/>
      <c r="Y9" s="371" t="s">
        <v>9</v>
      </c>
      <c r="Z9" s="372"/>
      <c r="AA9" s="67"/>
      <c r="AB9" s="67"/>
      <c r="AC9" s="67"/>
      <c r="AD9" s="67"/>
      <c r="AE9" s="370"/>
      <c r="AF9" s="67"/>
      <c r="AG9" s="67"/>
      <c r="AH9" s="67"/>
      <c r="AI9" s="67"/>
      <c r="AJ9" s="264"/>
      <c r="AK9" s="264"/>
      <c r="AL9" s="264"/>
      <c r="AM9" s="67"/>
      <c r="AN9" s="67"/>
      <c r="AO9" s="67"/>
      <c r="AP9" s="371" t="s">
        <v>387</v>
      </c>
      <c r="AQ9" s="67"/>
      <c r="AR9" s="371" t="s">
        <v>9</v>
      </c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370"/>
      <c r="BI9" s="67"/>
      <c r="BJ9" s="67"/>
    </row>
    <row r="10" spans="1:62" s="5" customFormat="1">
      <c r="A10" s="653" t="str">
        <f>'1-συμβολαια'!A10</f>
        <v>2ο</v>
      </c>
      <c r="B10" s="649">
        <f>'1-συμβολαια'!B10</f>
        <v>30160</v>
      </c>
      <c r="C10" s="284" t="str">
        <f>'1-συμβολαια'!C10</f>
        <v>αγοραπωλησία οικοπεδου τίμημα = 800.000 Δ.Ο.Υ. =</v>
      </c>
      <c r="D10" s="278" t="str">
        <f>'4-πολλυπρ'!D10</f>
        <v>;;;???</v>
      </c>
      <c r="E10" s="278" t="str">
        <f>'4-πολλυπρ'!I10</f>
        <v>219-16</v>
      </c>
      <c r="F10" s="260">
        <v>2</v>
      </c>
      <c r="G10" s="287">
        <f t="shared" si="5"/>
        <v>600</v>
      </c>
      <c r="H10" s="278">
        <v>300</v>
      </c>
      <c r="I10" s="278">
        <f t="shared" si="6"/>
        <v>900</v>
      </c>
      <c r="J10" s="286" t="s">
        <v>147</v>
      </c>
      <c r="K10" s="286" t="s">
        <v>148</v>
      </c>
      <c r="L10" s="278">
        <v>120</v>
      </c>
      <c r="M10" s="278">
        <v>120</v>
      </c>
      <c r="N10" s="278">
        <v>30</v>
      </c>
      <c r="O10" s="278"/>
      <c r="P10" s="278">
        <f t="shared" si="4"/>
        <v>240</v>
      </c>
      <c r="Q10" s="260"/>
      <c r="R10" s="260"/>
      <c r="S10" s="260"/>
      <c r="T10" s="369"/>
      <c r="U10" s="370"/>
      <c r="V10" s="67"/>
      <c r="W10" s="371" t="s">
        <v>387</v>
      </c>
      <c r="X10" s="67"/>
      <c r="Y10" s="371" t="s">
        <v>9</v>
      </c>
      <c r="Z10" s="372"/>
      <c r="AA10" s="67"/>
      <c r="AB10" s="67"/>
      <c r="AC10" s="67"/>
      <c r="AD10" s="67"/>
      <c r="AE10" s="370"/>
      <c r="AF10" s="67"/>
      <c r="AG10" s="67"/>
      <c r="AH10" s="67"/>
      <c r="AI10" s="67"/>
      <c r="AJ10" s="264"/>
      <c r="AK10" s="264"/>
      <c r="AL10" s="264"/>
      <c r="AM10" s="67"/>
      <c r="AN10" s="67"/>
      <c r="AO10" s="67"/>
      <c r="AP10" s="371" t="s">
        <v>387</v>
      </c>
      <c r="AQ10" s="67"/>
      <c r="AR10" s="371" t="s">
        <v>9</v>
      </c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370"/>
      <c r="BI10" s="67"/>
      <c r="BJ10" s="67"/>
    </row>
    <row r="11" spans="1:62" s="5" customFormat="1">
      <c r="A11" s="285">
        <f>'1-συμβολαια'!A11</f>
        <v>0</v>
      </c>
      <c r="B11" s="565"/>
      <c r="C11" s="284" t="str">
        <f>'1-συμβολαια'!C11</f>
        <v>αγορά εργοστασίου ;;;??? μ2</v>
      </c>
      <c r="D11" s="260" t="str">
        <f>'4-πολλυπρ'!D11</f>
        <v>;;;???</v>
      </c>
      <c r="E11" s="260" t="str">
        <f>'4-πολλυπρ'!I11</f>
        <v>219-16</v>
      </c>
      <c r="F11" s="260"/>
      <c r="G11" s="287"/>
      <c r="H11" s="278"/>
      <c r="I11" s="278"/>
      <c r="J11" s="286"/>
      <c r="K11" s="286"/>
      <c r="L11" s="278"/>
      <c r="M11" s="278"/>
      <c r="N11" s="278"/>
      <c r="O11" s="278"/>
      <c r="P11" s="278">
        <f t="shared" si="4"/>
        <v>0</v>
      </c>
      <c r="Q11" s="260"/>
      <c r="R11" s="260"/>
      <c r="S11" s="260"/>
      <c r="T11" s="369"/>
      <c r="U11" s="370"/>
      <c r="V11" s="67"/>
      <c r="W11" s="371" t="s">
        <v>387</v>
      </c>
      <c r="X11" s="67"/>
      <c r="Y11" s="371" t="s">
        <v>9</v>
      </c>
      <c r="Z11" s="372"/>
      <c r="AA11" s="67"/>
      <c r="AB11" s="67"/>
      <c r="AC11" s="67"/>
      <c r="AD11" s="67"/>
      <c r="AE11" s="370"/>
      <c r="AF11" s="67"/>
      <c r="AG11" s="67"/>
      <c r="AH11" s="67"/>
      <c r="AI11" s="67"/>
      <c r="AJ11" s="264"/>
      <c r="AK11" s="264"/>
      <c r="AL11" s="264"/>
      <c r="AM11" s="67"/>
      <c r="AN11" s="67"/>
      <c r="AO11" s="67"/>
      <c r="AP11" s="371" t="s">
        <v>387</v>
      </c>
      <c r="AQ11" s="67"/>
      <c r="AR11" s="371" t="s">
        <v>9</v>
      </c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370"/>
      <c r="BI11" s="67"/>
      <c r="BJ11" s="67"/>
    </row>
    <row r="12" spans="1:62" s="5" customFormat="1" ht="12" thickBot="1">
      <c r="A12" s="650">
        <f>'1-συμβολαια'!A12</f>
        <v>0</v>
      </c>
      <c r="B12" s="651"/>
      <c r="C12" s="652" t="str">
        <f>'1-συμβολαια'!C12</f>
        <v>αγορά εργοστασίου ΕΞΟΠΛΙΣΜΟΣ</v>
      </c>
      <c r="D12" s="342" t="str">
        <f>'4-πολλυπρ'!D12</f>
        <v>;;;???</v>
      </c>
      <c r="E12" s="342" t="str">
        <f>'4-πολλυπρ'!I12</f>
        <v>219-16</v>
      </c>
      <c r="F12" s="260"/>
      <c r="G12" s="287"/>
      <c r="H12" s="278"/>
      <c r="I12" s="278"/>
      <c r="J12" s="286"/>
      <c r="K12" s="286"/>
      <c r="L12" s="278"/>
      <c r="M12" s="278"/>
      <c r="N12" s="278"/>
      <c r="O12" s="278"/>
      <c r="P12" s="278">
        <f t="shared" si="4"/>
        <v>0</v>
      </c>
      <c r="Q12" s="260"/>
      <c r="R12" s="260"/>
      <c r="S12" s="260"/>
      <c r="T12" s="369"/>
      <c r="U12" s="370"/>
      <c r="V12" s="67"/>
      <c r="W12" s="371" t="s">
        <v>387</v>
      </c>
      <c r="X12" s="67"/>
      <c r="Y12" s="371" t="s">
        <v>9</v>
      </c>
      <c r="Z12" s="372"/>
      <c r="AA12" s="67"/>
      <c r="AB12" s="67"/>
      <c r="AC12" s="67"/>
      <c r="AD12" s="67"/>
      <c r="AE12" s="370"/>
      <c r="AF12" s="67"/>
      <c r="AG12" s="67"/>
      <c r="AH12" s="67"/>
      <c r="AI12" s="67"/>
      <c r="AJ12" s="264"/>
      <c r="AK12" s="264"/>
      <c r="AL12" s="264"/>
      <c r="AM12" s="67"/>
      <c r="AN12" s="67"/>
      <c r="AO12" s="67"/>
      <c r="AP12" s="371" t="s">
        <v>387</v>
      </c>
      <c r="AQ12" s="67"/>
      <c r="AR12" s="371" t="s">
        <v>9</v>
      </c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370"/>
      <c r="BI12" s="67"/>
      <c r="BJ12" s="67"/>
    </row>
    <row r="13" spans="1:62" s="5" customFormat="1" ht="12" thickBot="1">
      <c r="A13" s="654" t="str">
        <f>'1-συμβολαια'!A13</f>
        <v>3ο</v>
      </c>
      <c r="B13" s="655">
        <f>'1-συμβολαια'!B13</f>
        <v>30149</v>
      </c>
      <c r="C13" s="656" t="str">
        <f>'1-συμβολαια'!C13</f>
        <v>πληρεξούσιο</v>
      </c>
      <c r="D13" s="496" t="str">
        <f>'4-πολλυπρ'!D13</f>
        <v>219-16</v>
      </c>
      <c r="E13" s="496" t="str">
        <f>'4-πολλυπρ'!I13</f>
        <v>219-16</v>
      </c>
      <c r="F13" s="260"/>
      <c r="G13" s="287"/>
      <c r="H13" s="278"/>
      <c r="I13" s="278"/>
      <c r="J13" s="286"/>
      <c r="K13" s="286"/>
      <c r="L13" s="278"/>
      <c r="M13" s="278"/>
      <c r="N13" s="278"/>
      <c r="O13" s="278"/>
      <c r="P13" s="278">
        <f t="shared" si="4"/>
        <v>0</v>
      </c>
      <c r="Q13" s="260"/>
      <c r="R13" s="260"/>
      <c r="S13" s="260"/>
      <c r="T13" s="369"/>
      <c r="U13" s="370"/>
      <c r="V13" s="67"/>
      <c r="W13" s="371" t="s">
        <v>387</v>
      </c>
      <c r="X13" s="67"/>
      <c r="Y13" s="371" t="s">
        <v>9</v>
      </c>
      <c r="Z13" s="372"/>
      <c r="AA13" s="67"/>
      <c r="AB13" s="67"/>
      <c r="AC13" s="67"/>
      <c r="AD13" s="67"/>
      <c r="AE13" s="370"/>
      <c r="AF13" s="67"/>
      <c r="AG13" s="67"/>
      <c r="AH13" s="67"/>
      <c r="AI13" s="67"/>
      <c r="AJ13" s="264"/>
      <c r="AK13" s="264"/>
      <c r="AL13" s="264"/>
      <c r="AM13" s="67"/>
      <c r="AN13" s="67"/>
      <c r="AO13" s="67"/>
      <c r="AP13" s="371" t="s">
        <v>387</v>
      </c>
      <c r="AQ13" s="67"/>
      <c r="AR13" s="371" t="s">
        <v>9</v>
      </c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370"/>
      <c r="BI13" s="67"/>
      <c r="BJ13" s="67"/>
    </row>
    <row r="14" spans="1:62" s="5" customFormat="1">
      <c r="A14" s="653" t="str">
        <f>'1-συμβολαια'!A14</f>
        <v>4ο</v>
      </c>
      <c r="B14" s="649">
        <f>'1-συμβολαια'!B14</f>
        <v>30412</v>
      </c>
      <c r="C14" s="284" t="str">
        <f>'1-συμβολαια'!C14</f>
        <v>υποθήκη [έναντι του δανείου 375-29/07/1982τραπ</v>
      </c>
      <c r="D14" s="278" t="str">
        <f>'4-πολλυπρ'!D14</f>
        <v xml:space="preserve">τραπεζα [= </v>
      </c>
      <c r="E14" s="278" t="str">
        <f>'4-πολλυπρ'!I14</f>
        <v>219-16</v>
      </c>
      <c r="F14" s="260">
        <v>2</v>
      </c>
      <c r="G14" s="287">
        <f t="shared" si="5"/>
        <v>600</v>
      </c>
      <c r="H14" s="278">
        <v>300</v>
      </c>
      <c r="I14" s="278">
        <f t="shared" si="6"/>
        <v>900</v>
      </c>
      <c r="J14" s="286" t="s">
        <v>147</v>
      </c>
      <c r="K14" s="286" t="s">
        <v>148</v>
      </c>
      <c r="L14" s="278">
        <v>120</v>
      </c>
      <c r="M14" s="278">
        <v>120</v>
      </c>
      <c r="N14" s="278">
        <v>30</v>
      </c>
      <c r="O14" s="278"/>
      <c r="P14" s="278">
        <f t="shared" si="4"/>
        <v>240</v>
      </c>
      <c r="Q14" s="260"/>
      <c r="R14" s="260"/>
      <c r="S14" s="260"/>
      <c r="T14" s="369"/>
      <c r="U14" s="370"/>
      <c r="V14" s="67"/>
      <c r="W14" s="371" t="s">
        <v>387</v>
      </c>
      <c r="X14" s="67"/>
      <c r="Y14" s="371" t="s">
        <v>9</v>
      </c>
      <c r="Z14" s="372"/>
      <c r="AA14" s="67"/>
      <c r="AB14" s="67"/>
      <c r="AC14" s="67"/>
      <c r="AD14" s="67"/>
      <c r="AE14" s="370"/>
      <c r="AF14" s="67"/>
      <c r="AG14" s="67"/>
      <c r="AH14" s="67"/>
      <c r="AI14" s="67"/>
      <c r="AJ14" s="264"/>
      <c r="AK14" s="264"/>
      <c r="AL14" s="264"/>
      <c r="AM14" s="67"/>
      <c r="AN14" s="67"/>
      <c r="AO14" s="67"/>
      <c r="AP14" s="371" t="s">
        <v>387</v>
      </c>
      <c r="AQ14" s="67"/>
      <c r="AR14" s="371" t="s">
        <v>9</v>
      </c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370"/>
      <c r="BI14" s="67"/>
      <c r="BJ14" s="67"/>
    </row>
    <row r="15" spans="1:62" s="5" customFormat="1">
      <c r="A15" s="285" t="str">
        <f>'1-συμβολαια'!A15</f>
        <v>389τραπ</v>
      </c>
      <c r="B15" s="565">
        <f>'1-συμβολαια'!B15</f>
        <v>30228</v>
      </c>
      <c r="C15" s="284" t="str">
        <f>'1-συμβολαια'!C15</f>
        <v>δάνειο</v>
      </c>
      <c r="D15" s="260" t="str">
        <f>'4-πολλυπρ'!D15</f>
        <v xml:space="preserve">τραπεζα [= </v>
      </c>
      <c r="E15" s="260" t="str">
        <f>'4-πολλυπρ'!I15</f>
        <v>219-16</v>
      </c>
      <c r="F15" s="260"/>
      <c r="G15" s="287"/>
      <c r="H15" s="278"/>
      <c r="I15" s="278"/>
      <c r="J15" s="286"/>
      <c r="K15" s="286"/>
      <c r="L15" s="278"/>
      <c r="M15" s="278"/>
      <c r="N15" s="278"/>
      <c r="O15" s="278"/>
      <c r="P15" s="278">
        <f t="shared" si="4"/>
        <v>0</v>
      </c>
      <c r="Q15" s="260"/>
      <c r="R15" s="260"/>
      <c r="S15" s="260"/>
      <c r="T15" s="369"/>
      <c r="U15" s="370"/>
      <c r="V15" s="67"/>
      <c r="W15" s="371" t="s">
        <v>387</v>
      </c>
      <c r="X15" s="67"/>
      <c r="Y15" s="371" t="s">
        <v>9</v>
      </c>
      <c r="Z15" s="372"/>
      <c r="AA15" s="67"/>
      <c r="AB15" s="67"/>
      <c r="AC15" s="67"/>
      <c r="AD15" s="67"/>
      <c r="AE15" s="370"/>
      <c r="AF15" s="67"/>
      <c r="AG15" s="67"/>
      <c r="AH15" s="67"/>
      <c r="AI15" s="67"/>
      <c r="AJ15" s="264"/>
      <c r="AK15" s="264"/>
      <c r="AL15" s="264"/>
      <c r="AM15" s="67"/>
      <c r="AN15" s="67"/>
      <c r="AO15" s="67"/>
      <c r="AP15" s="371" t="s">
        <v>387</v>
      </c>
      <c r="AQ15" s="67"/>
      <c r="AR15" s="371" t="s">
        <v>9</v>
      </c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370"/>
      <c r="BI15" s="67"/>
      <c r="BJ15" s="67"/>
    </row>
    <row r="16" spans="1:62" s="5" customFormat="1">
      <c r="A16" s="285">
        <f>'1-συμβολαια'!A16</f>
        <v>0</v>
      </c>
      <c r="B16" s="565"/>
      <c r="C16" s="284" t="str">
        <f>'1-συμβολαια'!C16</f>
        <v>υποθήκη δανείου</v>
      </c>
      <c r="D16" s="260" t="str">
        <f>'4-πολλυπρ'!D16</f>
        <v xml:space="preserve">τραπεζα [= </v>
      </c>
      <c r="E16" s="260" t="str">
        <f>'4-πολλυπρ'!I16</f>
        <v>219-16</v>
      </c>
      <c r="F16" s="260">
        <v>2</v>
      </c>
      <c r="G16" s="287">
        <f t="shared" si="5"/>
        <v>600</v>
      </c>
      <c r="H16" s="278">
        <v>300</v>
      </c>
      <c r="I16" s="278">
        <f t="shared" si="6"/>
        <v>900</v>
      </c>
      <c r="J16" s="286" t="s">
        <v>147</v>
      </c>
      <c r="K16" s="286" t="s">
        <v>148</v>
      </c>
      <c r="L16" s="278">
        <v>120</v>
      </c>
      <c r="M16" s="278">
        <v>120</v>
      </c>
      <c r="N16" s="278">
        <v>30</v>
      </c>
      <c r="O16" s="278"/>
      <c r="P16" s="278">
        <f t="shared" si="4"/>
        <v>240</v>
      </c>
      <c r="Q16" s="260"/>
      <c r="R16" s="260"/>
      <c r="S16" s="260"/>
      <c r="T16" s="369"/>
      <c r="U16" s="370"/>
      <c r="V16" s="67"/>
      <c r="W16" s="371" t="s">
        <v>387</v>
      </c>
      <c r="X16" s="67"/>
      <c r="Y16" s="371" t="s">
        <v>9</v>
      </c>
      <c r="Z16" s="372"/>
      <c r="AA16" s="67"/>
      <c r="AB16" s="67"/>
      <c r="AC16" s="67"/>
      <c r="AD16" s="67"/>
      <c r="AE16" s="370"/>
      <c r="AF16" s="67"/>
      <c r="AG16" s="67"/>
      <c r="AH16" s="67"/>
      <c r="AI16" s="67"/>
      <c r="AJ16" s="264"/>
      <c r="AK16" s="264"/>
      <c r="AL16" s="264"/>
      <c r="AM16" s="67"/>
      <c r="AN16" s="67"/>
      <c r="AO16" s="67"/>
      <c r="AP16" s="371" t="s">
        <v>387</v>
      </c>
      <c r="AQ16" s="67"/>
      <c r="AR16" s="371" t="s">
        <v>9</v>
      </c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370"/>
      <c r="BI16" s="67"/>
      <c r="BJ16" s="67"/>
    </row>
    <row r="17" spans="1:62" s="5" customFormat="1" ht="12" thickBot="1">
      <c r="A17" s="650">
        <f>'1-συμβολαια'!A17</f>
        <v>0</v>
      </c>
      <c r="B17" s="651"/>
      <c r="C17" s="652" t="str">
        <f>'1-συμβολαια'!C17</f>
        <v>τόκοι δανείου</v>
      </c>
      <c r="D17" s="342" t="str">
        <f>'4-πολλυπρ'!D17</f>
        <v xml:space="preserve">τραπεζα [= </v>
      </c>
      <c r="E17" s="342" t="str">
        <f>'4-πολλυπρ'!I17</f>
        <v>219-16</v>
      </c>
      <c r="F17" s="260"/>
      <c r="G17" s="287"/>
      <c r="H17" s="278"/>
      <c r="I17" s="278"/>
      <c r="J17" s="286"/>
      <c r="K17" s="286"/>
      <c r="L17" s="278"/>
      <c r="M17" s="278"/>
      <c r="N17" s="278"/>
      <c r="O17" s="278"/>
      <c r="P17" s="278">
        <f t="shared" si="4"/>
        <v>0</v>
      </c>
      <c r="Q17" s="260"/>
      <c r="R17" s="260"/>
      <c r="S17" s="260"/>
      <c r="T17" s="369"/>
      <c r="U17" s="370"/>
      <c r="V17" s="67"/>
      <c r="W17" s="371" t="s">
        <v>387</v>
      </c>
      <c r="X17" s="67"/>
      <c r="Y17" s="371" t="s">
        <v>9</v>
      </c>
      <c r="Z17" s="372"/>
      <c r="AA17" s="67"/>
      <c r="AB17" s="67"/>
      <c r="AC17" s="67"/>
      <c r="AD17" s="67"/>
      <c r="AE17" s="370"/>
      <c r="AF17" s="67"/>
      <c r="AG17" s="67"/>
      <c r="AH17" s="67"/>
      <c r="AI17" s="67"/>
      <c r="AJ17" s="264"/>
      <c r="AK17" s="264"/>
      <c r="AL17" s="264"/>
      <c r="AM17" s="67"/>
      <c r="AN17" s="67"/>
      <c r="AO17" s="67"/>
      <c r="AP17" s="371" t="s">
        <v>387</v>
      </c>
      <c r="AQ17" s="67"/>
      <c r="AR17" s="371" t="s">
        <v>9</v>
      </c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370"/>
      <c r="BI17" s="67"/>
      <c r="BJ17" s="67"/>
    </row>
    <row r="18" spans="1:62" s="5" customFormat="1">
      <c r="A18" s="657" t="str">
        <f>'1-συμβολαια'!A18</f>
        <v>5ο</v>
      </c>
      <c r="B18" s="649">
        <f>'1-συμβολαια'!B18</f>
        <v>32394</v>
      </c>
      <c r="C18" s="284" t="str">
        <f>'1-συμβολαια'!C18</f>
        <v>μίσθωσις νταμάρι  Παναγία -'';;;???'' 29στρ 3έτη [1000/έτος/στρ</v>
      </c>
      <c r="D18" s="278" t="str">
        <f>'4-πολλυπρ'!D18</f>
        <v>κοινότηταΠαναγιας [= ματσανηςΓεωργιος</v>
      </c>
      <c r="E18" s="278" t="str">
        <f>'4-πολλυπρ'!I18</f>
        <v>219-16</v>
      </c>
      <c r="F18" s="260"/>
      <c r="G18" s="287"/>
      <c r="H18" s="278"/>
      <c r="I18" s="278"/>
      <c r="J18" s="286"/>
      <c r="K18" s="286"/>
      <c r="L18" s="278"/>
      <c r="M18" s="278"/>
      <c r="N18" s="278"/>
      <c r="O18" s="278"/>
      <c r="P18" s="278">
        <f t="shared" si="4"/>
        <v>0</v>
      </c>
      <c r="Q18" s="260"/>
      <c r="R18" s="260"/>
      <c r="S18" s="260"/>
      <c r="T18" s="369"/>
      <c r="U18" s="370"/>
      <c r="V18" s="67"/>
      <c r="W18" s="371" t="s">
        <v>387</v>
      </c>
      <c r="X18" s="67"/>
      <c r="Y18" s="371" t="s">
        <v>9</v>
      </c>
      <c r="Z18" s="372"/>
      <c r="AA18" s="67"/>
      <c r="AB18" s="67"/>
      <c r="AC18" s="67"/>
      <c r="AD18" s="67"/>
      <c r="AE18" s="370"/>
      <c r="AF18" s="67"/>
      <c r="AG18" s="67"/>
      <c r="AH18" s="67"/>
      <c r="AI18" s="67"/>
      <c r="AJ18" s="264"/>
      <c r="AK18" s="264"/>
      <c r="AL18" s="264"/>
      <c r="AM18" s="67"/>
      <c r="AN18" s="67"/>
      <c r="AO18" s="67"/>
      <c r="AP18" s="371" t="s">
        <v>387</v>
      </c>
      <c r="AQ18" s="67"/>
      <c r="AR18" s="371" t="s">
        <v>9</v>
      </c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370"/>
      <c r="BI18" s="67"/>
      <c r="BJ18" s="67"/>
    </row>
    <row r="19" spans="1:62" s="5" customFormat="1">
      <c r="A19" s="436">
        <f>'1-συμβολαια'!A19</f>
        <v>0</v>
      </c>
      <c r="B19" s="565"/>
      <c r="C19" s="284" t="str">
        <f>'1-συμβολαια'!C19</f>
        <v>μίσθωση … ΚΤΙΡΙΑΚΑ &amp; τεχνικές εγκαταστάσεις &amp; ΚΛΠ</v>
      </c>
      <c r="D19" s="260" t="str">
        <f>'4-πολλυπρ'!D19</f>
        <v>κοινότηταΠαναγιας [= ματσανηςΓεωργιος</v>
      </c>
      <c r="E19" s="260" t="str">
        <f>'4-πολλυπρ'!I19</f>
        <v>219-16</v>
      </c>
      <c r="F19" s="260"/>
      <c r="G19" s="287"/>
      <c r="H19" s="278"/>
      <c r="I19" s="278"/>
      <c r="J19" s="286"/>
      <c r="K19" s="286"/>
      <c r="L19" s="278"/>
      <c r="M19" s="278"/>
      <c r="N19" s="278"/>
      <c r="O19" s="278"/>
      <c r="P19" s="278">
        <f t="shared" si="4"/>
        <v>0</v>
      </c>
      <c r="Q19" s="260"/>
      <c r="R19" s="260"/>
      <c r="S19" s="260"/>
      <c r="T19" s="369"/>
      <c r="U19" s="370"/>
      <c r="V19" s="67"/>
      <c r="W19" s="371" t="s">
        <v>387</v>
      </c>
      <c r="X19" s="67"/>
      <c r="Y19" s="371" t="s">
        <v>9</v>
      </c>
      <c r="Z19" s="372"/>
      <c r="AA19" s="67"/>
      <c r="AB19" s="67"/>
      <c r="AC19" s="67"/>
      <c r="AD19" s="67"/>
      <c r="AE19" s="370"/>
      <c r="AF19" s="67"/>
      <c r="AG19" s="67"/>
      <c r="AH19" s="67"/>
      <c r="AI19" s="67"/>
      <c r="AJ19" s="264"/>
      <c r="AK19" s="264"/>
      <c r="AL19" s="264"/>
      <c r="AM19" s="67"/>
      <c r="AN19" s="67"/>
      <c r="AO19" s="67"/>
      <c r="AP19" s="371" t="s">
        <v>387</v>
      </c>
      <c r="AQ19" s="67"/>
      <c r="AR19" s="371" t="s">
        <v>9</v>
      </c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370"/>
      <c r="BI19" s="67"/>
      <c r="BJ19" s="67"/>
    </row>
    <row r="20" spans="1:62" s="5" customFormat="1">
      <c r="A20" s="436">
        <f>'1-συμβολαια'!A20</f>
        <v>0</v>
      </c>
      <c r="B20" s="565"/>
      <c r="C20" s="284" t="str">
        <f>'1-συμβολαια'!C20</f>
        <v>μίσθωση … ΕΡΕΥΝΗΤΙΚΕΣ εργασίες</v>
      </c>
      <c r="D20" s="260" t="str">
        <f>'4-πολλυπρ'!D20</f>
        <v>κοινότηταΠαναγιας [= ματσανηςΓεωργιος</v>
      </c>
      <c r="E20" s="260" t="str">
        <f>'4-πολλυπρ'!I20</f>
        <v>219-16</v>
      </c>
      <c r="F20" s="260"/>
      <c r="G20" s="287"/>
      <c r="H20" s="278"/>
      <c r="I20" s="278"/>
      <c r="J20" s="286"/>
      <c r="K20" s="286"/>
      <c r="L20" s="278"/>
      <c r="M20" s="278"/>
      <c r="N20" s="278"/>
      <c r="O20" s="278"/>
      <c r="P20" s="278">
        <f t="shared" si="4"/>
        <v>0</v>
      </c>
      <c r="Q20" s="260"/>
      <c r="R20" s="260"/>
      <c r="S20" s="260"/>
      <c r="T20" s="369"/>
      <c r="U20" s="370"/>
      <c r="V20" s="67"/>
      <c r="W20" s="371" t="s">
        <v>387</v>
      </c>
      <c r="X20" s="67"/>
      <c r="Y20" s="371" t="s">
        <v>9</v>
      </c>
      <c r="Z20" s="372"/>
      <c r="AA20" s="67"/>
      <c r="AB20" s="67"/>
      <c r="AC20" s="67"/>
      <c r="AD20" s="67"/>
      <c r="AE20" s="370"/>
      <c r="AF20" s="67"/>
      <c r="AG20" s="67"/>
      <c r="AH20" s="67"/>
      <c r="AI20" s="67"/>
      <c r="AJ20" s="264"/>
      <c r="AK20" s="264"/>
      <c r="AL20" s="264"/>
      <c r="AM20" s="67"/>
      <c r="AN20" s="67"/>
      <c r="AO20" s="67"/>
      <c r="AP20" s="371" t="s">
        <v>387</v>
      </c>
      <c r="AQ20" s="67"/>
      <c r="AR20" s="371" t="s">
        <v>9</v>
      </c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370"/>
      <c r="BI20" s="67"/>
      <c r="BJ20" s="67"/>
    </row>
    <row r="21" spans="1:62" s="5" customFormat="1" ht="12" thickBot="1">
      <c r="A21" s="658">
        <f>'1-συμβολαια'!A21</f>
        <v>0</v>
      </c>
      <c r="B21" s="651"/>
      <c r="C21" s="652" t="str">
        <f>'1-συμβολαια'!C21</f>
        <v>μίσθωση ….. κόστος έργων αποκατάστασης</v>
      </c>
      <c r="D21" s="342" t="str">
        <f>'4-πολλυπρ'!D21</f>
        <v>κοινότηταΠαναγιας [= ματσανηςΓεωργιος</v>
      </c>
      <c r="E21" s="342" t="str">
        <f>'4-πολλυπρ'!I21</f>
        <v>219-16</v>
      </c>
      <c r="F21" s="260"/>
      <c r="G21" s="287"/>
      <c r="H21" s="278"/>
      <c r="I21" s="278"/>
      <c r="J21" s="286"/>
      <c r="K21" s="286"/>
      <c r="L21" s="278"/>
      <c r="M21" s="278"/>
      <c r="N21" s="278"/>
      <c r="O21" s="278"/>
      <c r="P21" s="278">
        <f t="shared" si="4"/>
        <v>0</v>
      </c>
      <c r="Q21" s="260"/>
      <c r="R21" s="260"/>
      <c r="S21" s="260"/>
      <c r="T21" s="369"/>
      <c r="U21" s="370"/>
      <c r="V21" s="67"/>
      <c r="W21" s="371" t="s">
        <v>387</v>
      </c>
      <c r="X21" s="67"/>
      <c r="Y21" s="371" t="s">
        <v>9</v>
      </c>
      <c r="Z21" s="372"/>
      <c r="AA21" s="67"/>
      <c r="AB21" s="67"/>
      <c r="AC21" s="67"/>
      <c r="AD21" s="67"/>
      <c r="AE21" s="370"/>
      <c r="AF21" s="67"/>
      <c r="AG21" s="67"/>
      <c r="AH21" s="67"/>
      <c r="AI21" s="67"/>
      <c r="AJ21" s="264"/>
      <c r="AK21" s="264"/>
      <c r="AL21" s="264"/>
      <c r="AM21" s="67"/>
      <c r="AN21" s="67"/>
      <c r="AO21" s="67"/>
      <c r="AP21" s="371" t="s">
        <v>387</v>
      </c>
      <c r="AQ21" s="67"/>
      <c r="AR21" s="371" t="s">
        <v>9</v>
      </c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370"/>
      <c r="BI21" s="67"/>
      <c r="BJ21" s="67"/>
    </row>
    <row r="22" spans="1:62" s="5" customFormat="1">
      <c r="A22" s="653" t="str">
        <f>'1-συμβολαια'!A22</f>
        <v>6ο</v>
      </c>
      <c r="B22" s="649">
        <f>'1-συμβολαια'!B22</f>
        <v>33008</v>
      </c>
      <c r="C22" s="284" t="str">
        <f>'1-συμβολαια'!C22</f>
        <v>;;;???ΑΕ σύσταση από ΜΕΤΑΤΡΟΠΗ ατομικής [= 40.000.000δρχ</v>
      </c>
      <c r="D22" s="278" t="str">
        <f>'4-πολλυπρ'!D22</f>
        <v>219-16</v>
      </c>
      <c r="E22" s="278" t="str">
        <f>'4-πολλυπρ'!I22</f>
        <v>219-16</v>
      </c>
      <c r="F22" s="260">
        <v>5</v>
      </c>
      <c r="G22" s="287">
        <f t="shared" ref="G22" si="7">F22*300</f>
        <v>1500</v>
      </c>
      <c r="H22" s="278">
        <v>300</v>
      </c>
      <c r="I22" s="278">
        <f t="shared" ref="I22" si="8">G22+H22</f>
        <v>1800</v>
      </c>
      <c r="J22" s="286" t="s">
        <v>147</v>
      </c>
      <c r="K22" s="286" t="s">
        <v>148</v>
      </c>
      <c r="L22" s="278">
        <v>500</v>
      </c>
      <c r="M22" s="278">
        <v>500</v>
      </c>
      <c r="N22" s="278">
        <v>60</v>
      </c>
      <c r="O22" s="278"/>
      <c r="P22" s="278">
        <f t="shared" ref="P22" si="9">L22+M22</f>
        <v>1000</v>
      </c>
      <c r="Q22" s="260"/>
      <c r="R22" s="260"/>
      <c r="S22" s="260"/>
      <c r="T22" s="369"/>
      <c r="U22" s="370"/>
      <c r="V22" s="67"/>
      <c r="W22" s="371" t="s">
        <v>387</v>
      </c>
      <c r="X22" s="67"/>
      <c r="Y22" s="371" t="s">
        <v>9</v>
      </c>
      <c r="Z22" s="372"/>
      <c r="AA22" s="67"/>
      <c r="AB22" s="67"/>
      <c r="AC22" s="67"/>
      <c r="AD22" s="67"/>
      <c r="AE22" s="370"/>
      <c r="AF22" s="67"/>
      <c r="AG22" s="67"/>
      <c r="AH22" s="67"/>
      <c r="AI22" s="67"/>
      <c r="AJ22" s="264"/>
      <c r="AK22" s="264"/>
      <c r="AL22" s="264"/>
      <c r="AM22" s="67"/>
      <c r="AN22" s="67"/>
      <c r="AO22" s="67"/>
      <c r="AP22" s="371" t="s">
        <v>387</v>
      </c>
      <c r="AQ22" s="67"/>
      <c r="AR22" s="371" t="s">
        <v>9</v>
      </c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370"/>
      <c r="BI22" s="67"/>
      <c r="BJ22" s="67"/>
    </row>
    <row r="23" spans="1:62" s="5" customFormat="1" ht="12" thickBot="1">
      <c r="A23" s="650">
        <f>'1-συμβολαια'!A23</f>
        <v>0</v>
      </c>
      <c r="B23" s="651"/>
      <c r="C23" s="652" t="str">
        <f>'1-συμβολαια'!C23</f>
        <v>πληρεξουσιότητα</v>
      </c>
      <c r="D23" s="342" t="str">
        <f>'4-πολλυπρ'!D23</f>
        <v>219-16</v>
      </c>
      <c r="E23" s="342" t="str">
        <f>'4-πολλυπρ'!I23</f>
        <v>219-16</v>
      </c>
      <c r="F23" s="260"/>
      <c r="G23" s="287"/>
      <c r="H23" s="278"/>
      <c r="I23" s="278"/>
      <c r="J23" s="286"/>
      <c r="K23" s="286"/>
      <c r="L23" s="278"/>
      <c r="M23" s="278"/>
      <c r="N23" s="278"/>
      <c r="O23" s="278"/>
      <c r="P23" s="278">
        <f t="shared" ref="P23:P37" si="10">L23+M23</f>
        <v>0</v>
      </c>
      <c r="Q23" s="260"/>
      <c r="R23" s="260"/>
      <c r="S23" s="260"/>
      <c r="T23" s="369"/>
      <c r="U23" s="370"/>
      <c r="V23" s="67"/>
      <c r="W23" s="371" t="s">
        <v>387</v>
      </c>
      <c r="X23" s="67"/>
      <c r="Y23" s="371" t="s">
        <v>9</v>
      </c>
      <c r="Z23" s="372"/>
      <c r="AA23" s="67"/>
      <c r="AB23" s="67"/>
      <c r="AC23" s="67"/>
      <c r="AD23" s="67"/>
      <c r="AE23" s="370"/>
      <c r="AF23" s="67"/>
      <c r="AG23" s="67"/>
      <c r="AH23" s="67"/>
      <c r="AI23" s="67"/>
      <c r="AJ23" s="264"/>
      <c r="AK23" s="264"/>
      <c r="AL23" s="264"/>
      <c r="AM23" s="67"/>
      <c r="AN23" s="67"/>
      <c r="AO23" s="67"/>
      <c r="AP23" s="371" t="s">
        <v>387</v>
      </c>
      <c r="AQ23" s="67"/>
      <c r="AR23" s="371" t="s">
        <v>9</v>
      </c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370"/>
      <c r="BI23" s="67"/>
      <c r="BJ23" s="67"/>
    </row>
    <row r="24" spans="1:62" s="5" customFormat="1">
      <c r="A24" s="657" t="str">
        <f>'1-συμβολαια'!A24</f>
        <v>7ο</v>
      </c>
      <c r="B24" s="649">
        <f>'1-συμβολαια'!B24</f>
        <v>33401</v>
      </c>
      <c r="C24" s="284" t="str">
        <f>'1-συμβολαια'!C24</f>
        <v>;;;??? υποθήκης ΕΞΑΛΕΙΨΗ</v>
      </c>
      <c r="D24" s="278" t="str">
        <f>'4-πολλυπρ'!D24</f>
        <v xml:space="preserve">τραπεζα [= </v>
      </c>
      <c r="E24" s="278">
        <f>'4-πολλυπρ'!I24</f>
        <v>0</v>
      </c>
      <c r="F24" s="260">
        <v>2</v>
      </c>
      <c r="G24" s="287">
        <f t="shared" ref="G24:G37" si="11">F24*300</f>
        <v>600</v>
      </c>
      <c r="H24" s="278">
        <v>300</v>
      </c>
      <c r="I24" s="278">
        <f t="shared" ref="I24:I37" si="12">G24+H24</f>
        <v>900</v>
      </c>
      <c r="J24" s="286" t="s">
        <v>147</v>
      </c>
      <c r="K24" s="286" t="s">
        <v>148</v>
      </c>
      <c r="L24" s="278">
        <v>500</v>
      </c>
      <c r="M24" s="278">
        <v>500</v>
      </c>
      <c r="N24" s="278">
        <v>60</v>
      </c>
      <c r="O24" s="278"/>
      <c r="P24" s="278">
        <f t="shared" si="10"/>
        <v>1000</v>
      </c>
      <c r="Q24" s="260"/>
      <c r="R24" s="260"/>
      <c r="S24" s="260"/>
      <c r="T24" s="369"/>
      <c r="U24" s="370"/>
      <c r="V24" s="67"/>
      <c r="W24" s="371" t="s">
        <v>387</v>
      </c>
      <c r="X24" s="67"/>
      <c r="Y24" s="371" t="s">
        <v>9</v>
      </c>
      <c r="Z24" s="372"/>
      <c r="AA24" s="67"/>
      <c r="AB24" s="67"/>
      <c r="AC24" s="67"/>
      <c r="AD24" s="67"/>
      <c r="AE24" s="370"/>
      <c r="AF24" s="67"/>
      <c r="AG24" s="67"/>
      <c r="AH24" s="67"/>
      <c r="AI24" s="67"/>
      <c r="AJ24" s="264"/>
      <c r="AK24" s="264"/>
      <c r="AL24" s="264"/>
      <c r="AM24" s="67"/>
      <c r="AN24" s="67"/>
      <c r="AO24" s="67"/>
      <c r="AP24" s="371" t="s">
        <v>387</v>
      </c>
      <c r="AQ24" s="67"/>
      <c r="AR24" s="371" t="s">
        <v>9</v>
      </c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370"/>
      <c r="BI24" s="67"/>
      <c r="BJ24" s="67"/>
    </row>
    <row r="25" spans="1:62" s="5" customFormat="1">
      <c r="A25" s="436">
        <f>'1-συμβολαια'!A25</f>
        <v>0</v>
      </c>
      <c r="B25" s="565"/>
      <c r="C25" s="284" t="str">
        <f>'1-συμβολαια'!C25</f>
        <v>υποθήκης 375τραπ29/7/82 ΕΞΑΛΕΙΨΗ</v>
      </c>
      <c r="D25" s="260" t="str">
        <f>'4-πολλυπρ'!D25</f>
        <v xml:space="preserve">τραπεζα [= </v>
      </c>
      <c r="E25" s="260">
        <f>'4-πολλυπρ'!I25</f>
        <v>0</v>
      </c>
      <c r="F25" s="260">
        <v>2</v>
      </c>
      <c r="G25" s="287">
        <f t="shared" si="11"/>
        <v>600</v>
      </c>
      <c r="H25" s="278">
        <v>300</v>
      </c>
      <c r="I25" s="278">
        <f t="shared" si="12"/>
        <v>900</v>
      </c>
      <c r="J25" s="286" t="s">
        <v>147</v>
      </c>
      <c r="K25" s="286" t="s">
        <v>148</v>
      </c>
      <c r="L25" s="278">
        <v>500</v>
      </c>
      <c r="M25" s="278">
        <v>500</v>
      </c>
      <c r="N25" s="278">
        <v>60</v>
      </c>
      <c r="O25" s="278"/>
      <c r="P25" s="278">
        <f t="shared" si="10"/>
        <v>1000</v>
      </c>
      <c r="Q25" s="260"/>
      <c r="R25" s="260"/>
      <c r="S25" s="260"/>
      <c r="T25" s="369"/>
      <c r="U25" s="370"/>
      <c r="V25" s="67"/>
      <c r="W25" s="371" t="s">
        <v>387</v>
      </c>
      <c r="X25" s="67"/>
      <c r="Y25" s="371" t="s">
        <v>9</v>
      </c>
      <c r="Z25" s="372"/>
      <c r="AA25" s="67"/>
      <c r="AB25" s="67"/>
      <c r="AC25" s="67"/>
      <c r="AD25" s="67"/>
      <c r="AE25" s="370"/>
      <c r="AF25" s="67"/>
      <c r="AG25" s="67"/>
      <c r="AH25" s="67"/>
      <c r="AI25" s="67"/>
      <c r="AJ25" s="264"/>
      <c r="AK25" s="264"/>
      <c r="AL25" s="264"/>
      <c r="AM25" s="67"/>
      <c r="AN25" s="67"/>
      <c r="AO25" s="67"/>
      <c r="AP25" s="371" t="s">
        <v>387</v>
      </c>
      <c r="AQ25" s="67"/>
      <c r="AR25" s="371" t="s">
        <v>9</v>
      </c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370"/>
      <c r="BI25" s="67"/>
      <c r="BJ25" s="67"/>
    </row>
    <row r="26" spans="1:62" s="5" customFormat="1">
      <c r="A26" s="436">
        <f>'1-συμβολαια'!A26</f>
        <v>0</v>
      </c>
      <c r="B26" s="565"/>
      <c r="C26" s="284" t="str">
        <f>'1-συμβολαια'!C26</f>
        <v>δάνειο 375τραπ 9/7/82 ΕΞΟΦΛΗΣΗ</v>
      </c>
      <c r="D26" s="260" t="str">
        <f>'4-πολλυπρ'!D26</f>
        <v xml:space="preserve">τραπεζα [= </v>
      </c>
      <c r="E26" s="260">
        <f>'4-πολλυπρ'!I26</f>
        <v>0</v>
      </c>
      <c r="F26" s="260"/>
      <c r="G26" s="287"/>
      <c r="H26" s="278"/>
      <c r="I26" s="278"/>
      <c r="J26" s="286"/>
      <c r="K26" s="286"/>
      <c r="L26" s="278"/>
      <c r="M26" s="278"/>
      <c r="N26" s="278"/>
      <c r="O26" s="278"/>
      <c r="P26" s="278">
        <f t="shared" si="10"/>
        <v>0</v>
      </c>
      <c r="Q26" s="260"/>
      <c r="R26" s="260"/>
      <c r="S26" s="260"/>
      <c r="T26" s="369"/>
      <c r="U26" s="370"/>
      <c r="V26" s="67"/>
      <c r="W26" s="371" t="s">
        <v>387</v>
      </c>
      <c r="X26" s="67"/>
      <c r="Y26" s="371" t="s">
        <v>9</v>
      </c>
      <c r="Z26" s="372"/>
      <c r="AA26" s="67"/>
      <c r="AB26" s="67"/>
      <c r="AC26" s="67"/>
      <c r="AD26" s="67"/>
      <c r="AE26" s="370"/>
      <c r="AF26" s="67"/>
      <c r="AG26" s="67"/>
      <c r="AH26" s="67"/>
      <c r="AI26" s="67"/>
      <c r="AJ26" s="264"/>
      <c r="AK26" s="264"/>
      <c r="AL26" s="264"/>
      <c r="AM26" s="67"/>
      <c r="AN26" s="67"/>
      <c r="AO26" s="67"/>
      <c r="AP26" s="371" t="s">
        <v>387</v>
      </c>
      <c r="AQ26" s="67"/>
      <c r="AR26" s="371" t="s">
        <v>9</v>
      </c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370"/>
      <c r="BI26" s="67"/>
      <c r="BJ26" s="67"/>
    </row>
    <row r="27" spans="1:62" s="5" customFormat="1">
      <c r="A27" s="436">
        <f>'1-συμβολαια'!A27</f>
        <v>0</v>
      </c>
      <c r="B27" s="565"/>
      <c r="C27" s="284" t="str">
        <f>'1-συμβολαια'!C27</f>
        <v>τόκοι δανείου 375τραπ {= προπληρωθέντες VS υπερΠληρωθέντες</v>
      </c>
      <c r="D27" s="260" t="str">
        <f>'4-πολλυπρ'!D27</f>
        <v xml:space="preserve">τραπεζα [= </v>
      </c>
      <c r="E27" s="260">
        <f>'4-πολλυπρ'!I27</f>
        <v>0</v>
      </c>
      <c r="F27" s="260"/>
      <c r="G27" s="287"/>
      <c r="H27" s="278"/>
      <c r="I27" s="278"/>
      <c r="J27" s="286"/>
      <c r="K27" s="286"/>
      <c r="L27" s="278"/>
      <c r="M27" s="278"/>
      <c r="N27" s="278"/>
      <c r="O27" s="278"/>
      <c r="P27" s="278">
        <f t="shared" si="10"/>
        <v>0</v>
      </c>
      <c r="Q27" s="260"/>
      <c r="R27" s="260"/>
      <c r="S27" s="260"/>
      <c r="T27" s="369"/>
      <c r="U27" s="370"/>
      <c r="V27" s="67"/>
      <c r="W27" s="371" t="s">
        <v>387</v>
      </c>
      <c r="X27" s="67"/>
      <c r="Y27" s="371" t="s">
        <v>9</v>
      </c>
      <c r="Z27" s="372"/>
      <c r="AA27" s="67"/>
      <c r="AB27" s="67"/>
      <c r="AC27" s="67"/>
      <c r="AD27" s="67"/>
      <c r="AE27" s="370"/>
      <c r="AF27" s="67"/>
      <c r="AG27" s="67"/>
      <c r="AH27" s="67"/>
      <c r="AI27" s="67"/>
      <c r="AJ27" s="264"/>
      <c r="AK27" s="264"/>
      <c r="AL27" s="264"/>
      <c r="AM27" s="67"/>
      <c r="AN27" s="67"/>
      <c r="AO27" s="67"/>
      <c r="AP27" s="371" t="s">
        <v>387</v>
      </c>
      <c r="AQ27" s="67"/>
      <c r="AR27" s="371" t="s">
        <v>9</v>
      </c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370"/>
      <c r="BI27" s="67"/>
      <c r="BJ27" s="67"/>
    </row>
    <row r="28" spans="1:62" s="5" customFormat="1">
      <c r="A28" s="436">
        <f>'1-συμβολαια'!A28</f>
        <v>0</v>
      </c>
      <c r="B28" s="565"/>
      <c r="C28" s="284" t="str">
        <f>'1-συμβολαια'!C28</f>
        <v>υποθήκης 389τραπ29/7/82 ΕΞΑΛΕΙΨΗ</v>
      </c>
      <c r="D28" s="260" t="str">
        <f>'4-πολλυπρ'!D28</f>
        <v xml:space="preserve">τραπεζα [= </v>
      </c>
      <c r="E28" s="260">
        <f>'4-πολλυπρ'!I28</f>
        <v>0</v>
      </c>
      <c r="F28" s="260">
        <v>2</v>
      </c>
      <c r="G28" s="287">
        <f t="shared" si="11"/>
        <v>600</v>
      </c>
      <c r="H28" s="278">
        <v>300</v>
      </c>
      <c r="I28" s="278">
        <f t="shared" si="12"/>
        <v>900</v>
      </c>
      <c r="J28" s="286" t="s">
        <v>147</v>
      </c>
      <c r="K28" s="286" t="s">
        <v>148</v>
      </c>
      <c r="L28" s="278">
        <v>500</v>
      </c>
      <c r="M28" s="278">
        <v>500</v>
      </c>
      <c r="N28" s="278">
        <v>60</v>
      </c>
      <c r="O28" s="278"/>
      <c r="P28" s="278">
        <f t="shared" si="10"/>
        <v>1000</v>
      </c>
      <c r="Q28" s="260"/>
      <c r="R28" s="260"/>
      <c r="S28" s="260"/>
      <c r="T28" s="369"/>
      <c r="U28" s="370"/>
      <c r="V28" s="67"/>
      <c r="W28" s="371" t="s">
        <v>387</v>
      </c>
      <c r="X28" s="67"/>
      <c r="Y28" s="371" t="s">
        <v>9</v>
      </c>
      <c r="Z28" s="372"/>
      <c r="AA28" s="67"/>
      <c r="AB28" s="67"/>
      <c r="AC28" s="67"/>
      <c r="AD28" s="67"/>
      <c r="AE28" s="370"/>
      <c r="AF28" s="67"/>
      <c r="AG28" s="67"/>
      <c r="AH28" s="67"/>
      <c r="AI28" s="67"/>
      <c r="AJ28" s="264"/>
      <c r="AK28" s="264"/>
      <c r="AL28" s="264"/>
      <c r="AM28" s="67"/>
      <c r="AN28" s="67"/>
      <c r="AO28" s="67"/>
      <c r="AP28" s="371" t="s">
        <v>387</v>
      </c>
      <c r="AQ28" s="67"/>
      <c r="AR28" s="371" t="s">
        <v>9</v>
      </c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370"/>
      <c r="BI28" s="67"/>
      <c r="BJ28" s="67"/>
    </row>
    <row r="29" spans="1:62" s="5" customFormat="1">
      <c r="A29" s="436">
        <f>'1-συμβολαια'!A29</f>
        <v>0</v>
      </c>
      <c r="B29" s="565"/>
      <c r="C29" s="284" t="str">
        <f>'1-συμβολαια'!C29</f>
        <v>δάνειο 389τραπ29/7/82 ΕΞΟΦΛΗΣΗ</v>
      </c>
      <c r="D29" s="260" t="str">
        <f>'4-πολλυπρ'!D29</f>
        <v xml:space="preserve">τραπεζα [= </v>
      </c>
      <c r="E29" s="260">
        <f>'4-πολλυπρ'!I29</f>
        <v>0</v>
      </c>
      <c r="F29" s="260"/>
      <c r="G29" s="287"/>
      <c r="H29" s="278"/>
      <c r="I29" s="278"/>
      <c r="J29" s="286"/>
      <c r="K29" s="286"/>
      <c r="L29" s="278"/>
      <c r="M29" s="278"/>
      <c r="N29" s="278"/>
      <c r="O29" s="278"/>
      <c r="P29" s="278">
        <f t="shared" si="10"/>
        <v>0</v>
      </c>
      <c r="Q29" s="260"/>
      <c r="R29" s="260"/>
      <c r="S29" s="260"/>
      <c r="T29" s="369"/>
      <c r="U29" s="370"/>
      <c r="V29" s="67"/>
      <c r="W29" s="371" t="s">
        <v>387</v>
      </c>
      <c r="X29" s="67"/>
      <c r="Y29" s="371" t="s">
        <v>9</v>
      </c>
      <c r="Z29" s="372"/>
      <c r="AA29" s="67"/>
      <c r="AB29" s="67"/>
      <c r="AC29" s="67"/>
      <c r="AD29" s="67"/>
      <c r="AE29" s="370"/>
      <c r="AF29" s="67"/>
      <c r="AG29" s="67"/>
      <c r="AH29" s="67"/>
      <c r="AI29" s="67"/>
      <c r="AJ29" s="264"/>
      <c r="AK29" s="264"/>
      <c r="AL29" s="264"/>
      <c r="AM29" s="67"/>
      <c r="AN29" s="67"/>
      <c r="AO29" s="67"/>
      <c r="AP29" s="371" t="s">
        <v>387</v>
      </c>
      <c r="AQ29" s="67"/>
      <c r="AR29" s="371" t="s">
        <v>9</v>
      </c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370"/>
      <c r="BI29" s="67"/>
      <c r="BJ29" s="67"/>
    </row>
    <row r="30" spans="1:62" s="5" customFormat="1" ht="12" thickBot="1">
      <c r="A30" s="658">
        <f>'1-συμβολαια'!A30</f>
        <v>0</v>
      </c>
      <c r="B30" s="651"/>
      <c r="C30" s="652" t="str">
        <f>'1-συμβολαια'!C30</f>
        <v>τόκοι δανείου 389τραπ {= προπληρωθέντες VS υπερΠληρωθέντες</v>
      </c>
      <c r="D30" s="342" t="str">
        <f>'4-πολλυπρ'!D30</f>
        <v xml:space="preserve">τραπεζα [= </v>
      </c>
      <c r="E30" s="342">
        <f>'4-πολλυπρ'!I30</f>
        <v>0</v>
      </c>
      <c r="F30" s="260"/>
      <c r="G30" s="287"/>
      <c r="H30" s="278"/>
      <c r="I30" s="278"/>
      <c r="J30" s="286"/>
      <c r="K30" s="286"/>
      <c r="L30" s="278"/>
      <c r="M30" s="278"/>
      <c r="N30" s="278"/>
      <c r="O30" s="278"/>
      <c r="P30" s="278">
        <f t="shared" si="10"/>
        <v>0</v>
      </c>
      <c r="Q30" s="260"/>
      <c r="R30" s="260"/>
      <c r="S30" s="260"/>
      <c r="T30" s="369"/>
      <c r="U30" s="370"/>
      <c r="V30" s="67"/>
      <c r="W30" s="371" t="s">
        <v>387</v>
      </c>
      <c r="X30" s="67"/>
      <c r="Y30" s="371" t="s">
        <v>9</v>
      </c>
      <c r="Z30" s="372"/>
      <c r="AA30" s="67"/>
      <c r="AB30" s="67"/>
      <c r="AC30" s="67"/>
      <c r="AD30" s="67"/>
      <c r="AE30" s="370"/>
      <c r="AF30" s="67"/>
      <c r="AG30" s="67"/>
      <c r="AH30" s="67"/>
      <c r="AI30" s="67"/>
      <c r="AJ30" s="264"/>
      <c r="AK30" s="264"/>
      <c r="AL30" s="264"/>
      <c r="AM30" s="67"/>
      <c r="AN30" s="67"/>
      <c r="AO30" s="67"/>
      <c r="AP30" s="371" t="s">
        <v>387</v>
      </c>
      <c r="AQ30" s="67"/>
      <c r="AR30" s="371" t="s">
        <v>9</v>
      </c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370"/>
      <c r="BI30" s="67"/>
      <c r="BJ30" s="67"/>
    </row>
    <row r="31" spans="1:62" s="5" customFormat="1">
      <c r="A31" s="653" t="str">
        <f>'1-συμβολαια'!A31</f>
        <v>8ο</v>
      </c>
      <c r="B31" s="649">
        <f>'1-συμβολαια'!B31</f>
        <v>33515</v>
      </c>
      <c r="C31" s="284" t="str">
        <f>'1-συμβολαια'!C31</f>
        <v>μίσθωσης νταμάρι …. ΠΑΡΑΤΑΣΗ 3έτη</v>
      </c>
      <c r="D31" s="278" t="str">
        <f>'4-πολλυπρ'!D31</f>
        <v>219-16</v>
      </c>
      <c r="E31" s="278">
        <f>'4-πολλυπρ'!I31</f>
        <v>0</v>
      </c>
      <c r="F31" s="260"/>
      <c r="G31" s="287"/>
      <c r="H31" s="278"/>
      <c r="I31" s="278"/>
      <c r="J31" s="286"/>
      <c r="K31" s="286"/>
      <c r="L31" s="278"/>
      <c r="M31" s="278"/>
      <c r="N31" s="278"/>
      <c r="O31" s="278"/>
      <c r="P31" s="278">
        <f t="shared" si="10"/>
        <v>0</v>
      </c>
      <c r="Q31" s="260"/>
      <c r="R31" s="260"/>
      <c r="S31" s="260"/>
      <c r="T31" s="369"/>
      <c r="U31" s="370"/>
      <c r="V31" s="67"/>
      <c r="W31" s="371" t="s">
        <v>387</v>
      </c>
      <c r="X31" s="67"/>
      <c r="Y31" s="371" t="s">
        <v>9</v>
      </c>
      <c r="Z31" s="372"/>
      <c r="AA31" s="67"/>
      <c r="AB31" s="67"/>
      <c r="AC31" s="67"/>
      <c r="AD31" s="67"/>
      <c r="AE31" s="370"/>
      <c r="AF31" s="67"/>
      <c r="AG31" s="67"/>
      <c r="AH31" s="67"/>
      <c r="AI31" s="67"/>
      <c r="AJ31" s="264"/>
      <c r="AK31" s="264"/>
      <c r="AL31" s="264"/>
      <c r="AM31" s="67"/>
      <c r="AN31" s="67"/>
      <c r="AO31" s="67"/>
      <c r="AP31" s="371" t="s">
        <v>387</v>
      </c>
      <c r="AQ31" s="67"/>
      <c r="AR31" s="371" t="s">
        <v>9</v>
      </c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370"/>
      <c r="BI31" s="67"/>
      <c r="BJ31" s="67"/>
    </row>
    <row r="32" spans="1:62" s="5" customFormat="1" ht="12" thickBot="1">
      <c r="A32" s="650">
        <f>'1-συμβολαια'!A32</f>
        <v>0</v>
      </c>
      <c r="B32" s="651"/>
      <c r="C32" s="659" t="str">
        <f>'1-συμβολαια'!C32</f>
        <v>ΧΑΟΣ= κλείσιμο &amp; εκ ΝΕΟΥ</v>
      </c>
      <c r="D32" s="342">
        <f>'4-πολλυπρ'!D32</f>
        <v>0</v>
      </c>
      <c r="E32" s="342">
        <f>'4-πολλυπρ'!I32</f>
        <v>0</v>
      </c>
      <c r="F32" s="582"/>
      <c r="G32" s="662"/>
      <c r="H32" s="582"/>
      <c r="I32" s="582"/>
      <c r="J32" s="663"/>
      <c r="K32" s="663"/>
      <c r="L32" s="582"/>
      <c r="M32" s="582"/>
      <c r="N32" s="582"/>
      <c r="O32" s="582"/>
      <c r="P32" s="582"/>
      <c r="Q32" s="582"/>
      <c r="R32" s="342"/>
      <c r="S32" s="342"/>
      <c r="T32" s="664"/>
      <c r="U32" s="370"/>
      <c r="V32" s="67"/>
      <c r="W32" s="371" t="s">
        <v>387</v>
      </c>
      <c r="X32" s="67"/>
      <c r="Y32" s="371" t="s">
        <v>9</v>
      </c>
      <c r="Z32" s="372"/>
      <c r="AA32" s="67"/>
      <c r="AB32" s="67"/>
      <c r="AC32" s="67"/>
      <c r="AD32" s="67"/>
      <c r="AE32" s="370"/>
      <c r="AF32" s="67"/>
      <c r="AG32" s="67"/>
      <c r="AH32" s="67"/>
      <c r="AI32" s="67"/>
      <c r="AJ32" s="264"/>
      <c r="AK32" s="264"/>
      <c r="AL32" s="264"/>
      <c r="AM32" s="67"/>
      <c r="AN32" s="67"/>
      <c r="AO32" s="67"/>
      <c r="AP32" s="371" t="s">
        <v>387</v>
      </c>
      <c r="AQ32" s="67"/>
      <c r="AR32" s="371" t="s">
        <v>9</v>
      </c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370"/>
      <c r="BI32" s="67"/>
      <c r="BJ32" s="67"/>
    </row>
    <row r="33" spans="1:62" s="5" customFormat="1">
      <c r="A33" s="657" t="str">
        <f>'1-συμβολαια'!A33</f>
        <v>9ο</v>
      </c>
      <c r="B33" s="649">
        <f>'1-συμβολαια'!B33</f>
        <v>33675</v>
      </c>
      <c r="C33" s="284" t="str">
        <f>'1-συμβολαια'!C33</f>
        <v xml:space="preserve">υποθήκη </v>
      </c>
      <c r="D33" s="278" t="str">
        <f>'4-πολλυπρ'!D33</f>
        <v xml:space="preserve">τραπεζα [= </v>
      </c>
      <c r="E33" s="278" t="str">
        <f>'4-πολλυπρ'!I33</f>
        <v>219-16</v>
      </c>
      <c r="F33" s="278">
        <v>1</v>
      </c>
      <c r="G33" s="287">
        <f t="shared" si="11"/>
        <v>300</v>
      </c>
      <c r="H33" s="278">
        <v>300</v>
      </c>
      <c r="I33" s="278">
        <f t="shared" si="12"/>
        <v>600</v>
      </c>
      <c r="J33" s="286" t="s">
        <v>147</v>
      </c>
      <c r="K33" s="286" t="s">
        <v>148</v>
      </c>
      <c r="L33" s="278">
        <v>500</v>
      </c>
      <c r="M33" s="278">
        <v>500</v>
      </c>
      <c r="N33" s="278">
        <v>60</v>
      </c>
      <c r="O33" s="278"/>
      <c r="P33" s="278">
        <f t="shared" si="10"/>
        <v>1000</v>
      </c>
      <c r="Q33" s="278"/>
      <c r="R33" s="278"/>
      <c r="S33" s="278"/>
      <c r="T33" s="665"/>
      <c r="U33" s="370"/>
      <c r="V33" s="67"/>
      <c r="W33" s="371" t="s">
        <v>387</v>
      </c>
      <c r="X33" s="67"/>
      <c r="Y33" s="371" t="s">
        <v>9</v>
      </c>
      <c r="Z33" s="372"/>
      <c r="AA33" s="67"/>
      <c r="AB33" s="67"/>
      <c r="AC33" s="67"/>
      <c r="AD33" s="67"/>
      <c r="AE33" s="370"/>
      <c r="AF33" s="67"/>
      <c r="AG33" s="67"/>
      <c r="AH33" s="67"/>
      <c r="AI33" s="67"/>
      <c r="AJ33" s="264"/>
      <c r="AK33" s="264"/>
      <c r="AL33" s="264"/>
      <c r="AM33" s="67"/>
      <c r="AN33" s="67"/>
      <c r="AO33" s="67"/>
      <c r="AP33" s="371" t="s">
        <v>387</v>
      </c>
      <c r="AQ33" s="67"/>
      <c r="AR33" s="371" t="s">
        <v>9</v>
      </c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370"/>
      <c r="BI33" s="67"/>
      <c r="BJ33" s="67"/>
    </row>
    <row r="34" spans="1:62" s="5" customFormat="1">
      <c r="A34" s="436" t="str">
        <f>'1-συμβολαια'!A34</f>
        <v>794-1-2-3τραπ</v>
      </c>
      <c r="B34" s="565">
        <f>'1-συμβολαια'!B34</f>
        <v>32727</v>
      </c>
      <c r="C34" s="284" t="str">
        <f>'1-συμβολαια'!C34</f>
        <v>υποθήκες δανείων [7/8/89-25/1/1991-8/3/1991-22/11/1991</v>
      </c>
      <c r="D34" s="260" t="str">
        <f>'4-πολλυπρ'!D34</f>
        <v xml:space="preserve">τραπεζα [= </v>
      </c>
      <c r="E34" s="260" t="str">
        <f>'4-πολλυπρ'!I34</f>
        <v>219-16</v>
      </c>
      <c r="F34" s="260">
        <v>3</v>
      </c>
      <c r="G34" s="287">
        <f t="shared" si="11"/>
        <v>900</v>
      </c>
      <c r="H34" s="278">
        <v>300</v>
      </c>
      <c r="I34" s="278">
        <f t="shared" si="12"/>
        <v>1200</v>
      </c>
      <c r="J34" s="286" t="s">
        <v>147</v>
      </c>
      <c r="K34" s="286" t="s">
        <v>148</v>
      </c>
      <c r="L34" s="278">
        <v>500</v>
      </c>
      <c r="M34" s="278">
        <v>500</v>
      </c>
      <c r="N34" s="278">
        <v>60</v>
      </c>
      <c r="O34" s="278"/>
      <c r="P34" s="278">
        <f t="shared" si="10"/>
        <v>1000</v>
      </c>
      <c r="Q34" s="260"/>
      <c r="R34" s="260"/>
      <c r="S34" s="260"/>
      <c r="T34" s="369"/>
      <c r="U34" s="370"/>
      <c r="V34" s="67"/>
      <c r="W34" s="371" t="s">
        <v>387</v>
      </c>
      <c r="X34" s="67"/>
      <c r="Y34" s="371" t="s">
        <v>9</v>
      </c>
      <c r="Z34" s="372"/>
      <c r="AA34" s="67"/>
      <c r="AB34" s="67"/>
      <c r="AC34" s="67"/>
      <c r="AD34" s="67"/>
      <c r="AE34" s="370"/>
      <c r="AF34" s="67"/>
      <c r="AG34" s="67"/>
      <c r="AH34" s="67"/>
      <c r="AI34" s="67"/>
      <c r="AJ34" s="264"/>
      <c r="AK34" s="264"/>
      <c r="AL34" s="264"/>
      <c r="AM34" s="67"/>
      <c r="AN34" s="67"/>
      <c r="AO34" s="67"/>
      <c r="AP34" s="371" t="s">
        <v>387</v>
      </c>
      <c r="AQ34" s="67"/>
      <c r="AR34" s="371" t="s">
        <v>9</v>
      </c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370"/>
      <c r="BI34" s="67"/>
      <c r="BJ34" s="67"/>
    </row>
    <row r="35" spans="1:62" s="5" customFormat="1">
      <c r="A35" s="436">
        <f>'1-συμβολαια'!A35</f>
        <v>0</v>
      </c>
      <c r="B35" s="565"/>
      <c r="C35" s="284" t="str">
        <f>'1-συμβολαια'!C35</f>
        <v>δάνεια ανωτέρω υποθηκών</v>
      </c>
      <c r="D35" s="260" t="str">
        <f>'4-πολλυπρ'!D35</f>
        <v xml:space="preserve">τραπεζα [= </v>
      </c>
      <c r="E35" s="260" t="str">
        <f>'4-πολλυπρ'!I35</f>
        <v>219-16</v>
      </c>
      <c r="F35" s="260"/>
      <c r="G35" s="287"/>
      <c r="H35" s="278"/>
      <c r="I35" s="278"/>
      <c r="J35" s="286"/>
      <c r="K35" s="286"/>
      <c r="L35" s="278"/>
      <c r="M35" s="278"/>
      <c r="N35" s="278"/>
      <c r="O35" s="278"/>
      <c r="P35" s="278">
        <f t="shared" si="10"/>
        <v>0</v>
      </c>
      <c r="Q35" s="260"/>
      <c r="R35" s="260"/>
      <c r="S35" s="260"/>
      <c r="T35" s="369"/>
      <c r="U35" s="370"/>
      <c r="V35" s="67"/>
      <c r="W35" s="371" t="s">
        <v>387</v>
      </c>
      <c r="X35" s="67"/>
      <c r="Y35" s="371" t="s">
        <v>9</v>
      </c>
      <c r="Z35" s="372"/>
      <c r="AA35" s="67"/>
      <c r="AB35" s="67"/>
      <c r="AC35" s="67"/>
      <c r="AD35" s="67"/>
      <c r="AE35" s="370"/>
      <c r="AF35" s="67"/>
      <c r="AG35" s="67"/>
      <c r="AH35" s="67"/>
      <c r="AI35" s="67"/>
      <c r="AJ35" s="264"/>
      <c r="AK35" s="264"/>
      <c r="AL35" s="264"/>
      <c r="AM35" s="67"/>
      <c r="AN35" s="67"/>
      <c r="AO35" s="67"/>
      <c r="AP35" s="371" t="s">
        <v>387</v>
      </c>
      <c r="AQ35" s="67"/>
      <c r="AR35" s="371" t="s">
        <v>9</v>
      </c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370"/>
      <c r="BI35" s="67"/>
      <c r="BJ35" s="67"/>
    </row>
    <row r="36" spans="1:62" s="5" customFormat="1" ht="12" thickBot="1">
      <c r="A36" s="658">
        <f>'1-συμβολαια'!A36</f>
        <v>0</v>
      </c>
      <c r="B36" s="651"/>
      <c r="C36" s="652" t="str">
        <f>'1-συμβολαια'!C36</f>
        <v>τόκοι  ανωτέρω δανείων προπληρωθέντες</v>
      </c>
      <c r="D36" s="342" t="str">
        <f>'4-πολλυπρ'!D36</f>
        <v xml:space="preserve">τραπεζα [= </v>
      </c>
      <c r="E36" s="342" t="str">
        <f>'4-πολλυπρ'!I36</f>
        <v>219-16</v>
      </c>
      <c r="F36" s="260"/>
      <c r="G36" s="287"/>
      <c r="H36" s="278"/>
      <c r="I36" s="278"/>
      <c r="J36" s="286"/>
      <c r="K36" s="286"/>
      <c r="L36" s="278"/>
      <c r="M36" s="278"/>
      <c r="N36" s="278"/>
      <c r="O36" s="278"/>
      <c r="P36" s="278">
        <f t="shared" si="10"/>
        <v>0</v>
      </c>
      <c r="Q36" s="260"/>
      <c r="R36" s="260"/>
      <c r="S36" s="260"/>
      <c r="T36" s="369"/>
      <c r="U36" s="370"/>
      <c r="V36" s="67"/>
      <c r="W36" s="371" t="s">
        <v>387</v>
      </c>
      <c r="X36" s="67"/>
      <c r="Y36" s="371" t="s">
        <v>9</v>
      </c>
      <c r="Z36" s="372"/>
      <c r="AA36" s="67"/>
      <c r="AB36" s="67"/>
      <c r="AC36" s="67"/>
      <c r="AD36" s="67"/>
      <c r="AE36" s="370"/>
      <c r="AF36" s="67"/>
      <c r="AG36" s="67"/>
      <c r="AH36" s="67"/>
      <c r="AI36" s="67"/>
      <c r="AJ36" s="264"/>
      <c r="AK36" s="264"/>
      <c r="AL36" s="264"/>
      <c r="AM36" s="67"/>
      <c r="AN36" s="67"/>
      <c r="AO36" s="67"/>
      <c r="AP36" s="371" t="s">
        <v>387</v>
      </c>
      <c r="AQ36" s="67"/>
      <c r="AR36" s="371" t="s">
        <v>9</v>
      </c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370"/>
      <c r="BI36" s="67"/>
      <c r="BJ36" s="67"/>
    </row>
    <row r="37" spans="1:62" s="5" customFormat="1">
      <c r="A37" s="653" t="str">
        <f>'1-συμβολαια'!A37</f>
        <v>10ο</v>
      </c>
      <c r="B37" s="649">
        <f>'1-συμβολαια'!B37</f>
        <v>34890</v>
      </c>
      <c r="C37" s="284" t="str">
        <f>'1-συμβολαια'!C37</f>
        <v>υποθήκη  τοιχόν τόκων</v>
      </c>
      <c r="D37" s="278" t="str">
        <f>'4-πολλυπρ'!D37</f>
        <v xml:space="preserve">τραπεζα [= </v>
      </c>
      <c r="E37" s="278" t="str">
        <f>'4-πολλυπρ'!I37</f>
        <v>219-16</v>
      </c>
      <c r="F37" s="260">
        <v>1</v>
      </c>
      <c r="G37" s="287">
        <f t="shared" si="11"/>
        <v>300</v>
      </c>
      <c r="H37" s="278">
        <v>300</v>
      </c>
      <c r="I37" s="278">
        <f t="shared" si="12"/>
        <v>600</v>
      </c>
      <c r="J37" s="286" t="s">
        <v>147</v>
      </c>
      <c r="K37" s="286" t="s">
        <v>148</v>
      </c>
      <c r="L37" s="278">
        <v>1000</v>
      </c>
      <c r="M37" s="278">
        <v>1000</v>
      </c>
      <c r="N37" s="278">
        <v>80</v>
      </c>
      <c r="O37" s="278"/>
      <c r="P37" s="278">
        <f t="shared" si="10"/>
        <v>2000</v>
      </c>
      <c r="Q37" s="260"/>
      <c r="R37" s="260"/>
      <c r="S37" s="260"/>
      <c r="T37" s="369"/>
      <c r="U37" s="370"/>
      <c r="V37" s="67"/>
      <c r="W37" s="371" t="s">
        <v>387</v>
      </c>
      <c r="X37" s="67"/>
      <c r="Y37" s="371" t="s">
        <v>9</v>
      </c>
      <c r="Z37" s="372"/>
      <c r="AA37" s="67"/>
      <c r="AB37" s="67"/>
      <c r="AC37" s="67"/>
      <c r="AD37" s="67"/>
      <c r="AE37" s="370"/>
      <c r="AF37" s="67"/>
      <c r="AG37" s="67"/>
      <c r="AH37" s="67"/>
      <c r="AI37" s="67"/>
      <c r="AJ37" s="264"/>
      <c r="AK37" s="264"/>
      <c r="AL37" s="264"/>
      <c r="AM37" s="67"/>
      <c r="AN37" s="67"/>
      <c r="AO37" s="67"/>
      <c r="AP37" s="371" t="s">
        <v>387</v>
      </c>
      <c r="AQ37" s="67"/>
      <c r="AR37" s="371" t="s">
        <v>9</v>
      </c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370"/>
      <c r="BI37" s="67"/>
      <c r="BJ37" s="67"/>
    </row>
    <row r="38" spans="1:62" s="5" customFormat="1">
      <c r="A38" s="285" t="str">
        <f>'1-συμβολαια'!A38</f>
        <v>794-4-5τραπ</v>
      </c>
      <c r="B38" s="565">
        <f>'1-συμβολαια'!B38</f>
        <v>33843</v>
      </c>
      <c r="C38" s="284" t="str">
        <f>'1-συμβολαια'!C38</f>
        <v>υποθήκες δανείων [27/08/1992-30/10/1992</v>
      </c>
      <c r="D38" s="260" t="str">
        <f>'4-πολλυπρ'!D38</f>
        <v xml:space="preserve">τραπεζα [= </v>
      </c>
      <c r="E38" s="260" t="str">
        <f>'4-πολλυπρ'!I38</f>
        <v>219-16</v>
      </c>
      <c r="F38" s="260">
        <v>2</v>
      </c>
      <c r="G38" s="287">
        <f t="shared" ref="G38" si="13">F38*300</f>
        <v>600</v>
      </c>
      <c r="H38" s="278">
        <v>300</v>
      </c>
      <c r="I38" s="278">
        <f t="shared" ref="I38" si="14">G38+H38</f>
        <v>900</v>
      </c>
      <c r="J38" s="286" t="s">
        <v>147</v>
      </c>
      <c r="K38" s="286" t="s">
        <v>148</v>
      </c>
      <c r="L38" s="278">
        <v>1000</v>
      </c>
      <c r="M38" s="278">
        <v>1000</v>
      </c>
      <c r="N38" s="278">
        <v>80</v>
      </c>
      <c r="O38" s="278"/>
      <c r="P38" s="278">
        <f t="shared" ref="P38:P45" si="15">L38+M38</f>
        <v>2000</v>
      </c>
      <c r="Q38" s="260"/>
      <c r="R38" s="260"/>
      <c r="S38" s="260"/>
      <c r="T38" s="369"/>
      <c r="U38" s="370"/>
      <c r="V38" s="67"/>
      <c r="W38" s="371" t="s">
        <v>387</v>
      </c>
      <c r="X38" s="67"/>
      <c r="Y38" s="371" t="s">
        <v>9</v>
      </c>
      <c r="Z38" s="372"/>
      <c r="AA38" s="67"/>
      <c r="AB38" s="67"/>
      <c r="AC38" s="67"/>
      <c r="AD38" s="67"/>
      <c r="AE38" s="370"/>
      <c r="AF38" s="67"/>
      <c r="AG38" s="67"/>
      <c r="AH38" s="67"/>
      <c r="AI38" s="67"/>
      <c r="AJ38" s="264"/>
      <c r="AK38" s="264"/>
      <c r="AL38" s="264"/>
      <c r="AM38" s="67"/>
      <c r="AN38" s="67"/>
      <c r="AO38" s="67"/>
      <c r="AP38" s="371" t="s">
        <v>387</v>
      </c>
      <c r="AQ38" s="67"/>
      <c r="AR38" s="371" t="s">
        <v>9</v>
      </c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370"/>
      <c r="BI38" s="67"/>
      <c r="BJ38" s="67"/>
    </row>
    <row r="39" spans="1:62" s="5" customFormat="1">
      <c r="A39" s="285">
        <f>'1-συμβολαια'!A39</f>
        <v>0</v>
      </c>
      <c r="B39" s="565"/>
      <c r="C39" s="284" t="str">
        <f>'1-συμβολαια'!C39</f>
        <v>δάνεια ανωτέρω υποθηκών</v>
      </c>
      <c r="D39" s="260" t="str">
        <f>'4-πολλυπρ'!D39</f>
        <v xml:space="preserve">τραπεζα [= </v>
      </c>
      <c r="E39" s="260" t="str">
        <f>'4-πολλυπρ'!I39</f>
        <v>219-16</v>
      </c>
      <c r="F39" s="260"/>
      <c r="G39" s="287"/>
      <c r="H39" s="278"/>
      <c r="I39" s="278"/>
      <c r="J39" s="286"/>
      <c r="K39" s="286"/>
      <c r="L39" s="278"/>
      <c r="M39" s="278"/>
      <c r="N39" s="278"/>
      <c r="O39" s="278"/>
      <c r="P39" s="278">
        <f t="shared" si="15"/>
        <v>0</v>
      </c>
      <c r="Q39" s="260"/>
      <c r="R39" s="260"/>
      <c r="S39" s="260"/>
      <c r="T39" s="369"/>
      <c r="U39" s="370"/>
      <c r="V39" s="67"/>
      <c r="W39" s="371" t="s">
        <v>387</v>
      </c>
      <c r="X39" s="67"/>
      <c r="Y39" s="371" t="s">
        <v>9</v>
      </c>
      <c r="Z39" s="372"/>
      <c r="AA39" s="67"/>
      <c r="AB39" s="67"/>
      <c r="AC39" s="67"/>
      <c r="AD39" s="67"/>
      <c r="AE39" s="370"/>
      <c r="AF39" s="67"/>
      <c r="AG39" s="67"/>
      <c r="AH39" s="67"/>
      <c r="AI39" s="67"/>
      <c r="AJ39" s="264"/>
      <c r="AK39" s="264"/>
      <c r="AL39" s="264"/>
      <c r="AM39" s="67"/>
      <c r="AN39" s="67"/>
      <c r="AO39" s="67"/>
      <c r="AP39" s="371" t="s">
        <v>387</v>
      </c>
      <c r="AQ39" s="67"/>
      <c r="AR39" s="371" t="s">
        <v>9</v>
      </c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370"/>
      <c r="BI39" s="67"/>
      <c r="BJ39" s="67"/>
    </row>
    <row r="40" spans="1:62" s="5" customFormat="1" ht="12" thickBot="1">
      <c r="A40" s="650">
        <f>'1-συμβολαια'!A40</f>
        <v>0</v>
      </c>
      <c r="B40" s="651"/>
      <c r="C40" s="652" t="str">
        <f>'1-συμβολαια'!C40</f>
        <v>τόκοι  ανωτέρω δανείων προπληρωθέντες</v>
      </c>
      <c r="D40" s="342" t="str">
        <f>'4-πολλυπρ'!D40</f>
        <v xml:space="preserve">τραπεζα [= </v>
      </c>
      <c r="E40" s="342" t="str">
        <f>'4-πολλυπρ'!I40</f>
        <v>219-16</v>
      </c>
      <c r="F40" s="260"/>
      <c r="G40" s="287"/>
      <c r="H40" s="278"/>
      <c r="I40" s="278"/>
      <c r="J40" s="286"/>
      <c r="K40" s="286"/>
      <c r="L40" s="278"/>
      <c r="M40" s="278"/>
      <c r="N40" s="278"/>
      <c r="O40" s="278"/>
      <c r="P40" s="278">
        <f t="shared" si="15"/>
        <v>0</v>
      </c>
      <c r="Q40" s="260"/>
      <c r="R40" s="260"/>
      <c r="S40" s="260"/>
      <c r="T40" s="369"/>
      <c r="U40" s="370"/>
      <c r="V40" s="67"/>
      <c r="W40" s="371" t="s">
        <v>387</v>
      </c>
      <c r="X40" s="67"/>
      <c r="Y40" s="371" t="s">
        <v>9</v>
      </c>
      <c r="Z40" s="372"/>
      <c r="AA40" s="67"/>
      <c r="AB40" s="67"/>
      <c r="AC40" s="67"/>
      <c r="AD40" s="67"/>
      <c r="AE40" s="370"/>
      <c r="AF40" s="67"/>
      <c r="AG40" s="67"/>
      <c r="AH40" s="67"/>
      <c r="AI40" s="67"/>
      <c r="AJ40" s="264"/>
      <c r="AK40" s="264"/>
      <c r="AL40" s="264"/>
      <c r="AM40" s="67"/>
      <c r="AN40" s="67"/>
      <c r="AO40" s="67"/>
      <c r="AP40" s="371" t="s">
        <v>387</v>
      </c>
      <c r="AQ40" s="67"/>
      <c r="AR40" s="371" t="s">
        <v>9</v>
      </c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370"/>
      <c r="BI40" s="67"/>
      <c r="BJ40" s="67"/>
    </row>
    <row r="41" spans="1:62" s="5" customFormat="1">
      <c r="A41" s="657" t="str">
        <f>'1-συμβολαια'!A41</f>
        <v>11ο</v>
      </c>
      <c r="B41" s="649">
        <f>'1-συμβολαια'!B41</f>
        <v>34962</v>
      </c>
      <c r="C41" s="284" t="str">
        <f>'1-συμβολαια'!C41</f>
        <v>μίσθωσις νταμάρι  Λιμένας -'';;;???'' 24,526στρ 3έτη [8000/έτος/στρ</v>
      </c>
      <c r="D41" s="278" t="str">
        <f>'4-πολλυπρ'!D41</f>
        <v>δημοςΘασου [= μερεσηςΕλευθεριος</v>
      </c>
      <c r="E41" s="278" t="str">
        <f>'4-πολλυπρ'!I41</f>
        <v>219-16</v>
      </c>
      <c r="F41" s="260"/>
      <c r="G41" s="287"/>
      <c r="H41" s="278"/>
      <c r="I41" s="278"/>
      <c r="J41" s="286"/>
      <c r="K41" s="286"/>
      <c r="L41" s="278"/>
      <c r="M41" s="278"/>
      <c r="N41" s="278"/>
      <c r="O41" s="278"/>
      <c r="P41" s="278">
        <f t="shared" si="15"/>
        <v>0</v>
      </c>
      <c r="Q41" s="260"/>
      <c r="R41" s="260"/>
      <c r="S41" s="260"/>
      <c r="T41" s="369"/>
      <c r="U41" s="370"/>
      <c r="V41" s="67"/>
      <c r="W41" s="371" t="s">
        <v>387</v>
      </c>
      <c r="X41" s="67"/>
      <c r="Y41" s="371" t="s">
        <v>9</v>
      </c>
      <c r="Z41" s="372"/>
      <c r="AA41" s="67"/>
      <c r="AB41" s="67"/>
      <c r="AC41" s="67"/>
      <c r="AD41" s="67"/>
      <c r="AE41" s="370"/>
      <c r="AF41" s="67"/>
      <c r="AG41" s="67"/>
      <c r="AH41" s="67"/>
      <c r="AI41" s="67"/>
      <c r="AJ41" s="264"/>
      <c r="AK41" s="264"/>
      <c r="AL41" s="264"/>
      <c r="AM41" s="67"/>
      <c r="AN41" s="67"/>
      <c r="AO41" s="67"/>
      <c r="AP41" s="371" t="s">
        <v>387</v>
      </c>
      <c r="AQ41" s="67"/>
      <c r="AR41" s="371" t="s">
        <v>9</v>
      </c>
      <c r="AS41" s="67"/>
      <c r="AT41" s="67"/>
      <c r="AU41" s="67"/>
      <c r="AV41" s="67"/>
      <c r="AW41" s="67"/>
      <c r="AX41" s="67"/>
      <c r="AY41" s="67"/>
      <c r="AZ41" s="67"/>
      <c r="BA41" s="67"/>
      <c r="BB41" s="67"/>
      <c r="BC41" s="67"/>
      <c r="BD41" s="67"/>
      <c r="BE41" s="67"/>
      <c r="BF41" s="67"/>
      <c r="BG41" s="67"/>
      <c r="BH41" s="370"/>
      <c r="BI41" s="67"/>
      <c r="BJ41" s="67"/>
    </row>
    <row r="42" spans="1:62" s="5" customFormat="1">
      <c r="A42" s="436">
        <f>'1-συμβολαια'!A42</f>
        <v>0</v>
      </c>
      <c r="B42" s="565"/>
      <c r="C42" s="284" t="str">
        <f>'1-συμβολαια'!C42</f>
        <v>μίσθωση … ΚΤΙΡΙΑΚΑ &amp; τεχνικές εγκαταστάσεις &amp; ΚΛΠ</v>
      </c>
      <c r="D42" s="260" t="str">
        <f>'4-πολλυπρ'!D42</f>
        <v>δημοςΘασου [= μερεσηςΕλευθεριος</v>
      </c>
      <c r="E42" s="260" t="str">
        <f>'4-πολλυπρ'!I42</f>
        <v>219-16</v>
      </c>
      <c r="F42" s="260"/>
      <c r="G42" s="287"/>
      <c r="H42" s="278"/>
      <c r="I42" s="278"/>
      <c r="J42" s="286"/>
      <c r="K42" s="286"/>
      <c r="L42" s="278"/>
      <c r="M42" s="278"/>
      <c r="N42" s="278"/>
      <c r="O42" s="278"/>
      <c r="P42" s="278">
        <f t="shared" si="15"/>
        <v>0</v>
      </c>
      <c r="Q42" s="260"/>
      <c r="R42" s="260"/>
      <c r="S42" s="260"/>
      <c r="T42" s="369"/>
      <c r="U42" s="370"/>
      <c r="V42" s="67"/>
      <c r="W42" s="371" t="s">
        <v>387</v>
      </c>
      <c r="X42" s="67"/>
      <c r="Y42" s="371" t="s">
        <v>9</v>
      </c>
      <c r="Z42" s="372"/>
      <c r="AA42" s="67"/>
      <c r="AB42" s="67"/>
      <c r="AC42" s="67"/>
      <c r="AD42" s="67"/>
      <c r="AE42" s="370"/>
      <c r="AF42" s="67"/>
      <c r="AG42" s="67"/>
      <c r="AH42" s="67"/>
      <c r="AI42" s="67"/>
      <c r="AJ42" s="264"/>
      <c r="AK42" s="264"/>
      <c r="AL42" s="264"/>
      <c r="AM42" s="67"/>
      <c r="AN42" s="67"/>
      <c r="AO42" s="67"/>
      <c r="AP42" s="371" t="s">
        <v>387</v>
      </c>
      <c r="AQ42" s="67"/>
      <c r="AR42" s="371" t="s">
        <v>9</v>
      </c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370"/>
      <c r="BI42" s="67"/>
      <c r="BJ42" s="67"/>
    </row>
    <row r="43" spans="1:62" s="5" customFormat="1">
      <c r="A43" s="436">
        <f>'1-συμβολαια'!A43</f>
        <v>0</v>
      </c>
      <c r="B43" s="565"/>
      <c r="C43" s="284" t="str">
        <f>'1-συμβολαια'!C43</f>
        <v>μίσθωση … ΕΡΕΥΝΗΤΙΚΕΣ εργασίες</v>
      </c>
      <c r="D43" s="260" t="str">
        <f>'4-πολλυπρ'!D43</f>
        <v>δημοςΘασου [= μερεσηςΕλευθεριος</v>
      </c>
      <c r="E43" s="260" t="str">
        <f>'4-πολλυπρ'!I43</f>
        <v>219-16</v>
      </c>
      <c r="F43" s="260"/>
      <c r="G43" s="287"/>
      <c r="H43" s="278"/>
      <c r="I43" s="278"/>
      <c r="J43" s="286"/>
      <c r="K43" s="286"/>
      <c r="L43" s="278"/>
      <c r="M43" s="278"/>
      <c r="N43" s="278"/>
      <c r="O43" s="278"/>
      <c r="P43" s="278">
        <f t="shared" si="15"/>
        <v>0</v>
      </c>
      <c r="Q43" s="260"/>
      <c r="R43" s="260"/>
      <c r="S43" s="260"/>
      <c r="T43" s="369"/>
      <c r="U43" s="370"/>
      <c r="V43" s="67"/>
      <c r="W43" s="371" t="s">
        <v>387</v>
      </c>
      <c r="X43" s="67"/>
      <c r="Y43" s="371" t="s">
        <v>9</v>
      </c>
      <c r="Z43" s="372"/>
      <c r="AA43" s="67"/>
      <c r="AB43" s="67"/>
      <c r="AC43" s="67"/>
      <c r="AD43" s="67"/>
      <c r="AE43" s="370"/>
      <c r="AF43" s="67"/>
      <c r="AG43" s="67"/>
      <c r="AH43" s="67"/>
      <c r="AI43" s="67"/>
      <c r="AJ43" s="264"/>
      <c r="AK43" s="264"/>
      <c r="AL43" s="264"/>
      <c r="AM43" s="67"/>
      <c r="AN43" s="67"/>
      <c r="AO43" s="67"/>
      <c r="AP43" s="371" t="s">
        <v>387</v>
      </c>
      <c r="AQ43" s="67"/>
      <c r="AR43" s="371" t="s">
        <v>9</v>
      </c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370"/>
      <c r="BI43" s="67"/>
      <c r="BJ43" s="67"/>
    </row>
    <row r="44" spans="1:62" s="5" customFormat="1" ht="12" thickBot="1">
      <c r="A44" s="658">
        <f>'1-συμβολαια'!A44</f>
        <v>0</v>
      </c>
      <c r="B44" s="651"/>
      <c r="C44" s="652" t="str">
        <f>'1-συμβολαια'!C44</f>
        <v>μίσθωση ….. κόστος έργων αποκατάστασης</v>
      </c>
      <c r="D44" s="342" t="str">
        <f>'4-πολλυπρ'!D44</f>
        <v>δημοςΘασου [= μερεσηςΕλευθεριος</v>
      </c>
      <c r="E44" s="342" t="str">
        <f>'4-πολλυπρ'!I44</f>
        <v>219-16</v>
      </c>
      <c r="F44" s="260"/>
      <c r="G44" s="287"/>
      <c r="H44" s="278"/>
      <c r="I44" s="278"/>
      <c r="J44" s="286"/>
      <c r="K44" s="286"/>
      <c r="L44" s="278"/>
      <c r="M44" s="278"/>
      <c r="N44" s="278"/>
      <c r="O44" s="278"/>
      <c r="P44" s="278">
        <f t="shared" si="15"/>
        <v>0</v>
      </c>
      <c r="Q44" s="260"/>
      <c r="R44" s="260"/>
      <c r="S44" s="260"/>
      <c r="T44" s="369"/>
      <c r="U44" s="370"/>
      <c r="V44" s="67"/>
      <c r="W44" s="371" t="s">
        <v>387</v>
      </c>
      <c r="X44" s="67"/>
      <c r="Y44" s="371" t="s">
        <v>9</v>
      </c>
      <c r="Z44" s="372"/>
      <c r="AA44" s="67"/>
      <c r="AB44" s="67"/>
      <c r="AC44" s="67"/>
      <c r="AD44" s="67"/>
      <c r="AE44" s="370"/>
      <c r="AF44" s="67"/>
      <c r="AG44" s="67"/>
      <c r="AH44" s="67"/>
      <c r="AI44" s="67"/>
      <c r="AJ44" s="264"/>
      <c r="AK44" s="264"/>
      <c r="AL44" s="264"/>
      <c r="AM44" s="67"/>
      <c r="AN44" s="67"/>
      <c r="AO44" s="67"/>
      <c r="AP44" s="371" t="s">
        <v>387</v>
      </c>
      <c r="AQ44" s="67"/>
      <c r="AR44" s="371" t="s">
        <v>9</v>
      </c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370"/>
      <c r="BI44" s="67"/>
      <c r="BJ44" s="67"/>
    </row>
    <row r="45" spans="1:62" s="5" customFormat="1">
      <c r="A45" s="653" t="str">
        <f>'1-συμβολαια'!A45</f>
        <v>12ο</v>
      </c>
      <c r="B45" s="649">
        <f>'1-συμβολαια'!B45</f>
        <v>35185</v>
      </c>
      <c r="C45" s="284" t="str">
        <f>'1-συμβολαια'!C45</f>
        <v>μίσθωσης νταμάρι ... &amp; ... ΠΑΡΑΤΑΣΗ 3έτη</v>
      </c>
      <c r="D45" s="278" t="str">
        <f>'4-πολλυπρ'!D45</f>
        <v>219-16</v>
      </c>
      <c r="E45" s="278">
        <f>'4-πολλυπρ'!I45</f>
        <v>0</v>
      </c>
      <c r="F45" s="260"/>
      <c r="G45" s="287"/>
      <c r="H45" s="278"/>
      <c r="I45" s="278"/>
      <c r="J45" s="286"/>
      <c r="K45" s="286"/>
      <c r="L45" s="278"/>
      <c r="M45" s="278"/>
      <c r="N45" s="278"/>
      <c r="O45" s="278"/>
      <c r="P45" s="278">
        <f t="shared" si="15"/>
        <v>0</v>
      </c>
      <c r="Q45" s="260"/>
      <c r="R45" s="260"/>
      <c r="S45" s="260"/>
      <c r="T45" s="369"/>
      <c r="U45" s="370"/>
      <c r="V45" s="67"/>
      <c r="W45" s="371" t="s">
        <v>387</v>
      </c>
      <c r="X45" s="67"/>
      <c r="Y45" s="371" t="s">
        <v>9</v>
      </c>
      <c r="Z45" s="372"/>
      <c r="AA45" s="67"/>
      <c r="AB45" s="67"/>
      <c r="AC45" s="67"/>
      <c r="AD45" s="67"/>
      <c r="AE45" s="370"/>
      <c r="AF45" s="67"/>
      <c r="AG45" s="67"/>
      <c r="AH45" s="67"/>
      <c r="AI45" s="67"/>
      <c r="AJ45" s="264"/>
      <c r="AK45" s="264"/>
      <c r="AL45" s="264"/>
      <c r="AM45" s="67"/>
      <c r="AN45" s="67"/>
      <c r="AO45" s="67"/>
      <c r="AP45" s="371" t="s">
        <v>387</v>
      </c>
      <c r="AQ45" s="67"/>
      <c r="AR45" s="371" t="s">
        <v>9</v>
      </c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370"/>
      <c r="BI45" s="67"/>
      <c r="BJ45" s="67"/>
    </row>
    <row r="46" spans="1:62" s="5" customFormat="1" ht="12" thickBot="1">
      <c r="A46" s="650">
        <f>'1-συμβολαια'!A46</f>
        <v>0</v>
      </c>
      <c r="B46" s="651"/>
      <c r="C46" s="659" t="str">
        <f>'1-συμβολαια'!C46</f>
        <v>ΧΑΟΣ= κλείσιμο &amp; εκ ΝΕΟΥ</v>
      </c>
      <c r="D46" s="342">
        <f>'4-πολλυπρ'!D46</f>
        <v>0</v>
      </c>
      <c r="E46" s="342">
        <f>'4-πολλυπρ'!I46</f>
        <v>0</v>
      </c>
      <c r="F46" s="582"/>
      <c r="G46" s="662"/>
      <c r="H46" s="582"/>
      <c r="I46" s="582"/>
      <c r="J46" s="663"/>
      <c r="K46" s="663"/>
      <c r="L46" s="582"/>
      <c r="M46" s="582"/>
      <c r="N46" s="582"/>
      <c r="O46" s="582"/>
      <c r="P46" s="582"/>
      <c r="Q46" s="582"/>
      <c r="R46" s="342"/>
      <c r="S46" s="342"/>
      <c r="T46" s="664"/>
      <c r="U46" s="370"/>
      <c r="V46" s="67"/>
      <c r="W46" s="371" t="s">
        <v>387</v>
      </c>
      <c r="X46" s="67"/>
      <c r="Y46" s="371" t="s">
        <v>9</v>
      </c>
      <c r="Z46" s="372"/>
      <c r="AA46" s="67"/>
      <c r="AB46" s="67"/>
      <c r="AC46" s="67"/>
      <c r="AD46" s="67"/>
      <c r="AE46" s="370"/>
      <c r="AF46" s="67"/>
      <c r="AG46" s="67"/>
      <c r="AH46" s="67"/>
      <c r="AI46" s="67"/>
      <c r="AJ46" s="264"/>
      <c r="AK46" s="264"/>
      <c r="AL46" s="264"/>
      <c r="AM46" s="67"/>
      <c r="AN46" s="67"/>
      <c r="AO46" s="67"/>
      <c r="AP46" s="371" t="s">
        <v>387</v>
      </c>
      <c r="AQ46" s="67"/>
      <c r="AR46" s="371" t="s">
        <v>9</v>
      </c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370"/>
      <c r="BI46" s="67"/>
      <c r="BJ46" s="67"/>
    </row>
    <row r="47" spans="1:62">
      <c r="A47" s="856" t="s">
        <v>35</v>
      </c>
      <c r="B47" s="857"/>
      <c r="C47" s="857"/>
      <c r="D47" s="857"/>
      <c r="E47" s="858"/>
      <c r="F47" s="660">
        <f>SUM(F3:F46)</f>
        <v>31</v>
      </c>
      <c r="G47" s="660">
        <f>SUM(G3:G46)</f>
        <v>9300</v>
      </c>
      <c r="H47" s="660">
        <f>SUM(H3:H46)</f>
        <v>4200</v>
      </c>
      <c r="I47" s="660">
        <f>SUM(I3:I46)</f>
        <v>13500</v>
      </c>
      <c r="J47" s="660"/>
      <c r="K47" s="660"/>
      <c r="L47" s="660">
        <f t="shared" ref="L47:S47" si="16">SUM(L3:L46)</f>
        <v>5720</v>
      </c>
      <c r="M47" s="660">
        <f t="shared" si="16"/>
        <v>5720</v>
      </c>
      <c r="N47" s="660">
        <f t="shared" si="16"/>
        <v>700</v>
      </c>
      <c r="O47" s="660">
        <f t="shared" si="16"/>
        <v>0</v>
      </c>
      <c r="P47" s="660">
        <f t="shared" si="16"/>
        <v>11440</v>
      </c>
      <c r="Q47" s="661">
        <f t="shared" si="16"/>
        <v>0</v>
      </c>
      <c r="R47" s="661">
        <f t="shared" si="16"/>
        <v>0</v>
      </c>
      <c r="S47" s="661">
        <f t="shared" si="16"/>
        <v>0</v>
      </c>
      <c r="T47" s="661"/>
      <c r="U47" s="129"/>
      <c r="V47" s="61">
        <f>SUM(V3:V46)</f>
        <v>0</v>
      </c>
      <c r="W47" s="61"/>
      <c r="X47" s="61">
        <f>SUM(X3:X46)</f>
        <v>0</v>
      </c>
      <c r="Y47" s="61"/>
      <c r="Z47" s="61">
        <f>SUM(Z3:Z46)</f>
        <v>0</v>
      </c>
      <c r="AA47" s="61">
        <f>SUM(AA3:AA46)</f>
        <v>0</v>
      </c>
      <c r="AB47" s="61">
        <f>SUM(AB3:AB46)</f>
        <v>0</v>
      </c>
      <c r="AC47" s="61">
        <f>SUM(AC3:AC46)</f>
        <v>0</v>
      </c>
      <c r="AD47" s="61">
        <f>SUM(AD3:AD46)</f>
        <v>0</v>
      </c>
      <c r="AE47" s="129"/>
      <c r="AF47" s="61">
        <f t="shared" ref="AF47:AK47" si="17">SUM(AF3:AF46)</f>
        <v>0</v>
      </c>
      <c r="AG47" s="61">
        <f t="shared" si="17"/>
        <v>0</v>
      </c>
      <c r="AH47" s="61">
        <f t="shared" si="17"/>
        <v>0</v>
      </c>
      <c r="AI47" s="61">
        <f t="shared" si="17"/>
        <v>0</v>
      </c>
      <c r="AJ47" s="65">
        <f t="shared" si="17"/>
        <v>0</v>
      </c>
      <c r="AK47" s="65">
        <f t="shared" si="17"/>
        <v>0</v>
      </c>
      <c r="AL47" s="65"/>
      <c r="AM47" s="61">
        <f>SUM(AM3:AM46)</f>
        <v>0</v>
      </c>
      <c r="AN47" s="61">
        <f>SUM(AN3:AN46)</f>
        <v>0</v>
      </c>
      <c r="AO47" s="61">
        <f>SUM(AO3:AO46)</f>
        <v>0</v>
      </c>
      <c r="AP47" s="61"/>
      <c r="AQ47" s="61">
        <f t="shared" ref="AQ47:BJ47" si="18">SUM(AQ3:AQ46)</f>
        <v>0</v>
      </c>
      <c r="AR47" s="61">
        <f t="shared" si="18"/>
        <v>0</v>
      </c>
      <c r="AS47" s="61">
        <f t="shared" si="18"/>
        <v>0</v>
      </c>
      <c r="AT47" s="61">
        <f t="shared" si="18"/>
        <v>0</v>
      </c>
      <c r="AU47" s="61">
        <f t="shared" si="18"/>
        <v>0</v>
      </c>
      <c r="AV47" s="61">
        <f t="shared" si="18"/>
        <v>0</v>
      </c>
      <c r="AW47" s="61">
        <f t="shared" si="18"/>
        <v>0</v>
      </c>
      <c r="AX47" s="61">
        <f t="shared" si="18"/>
        <v>0</v>
      </c>
      <c r="AY47" s="61">
        <f t="shared" si="18"/>
        <v>0</v>
      </c>
      <c r="AZ47" s="61">
        <f t="shared" si="18"/>
        <v>0</v>
      </c>
      <c r="BA47" s="61">
        <f t="shared" si="18"/>
        <v>0</v>
      </c>
      <c r="BB47" s="61">
        <f t="shared" si="18"/>
        <v>0</v>
      </c>
      <c r="BC47" s="61">
        <f t="shared" si="18"/>
        <v>0</v>
      </c>
      <c r="BD47" s="61">
        <f t="shared" si="18"/>
        <v>0</v>
      </c>
      <c r="BE47" s="61">
        <f t="shared" si="18"/>
        <v>0</v>
      </c>
      <c r="BF47" s="61">
        <f t="shared" si="18"/>
        <v>0</v>
      </c>
      <c r="BG47" s="61">
        <f t="shared" si="18"/>
        <v>0</v>
      </c>
      <c r="BH47" s="61">
        <f t="shared" si="18"/>
        <v>0</v>
      </c>
      <c r="BI47" s="61">
        <f t="shared" si="18"/>
        <v>0</v>
      </c>
      <c r="BJ47" s="61">
        <f t="shared" si="18"/>
        <v>0</v>
      </c>
    </row>
    <row r="49" spans="3:36">
      <c r="C49" s="648" t="s">
        <v>590</v>
      </c>
      <c r="H49" s="132"/>
      <c r="I49" s="132"/>
      <c r="J49" s="132"/>
      <c r="K49" s="132"/>
      <c r="L49" s="132"/>
      <c r="M49" s="107"/>
      <c r="N49" s="107"/>
      <c r="O49" s="107"/>
      <c r="T49" s="176" t="s">
        <v>150</v>
      </c>
      <c r="AA49" s="2"/>
      <c r="AC49" s="107" t="s">
        <v>97</v>
      </c>
      <c r="AJ49" s="216" t="s">
        <v>98</v>
      </c>
    </row>
    <row r="50" spans="3:36">
      <c r="C50" s="648" t="s">
        <v>593</v>
      </c>
      <c r="G50" s="3"/>
      <c r="H50" s="3"/>
      <c r="I50" s="3"/>
      <c r="J50" s="153" t="s">
        <v>143</v>
      </c>
      <c r="K50" s="109"/>
      <c r="M50" s="132"/>
      <c r="N50" s="3"/>
      <c r="O50" s="3"/>
      <c r="P50" s="3"/>
      <c r="Q50" s="153" t="s">
        <v>151</v>
      </c>
      <c r="T50" s="8"/>
    </row>
    <row r="51" spans="3:36">
      <c r="C51" s="648" t="s">
        <v>594</v>
      </c>
      <c r="F51" s="108"/>
      <c r="G51" s="3"/>
      <c r="H51" s="3"/>
      <c r="I51" s="3"/>
      <c r="J51" s="109" t="s">
        <v>144</v>
      </c>
      <c r="K51" s="109"/>
      <c r="M51" s="3"/>
      <c r="N51" s="3"/>
      <c r="O51" s="3"/>
      <c r="P51" s="3"/>
      <c r="R51" s="109" t="s">
        <v>152</v>
      </c>
      <c r="T51" s="8"/>
    </row>
    <row r="52" spans="3:36">
      <c r="C52" s="648" t="s">
        <v>566</v>
      </c>
      <c r="J52" s="109"/>
      <c r="K52" s="153" t="s">
        <v>145</v>
      </c>
      <c r="N52" s="147" t="s">
        <v>400</v>
      </c>
      <c r="O52" s="147"/>
      <c r="T52" s="8"/>
    </row>
    <row r="53" spans="3:36">
      <c r="C53" s="648" t="s">
        <v>492</v>
      </c>
      <c r="K53" s="109" t="s">
        <v>146</v>
      </c>
      <c r="T53" s="8"/>
    </row>
    <row r="54" spans="3:36">
      <c r="C54" s="648" t="s">
        <v>615</v>
      </c>
      <c r="T54" s="8"/>
      <c r="U54" s="8"/>
      <c r="V54" s="8"/>
      <c r="W54" s="8"/>
    </row>
    <row r="55" spans="3:36">
      <c r="C55" s="648" t="s">
        <v>620</v>
      </c>
      <c r="T55" s="8"/>
    </row>
    <row r="56" spans="3:36">
      <c r="L56" s="460" t="s">
        <v>502</v>
      </c>
      <c r="M56" s="2" t="s">
        <v>501</v>
      </c>
      <c r="T56" s="8"/>
    </row>
    <row r="57" spans="3:36">
      <c r="C57" s="327"/>
      <c r="D57" s="71" t="s">
        <v>683</v>
      </c>
      <c r="L57" s="460" t="s">
        <v>605</v>
      </c>
      <c r="M57" s="2" t="s">
        <v>501</v>
      </c>
      <c r="T57" s="8"/>
    </row>
    <row r="58" spans="3:36">
      <c r="C58" s="327"/>
      <c r="D58" s="464" t="s">
        <v>511</v>
      </c>
      <c r="L58" s="527" t="s">
        <v>606</v>
      </c>
      <c r="M58" s="2" t="s">
        <v>501</v>
      </c>
      <c r="T58" s="8"/>
    </row>
    <row r="59" spans="3:36">
      <c r="C59" s="327"/>
      <c r="D59" s="464" t="s">
        <v>512</v>
      </c>
      <c r="L59" s="528" t="s">
        <v>558</v>
      </c>
      <c r="M59" s="529" t="s">
        <v>489</v>
      </c>
      <c r="T59" s="8"/>
    </row>
    <row r="60" spans="3:36">
      <c r="C60" s="327"/>
      <c r="D60" s="464"/>
      <c r="L60" s="466" t="s">
        <v>559</v>
      </c>
      <c r="M60" s="529" t="s">
        <v>489</v>
      </c>
      <c r="T60" s="8"/>
    </row>
    <row r="61" spans="3:36">
      <c r="C61" s="336" t="s">
        <v>521</v>
      </c>
      <c r="D61" s="71" t="s">
        <v>684</v>
      </c>
      <c r="L61" s="128" t="s">
        <v>582</v>
      </c>
      <c r="M61" s="2" t="s">
        <v>583</v>
      </c>
    </row>
    <row r="62" spans="3:36">
      <c r="C62" s="479" t="s">
        <v>695</v>
      </c>
      <c r="D62" s="464" t="s">
        <v>536</v>
      </c>
      <c r="L62" s="306" t="s">
        <v>612</v>
      </c>
      <c r="M62" s="2" t="s">
        <v>581</v>
      </c>
    </row>
    <row r="63" spans="3:36">
      <c r="C63" s="84"/>
      <c r="D63" s="464" t="s">
        <v>512</v>
      </c>
      <c r="Q63" s="2"/>
      <c r="R63" s="2"/>
      <c r="S63" s="2"/>
      <c r="T63" s="2"/>
      <c r="U63" s="130"/>
    </row>
    <row r="64" spans="3:36">
      <c r="C64" s="84"/>
      <c r="D64" s="464"/>
    </row>
    <row r="65" spans="3:4">
      <c r="C65" s="84"/>
      <c r="D65" s="71" t="s">
        <v>685</v>
      </c>
    </row>
    <row r="66" spans="3:4">
      <c r="C66" s="84"/>
      <c r="D66" s="464" t="s">
        <v>535</v>
      </c>
    </row>
    <row r="67" spans="3:4">
      <c r="C67" s="84"/>
      <c r="D67" s="464" t="s">
        <v>512</v>
      </c>
    </row>
    <row r="68" spans="3:4">
      <c r="C68" s="84"/>
      <c r="D68" s="2"/>
    </row>
    <row r="69" spans="3:4">
      <c r="C69" s="84"/>
      <c r="D69" s="71" t="s">
        <v>686</v>
      </c>
    </row>
    <row r="70" spans="3:4">
      <c r="C70" s="84"/>
      <c r="D70" s="464" t="s">
        <v>535</v>
      </c>
    </row>
    <row r="71" spans="3:4">
      <c r="C71" s="84"/>
      <c r="D71" s="464" t="s">
        <v>512</v>
      </c>
    </row>
    <row r="72" spans="3:4">
      <c r="C72" s="84"/>
      <c r="D72" s="464"/>
    </row>
    <row r="73" spans="3:4">
      <c r="C73" s="84"/>
      <c r="D73" s="71" t="s">
        <v>687</v>
      </c>
    </row>
    <row r="74" spans="3:4">
      <c r="C74" s="84"/>
      <c r="D74" s="464" t="s">
        <v>573</v>
      </c>
    </row>
    <row r="75" spans="3:4">
      <c r="C75" s="84"/>
      <c r="D75" s="464" t="s">
        <v>512</v>
      </c>
    </row>
    <row r="76" spans="3:4">
      <c r="C76" s="84"/>
      <c r="D76" s="464"/>
    </row>
    <row r="77" spans="3:4">
      <c r="C77" s="3" t="s">
        <v>696</v>
      </c>
      <c r="D77" s="71" t="s">
        <v>688</v>
      </c>
    </row>
    <row r="78" spans="3:4">
      <c r="C78" s="8" t="s">
        <v>575</v>
      </c>
      <c r="D78" s="464" t="s">
        <v>623</v>
      </c>
    </row>
    <row r="79" spans="3:4">
      <c r="C79" s="8" t="s">
        <v>576</v>
      </c>
      <c r="D79" s="464" t="s">
        <v>624</v>
      </c>
    </row>
    <row r="80" spans="3:4">
      <c r="C80" s="320" t="s">
        <v>579</v>
      </c>
      <c r="D80" s="464"/>
    </row>
    <row r="81" spans="3:4">
      <c r="C81" s="84"/>
      <c r="D81" s="71" t="s">
        <v>689</v>
      </c>
    </row>
    <row r="82" spans="3:4">
      <c r="C82" s="84"/>
      <c r="D82" s="464" t="s">
        <v>623</v>
      </c>
    </row>
    <row r="83" spans="3:4">
      <c r="C83" s="84"/>
      <c r="D83" s="464" t="s">
        <v>624</v>
      </c>
    </row>
    <row r="84" spans="3:4">
      <c r="C84" s="84"/>
      <c r="D84" s="464"/>
    </row>
    <row r="85" spans="3:4">
      <c r="C85" s="84"/>
      <c r="D85" s="71" t="s">
        <v>690</v>
      </c>
    </row>
    <row r="86" spans="3:4">
      <c r="C86" s="84"/>
      <c r="D86" s="464" t="s">
        <v>640</v>
      </c>
    </row>
    <row r="87" spans="3:4">
      <c r="C87" s="84"/>
      <c r="D87" s="464" t="s">
        <v>641</v>
      </c>
    </row>
    <row r="88" spans="3:4">
      <c r="C88" s="84"/>
      <c r="D88" s="464"/>
    </row>
    <row r="89" spans="3:4">
      <c r="C89" s="84"/>
      <c r="D89" s="71" t="s">
        <v>691</v>
      </c>
    </row>
    <row r="90" spans="3:4">
      <c r="C90" s="84"/>
      <c r="D90" s="464" t="s">
        <v>640</v>
      </c>
    </row>
    <row r="91" spans="3:4">
      <c r="C91" s="84"/>
      <c r="D91" s="464" t="s">
        <v>641</v>
      </c>
    </row>
    <row r="92" spans="3:4">
      <c r="C92" s="84"/>
      <c r="D92" s="464"/>
    </row>
    <row r="93" spans="3:4">
      <c r="C93" s="84"/>
      <c r="D93" s="71" t="s">
        <v>692</v>
      </c>
    </row>
    <row r="94" spans="3:4">
      <c r="C94" s="84"/>
      <c r="D94" s="464" t="s">
        <v>653</v>
      </c>
    </row>
    <row r="95" spans="3:4">
      <c r="C95" s="84"/>
      <c r="D95" s="464" t="s">
        <v>641</v>
      </c>
    </row>
    <row r="96" spans="3:4">
      <c r="C96" s="84"/>
      <c r="D96" s="464"/>
    </row>
    <row r="97" spans="3:4">
      <c r="C97" s="84"/>
      <c r="D97" s="71" t="s">
        <v>693</v>
      </c>
    </row>
    <row r="98" spans="3:4">
      <c r="C98" s="84"/>
      <c r="D98" s="464" t="s">
        <v>662</v>
      </c>
    </row>
    <row r="99" spans="3:4">
      <c r="C99" s="84"/>
      <c r="D99" s="464" t="s">
        <v>663</v>
      </c>
    </row>
    <row r="100" spans="3:4">
      <c r="C100" s="84"/>
      <c r="D100" s="464"/>
    </row>
    <row r="101" spans="3:4">
      <c r="C101" s="84"/>
      <c r="D101" s="71" t="s">
        <v>694</v>
      </c>
    </row>
    <row r="102" spans="3:4">
      <c r="C102" s="84"/>
      <c r="D102" s="464" t="s">
        <v>640</v>
      </c>
    </row>
    <row r="103" spans="3:4">
      <c r="C103" s="84"/>
      <c r="D103" s="464" t="s">
        <v>665</v>
      </c>
    </row>
    <row r="104" spans="3:4">
      <c r="C104" s="84"/>
      <c r="D104" s="2"/>
    </row>
    <row r="105" spans="3:4">
      <c r="C105" s="84"/>
      <c r="D105" s="2"/>
    </row>
    <row r="106" spans="3:4">
      <c r="C106" s="84"/>
      <c r="D106" s="2"/>
    </row>
    <row r="107" spans="3:4">
      <c r="C107" s="84"/>
      <c r="D107" s="2"/>
    </row>
  </sheetData>
  <mergeCells count="15">
    <mergeCell ref="A47:E47"/>
    <mergeCell ref="A1:E1"/>
    <mergeCell ref="AE1:AM1"/>
    <mergeCell ref="F1:R1"/>
    <mergeCell ref="S1:S2"/>
    <mergeCell ref="AC2:AD2"/>
    <mergeCell ref="AL2:AM2"/>
    <mergeCell ref="J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99"/>
  <sheetViews>
    <sheetView workbookViewId="0">
      <pane ySplit="2" topLeftCell="A34" activePane="bottomLeft" state="frozen"/>
      <selection pane="bottomLeft" activeCell="C50" sqref="C50:D97"/>
    </sheetView>
  </sheetViews>
  <sheetFormatPr defaultRowHeight="11.25"/>
  <cols>
    <col min="1" max="2" width="15.7109375" style="7" customWidth="1"/>
    <col min="3" max="3" width="60.85546875" style="82" customWidth="1"/>
    <col min="4" max="4" width="9.28515625" style="3" customWidth="1"/>
    <col min="5" max="5" width="5.7109375" style="3" bestFit="1" customWidth="1"/>
    <col min="6" max="6" width="9.425781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15" width="8.85546875" style="2" hidden="1" customWidth="1"/>
    <col min="16" max="18" width="8.85546875" style="2" customWidth="1"/>
    <col min="19" max="19" width="8.85546875" style="2" hidden="1" customWidth="1"/>
    <col min="20" max="21" width="8.85546875" style="2" customWidth="1"/>
    <col min="22" max="22" width="8.85546875" style="2" hidden="1" customWidth="1"/>
    <col min="23" max="23" width="8.85546875" style="2" customWidth="1"/>
    <col min="24" max="24" width="12" style="2" customWidth="1"/>
    <col min="25" max="26" width="7.42578125" style="75" customWidth="1"/>
    <col min="27" max="27" width="11.42578125" style="75" bestFit="1" customWidth="1"/>
    <col min="28" max="28" width="13" style="75" customWidth="1"/>
    <col min="29" max="16384" width="9.140625" style="3"/>
  </cols>
  <sheetData>
    <row r="1" spans="1:28" s="4" customFormat="1" ht="15.75" customHeight="1">
      <c r="A1" s="873" t="s">
        <v>31</v>
      </c>
      <c r="B1" s="874"/>
      <c r="C1" s="874"/>
      <c r="D1" s="874"/>
      <c r="E1" s="875"/>
      <c r="F1" s="876" t="s">
        <v>155</v>
      </c>
      <c r="G1" s="877"/>
      <c r="H1" s="877"/>
      <c r="I1" s="877"/>
      <c r="J1" s="868" t="s">
        <v>149</v>
      </c>
      <c r="K1" s="868"/>
      <c r="L1" s="868"/>
      <c r="M1" s="868"/>
      <c r="N1" s="868"/>
      <c r="O1" s="868"/>
      <c r="P1" s="868"/>
      <c r="Q1" s="868"/>
      <c r="R1" s="868"/>
      <c r="S1" s="868"/>
      <c r="T1" s="868"/>
      <c r="U1" s="868"/>
      <c r="V1" s="868"/>
      <c r="W1" s="868"/>
      <c r="X1" s="868"/>
      <c r="Y1" s="869" t="s">
        <v>29</v>
      </c>
      <c r="Z1" s="870"/>
      <c r="AA1" s="870"/>
      <c r="AB1" s="870"/>
    </row>
    <row r="2" spans="1:28" s="4" customFormat="1" ht="23.25" thickBot="1">
      <c r="A2" s="9" t="s">
        <v>19</v>
      </c>
      <c r="B2" s="9"/>
      <c r="C2" s="144" t="s">
        <v>0</v>
      </c>
      <c r="D2" s="49" t="s">
        <v>11</v>
      </c>
      <c r="E2" s="145" t="s">
        <v>12</v>
      </c>
      <c r="F2" s="35" t="s">
        <v>388</v>
      </c>
      <c r="G2" s="878" t="s">
        <v>29</v>
      </c>
      <c r="H2" s="879"/>
      <c r="I2" s="880"/>
      <c r="J2" s="35" t="s">
        <v>86</v>
      </c>
      <c r="K2" s="49" t="s">
        <v>87</v>
      </c>
      <c r="L2" s="49" t="s">
        <v>89</v>
      </c>
      <c r="M2" s="35" t="s">
        <v>223</v>
      </c>
      <c r="N2" s="35" t="s">
        <v>224</v>
      </c>
      <c r="O2" s="35" t="s">
        <v>225</v>
      </c>
      <c r="P2" s="49" t="s">
        <v>670</v>
      </c>
      <c r="Q2" s="49" t="s">
        <v>671</v>
      </c>
      <c r="R2" s="49" t="s">
        <v>672</v>
      </c>
      <c r="S2" s="49"/>
      <c r="T2" s="49" t="s">
        <v>673</v>
      </c>
      <c r="U2" s="49" t="s">
        <v>674</v>
      </c>
      <c r="V2" s="49"/>
      <c r="W2" s="49" t="s">
        <v>675</v>
      </c>
      <c r="X2" s="49" t="s">
        <v>45</v>
      </c>
      <c r="Y2" s="871"/>
      <c r="Z2" s="872"/>
      <c r="AA2" s="872"/>
      <c r="AB2" s="872"/>
    </row>
    <row r="3" spans="1:28" s="5" customFormat="1">
      <c r="A3" s="285" t="str">
        <f>'1-συμβολαια'!A3</f>
        <v>93τραπ &amp; σημ</v>
      </c>
      <c r="B3" s="565">
        <f>'1-συμβολαια'!B3</f>
        <v>27790</v>
      </c>
      <c r="C3" s="284" t="str">
        <f>'1-συμβολαια'!C3</f>
        <v>δάνειο</v>
      </c>
      <c r="D3" s="260" t="str">
        <f>'4-πολλυπρ'!D3</f>
        <v xml:space="preserve">τραπεζα [= </v>
      </c>
      <c r="E3" s="260" t="str">
        <f>'4-πολλυπρ'!I3</f>
        <v>219-16</v>
      </c>
      <c r="F3" s="278"/>
      <c r="G3" s="286"/>
      <c r="H3" s="286"/>
      <c r="I3" s="287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>
        <f t="shared" ref="X3:X15" si="0">SUM(J3:W3)</f>
        <v>0</v>
      </c>
      <c r="Y3" s="279"/>
      <c r="Z3" s="279"/>
      <c r="AA3" s="670"/>
      <c r="AB3" s="263"/>
    </row>
    <row r="4" spans="1:28" s="5" customFormat="1">
      <c r="A4" s="285">
        <f>'1-συμβολαια'!A4</f>
        <v>0</v>
      </c>
      <c r="B4" s="565"/>
      <c r="C4" s="284" t="str">
        <f>'1-συμβολαια'!C4</f>
        <v>υποθήκη δανείου</v>
      </c>
      <c r="D4" s="260" t="str">
        <f>'4-πολλυπρ'!D4</f>
        <v xml:space="preserve">τραπεζα [= </v>
      </c>
      <c r="E4" s="260" t="str">
        <f>'4-πολλυπρ'!I4</f>
        <v>219-16</v>
      </c>
      <c r="F4" s="278"/>
      <c r="G4" s="286"/>
      <c r="H4" s="286"/>
      <c r="I4" s="287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>
        <f t="shared" si="0"/>
        <v>0</v>
      </c>
      <c r="Y4" s="279"/>
      <c r="Z4" s="279"/>
      <c r="AA4" s="670"/>
      <c r="AB4" s="263"/>
    </row>
    <row r="5" spans="1:28" s="5" customFormat="1">
      <c r="A5" s="285">
        <f>'1-συμβολαια'!A5</f>
        <v>0</v>
      </c>
      <c r="B5" s="565"/>
      <c r="C5" s="284" t="str">
        <f>'1-συμβολαια'!C5</f>
        <v>τόκοι δανείου {εμπρόθεσμα πληρωθέντες}</v>
      </c>
      <c r="D5" s="260" t="str">
        <f>'4-πολλυπρ'!D5</f>
        <v xml:space="preserve">τραπεζα [= </v>
      </c>
      <c r="E5" s="260" t="str">
        <f>'4-πολλυπρ'!I5</f>
        <v>219-16</v>
      </c>
      <c r="F5" s="278"/>
      <c r="G5" s="286"/>
      <c r="H5" s="286"/>
      <c r="I5" s="287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>
        <f t="shared" si="0"/>
        <v>0</v>
      </c>
      <c r="Y5" s="279"/>
      <c r="Z5" s="279"/>
      <c r="AA5" s="670"/>
      <c r="AB5" s="263"/>
    </row>
    <row r="6" spans="1:28" s="5" customFormat="1">
      <c r="A6" s="285" t="str">
        <f>'1-συμβολαια'!A6</f>
        <v>375τραπ</v>
      </c>
      <c r="B6" s="565">
        <f>'1-συμβολαια'!B6</f>
        <v>30161</v>
      </c>
      <c r="C6" s="284" t="str">
        <f>'1-συμβολαια'!C6</f>
        <v>δάνειο</v>
      </c>
      <c r="D6" s="260" t="str">
        <f>'4-πολλυπρ'!D6</f>
        <v xml:space="preserve">τραπεζα [= </v>
      </c>
      <c r="E6" s="260" t="str">
        <f>'4-πολλυπρ'!I6</f>
        <v>219-16</v>
      </c>
      <c r="F6" s="278"/>
      <c r="G6" s="286"/>
      <c r="H6" s="286"/>
      <c r="I6" s="287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>
        <f t="shared" si="0"/>
        <v>0</v>
      </c>
      <c r="Y6" s="279"/>
      <c r="Z6" s="279"/>
      <c r="AA6" s="670"/>
      <c r="AB6" s="263"/>
    </row>
    <row r="7" spans="1:28" s="5" customFormat="1">
      <c r="A7" s="285">
        <f>'1-συμβολαια'!A7</f>
        <v>0</v>
      </c>
      <c r="B7" s="565"/>
      <c r="C7" s="284" t="str">
        <f>'1-συμβολαια'!C7</f>
        <v>υποθήκη δανείου</v>
      </c>
      <c r="D7" s="260" t="str">
        <f>'4-πολλυπρ'!D7</f>
        <v xml:space="preserve">τραπεζα [= </v>
      </c>
      <c r="E7" s="260" t="str">
        <f>'4-πολλυπρ'!I7</f>
        <v>219-16</v>
      </c>
      <c r="F7" s="278"/>
      <c r="G7" s="286"/>
      <c r="H7" s="286"/>
      <c r="I7" s="287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>
        <f t="shared" si="0"/>
        <v>0</v>
      </c>
      <c r="Y7" s="279"/>
      <c r="Z7" s="279"/>
      <c r="AA7" s="670"/>
      <c r="AB7" s="263"/>
    </row>
    <row r="8" spans="1:28" s="5" customFormat="1">
      <c r="A8" s="285">
        <f>'1-συμβολαια'!A8</f>
        <v>0</v>
      </c>
      <c r="B8" s="565"/>
      <c r="C8" s="284" t="str">
        <f>'1-συμβολαια'!C8</f>
        <v>τόκοι δανείου</v>
      </c>
      <c r="D8" s="260" t="str">
        <f>'4-πολλυπρ'!D8</f>
        <v xml:space="preserve">τραπεζα [= </v>
      </c>
      <c r="E8" s="260" t="str">
        <f>'4-πολλυπρ'!I8</f>
        <v>219-16</v>
      </c>
      <c r="F8" s="278"/>
      <c r="G8" s="286"/>
      <c r="H8" s="286"/>
      <c r="I8" s="287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>
        <f t="shared" si="0"/>
        <v>0</v>
      </c>
      <c r="Y8" s="279"/>
      <c r="Z8" s="279"/>
      <c r="AA8" s="670"/>
      <c r="AB8" s="263"/>
    </row>
    <row r="9" spans="1:28" s="5" customFormat="1" ht="12" thickBot="1">
      <c r="A9" s="650" t="str">
        <f>'1-συμβολαια'!A9</f>
        <v>1ο</v>
      </c>
      <c r="B9" s="651">
        <f>'1-συμβολαια'!B9</f>
        <v>30265</v>
      </c>
      <c r="C9" s="652" t="str">
        <f>'1-συμβολαια'!C9</f>
        <v>υποθήκη τυχόν αυξήσεως ΤΟΚΩΝ δανείου</v>
      </c>
      <c r="D9" s="342" t="str">
        <f>'4-πολλυπρ'!D9</f>
        <v xml:space="preserve">τραπεζα [= </v>
      </c>
      <c r="E9" s="342" t="str">
        <f>'4-πολλυπρ'!I9</f>
        <v>219-16</v>
      </c>
      <c r="F9" s="342"/>
      <c r="G9" s="672"/>
      <c r="H9" s="672"/>
      <c r="I9" s="673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>
        <f t="shared" si="0"/>
        <v>0</v>
      </c>
      <c r="Y9" s="593"/>
      <c r="Z9" s="593"/>
      <c r="AA9" s="674"/>
      <c r="AB9" s="357"/>
    </row>
    <row r="10" spans="1:28" s="5" customFormat="1">
      <c r="A10" s="657" t="str">
        <f>'1-συμβολαια'!A10</f>
        <v>2ο</v>
      </c>
      <c r="B10" s="649">
        <f>'1-συμβολαια'!B10</f>
        <v>30160</v>
      </c>
      <c r="C10" s="284" t="str">
        <f>'1-συμβολαια'!C10</f>
        <v>αγοραπωλησία οικοπεδου τίμημα = 800.000 Δ.Ο.Υ. =</v>
      </c>
      <c r="D10" s="278" t="str">
        <f>'4-πολλυπρ'!D10</f>
        <v>;;;???</v>
      </c>
      <c r="E10" s="278" t="str">
        <f>'4-πολλυπρ'!I10</f>
        <v>219-16</v>
      </c>
      <c r="F10" s="278">
        <f>2*300</f>
        <v>600</v>
      </c>
      <c r="G10" s="286"/>
      <c r="H10" s="286"/>
      <c r="I10" s="287"/>
      <c r="J10" s="278">
        <v>120</v>
      </c>
      <c r="K10" s="278">
        <v>120</v>
      </c>
      <c r="L10" s="278">
        <v>30</v>
      </c>
      <c r="M10" s="278"/>
      <c r="N10" s="278"/>
      <c r="O10" s="278"/>
      <c r="P10" s="278">
        <f>5*300</f>
        <v>1500</v>
      </c>
      <c r="Q10" s="278"/>
      <c r="R10" s="278"/>
      <c r="S10" s="278"/>
      <c r="T10" s="278">
        <f>2*30</f>
        <v>60</v>
      </c>
      <c r="U10" s="278">
        <f>(4+10)*100</f>
        <v>1400</v>
      </c>
      <c r="V10" s="278"/>
      <c r="W10" s="278"/>
      <c r="X10" s="278">
        <f t="shared" si="0"/>
        <v>3230</v>
      </c>
      <c r="Y10" s="367"/>
      <c r="Z10" s="367"/>
      <c r="AA10" s="671"/>
      <c r="AB10" s="427"/>
    </row>
    <row r="11" spans="1:28" s="5" customFormat="1">
      <c r="A11" s="436">
        <f>'1-συμβολαια'!A11</f>
        <v>0</v>
      </c>
      <c r="B11" s="565"/>
      <c r="C11" s="284" t="str">
        <f>'1-συμβολαια'!C11</f>
        <v>αγορά εργοστασίου ;;;??? μ2</v>
      </c>
      <c r="D11" s="260" t="str">
        <f>'4-πολλυπρ'!D11</f>
        <v>;;;???</v>
      </c>
      <c r="E11" s="260" t="str">
        <f>'4-πολλυπρ'!I11</f>
        <v>219-16</v>
      </c>
      <c r="F11" s="278">
        <f>2*300</f>
        <v>600</v>
      </c>
      <c r="G11" s="286"/>
      <c r="H11" s="286"/>
      <c r="I11" s="287"/>
      <c r="J11" s="278"/>
      <c r="K11" s="278"/>
      <c r="L11" s="278">
        <v>30</v>
      </c>
      <c r="M11" s="278"/>
      <c r="N11" s="278"/>
      <c r="O11" s="278"/>
      <c r="P11" s="278"/>
      <c r="Q11" s="278"/>
      <c r="R11" s="278">
        <f>5*300</f>
        <v>1500</v>
      </c>
      <c r="S11" s="278"/>
      <c r="T11" s="278">
        <f>2*30</f>
        <v>60</v>
      </c>
      <c r="U11" s="278">
        <f>(4+10)*100</f>
        <v>1400</v>
      </c>
      <c r="V11" s="278"/>
      <c r="W11" s="278"/>
      <c r="X11" s="278">
        <f t="shared" si="0"/>
        <v>2990</v>
      </c>
      <c r="Y11" s="279"/>
      <c r="Z11" s="279"/>
      <c r="AA11" s="670"/>
      <c r="AB11" s="263"/>
    </row>
    <row r="12" spans="1:28" s="5" customFormat="1" ht="12" thickBot="1">
      <c r="A12" s="658">
        <f>'1-συμβολαια'!A12</f>
        <v>0</v>
      </c>
      <c r="B12" s="651"/>
      <c r="C12" s="652" t="str">
        <f>'1-συμβολαια'!C12</f>
        <v>αγορά εργοστασίου ΕΞΟΠΛΙΣΜΟΣ</v>
      </c>
      <c r="D12" s="342" t="str">
        <f>'4-πολλυπρ'!D12</f>
        <v>;;;???</v>
      </c>
      <c r="E12" s="342" t="str">
        <f>'4-πολλυπρ'!I12</f>
        <v>219-16</v>
      </c>
      <c r="F12" s="342">
        <f>2*300</f>
        <v>600</v>
      </c>
      <c r="G12" s="672"/>
      <c r="H12" s="672"/>
      <c r="I12" s="673"/>
      <c r="J12" s="342"/>
      <c r="K12" s="342"/>
      <c r="L12" s="342">
        <v>30</v>
      </c>
      <c r="M12" s="342"/>
      <c r="N12" s="342"/>
      <c r="O12" s="342"/>
      <c r="P12" s="342"/>
      <c r="Q12" s="342"/>
      <c r="R12" s="342"/>
      <c r="S12" s="342"/>
      <c r="T12" s="342">
        <v>30</v>
      </c>
      <c r="U12" s="342">
        <f>4*100</f>
        <v>400</v>
      </c>
      <c r="V12" s="342"/>
      <c r="W12" s="342"/>
      <c r="X12" s="342">
        <f t="shared" si="0"/>
        <v>460</v>
      </c>
      <c r="Y12" s="593"/>
      <c r="Z12" s="593"/>
      <c r="AA12" s="674"/>
      <c r="AB12" s="263"/>
    </row>
    <row r="13" spans="1:28" s="5" customFormat="1" ht="12" thickBot="1">
      <c r="A13" s="654" t="str">
        <f>'1-συμβολαια'!A13</f>
        <v>3ο</v>
      </c>
      <c r="B13" s="655">
        <f>'1-συμβολαια'!B13</f>
        <v>30149</v>
      </c>
      <c r="C13" s="656" t="str">
        <f>'1-συμβολαια'!C13</f>
        <v>πληρεξούσιο</v>
      </c>
      <c r="D13" s="496" t="str">
        <f>'4-πολλυπρ'!D13</f>
        <v>219-16</v>
      </c>
      <c r="E13" s="496" t="str">
        <f>'4-πολλυπρ'!I13</f>
        <v>219-16</v>
      </c>
      <c r="F13" s="496"/>
      <c r="G13" s="678"/>
      <c r="H13" s="678"/>
      <c r="I13" s="679"/>
      <c r="J13" s="496"/>
      <c r="K13" s="496"/>
      <c r="L13" s="496"/>
      <c r="M13" s="496"/>
      <c r="N13" s="496"/>
      <c r="O13" s="496"/>
      <c r="P13" s="496"/>
      <c r="Q13" s="496"/>
      <c r="R13" s="496"/>
      <c r="S13" s="496"/>
      <c r="T13" s="496"/>
      <c r="U13" s="496"/>
      <c r="V13" s="496"/>
      <c r="W13" s="496"/>
      <c r="X13" s="496">
        <f t="shared" si="0"/>
        <v>0</v>
      </c>
      <c r="Y13" s="680"/>
      <c r="Z13" s="680"/>
      <c r="AA13" s="681"/>
      <c r="AB13" s="263"/>
    </row>
    <row r="14" spans="1:28" s="5" customFormat="1">
      <c r="A14" s="653" t="str">
        <f>'1-συμβολαια'!A14</f>
        <v>4ο</v>
      </c>
      <c r="B14" s="649">
        <f>'1-συμβολαια'!B14</f>
        <v>30412</v>
      </c>
      <c r="C14" s="284" t="str">
        <f>'1-συμβολαια'!C14</f>
        <v>υποθήκη [έναντι του δανείου 375-29/07/1982τραπ</v>
      </c>
      <c r="D14" s="278" t="str">
        <f>'4-πολλυπρ'!D14</f>
        <v xml:space="preserve">τραπεζα [= </v>
      </c>
      <c r="E14" s="278" t="str">
        <f>'4-πολλυπρ'!I14</f>
        <v>219-16</v>
      </c>
      <c r="F14" s="278"/>
      <c r="G14" s="286"/>
      <c r="H14" s="286"/>
      <c r="I14" s="287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>
        <f t="shared" si="0"/>
        <v>0</v>
      </c>
      <c r="Y14" s="367"/>
      <c r="Z14" s="367"/>
      <c r="AA14" s="671"/>
      <c r="AB14" s="263"/>
    </row>
    <row r="15" spans="1:28" s="5" customFormat="1">
      <c r="A15" s="285" t="str">
        <f>'1-συμβολαια'!A15</f>
        <v>389τραπ</v>
      </c>
      <c r="B15" s="565">
        <f>'1-συμβολαια'!B15</f>
        <v>30228</v>
      </c>
      <c r="C15" s="284" t="str">
        <f>'1-συμβολαια'!C15</f>
        <v>δάνειο</v>
      </c>
      <c r="D15" s="260" t="str">
        <f>'4-πολλυπρ'!D15</f>
        <v xml:space="preserve">τραπεζα [= </v>
      </c>
      <c r="E15" s="260" t="str">
        <f>'4-πολλυπρ'!I15</f>
        <v>219-16</v>
      </c>
      <c r="F15" s="278"/>
      <c r="G15" s="286"/>
      <c r="H15" s="286"/>
      <c r="I15" s="287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  <c r="V15" s="278"/>
      <c r="W15" s="278"/>
      <c r="X15" s="278">
        <f t="shared" si="0"/>
        <v>0</v>
      </c>
      <c r="Y15" s="279"/>
      <c r="Z15" s="279"/>
      <c r="AA15" s="670"/>
      <c r="AB15" s="263"/>
    </row>
    <row r="16" spans="1:28" s="5" customFormat="1">
      <c r="A16" s="285">
        <f>'1-συμβολαια'!A16</f>
        <v>0</v>
      </c>
      <c r="B16" s="565"/>
      <c r="C16" s="284" t="str">
        <f>'1-συμβολαια'!C16</f>
        <v>υποθήκη δανείου</v>
      </c>
      <c r="D16" s="260" t="str">
        <f>'4-πολλυπρ'!D16</f>
        <v xml:space="preserve">τραπεζα [= </v>
      </c>
      <c r="E16" s="260" t="str">
        <f>'4-πολλυπρ'!I16</f>
        <v>219-16</v>
      </c>
      <c r="F16" s="278"/>
      <c r="G16" s="286"/>
      <c r="H16" s="286"/>
      <c r="I16" s="287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>
        <f t="shared" ref="X16:X22" si="1">SUM(J16:W16)</f>
        <v>0</v>
      </c>
      <c r="Y16" s="279"/>
      <c r="Z16" s="279"/>
      <c r="AA16" s="670"/>
      <c r="AB16" s="263"/>
    </row>
    <row r="17" spans="1:28" s="5" customFormat="1" ht="12" thickBot="1">
      <c r="A17" s="650">
        <f>'1-συμβολαια'!A17</f>
        <v>0</v>
      </c>
      <c r="B17" s="651"/>
      <c r="C17" s="652" t="str">
        <f>'1-συμβολαια'!C17</f>
        <v>τόκοι δανείου</v>
      </c>
      <c r="D17" s="342" t="str">
        <f>'4-πολλυπρ'!D17</f>
        <v xml:space="preserve">τραπεζα [= </v>
      </c>
      <c r="E17" s="342" t="str">
        <f>'4-πολλυπρ'!I17</f>
        <v>219-16</v>
      </c>
      <c r="F17" s="342"/>
      <c r="G17" s="672"/>
      <c r="H17" s="672"/>
      <c r="I17" s="673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342"/>
      <c r="U17" s="342"/>
      <c r="V17" s="342"/>
      <c r="W17" s="342"/>
      <c r="X17" s="342">
        <f t="shared" si="1"/>
        <v>0</v>
      </c>
      <c r="Y17" s="593"/>
      <c r="Z17" s="593"/>
      <c r="AA17" s="674"/>
      <c r="AB17" s="263"/>
    </row>
    <row r="18" spans="1:28" s="5" customFormat="1">
      <c r="A18" s="657" t="str">
        <f>'1-συμβολαια'!A18</f>
        <v>5ο</v>
      </c>
      <c r="B18" s="649">
        <f>'1-συμβολαια'!B18</f>
        <v>32394</v>
      </c>
      <c r="C18" s="284" t="str">
        <f>'1-συμβολαια'!C18</f>
        <v>μίσθωσις νταμάρι  Παναγία -'';;;???'' 29στρ 3έτη [1000/έτος/στρ</v>
      </c>
      <c r="D18" s="278" t="str">
        <f>'4-πολλυπρ'!D18</f>
        <v>κοινότηταΠαναγιας [= ματσανηςΓεωργιος</v>
      </c>
      <c r="E18" s="278" t="str">
        <f>'4-πολλυπρ'!I18</f>
        <v>219-16</v>
      </c>
      <c r="F18" s="278"/>
      <c r="G18" s="286"/>
      <c r="H18" s="286"/>
      <c r="I18" s="287"/>
      <c r="J18" s="278"/>
      <c r="K18" s="278"/>
      <c r="L18" s="278"/>
      <c r="M18" s="278"/>
      <c r="N18" s="278"/>
      <c r="O18" s="278"/>
      <c r="P18" s="278"/>
      <c r="Q18" s="278"/>
      <c r="R18" s="278"/>
      <c r="S18" s="278"/>
      <c r="T18" s="278"/>
      <c r="U18" s="278"/>
      <c r="V18" s="278"/>
      <c r="W18" s="278"/>
      <c r="X18" s="278">
        <f t="shared" si="1"/>
        <v>0</v>
      </c>
      <c r="Y18" s="367"/>
      <c r="Z18" s="367"/>
      <c r="AA18" s="671"/>
      <c r="AB18" s="263"/>
    </row>
    <row r="19" spans="1:28" s="5" customFormat="1">
      <c r="A19" s="436">
        <f>'1-συμβολαια'!A19</f>
        <v>0</v>
      </c>
      <c r="B19" s="565"/>
      <c r="C19" s="284" t="str">
        <f>'1-συμβολαια'!C19</f>
        <v>μίσθωση … ΚΤΙΡΙΑΚΑ &amp; τεχνικές εγκαταστάσεις &amp; ΚΛΠ</v>
      </c>
      <c r="D19" s="260" t="str">
        <f>'4-πολλυπρ'!D19</f>
        <v>κοινότηταΠαναγιας [= ματσανηςΓεωργιος</v>
      </c>
      <c r="E19" s="260" t="str">
        <f>'4-πολλυπρ'!I19</f>
        <v>219-16</v>
      </c>
      <c r="F19" s="278"/>
      <c r="G19" s="286"/>
      <c r="H19" s="286"/>
      <c r="I19" s="287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>
        <f t="shared" si="1"/>
        <v>0</v>
      </c>
      <c r="Y19" s="279"/>
      <c r="Z19" s="279"/>
      <c r="AA19" s="670"/>
      <c r="AB19" s="263"/>
    </row>
    <row r="20" spans="1:28" s="5" customFormat="1">
      <c r="A20" s="436">
        <f>'1-συμβολαια'!A20</f>
        <v>0</v>
      </c>
      <c r="B20" s="565"/>
      <c r="C20" s="284" t="str">
        <f>'1-συμβολαια'!C20</f>
        <v>μίσθωση … ΕΡΕΥΝΗΤΙΚΕΣ εργασίες</v>
      </c>
      <c r="D20" s="260" t="str">
        <f>'4-πολλυπρ'!D20</f>
        <v>κοινότηταΠαναγιας [= ματσανηςΓεωργιος</v>
      </c>
      <c r="E20" s="260" t="str">
        <f>'4-πολλυπρ'!I20</f>
        <v>219-16</v>
      </c>
      <c r="F20" s="278"/>
      <c r="G20" s="286"/>
      <c r="H20" s="286"/>
      <c r="I20" s="287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278"/>
      <c r="U20" s="278"/>
      <c r="V20" s="278"/>
      <c r="W20" s="278"/>
      <c r="X20" s="278">
        <f t="shared" si="1"/>
        <v>0</v>
      </c>
      <c r="Y20" s="279"/>
      <c r="Z20" s="279"/>
      <c r="AA20" s="670"/>
      <c r="AB20" s="263"/>
    </row>
    <row r="21" spans="1:28" s="5" customFormat="1" ht="12" thickBot="1">
      <c r="A21" s="658">
        <f>'1-συμβολαια'!A21</f>
        <v>0</v>
      </c>
      <c r="B21" s="651"/>
      <c r="C21" s="652" t="str">
        <f>'1-συμβολαια'!C21</f>
        <v>μίσθωση ….. κόστος έργων αποκατάστασης</v>
      </c>
      <c r="D21" s="342" t="str">
        <f>'4-πολλυπρ'!D21</f>
        <v>κοινότηταΠαναγιας [= ματσανηςΓεωργιος</v>
      </c>
      <c r="E21" s="342" t="str">
        <f>'4-πολλυπρ'!I21</f>
        <v>219-16</v>
      </c>
      <c r="F21" s="342"/>
      <c r="G21" s="672"/>
      <c r="H21" s="672"/>
      <c r="I21" s="673"/>
      <c r="J21" s="342"/>
      <c r="K21" s="342"/>
      <c r="L21" s="342"/>
      <c r="M21" s="342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>
        <f t="shared" si="1"/>
        <v>0</v>
      </c>
      <c r="Y21" s="593"/>
      <c r="Z21" s="593"/>
      <c r="AA21" s="674"/>
      <c r="AB21" s="263"/>
    </row>
    <row r="22" spans="1:28" s="5" customFormat="1">
      <c r="A22" s="653" t="str">
        <f>'1-συμβολαια'!A22</f>
        <v>6ο</v>
      </c>
      <c r="B22" s="649">
        <f>'1-συμβολαια'!B22</f>
        <v>33008</v>
      </c>
      <c r="C22" s="284" t="str">
        <f>'1-συμβολαια'!C22</f>
        <v>;;;???ΑΕ σύσταση από ΜΕΤΑΤΡΟΠΗ ατομικής [= 40.000.000δρχ</v>
      </c>
      <c r="D22" s="278" t="str">
        <f>'4-πολλυπρ'!D22</f>
        <v>219-16</v>
      </c>
      <c r="E22" s="278" t="str">
        <f>'4-πολλυπρ'!I22</f>
        <v>219-16</v>
      </c>
      <c r="F22" s="278">
        <f>2*1100</f>
        <v>2200</v>
      </c>
      <c r="G22" s="286"/>
      <c r="H22" s="286"/>
      <c r="I22" s="287"/>
      <c r="J22" s="278">
        <v>500</v>
      </c>
      <c r="K22" s="278">
        <v>500</v>
      </c>
      <c r="L22" s="278">
        <v>60</v>
      </c>
      <c r="M22" s="278"/>
      <c r="N22" s="278"/>
      <c r="O22" s="278"/>
      <c r="P22" s="278">
        <f>5*300</f>
        <v>1500</v>
      </c>
      <c r="Q22" s="278"/>
      <c r="R22" s="278">
        <f>5*300</f>
        <v>1500</v>
      </c>
      <c r="S22" s="278"/>
      <c r="T22" s="278">
        <f>3*60</f>
        <v>180</v>
      </c>
      <c r="U22" s="278">
        <f>300*(4+10+10)</f>
        <v>7200</v>
      </c>
      <c r="V22" s="278"/>
      <c r="W22" s="278"/>
      <c r="X22" s="278">
        <f t="shared" si="1"/>
        <v>11440</v>
      </c>
      <c r="Y22" s="367"/>
      <c r="Z22" s="367"/>
      <c r="AA22" s="671"/>
      <c r="AB22" s="263"/>
    </row>
    <row r="23" spans="1:28" s="5" customFormat="1" ht="12" thickBot="1">
      <c r="A23" s="650">
        <f>'1-συμβολαια'!A23</f>
        <v>0</v>
      </c>
      <c r="B23" s="651"/>
      <c r="C23" s="652" t="str">
        <f>'1-συμβολαια'!C23</f>
        <v>πληρεξουσιότητα</v>
      </c>
      <c r="D23" s="342" t="str">
        <f>'4-πολλυπρ'!D23</f>
        <v>219-16</v>
      </c>
      <c r="E23" s="342" t="str">
        <f>'4-πολλυπρ'!I23</f>
        <v>219-16</v>
      </c>
      <c r="F23" s="342"/>
      <c r="G23" s="672"/>
      <c r="H23" s="672"/>
      <c r="I23" s="673"/>
      <c r="J23" s="342"/>
      <c r="K23" s="342"/>
      <c r="L23" s="342"/>
      <c r="M23" s="342"/>
      <c r="N23" s="342"/>
      <c r="O23" s="342"/>
      <c r="P23" s="342"/>
      <c r="Q23" s="342"/>
      <c r="R23" s="342"/>
      <c r="S23" s="342"/>
      <c r="T23" s="342"/>
      <c r="U23" s="342"/>
      <c r="V23" s="342"/>
      <c r="W23" s="342"/>
      <c r="X23" s="342">
        <f t="shared" ref="X23:X37" si="2">SUM(J23:W23)</f>
        <v>0</v>
      </c>
      <c r="Y23" s="593"/>
      <c r="Z23" s="593"/>
      <c r="AA23" s="670"/>
      <c r="AB23" s="263"/>
    </row>
    <row r="24" spans="1:28" s="5" customFormat="1">
      <c r="A24" s="657" t="str">
        <f>'1-συμβολαια'!A24</f>
        <v>7ο</v>
      </c>
      <c r="B24" s="649">
        <f>'1-συμβολαια'!B24</f>
        <v>33401</v>
      </c>
      <c r="C24" s="284" t="str">
        <f>'1-συμβολαια'!C24</f>
        <v>;;;??? υποθήκης ΕΞΑΛΕΙΨΗ</v>
      </c>
      <c r="D24" s="278" t="str">
        <f>'4-πολλυπρ'!D24</f>
        <v xml:space="preserve">τραπεζα [= </v>
      </c>
      <c r="E24" s="278">
        <f>'4-πολλυπρ'!I24</f>
        <v>0</v>
      </c>
      <c r="F24" s="278"/>
      <c r="G24" s="286"/>
      <c r="H24" s="286"/>
      <c r="I24" s="287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>
        <f t="shared" si="2"/>
        <v>0</v>
      </c>
      <c r="Y24" s="367"/>
      <c r="Z24" s="367"/>
      <c r="AA24" s="670"/>
      <c r="AB24" s="263"/>
    </row>
    <row r="25" spans="1:28" s="5" customFormat="1">
      <c r="A25" s="436">
        <f>'1-συμβολαια'!A25</f>
        <v>0</v>
      </c>
      <c r="B25" s="565"/>
      <c r="C25" s="284" t="str">
        <f>'1-συμβολαια'!C25</f>
        <v>υποθήκης 375τραπ29/7/82 ΕΞΑΛΕΙΨΗ</v>
      </c>
      <c r="D25" s="260" t="str">
        <f>'4-πολλυπρ'!D25</f>
        <v xml:space="preserve">τραπεζα [= </v>
      </c>
      <c r="E25" s="260">
        <f>'4-πολλυπρ'!I25</f>
        <v>0</v>
      </c>
      <c r="F25" s="278"/>
      <c r="G25" s="286"/>
      <c r="H25" s="286"/>
      <c r="I25" s="287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78">
        <f t="shared" si="2"/>
        <v>0</v>
      </c>
      <c r="Y25" s="279"/>
      <c r="Z25" s="279"/>
      <c r="AA25" s="670"/>
      <c r="AB25" s="263"/>
    </row>
    <row r="26" spans="1:28" s="5" customFormat="1">
      <c r="A26" s="436">
        <f>'1-συμβολαια'!A26</f>
        <v>0</v>
      </c>
      <c r="B26" s="565"/>
      <c r="C26" s="284" t="str">
        <f>'1-συμβολαια'!C26</f>
        <v>δάνειο 375τραπ 9/7/82 ΕΞΟΦΛΗΣΗ</v>
      </c>
      <c r="D26" s="260" t="str">
        <f>'4-πολλυπρ'!D26</f>
        <v xml:space="preserve">τραπεζα [= </v>
      </c>
      <c r="E26" s="260">
        <f>'4-πολλυπρ'!I26</f>
        <v>0</v>
      </c>
      <c r="F26" s="278"/>
      <c r="G26" s="286"/>
      <c r="H26" s="286"/>
      <c r="I26" s="287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  <c r="V26" s="278"/>
      <c r="W26" s="278"/>
      <c r="X26" s="278">
        <f t="shared" si="2"/>
        <v>0</v>
      </c>
      <c r="Y26" s="279"/>
      <c r="Z26" s="279"/>
      <c r="AA26" s="670"/>
      <c r="AB26" s="263"/>
    </row>
    <row r="27" spans="1:28" s="5" customFormat="1">
      <c r="A27" s="436">
        <f>'1-συμβολαια'!A27</f>
        <v>0</v>
      </c>
      <c r="B27" s="565"/>
      <c r="C27" s="284" t="str">
        <f>'1-συμβολαια'!C27</f>
        <v>τόκοι δανείου 375τραπ {= προπληρωθέντες VS υπερΠληρωθέντες</v>
      </c>
      <c r="D27" s="260" t="str">
        <f>'4-πολλυπρ'!D27</f>
        <v xml:space="preserve">τραπεζα [= </v>
      </c>
      <c r="E27" s="260">
        <f>'4-πολλυπρ'!I27</f>
        <v>0</v>
      </c>
      <c r="F27" s="278"/>
      <c r="G27" s="286"/>
      <c r="H27" s="286"/>
      <c r="I27" s="287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>
        <f t="shared" si="2"/>
        <v>0</v>
      </c>
      <c r="Y27" s="279"/>
      <c r="Z27" s="279"/>
      <c r="AA27" s="670"/>
      <c r="AB27" s="263"/>
    </row>
    <row r="28" spans="1:28" s="5" customFormat="1">
      <c r="A28" s="436">
        <f>'1-συμβολαια'!A28</f>
        <v>0</v>
      </c>
      <c r="B28" s="565"/>
      <c r="C28" s="284" t="str">
        <f>'1-συμβολαια'!C28</f>
        <v>υποθήκης 389τραπ29/7/82 ΕΞΑΛΕΙΨΗ</v>
      </c>
      <c r="D28" s="260" t="str">
        <f>'4-πολλυπρ'!D28</f>
        <v xml:space="preserve">τραπεζα [= </v>
      </c>
      <c r="E28" s="260">
        <f>'4-πολλυπρ'!I28</f>
        <v>0</v>
      </c>
      <c r="F28" s="278"/>
      <c r="G28" s="286"/>
      <c r="H28" s="286"/>
      <c r="I28" s="287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  <c r="V28" s="278"/>
      <c r="W28" s="278"/>
      <c r="X28" s="278">
        <f t="shared" si="2"/>
        <v>0</v>
      </c>
      <c r="Y28" s="279"/>
      <c r="Z28" s="279"/>
      <c r="AA28" s="670"/>
      <c r="AB28" s="263"/>
    </row>
    <row r="29" spans="1:28" s="5" customFormat="1">
      <c r="A29" s="436">
        <f>'1-συμβολαια'!A29</f>
        <v>0</v>
      </c>
      <c r="B29" s="565"/>
      <c r="C29" s="284" t="str">
        <f>'1-συμβολαια'!C29</f>
        <v>δάνειο 389τραπ29/7/82 ΕΞΟΦΛΗΣΗ</v>
      </c>
      <c r="D29" s="260" t="str">
        <f>'4-πολλυπρ'!D29</f>
        <v xml:space="preserve">τραπεζα [= </v>
      </c>
      <c r="E29" s="260">
        <f>'4-πολλυπρ'!I29</f>
        <v>0</v>
      </c>
      <c r="F29" s="278"/>
      <c r="G29" s="286"/>
      <c r="H29" s="286"/>
      <c r="I29" s="287"/>
      <c r="J29" s="278"/>
      <c r="K29" s="278"/>
      <c r="L29" s="278"/>
      <c r="M29" s="278"/>
      <c r="N29" s="278"/>
      <c r="O29" s="278"/>
      <c r="P29" s="278"/>
      <c r="Q29" s="278"/>
      <c r="R29" s="278"/>
      <c r="S29" s="278"/>
      <c r="T29" s="278"/>
      <c r="U29" s="278"/>
      <c r="V29" s="278"/>
      <c r="W29" s="278"/>
      <c r="X29" s="278">
        <f t="shared" si="2"/>
        <v>0</v>
      </c>
      <c r="Y29" s="279"/>
      <c r="Z29" s="279"/>
      <c r="AA29" s="670"/>
      <c r="AB29" s="263"/>
    </row>
    <row r="30" spans="1:28" s="5" customFormat="1" ht="12" thickBot="1">
      <c r="A30" s="658">
        <f>'1-συμβολαια'!A30</f>
        <v>0</v>
      </c>
      <c r="B30" s="651"/>
      <c r="C30" s="652" t="str">
        <f>'1-συμβολαια'!C30</f>
        <v>τόκοι δανείου 389τραπ {= προπληρωθέντες VS υπερΠληρωθέντες</v>
      </c>
      <c r="D30" s="342" t="str">
        <f>'4-πολλυπρ'!D30</f>
        <v xml:space="preserve">τραπεζα [= </v>
      </c>
      <c r="E30" s="342">
        <f>'4-πολλυπρ'!I30</f>
        <v>0</v>
      </c>
      <c r="F30" s="342"/>
      <c r="G30" s="672"/>
      <c r="H30" s="672"/>
      <c r="I30" s="673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2"/>
      <c r="U30" s="342"/>
      <c r="V30" s="342"/>
      <c r="W30" s="342"/>
      <c r="X30" s="342">
        <f t="shared" si="2"/>
        <v>0</v>
      </c>
      <c r="Y30" s="593"/>
      <c r="Z30" s="593"/>
      <c r="AA30" s="670"/>
      <c r="AB30" s="263"/>
    </row>
    <row r="31" spans="1:28" s="5" customFormat="1">
      <c r="A31" s="653" t="str">
        <f>'1-συμβολαια'!A31</f>
        <v>8ο</v>
      </c>
      <c r="B31" s="649">
        <f>'1-συμβολαια'!B31</f>
        <v>33515</v>
      </c>
      <c r="C31" s="284" t="str">
        <f>'1-συμβολαια'!C31</f>
        <v>μίσθωσης νταμάρι …. ΠΑΡΑΤΑΣΗ 3έτη</v>
      </c>
      <c r="D31" s="278" t="str">
        <f>'4-πολλυπρ'!D31</f>
        <v>219-16</v>
      </c>
      <c r="E31" s="278">
        <f>'4-πολλυπρ'!I31</f>
        <v>0</v>
      </c>
      <c r="F31" s="278"/>
      <c r="G31" s="286"/>
      <c r="H31" s="286"/>
      <c r="I31" s="287"/>
      <c r="J31" s="278"/>
      <c r="K31" s="278"/>
      <c r="L31" s="278"/>
      <c r="M31" s="278"/>
      <c r="N31" s="278"/>
      <c r="O31" s="278"/>
      <c r="P31" s="278"/>
      <c r="Q31" s="278"/>
      <c r="R31" s="278"/>
      <c r="S31" s="278"/>
      <c r="T31" s="278"/>
      <c r="U31" s="278"/>
      <c r="V31" s="278"/>
      <c r="W31" s="278"/>
      <c r="X31" s="278">
        <f t="shared" si="2"/>
        <v>0</v>
      </c>
      <c r="Y31" s="367"/>
      <c r="Z31" s="367"/>
      <c r="AA31" s="670"/>
      <c r="AB31" s="263"/>
    </row>
    <row r="32" spans="1:28" s="5" customFormat="1" ht="12" thickBot="1">
      <c r="A32" s="650">
        <f>'1-συμβολαια'!A32</f>
        <v>0</v>
      </c>
      <c r="B32" s="651"/>
      <c r="C32" s="652" t="str">
        <f>'1-συμβολαια'!C32</f>
        <v>ΧΑΟΣ= κλείσιμο &amp; εκ ΝΕΟΥ</v>
      </c>
      <c r="D32" s="342">
        <f>'4-πολλυπρ'!D32</f>
        <v>0</v>
      </c>
      <c r="E32" s="342">
        <f>'4-πολλυπρ'!I32</f>
        <v>0</v>
      </c>
      <c r="F32" s="342"/>
      <c r="G32" s="672"/>
      <c r="H32" s="672"/>
      <c r="I32" s="673"/>
      <c r="J32" s="342"/>
      <c r="K32" s="342"/>
      <c r="L32" s="342"/>
      <c r="M32" s="342"/>
      <c r="N32" s="342"/>
      <c r="O32" s="342"/>
      <c r="P32" s="342"/>
      <c r="Q32" s="342"/>
      <c r="R32" s="342"/>
      <c r="S32" s="342"/>
      <c r="T32" s="342"/>
      <c r="U32" s="342"/>
      <c r="V32" s="342"/>
      <c r="W32" s="342"/>
      <c r="X32" s="342">
        <f t="shared" si="2"/>
        <v>0</v>
      </c>
      <c r="Y32" s="593"/>
      <c r="Z32" s="593"/>
      <c r="AA32" s="674"/>
      <c r="AB32" s="263"/>
    </row>
    <row r="33" spans="1:28" s="5" customFormat="1">
      <c r="A33" s="657" t="str">
        <f>'1-συμβολαια'!A33</f>
        <v>9ο</v>
      </c>
      <c r="B33" s="649">
        <f>'1-συμβολαια'!B33</f>
        <v>33675</v>
      </c>
      <c r="C33" s="284" t="str">
        <f>'1-συμβολαια'!C33</f>
        <v xml:space="preserve">υποθήκη </v>
      </c>
      <c r="D33" s="278" t="str">
        <f>'4-πολλυπρ'!D33</f>
        <v xml:space="preserve">τραπεζα [= </v>
      </c>
      <c r="E33" s="278" t="str">
        <f>'4-πολλυπρ'!I33</f>
        <v>219-16</v>
      </c>
      <c r="F33" s="278"/>
      <c r="G33" s="286"/>
      <c r="H33" s="286"/>
      <c r="I33" s="287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  <c r="V33" s="278"/>
      <c r="W33" s="278"/>
      <c r="X33" s="278">
        <f t="shared" si="2"/>
        <v>0</v>
      </c>
      <c r="Y33" s="367"/>
      <c r="Z33" s="367"/>
      <c r="AA33" s="671"/>
      <c r="AB33" s="263"/>
    </row>
    <row r="34" spans="1:28" s="5" customFormat="1">
      <c r="A34" s="436" t="str">
        <f>'1-συμβολαια'!A34</f>
        <v>794-1-2-3τραπ</v>
      </c>
      <c r="B34" s="565">
        <f>'1-συμβολαια'!B34</f>
        <v>32727</v>
      </c>
      <c r="C34" s="284" t="str">
        <f>'1-συμβολαια'!C34</f>
        <v>υποθήκες δανείων [7/8/89-25/1/1991-8/3/1991-22/11/1991</v>
      </c>
      <c r="D34" s="260" t="str">
        <f>'4-πολλυπρ'!D34</f>
        <v xml:space="preserve">τραπεζα [= </v>
      </c>
      <c r="E34" s="260" t="str">
        <f>'4-πολλυπρ'!I34</f>
        <v>219-16</v>
      </c>
      <c r="F34" s="278"/>
      <c r="G34" s="286"/>
      <c r="H34" s="286"/>
      <c r="I34" s="287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78">
        <f t="shared" si="2"/>
        <v>0</v>
      </c>
      <c r="Y34" s="279"/>
      <c r="Z34" s="279"/>
      <c r="AA34" s="670"/>
      <c r="AB34" s="263"/>
    </row>
    <row r="35" spans="1:28" s="5" customFormat="1">
      <c r="A35" s="436">
        <f>'1-συμβολαια'!A35</f>
        <v>0</v>
      </c>
      <c r="B35" s="565"/>
      <c r="C35" s="284" t="str">
        <f>'1-συμβολαια'!C35</f>
        <v>δάνεια ανωτέρω υποθηκών</v>
      </c>
      <c r="D35" s="260" t="str">
        <f>'4-πολλυπρ'!D35</f>
        <v xml:space="preserve">τραπεζα [= </v>
      </c>
      <c r="E35" s="260" t="str">
        <f>'4-πολλυπρ'!I35</f>
        <v>219-16</v>
      </c>
      <c r="F35" s="278"/>
      <c r="G35" s="286"/>
      <c r="H35" s="286"/>
      <c r="I35" s="287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>
        <f t="shared" si="2"/>
        <v>0</v>
      </c>
      <c r="Y35" s="279"/>
      <c r="Z35" s="279"/>
      <c r="AA35" s="670"/>
      <c r="AB35" s="263"/>
    </row>
    <row r="36" spans="1:28" s="5" customFormat="1" ht="12" thickBot="1">
      <c r="A36" s="658">
        <f>'1-συμβολαια'!A36</f>
        <v>0</v>
      </c>
      <c r="B36" s="651"/>
      <c r="C36" s="652" t="str">
        <f>'1-συμβολαια'!C36</f>
        <v>τόκοι  ανωτέρω δανείων προπληρωθέντες</v>
      </c>
      <c r="D36" s="342" t="str">
        <f>'4-πολλυπρ'!D36</f>
        <v xml:space="preserve">τραπεζα [= </v>
      </c>
      <c r="E36" s="342" t="str">
        <f>'4-πολλυπρ'!I36</f>
        <v>219-16</v>
      </c>
      <c r="F36" s="342"/>
      <c r="G36" s="672"/>
      <c r="H36" s="672"/>
      <c r="I36" s="673"/>
      <c r="J36" s="342"/>
      <c r="K36" s="342"/>
      <c r="L36" s="342"/>
      <c r="M36" s="342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>
        <f t="shared" si="2"/>
        <v>0</v>
      </c>
      <c r="Y36" s="593"/>
      <c r="Z36" s="593"/>
      <c r="AA36" s="670"/>
      <c r="AB36" s="263"/>
    </row>
    <row r="37" spans="1:28" s="5" customFormat="1">
      <c r="A37" s="653" t="str">
        <f>'1-συμβολαια'!A37</f>
        <v>10ο</v>
      </c>
      <c r="B37" s="649">
        <f>'1-συμβολαια'!B37</f>
        <v>34890</v>
      </c>
      <c r="C37" s="284" t="str">
        <f>'1-συμβολαια'!C37</f>
        <v>υποθήκη  τοιχόν τόκων</v>
      </c>
      <c r="D37" s="278" t="str">
        <f>'4-πολλυπρ'!D37</f>
        <v xml:space="preserve">τραπεζα [= </v>
      </c>
      <c r="E37" s="278" t="str">
        <f>'4-πολλυπρ'!I37</f>
        <v>219-16</v>
      </c>
      <c r="F37" s="278"/>
      <c r="G37" s="286"/>
      <c r="H37" s="286"/>
      <c r="I37" s="287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>
        <f t="shared" si="2"/>
        <v>0</v>
      </c>
      <c r="Y37" s="367"/>
      <c r="Z37" s="367"/>
      <c r="AA37" s="670"/>
      <c r="AB37" s="263"/>
    </row>
    <row r="38" spans="1:28" s="5" customFormat="1">
      <c r="A38" s="285" t="str">
        <f>'1-συμβολαια'!A38</f>
        <v>794-4-5τραπ</v>
      </c>
      <c r="B38" s="565">
        <f>'1-συμβολαια'!B38</f>
        <v>33843</v>
      </c>
      <c r="C38" s="284" t="str">
        <f>'1-συμβολαια'!C38</f>
        <v>υποθήκες δανείων [27/08/1992-30/10/1992</v>
      </c>
      <c r="D38" s="260" t="str">
        <f>'4-πολλυπρ'!D38</f>
        <v xml:space="preserve">τραπεζα [= </v>
      </c>
      <c r="E38" s="260" t="str">
        <f>'4-πολλυπρ'!I38</f>
        <v>219-16</v>
      </c>
      <c r="F38" s="278"/>
      <c r="G38" s="286"/>
      <c r="H38" s="286"/>
      <c r="I38" s="287"/>
      <c r="J38" s="278"/>
      <c r="K38" s="278"/>
      <c r="L38" s="278"/>
      <c r="M38" s="278"/>
      <c r="N38" s="278"/>
      <c r="O38" s="278"/>
      <c r="P38" s="278"/>
      <c r="Q38" s="278"/>
      <c r="R38" s="278"/>
      <c r="S38" s="278"/>
      <c r="T38" s="278"/>
      <c r="U38" s="278"/>
      <c r="V38" s="278"/>
      <c r="W38" s="278"/>
      <c r="X38" s="278">
        <f t="shared" ref="X38:X46" si="3">SUM(J38:W38)</f>
        <v>0</v>
      </c>
      <c r="Y38" s="279"/>
      <c r="Z38" s="279"/>
      <c r="AA38" s="670"/>
      <c r="AB38" s="263"/>
    </row>
    <row r="39" spans="1:28" s="5" customFormat="1">
      <c r="A39" s="285">
        <f>'1-συμβολαια'!A39</f>
        <v>0</v>
      </c>
      <c r="B39" s="565"/>
      <c r="C39" s="284" t="str">
        <f>'1-συμβολαια'!C39</f>
        <v>δάνεια ανωτέρω υποθηκών</v>
      </c>
      <c r="D39" s="260" t="str">
        <f>'4-πολλυπρ'!D39</f>
        <v xml:space="preserve">τραπεζα [= </v>
      </c>
      <c r="E39" s="260" t="str">
        <f>'4-πολλυπρ'!I39</f>
        <v>219-16</v>
      </c>
      <c r="F39" s="278"/>
      <c r="G39" s="286"/>
      <c r="H39" s="286"/>
      <c r="I39" s="287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8">
        <f t="shared" si="3"/>
        <v>0</v>
      </c>
      <c r="Y39" s="279"/>
      <c r="Z39" s="279"/>
      <c r="AA39" s="670"/>
      <c r="AB39" s="263"/>
    </row>
    <row r="40" spans="1:28" s="5" customFormat="1" ht="12" thickBot="1">
      <c r="A40" s="650">
        <f>'1-συμβολαια'!A40</f>
        <v>0</v>
      </c>
      <c r="B40" s="651"/>
      <c r="C40" s="652" t="str">
        <f>'1-συμβολαια'!C40</f>
        <v>τόκοι  ανωτέρω δανείων προπληρωθέντες</v>
      </c>
      <c r="D40" s="342" t="str">
        <f>'4-πολλυπρ'!D40</f>
        <v xml:space="preserve">τραπεζα [= </v>
      </c>
      <c r="E40" s="342" t="str">
        <f>'4-πολλυπρ'!I40</f>
        <v>219-16</v>
      </c>
      <c r="F40" s="342"/>
      <c r="G40" s="672"/>
      <c r="H40" s="672"/>
      <c r="I40" s="673"/>
      <c r="J40" s="342"/>
      <c r="K40" s="342"/>
      <c r="L40" s="342"/>
      <c r="M40" s="342"/>
      <c r="N40" s="342"/>
      <c r="O40" s="342"/>
      <c r="P40" s="342"/>
      <c r="Q40" s="342"/>
      <c r="R40" s="342"/>
      <c r="S40" s="342"/>
      <c r="T40" s="342"/>
      <c r="U40" s="342"/>
      <c r="V40" s="342"/>
      <c r="W40" s="342"/>
      <c r="X40" s="342">
        <f t="shared" si="3"/>
        <v>0</v>
      </c>
      <c r="Y40" s="593"/>
      <c r="Z40" s="593"/>
      <c r="AA40" s="674"/>
      <c r="AB40" s="263"/>
    </row>
    <row r="41" spans="1:28" s="5" customFormat="1">
      <c r="A41" s="657" t="str">
        <f>'1-συμβολαια'!A41</f>
        <v>11ο</v>
      </c>
      <c r="B41" s="649">
        <f>'1-συμβολαια'!B41</f>
        <v>34962</v>
      </c>
      <c r="C41" s="284" t="str">
        <f>'1-συμβολαια'!C41</f>
        <v>μίσθωσις νταμάρι  Λιμένας -'';;;???'' 24,526στρ 3έτη [8000/έτος/στρ</v>
      </c>
      <c r="D41" s="278" t="str">
        <f>'4-πολλυπρ'!D41</f>
        <v>δημοςΘασου [= μερεσηςΕλευθεριος</v>
      </c>
      <c r="E41" s="278" t="str">
        <f>'4-πολλυπρ'!I41</f>
        <v>219-16</v>
      </c>
      <c r="F41" s="278"/>
      <c r="G41" s="286"/>
      <c r="H41" s="286"/>
      <c r="I41" s="287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278">
        <f t="shared" si="3"/>
        <v>0</v>
      </c>
      <c r="Y41" s="367"/>
      <c r="Z41" s="367"/>
      <c r="AA41" s="671"/>
      <c r="AB41" s="263"/>
    </row>
    <row r="42" spans="1:28" s="5" customFormat="1">
      <c r="A42" s="436">
        <f>'1-συμβολαια'!A42</f>
        <v>0</v>
      </c>
      <c r="B42" s="565"/>
      <c r="C42" s="284" t="str">
        <f>'1-συμβολαια'!C42</f>
        <v>μίσθωση … ΚΤΙΡΙΑΚΑ &amp; τεχνικές εγκαταστάσεις &amp; ΚΛΠ</v>
      </c>
      <c r="D42" s="260" t="str">
        <f>'4-πολλυπρ'!D42</f>
        <v>δημοςΘασου [= μερεσηςΕλευθεριος</v>
      </c>
      <c r="E42" s="260" t="str">
        <f>'4-πολλυπρ'!I42</f>
        <v>219-16</v>
      </c>
      <c r="F42" s="278"/>
      <c r="G42" s="286"/>
      <c r="H42" s="286"/>
      <c r="I42" s="287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>
        <f t="shared" si="3"/>
        <v>0</v>
      </c>
      <c r="Y42" s="279"/>
      <c r="Z42" s="279"/>
      <c r="AA42" s="670"/>
      <c r="AB42" s="263"/>
    </row>
    <row r="43" spans="1:28" s="5" customFormat="1">
      <c r="A43" s="436">
        <f>'1-συμβολαια'!A43</f>
        <v>0</v>
      </c>
      <c r="B43" s="565"/>
      <c r="C43" s="284" t="str">
        <f>'1-συμβολαια'!C43</f>
        <v>μίσθωση … ΕΡΕΥΝΗΤΙΚΕΣ εργασίες</v>
      </c>
      <c r="D43" s="260" t="str">
        <f>'4-πολλυπρ'!D43</f>
        <v>δημοςΘασου [= μερεσηςΕλευθεριος</v>
      </c>
      <c r="E43" s="260" t="str">
        <f>'4-πολλυπρ'!I43</f>
        <v>219-16</v>
      </c>
      <c r="F43" s="278"/>
      <c r="G43" s="286"/>
      <c r="H43" s="286"/>
      <c r="I43" s="287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>
        <f t="shared" si="3"/>
        <v>0</v>
      </c>
      <c r="Y43" s="279"/>
      <c r="Z43" s="279"/>
      <c r="AA43" s="670"/>
      <c r="AB43" s="263"/>
    </row>
    <row r="44" spans="1:28" s="5" customFormat="1" ht="12" thickBot="1">
      <c r="A44" s="658">
        <f>'1-συμβολαια'!A44</f>
        <v>0</v>
      </c>
      <c r="B44" s="651"/>
      <c r="C44" s="652" t="str">
        <f>'1-συμβολαια'!C44</f>
        <v>μίσθωση ….. κόστος έργων αποκατάστασης</v>
      </c>
      <c r="D44" s="342" t="str">
        <f>'4-πολλυπρ'!D44</f>
        <v>δημοςΘασου [= μερεσηςΕλευθεριος</v>
      </c>
      <c r="E44" s="342" t="str">
        <f>'4-πολλυπρ'!I44</f>
        <v>219-16</v>
      </c>
      <c r="F44" s="342"/>
      <c r="G44" s="672"/>
      <c r="H44" s="672"/>
      <c r="I44" s="673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  <c r="V44" s="342"/>
      <c r="W44" s="342"/>
      <c r="X44" s="342">
        <f t="shared" si="3"/>
        <v>0</v>
      </c>
      <c r="Y44" s="593"/>
      <c r="Z44" s="593"/>
      <c r="AA44" s="674"/>
      <c r="AB44" s="263"/>
    </row>
    <row r="45" spans="1:28" s="5" customFormat="1">
      <c r="A45" s="653" t="str">
        <f>'1-συμβολαια'!A45</f>
        <v>12ο</v>
      </c>
      <c r="B45" s="649">
        <f>'1-συμβολαια'!B45</f>
        <v>35185</v>
      </c>
      <c r="C45" s="284" t="str">
        <f>'1-συμβολαια'!C45</f>
        <v>μίσθωσης νταμάρι ... &amp; ... ΠΑΡΑΤΑΣΗ 3έτη</v>
      </c>
      <c r="D45" s="278" t="str">
        <f>'4-πολλυπρ'!D45</f>
        <v>219-16</v>
      </c>
      <c r="E45" s="278">
        <f>'4-πολλυπρ'!I45</f>
        <v>0</v>
      </c>
      <c r="F45" s="278"/>
      <c r="G45" s="286"/>
      <c r="H45" s="286"/>
      <c r="I45" s="287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  <c r="V45" s="278"/>
      <c r="W45" s="278"/>
      <c r="X45" s="278">
        <f t="shared" si="3"/>
        <v>0</v>
      </c>
      <c r="Y45" s="367"/>
      <c r="Z45" s="367"/>
      <c r="AA45" s="671"/>
      <c r="AB45" s="263"/>
    </row>
    <row r="46" spans="1:28" s="5" customFormat="1" ht="12" thickBot="1">
      <c r="A46" s="650">
        <f>'1-συμβολαια'!A46</f>
        <v>0</v>
      </c>
      <c r="B46" s="651"/>
      <c r="C46" s="652" t="str">
        <f>'1-συμβολαια'!C46</f>
        <v>ΧΑΟΣ= κλείσιμο &amp; εκ ΝΕΟΥ</v>
      </c>
      <c r="D46" s="342">
        <f>'4-πολλυπρ'!D46</f>
        <v>0</v>
      </c>
      <c r="E46" s="342">
        <f>'4-πολλυπρ'!I46</f>
        <v>0</v>
      </c>
      <c r="F46" s="342"/>
      <c r="G46" s="672"/>
      <c r="H46" s="672"/>
      <c r="I46" s="673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>
        <f t="shared" si="3"/>
        <v>0</v>
      </c>
      <c r="Y46" s="593"/>
      <c r="Z46" s="593"/>
      <c r="AA46" s="674"/>
      <c r="AB46" s="357"/>
    </row>
    <row r="47" spans="1:28">
      <c r="A47" s="856" t="s">
        <v>35</v>
      </c>
      <c r="B47" s="857"/>
      <c r="C47" s="857"/>
      <c r="D47" s="857"/>
      <c r="E47" s="858"/>
      <c r="F47" s="660">
        <f>SUM(F3:F46)</f>
        <v>4000</v>
      </c>
      <c r="G47" s="661"/>
      <c r="H47" s="661"/>
      <c r="I47" s="661"/>
      <c r="J47" s="660">
        <f t="shared" ref="J47:O47" si="4">SUM(J3:J46)</f>
        <v>620</v>
      </c>
      <c r="K47" s="660">
        <f t="shared" si="4"/>
        <v>620</v>
      </c>
      <c r="L47" s="660">
        <f t="shared" si="4"/>
        <v>150</v>
      </c>
      <c r="M47" s="660">
        <f t="shared" si="4"/>
        <v>0</v>
      </c>
      <c r="N47" s="660">
        <f t="shared" si="4"/>
        <v>0</v>
      </c>
      <c r="O47" s="660">
        <f t="shared" si="4"/>
        <v>0</v>
      </c>
      <c r="P47" s="660"/>
      <c r="Q47" s="660"/>
      <c r="R47" s="660"/>
      <c r="S47" s="660"/>
      <c r="T47" s="660"/>
      <c r="U47" s="660"/>
      <c r="V47" s="660"/>
      <c r="W47" s="660">
        <f>SUM(W3:W46)</f>
        <v>0</v>
      </c>
      <c r="X47" s="660">
        <f>SUM(X3:X46)</f>
        <v>18120</v>
      </c>
      <c r="Y47" s="682">
        <f>SUM(Y3:Y46)</f>
        <v>0</v>
      </c>
      <c r="Z47" s="135"/>
      <c r="AA47" s="3"/>
      <c r="AB47" s="3"/>
    </row>
    <row r="49" spans="3:28" ht="15.75" customHeight="1">
      <c r="J49" s="127" t="s">
        <v>495</v>
      </c>
      <c r="M49" s="127" t="s">
        <v>496</v>
      </c>
      <c r="Z49" s="146"/>
      <c r="AA49" s="79"/>
      <c r="AB49" s="146"/>
    </row>
    <row r="50" spans="3:28">
      <c r="C50" s="327"/>
      <c r="D50" s="71" t="s">
        <v>683</v>
      </c>
      <c r="G50" s="153" t="s">
        <v>153</v>
      </c>
      <c r="H50" s="109"/>
      <c r="I50" s="75"/>
      <c r="M50" s="168" t="s">
        <v>193</v>
      </c>
      <c r="Z50" s="2"/>
    </row>
    <row r="51" spans="3:28">
      <c r="C51" s="327"/>
      <c r="D51" s="464" t="s">
        <v>511</v>
      </c>
      <c r="G51" s="75"/>
      <c r="H51" s="109" t="s">
        <v>154</v>
      </c>
      <c r="N51" s="167" t="s">
        <v>194</v>
      </c>
      <c r="Y51" s="2"/>
      <c r="Z51" s="2"/>
    </row>
    <row r="52" spans="3:28" ht="12.75">
      <c r="C52" s="327"/>
      <c r="D52" s="464" t="s">
        <v>512</v>
      </c>
      <c r="O52" s="675" t="s">
        <v>195</v>
      </c>
      <c r="P52" s="676"/>
      <c r="Q52" s="676"/>
      <c r="R52" s="676"/>
      <c r="S52" s="676"/>
      <c r="T52" s="676"/>
      <c r="U52" s="676"/>
      <c r="V52" s="147"/>
      <c r="Y52" s="2"/>
      <c r="Z52" s="2"/>
    </row>
    <row r="53" spans="3:28" ht="12.75">
      <c r="C53" s="327"/>
      <c r="D53" s="464"/>
      <c r="F53" s="7">
        <v>300</v>
      </c>
      <c r="G53" s="558" t="s">
        <v>502</v>
      </c>
      <c r="H53" s="4"/>
      <c r="O53" s="676"/>
      <c r="P53" s="147" t="s">
        <v>676</v>
      </c>
      <c r="Y53" s="2"/>
      <c r="Z53" s="2"/>
    </row>
    <row r="54" spans="3:28" ht="12.75">
      <c r="C54" s="336" t="s">
        <v>521</v>
      </c>
      <c r="D54" s="71" t="s">
        <v>684</v>
      </c>
      <c r="F54" s="7">
        <v>300</v>
      </c>
      <c r="G54" s="558" t="s">
        <v>591</v>
      </c>
      <c r="H54" s="4"/>
      <c r="O54" s="676"/>
      <c r="Q54" s="147" t="s">
        <v>677</v>
      </c>
    </row>
    <row r="55" spans="3:28" ht="12.75">
      <c r="C55" s="479" t="s">
        <v>695</v>
      </c>
      <c r="D55" s="464" t="s">
        <v>536</v>
      </c>
      <c r="F55" s="7">
        <v>300</v>
      </c>
      <c r="G55" s="559" t="s">
        <v>592</v>
      </c>
      <c r="H55" s="4"/>
      <c r="M55" s="677"/>
      <c r="N55" s="677"/>
      <c r="O55" s="676"/>
      <c r="R55" s="147" t="s">
        <v>678</v>
      </c>
    </row>
    <row r="56" spans="3:28" ht="12.75">
      <c r="C56" s="84"/>
      <c r="D56" s="464" t="s">
        <v>512</v>
      </c>
      <c r="F56" s="7">
        <v>600</v>
      </c>
      <c r="G56" s="558" t="s">
        <v>569</v>
      </c>
      <c r="H56" s="4"/>
      <c r="O56" s="676"/>
      <c r="T56" s="2" t="s">
        <v>679</v>
      </c>
    </row>
    <row r="57" spans="3:28" ht="12.75">
      <c r="C57" s="84"/>
      <c r="D57" s="464"/>
      <c r="F57" s="7">
        <v>1100</v>
      </c>
      <c r="G57" s="558" t="s">
        <v>568</v>
      </c>
      <c r="H57" s="4"/>
      <c r="O57" s="676"/>
      <c r="U57" s="2" t="s">
        <v>680</v>
      </c>
    </row>
    <row r="58" spans="3:28">
      <c r="C58" s="84"/>
      <c r="D58" s="71" t="s">
        <v>685</v>
      </c>
      <c r="F58" s="52">
        <v>1100</v>
      </c>
      <c r="G58" s="124" t="s">
        <v>582</v>
      </c>
    </row>
    <row r="59" spans="3:28">
      <c r="C59" s="84"/>
      <c r="D59" s="464" t="s">
        <v>535</v>
      </c>
      <c r="F59" s="7">
        <v>1100</v>
      </c>
      <c r="G59" s="124" t="s">
        <v>621</v>
      </c>
    </row>
    <row r="60" spans="3:28">
      <c r="C60" s="84"/>
      <c r="D60" s="464" t="s">
        <v>512</v>
      </c>
      <c r="F60" s="7"/>
      <c r="G60" s="462"/>
      <c r="U60" s="648" t="s">
        <v>589</v>
      </c>
    </row>
    <row r="61" spans="3:28">
      <c r="C61" s="84"/>
      <c r="D61" s="2"/>
      <c r="J61" s="716" t="s">
        <v>502</v>
      </c>
      <c r="K61" s="2" t="s">
        <v>501</v>
      </c>
      <c r="U61" s="648" t="s">
        <v>595</v>
      </c>
    </row>
    <row r="62" spans="3:28">
      <c r="C62" s="84"/>
      <c r="D62" s="71" t="s">
        <v>686</v>
      </c>
      <c r="J62" s="716" t="s">
        <v>605</v>
      </c>
      <c r="K62" s="2" t="s">
        <v>501</v>
      </c>
      <c r="U62" s="648" t="s">
        <v>596</v>
      </c>
    </row>
    <row r="63" spans="3:28">
      <c r="C63" s="84"/>
      <c r="D63" s="464" t="s">
        <v>535</v>
      </c>
      <c r="J63" s="717" t="s">
        <v>606</v>
      </c>
      <c r="K63" s="2" t="s">
        <v>501</v>
      </c>
      <c r="U63" s="648" t="s">
        <v>566</v>
      </c>
    </row>
    <row r="64" spans="3:28">
      <c r="C64" s="84"/>
      <c r="D64" s="464" t="s">
        <v>512</v>
      </c>
      <c r="J64" s="717" t="s">
        <v>558</v>
      </c>
      <c r="K64" s="529" t="s">
        <v>489</v>
      </c>
      <c r="U64" s="648" t="s">
        <v>567</v>
      </c>
    </row>
    <row r="65" spans="3:21">
      <c r="C65" s="84"/>
      <c r="D65" s="464"/>
      <c r="J65" s="716" t="s">
        <v>559</v>
      </c>
      <c r="K65" s="529" t="s">
        <v>489</v>
      </c>
      <c r="U65" s="648" t="s">
        <v>614</v>
      </c>
    </row>
    <row r="66" spans="3:21">
      <c r="C66" s="84"/>
      <c r="D66" s="71" t="s">
        <v>687</v>
      </c>
      <c r="J66" s="128" t="s">
        <v>582</v>
      </c>
      <c r="K66" s="2" t="s">
        <v>583</v>
      </c>
      <c r="U66" s="648" t="s">
        <v>620</v>
      </c>
    </row>
    <row r="67" spans="3:21">
      <c r="C67" s="84"/>
      <c r="D67" s="464" t="s">
        <v>573</v>
      </c>
      <c r="J67" s="306" t="s">
        <v>612</v>
      </c>
      <c r="K67" s="2" t="s">
        <v>581</v>
      </c>
    </row>
    <row r="68" spans="3:21">
      <c r="C68" s="84"/>
      <c r="D68" s="464" t="s">
        <v>512</v>
      </c>
    </row>
    <row r="69" spans="3:21">
      <c r="C69" s="84"/>
      <c r="D69" s="464"/>
    </row>
    <row r="70" spans="3:21">
      <c r="C70" s="3" t="s">
        <v>696</v>
      </c>
      <c r="D70" s="71" t="s">
        <v>688</v>
      </c>
    </row>
    <row r="71" spans="3:21">
      <c r="C71" s="8" t="s">
        <v>575</v>
      </c>
      <c r="D71" s="464" t="s">
        <v>623</v>
      </c>
    </row>
    <row r="72" spans="3:21">
      <c r="C72" s="8" t="s">
        <v>576</v>
      </c>
      <c r="D72" s="464" t="s">
        <v>624</v>
      </c>
    </row>
    <row r="73" spans="3:21">
      <c r="C73" s="320" t="s">
        <v>579</v>
      </c>
      <c r="D73" s="464"/>
    </row>
    <row r="74" spans="3:21">
      <c r="C74" s="84"/>
      <c r="D74" s="71" t="s">
        <v>689</v>
      </c>
    </row>
    <row r="75" spans="3:21">
      <c r="C75" s="84"/>
      <c r="D75" s="464" t="s">
        <v>623</v>
      </c>
    </row>
    <row r="76" spans="3:21">
      <c r="C76" s="84"/>
      <c r="D76" s="464" t="s">
        <v>624</v>
      </c>
    </row>
    <row r="77" spans="3:21">
      <c r="C77" s="84"/>
      <c r="D77" s="464"/>
    </row>
    <row r="78" spans="3:21">
      <c r="C78" s="84"/>
      <c r="D78" s="71" t="s">
        <v>690</v>
      </c>
    </row>
    <row r="79" spans="3:21">
      <c r="C79" s="84"/>
      <c r="D79" s="464" t="s">
        <v>640</v>
      </c>
    </row>
    <row r="80" spans="3:21">
      <c r="C80" s="84"/>
      <c r="D80" s="464" t="s">
        <v>641</v>
      </c>
    </row>
    <row r="81" spans="3:4">
      <c r="C81" s="84"/>
      <c r="D81" s="464"/>
    </row>
    <row r="82" spans="3:4">
      <c r="C82" s="84"/>
      <c r="D82" s="71" t="s">
        <v>691</v>
      </c>
    </row>
    <row r="83" spans="3:4">
      <c r="C83" s="84"/>
      <c r="D83" s="464" t="s">
        <v>640</v>
      </c>
    </row>
    <row r="84" spans="3:4">
      <c r="C84" s="84"/>
      <c r="D84" s="464" t="s">
        <v>641</v>
      </c>
    </row>
    <row r="85" spans="3:4">
      <c r="C85" s="84"/>
      <c r="D85" s="464"/>
    </row>
    <row r="86" spans="3:4">
      <c r="C86" s="84"/>
      <c r="D86" s="71" t="s">
        <v>692</v>
      </c>
    </row>
    <row r="87" spans="3:4">
      <c r="C87" s="84"/>
      <c r="D87" s="464" t="s">
        <v>653</v>
      </c>
    </row>
    <row r="88" spans="3:4">
      <c r="C88" s="84"/>
      <c r="D88" s="464" t="s">
        <v>641</v>
      </c>
    </row>
    <row r="89" spans="3:4">
      <c r="C89" s="84"/>
      <c r="D89" s="464"/>
    </row>
    <row r="90" spans="3:4">
      <c r="C90" s="84"/>
      <c r="D90" s="71" t="s">
        <v>693</v>
      </c>
    </row>
    <row r="91" spans="3:4">
      <c r="C91" s="84"/>
      <c r="D91" s="464" t="s">
        <v>662</v>
      </c>
    </row>
    <row r="92" spans="3:4">
      <c r="C92" s="84"/>
      <c r="D92" s="464" t="s">
        <v>663</v>
      </c>
    </row>
    <row r="93" spans="3:4">
      <c r="C93" s="84"/>
      <c r="D93" s="464"/>
    </row>
    <row r="94" spans="3:4">
      <c r="C94" s="84"/>
      <c r="D94" s="71" t="s">
        <v>694</v>
      </c>
    </row>
    <row r="95" spans="3:4">
      <c r="C95" s="84"/>
      <c r="D95" s="464" t="s">
        <v>640</v>
      </c>
    </row>
    <row r="96" spans="3:4">
      <c r="C96" s="84"/>
      <c r="D96" s="464" t="s">
        <v>665</v>
      </c>
    </row>
    <row r="97" spans="3:4">
      <c r="C97" s="84"/>
      <c r="D97" s="2"/>
    </row>
    <row r="98" spans="3:4">
      <c r="C98" s="84"/>
      <c r="D98" s="2"/>
    </row>
    <row r="99" spans="3:4">
      <c r="C99" s="84"/>
      <c r="D99" s="2"/>
    </row>
  </sheetData>
  <mergeCells count="6">
    <mergeCell ref="J1:X1"/>
    <mergeCell ref="Y1:AB2"/>
    <mergeCell ref="A1:E1"/>
    <mergeCell ref="A47:E47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69"/>
  <sheetViews>
    <sheetView topLeftCell="N1" workbookViewId="0">
      <pane ySplit="2" topLeftCell="A3" activePane="bottomLeft" state="frozen"/>
      <selection pane="bottomLeft" activeCell="B63" sqref="B63"/>
    </sheetView>
  </sheetViews>
  <sheetFormatPr defaultRowHeight="11.25"/>
  <cols>
    <col min="1" max="1" width="15.85546875" style="7" bestFit="1" customWidth="1"/>
    <col min="2" max="2" width="31.140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884" t="s">
        <v>312</v>
      </c>
      <c r="B1" s="885"/>
      <c r="C1" s="885"/>
      <c r="D1" s="885"/>
      <c r="E1" s="885"/>
      <c r="F1" s="885"/>
      <c r="G1" s="885"/>
      <c r="H1" s="885"/>
      <c r="I1" s="885"/>
      <c r="J1" s="885"/>
      <c r="K1" s="885"/>
      <c r="L1" s="885"/>
      <c r="M1" s="885"/>
      <c r="N1" s="885"/>
      <c r="O1" s="885"/>
      <c r="P1" s="885"/>
      <c r="Q1" s="885"/>
      <c r="R1" s="885"/>
      <c r="S1" s="885"/>
      <c r="T1" s="885"/>
      <c r="U1" s="885"/>
      <c r="V1" s="885"/>
      <c r="W1" s="885"/>
      <c r="X1" s="885"/>
      <c r="Y1" s="885"/>
      <c r="Z1" s="885"/>
      <c r="AA1" s="885"/>
      <c r="AB1" s="885"/>
      <c r="AC1" s="885"/>
      <c r="AD1" s="885"/>
      <c r="AE1" s="886" t="s">
        <v>45</v>
      </c>
      <c r="AF1" s="888" t="s">
        <v>497</v>
      </c>
      <c r="AG1" s="890" t="s">
        <v>33</v>
      </c>
      <c r="AH1" s="892" t="s">
        <v>322</v>
      </c>
      <c r="AI1" s="894" t="s">
        <v>82</v>
      </c>
      <c r="AJ1" s="895"/>
      <c r="AK1" s="895"/>
      <c r="AL1" s="896"/>
    </row>
    <row r="2" spans="1:38" ht="12" thickBot="1">
      <c r="A2" s="437"/>
      <c r="B2" s="191" t="s">
        <v>321</v>
      </c>
      <c r="C2" s="191" t="s">
        <v>83</v>
      </c>
      <c r="D2" s="192" t="s">
        <v>313</v>
      </c>
      <c r="E2" s="171" t="s">
        <v>31</v>
      </c>
      <c r="F2" s="171" t="s">
        <v>314</v>
      </c>
      <c r="G2" s="171" t="s">
        <v>315</v>
      </c>
      <c r="H2" s="171" t="s">
        <v>316</v>
      </c>
      <c r="I2" s="171" t="s">
        <v>317</v>
      </c>
      <c r="J2" s="171" t="s">
        <v>318</v>
      </c>
      <c r="K2" s="854" t="s">
        <v>29</v>
      </c>
      <c r="L2" s="855"/>
      <c r="M2" s="180" t="s">
        <v>319</v>
      </c>
      <c r="N2" s="180" t="s">
        <v>31</v>
      </c>
      <c r="O2" s="180" t="s">
        <v>314</v>
      </c>
      <c r="P2" s="180" t="s">
        <v>315</v>
      </c>
      <c r="Q2" s="180" t="s">
        <v>316</v>
      </c>
      <c r="R2" s="180" t="s">
        <v>317</v>
      </c>
      <c r="S2" s="180" t="s">
        <v>318</v>
      </c>
      <c r="T2" s="862" t="s">
        <v>29</v>
      </c>
      <c r="U2" s="863"/>
      <c r="V2" s="171" t="s">
        <v>320</v>
      </c>
      <c r="W2" s="171" t="s">
        <v>31</v>
      </c>
      <c r="X2" s="171" t="s">
        <v>314</v>
      </c>
      <c r="Y2" s="171" t="s">
        <v>315</v>
      </c>
      <c r="Z2" s="171" t="s">
        <v>316</v>
      </c>
      <c r="AA2" s="171" t="s">
        <v>317</v>
      </c>
      <c r="AB2" s="171" t="s">
        <v>318</v>
      </c>
      <c r="AC2" s="854" t="s">
        <v>29</v>
      </c>
      <c r="AD2" s="855"/>
      <c r="AE2" s="887"/>
      <c r="AF2" s="889"/>
      <c r="AG2" s="891"/>
      <c r="AH2" s="893"/>
      <c r="AI2" s="897"/>
      <c r="AJ2" s="898"/>
      <c r="AK2" s="898"/>
      <c r="AL2" s="899"/>
    </row>
    <row r="3" spans="1:38" s="5" customFormat="1">
      <c r="A3" s="438" t="str">
        <f>'1-συμβολαια'!A3</f>
        <v>93τραπ &amp; σημ</v>
      </c>
      <c r="B3" s="67" t="str">
        <f>'1-συμβολαια'!C3</f>
        <v>δάνειο</v>
      </c>
      <c r="C3" s="289">
        <f>'1-συμβολαια'!D3</f>
        <v>24000000</v>
      </c>
      <c r="D3" s="289">
        <f t="shared" ref="D3:D18" si="0">C3*1.3%</f>
        <v>312000</v>
      </c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3">
        <f t="shared" ref="AE3:AE18" si="1">D3+M3+V3</f>
        <v>312000</v>
      </c>
      <c r="AF3" s="283">
        <f t="shared" ref="AF3:AF17" si="2">E3+N3+W3</f>
        <v>0</v>
      </c>
      <c r="AG3" s="283">
        <f t="shared" ref="AG3:AG18" si="3">AE3-AF3</f>
        <v>312000</v>
      </c>
      <c r="AH3" s="67"/>
      <c r="AI3" s="67"/>
      <c r="AJ3" s="67"/>
      <c r="AK3" s="67"/>
      <c r="AL3" s="67"/>
    </row>
    <row r="4" spans="1:38" s="5" customFormat="1">
      <c r="A4" s="438"/>
      <c r="B4" s="67" t="str">
        <f>'1-συμβολαια'!C4</f>
        <v>υποθήκη δανείου</v>
      </c>
      <c r="C4" s="289">
        <f>'1-συμβολαια'!D4</f>
        <v>26666666</v>
      </c>
      <c r="D4" s="289">
        <f t="shared" si="0"/>
        <v>346666.65800000005</v>
      </c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  <c r="S4" s="289"/>
      <c r="T4" s="289"/>
      <c r="U4" s="289"/>
      <c r="V4" s="289"/>
      <c r="W4" s="289"/>
      <c r="X4" s="289"/>
      <c r="Y4" s="289"/>
      <c r="Z4" s="289"/>
      <c r="AA4" s="289"/>
      <c r="AB4" s="289"/>
      <c r="AC4" s="289"/>
      <c r="AD4" s="289"/>
      <c r="AE4" s="283">
        <f t="shared" si="1"/>
        <v>346666.65800000005</v>
      </c>
      <c r="AF4" s="283">
        <f t="shared" si="2"/>
        <v>0</v>
      </c>
      <c r="AG4" s="283">
        <f t="shared" si="3"/>
        <v>346666.65800000005</v>
      </c>
      <c r="AH4" s="67"/>
      <c r="AI4" s="67"/>
      <c r="AJ4" s="67"/>
      <c r="AK4" s="67"/>
      <c r="AL4" s="67"/>
    </row>
    <row r="5" spans="1:38" s="5" customFormat="1">
      <c r="A5" s="438"/>
      <c r="B5" s="67" t="str">
        <f>'1-συμβολαια'!C5</f>
        <v>τόκοι δανείου {εμπρόθεσμα πληρωθέντες}</v>
      </c>
      <c r="C5" s="289">
        <f>'1-συμβολαια'!D5</f>
        <v>51111111</v>
      </c>
      <c r="D5" s="289">
        <f t="shared" si="0"/>
        <v>664444.44300000009</v>
      </c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  <c r="AB5" s="289"/>
      <c r="AC5" s="289"/>
      <c r="AD5" s="289"/>
      <c r="AE5" s="289">
        <f t="shared" si="1"/>
        <v>664444.44300000009</v>
      </c>
      <c r="AF5" s="289">
        <f t="shared" si="2"/>
        <v>0</v>
      </c>
      <c r="AG5" s="289">
        <f t="shared" si="3"/>
        <v>664444.44300000009</v>
      </c>
      <c r="AH5" s="67"/>
      <c r="AI5" s="67"/>
      <c r="AJ5" s="67"/>
      <c r="AK5" s="67"/>
      <c r="AL5" s="67"/>
    </row>
    <row r="6" spans="1:38" s="5" customFormat="1">
      <c r="A6" s="438" t="str">
        <f>'1-συμβολαια'!A6</f>
        <v>375τραπ</v>
      </c>
      <c r="B6" s="67" t="str">
        <f>'1-συμβολαια'!C6</f>
        <v>δάνειο</v>
      </c>
      <c r="C6" s="289">
        <f>'1-συμβολαια'!D6</f>
        <v>5000000</v>
      </c>
      <c r="D6" s="289">
        <f t="shared" si="0"/>
        <v>65000.000000000007</v>
      </c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>
        <f t="shared" si="1"/>
        <v>65000.000000000007</v>
      </c>
      <c r="AF6" s="289">
        <f t="shared" si="2"/>
        <v>0</v>
      </c>
      <c r="AG6" s="289">
        <f t="shared" si="3"/>
        <v>65000.000000000007</v>
      </c>
      <c r="AH6" s="67"/>
      <c r="AI6" s="67"/>
      <c r="AJ6" s="67"/>
      <c r="AK6" s="67"/>
      <c r="AL6" s="67"/>
    </row>
    <row r="7" spans="1:38" s="5" customFormat="1">
      <c r="A7" s="438">
        <f>'1-συμβολαια'!A7</f>
        <v>0</v>
      </c>
      <c r="B7" s="67" t="str">
        <f>'1-συμβολαια'!C7</f>
        <v>υποθήκη δανείου</v>
      </c>
      <c r="C7" s="289">
        <f>'1-συμβολαια'!D7</f>
        <v>6666666</v>
      </c>
      <c r="D7" s="289">
        <f t="shared" si="0"/>
        <v>86666.65800000001</v>
      </c>
      <c r="E7" s="289"/>
      <c r="F7" s="289"/>
      <c r="G7" s="289"/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  <c r="U7" s="289"/>
      <c r="V7" s="289"/>
      <c r="W7" s="289"/>
      <c r="X7" s="289"/>
      <c r="Y7" s="289"/>
      <c r="Z7" s="289"/>
      <c r="AA7" s="289"/>
      <c r="AB7" s="289"/>
      <c r="AC7" s="289"/>
      <c r="AD7" s="289"/>
      <c r="AE7" s="289">
        <f t="shared" si="1"/>
        <v>86666.65800000001</v>
      </c>
      <c r="AF7" s="289">
        <f t="shared" si="2"/>
        <v>0</v>
      </c>
      <c r="AG7" s="289">
        <f t="shared" si="3"/>
        <v>86666.65800000001</v>
      </c>
      <c r="AH7" s="67"/>
      <c r="AI7" s="67"/>
      <c r="AJ7" s="67"/>
      <c r="AK7" s="67"/>
      <c r="AL7" s="67"/>
    </row>
    <row r="8" spans="1:38" s="5" customFormat="1">
      <c r="A8" s="438">
        <f>'1-συμβολαια'!A8</f>
        <v>0</v>
      </c>
      <c r="B8" s="67" t="str">
        <f>'1-συμβολαια'!C8</f>
        <v>τόκοι δανείου</v>
      </c>
      <c r="C8" s="289">
        <f>'1-συμβολαια'!D8</f>
        <v>11111111</v>
      </c>
      <c r="D8" s="289">
        <f t="shared" si="0"/>
        <v>144444.443</v>
      </c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>
        <f t="shared" si="1"/>
        <v>144444.443</v>
      </c>
      <c r="AF8" s="289">
        <f t="shared" si="2"/>
        <v>0</v>
      </c>
      <c r="AG8" s="289">
        <f t="shared" si="3"/>
        <v>144444.443</v>
      </c>
      <c r="AH8" s="67"/>
      <c r="AI8" s="67"/>
      <c r="AJ8" s="67"/>
      <c r="AK8" s="67"/>
      <c r="AL8" s="67"/>
    </row>
    <row r="9" spans="1:38" s="5" customFormat="1" ht="12" thickBot="1">
      <c r="A9" s="439" t="str">
        <f>'1-συμβολαια'!A9</f>
        <v>1ο</v>
      </c>
      <c r="B9" s="346" t="str">
        <f>'1-συμβολαια'!C9</f>
        <v>υποθήκη τυχόν αυξήσεως ΤΟΚΩΝ δανείου</v>
      </c>
      <c r="C9" s="374">
        <f>'1-συμβολαια'!D9</f>
        <v>20000</v>
      </c>
      <c r="D9" s="374">
        <f t="shared" si="0"/>
        <v>260</v>
      </c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74"/>
      <c r="P9" s="374"/>
      <c r="Q9" s="374"/>
      <c r="R9" s="374"/>
      <c r="S9" s="374"/>
      <c r="T9" s="374"/>
      <c r="U9" s="374"/>
      <c r="V9" s="374"/>
      <c r="W9" s="374"/>
      <c r="X9" s="374"/>
      <c r="Y9" s="374"/>
      <c r="Z9" s="374"/>
      <c r="AA9" s="374"/>
      <c r="AB9" s="374"/>
      <c r="AC9" s="374"/>
      <c r="AD9" s="374"/>
      <c r="AE9" s="374">
        <f t="shared" si="1"/>
        <v>260</v>
      </c>
      <c r="AF9" s="374">
        <v>200</v>
      </c>
      <c r="AG9" s="374">
        <f t="shared" si="3"/>
        <v>60</v>
      </c>
      <c r="AH9" s="346"/>
      <c r="AI9" s="346"/>
      <c r="AJ9" s="346"/>
      <c r="AK9" s="346"/>
      <c r="AL9" s="346"/>
    </row>
    <row r="10" spans="1:38" s="5" customFormat="1">
      <c r="A10" s="488" t="str">
        <f>'1-συμβολαια'!A10</f>
        <v>2ο</v>
      </c>
      <c r="B10" s="288" t="str">
        <f>'1-συμβολαια'!C10</f>
        <v>αγοραπωλησία οικοπεδου τίμημα = 800.000 Δ.Ο.Υ. =</v>
      </c>
      <c r="C10" s="283">
        <f>'1-συμβολαια'!D10</f>
        <v>1000000</v>
      </c>
      <c r="D10" s="283"/>
      <c r="E10" s="283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>
        <f t="shared" si="1"/>
        <v>0</v>
      </c>
      <c r="AF10" s="283">
        <f t="shared" si="2"/>
        <v>0</v>
      </c>
      <c r="AG10" s="283">
        <f t="shared" si="3"/>
        <v>0</v>
      </c>
      <c r="AH10" s="288"/>
      <c r="AI10" s="288"/>
      <c r="AJ10" s="288"/>
      <c r="AK10" s="288"/>
      <c r="AL10" s="288"/>
    </row>
    <row r="11" spans="1:38" s="5" customFormat="1">
      <c r="A11" s="489">
        <f>'1-συμβολαια'!A11</f>
        <v>0</v>
      </c>
      <c r="B11" s="67" t="str">
        <f>'1-συμβολαια'!C11</f>
        <v>αγορά εργοστασίου ;;;??? μ2</v>
      </c>
      <c r="C11" s="289">
        <f>'1-συμβολαια'!D11</f>
        <v>11111111</v>
      </c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89"/>
      <c r="W11" s="289"/>
      <c r="X11" s="289"/>
      <c r="Y11" s="289"/>
      <c r="Z11" s="289"/>
      <c r="AA11" s="289"/>
      <c r="AB11" s="289"/>
      <c r="AC11" s="289"/>
      <c r="AD11" s="289"/>
      <c r="AE11" s="283">
        <f t="shared" si="1"/>
        <v>0</v>
      </c>
      <c r="AF11" s="283">
        <f t="shared" si="2"/>
        <v>0</v>
      </c>
      <c r="AG11" s="283">
        <f t="shared" si="3"/>
        <v>0</v>
      </c>
      <c r="AH11" s="67"/>
      <c r="AI11" s="67"/>
      <c r="AJ11" s="67"/>
      <c r="AK11" s="67"/>
      <c r="AL11" s="67"/>
    </row>
    <row r="12" spans="1:38" s="5" customFormat="1" ht="12" thickBot="1">
      <c r="A12" s="490">
        <f>'1-συμβολαια'!A12</f>
        <v>0</v>
      </c>
      <c r="B12" s="346" t="str">
        <f>'1-συμβολαια'!C12</f>
        <v>αγορά εργοστασίου ΕΞΟΠΛΙΣΜΟΣ</v>
      </c>
      <c r="C12" s="374">
        <f>'1-συμβολαια'!D12</f>
        <v>6666666</v>
      </c>
      <c r="D12" s="374"/>
      <c r="E12" s="374"/>
      <c r="F12" s="374"/>
      <c r="G12" s="374"/>
      <c r="H12" s="374"/>
      <c r="I12" s="374"/>
      <c r="J12" s="374"/>
      <c r="K12" s="374"/>
      <c r="L12" s="374"/>
      <c r="M12" s="374"/>
      <c r="N12" s="374"/>
      <c r="O12" s="374"/>
      <c r="P12" s="374"/>
      <c r="Q12" s="374"/>
      <c r="R12" s="374"/>
      <c r="S12" s="374"/>
      <c r="T12" s="374"/>
      <c r="U12" s="374"/>
      <c r="V12" s="374"/>
      <c r="W12" s="374"/>
      <c r="X12" s="374"/>
      <c r="Y12" s="374"/>
      <c r="Z12" s="374"/>
      <c r="AA12" s="374"/>
      <c r="AB12" s="374"/>
      <c r="AC12" s="374"/>
      <c r="AD12" s="374"/>
      <c r="AE12" s="374">
        <f t="shared" si="1"/>
        <v>0</v>
      </c>
      <c r="AF12" s="374">
        <f t="shared" si="2"/>
        <v>0</v>
      </c>
      <c r="AG12" s="374">
        <f t="shared" si="3"/>
        <v>0</v>
      </c>
      <c r="AH12" s="346"/>
      <c r="AI12" s="346"/>
      <c r="AJ12" s="346"/>
      <c r="AK12" s="67"/>
      <c r="AL12" s="67"/>
    </row>
    <row r="13" spans="1:38" s="5" customFormat="1" ht="12" thickBot="1">
      <c r="A13" s="512" t="str">
        <f>'1-συμβολαια'!A13</f>
        <v>3ο</v>
      </c>
      <c r="B13" s="513" t="str">
        <f>'1-συμβολαια'!C13</f>
        <v>πληρεξούσιο</v>
      </c>
      <c r="C13" s="514">
        <f>'1-συμβολαια'!D13</f>
        <v>0</v>
      </c>
      <c r="D13" s="514">
        <f t="shared" si="0"/>
        <v>0</v>
      </c>
      <c r="E13" s="514"/>
      <c r="F13" s="514"/>
      <c r="G13" s="514"/>
      <c r="H13" s="514"/>
      <c r="I13" s="514"/>
      <c r="J13" s="514"/>
      <c r="K13" s="514"/>
      <c r="L13" s="514"/>
      <c r="M13" s="514"/>
      <c r="N13" s="514"/>
      <c r="O13" s="514"/>
      <c r="P13" s="514"/>
      <c r="Q13" s="514"/>
      <c r="R13" s="514"/>
      <c r="S13" s="514"/>
      <c r="T13" s="514"/>
      <c r="U13" s="514"/>
      <c r="V13" s="514"/>
      <c r="W13" s="514"/>
      <c r="X13" s="514"/>
      <c r="Y13" s="514"/>
      <c r="Z13" s="514"/>
      <c r="AA13" s="514"/>
      <c r="AB13" s="514"/>
      <c r="AC13" s="514"/>
      <c r="AD13" s="514"/>
      <c r="AE13" s="514">
        <f t="shared" si="1"/>
        <v>0</v>
      </c>
      <c r="AF13" s="514">
        <f t="shared" si="2"/>
        <v>0</v>
      </c>
      <c r="AG13" s="514">
        <f t="shared" si="3"/>
        <v>0</v>
      </c>
      <c r="AH13" s="513"/>
      <c r="AI13" s="513"/>
      <c r="AJ13" s="513"/>
      <c r="AK13" s="346"/>
      <c r="AL13" s="67"/>
    </row>
    <row r="14" spans="1:38" s="5" customFormat="1">
      <c r="A14" s="474" t="str">
        <f>'1-συμβολαια'!A14</f>
        <v>4ο</v>
      </c>
      <c r="B14" s="288" t="str">
        <f>'1-συμβολαια'!C14</f>
        <v>υποθήκη [έναντι του δανείου 375-29/07/1982τραπ</v>
      </c>
      <c r="C14" s="283">
        <f>'1-συμβολαια'!D14</f>
        <v>100000</v>
      </c>
      <c r="D14" s="283">
        <f t="shared" si="0"/>
        <v>1300.0000000000002</v>
      </c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>
        <f t="shared" si="1"/>
        <v>1300.0000000000002</v>
      </c>
      <c r="AF14" s="283">
        <v>1000</v>
      </c>
      <c r="AG14" s="283">
        <f t="shared" si="3"/>
        <v>300.00000000000023</v>
      </c>
      <c r="AH14" s="288"/>
      <c r="AI14" s="288"/>
      <c r="AJ14" s="288"/>
      <c r="AK14" s="288"/>
      <c r="AL14" s="67"/>
    </row>
    <row r="15" spans="1:38" s="5" customFormat="1">
      <c r="A15" s="438" t="str">
        <f>'1-συμβολαια'!A15</f>
        <v>389τραπ</v>
      </c>
      <c r="B15" s="67" t="str">
        <f>'1-συμβολαια'!C15</f>
        <v>δάνειο</v>
      </c>
      <c r="C15" s="289">
        <f>'1-συμβολαια'!D15</f>
        <v>10000000</v>
      </c>
      <c r="D15" s="289">
        <f t="shared" si="0"/>
        <v>130000.00000000001</v>
      </c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  <c r="Z15" s="289"/>
      <c r="AA15" s="289"/>
      <c r="AB15" s="289"/>
      <c r="AC15" s="289"/>
      <c r="AD15" s="289"/>
      <c r="AE15" s="283">
        <f t="shared" si="1"/>
        <v>130000.00000000001</v>
      </c>
      <c r="AF15" s="283">
        <f t="shared" si="2"/>
        <v>0</v>
      </c>
      <c r="AG15" s="283">
        <f t="shared" si="3"/>
        <v>130000.00000000001</v>
      </c>
      <c r="AH15" s="67"/>
      <c r="AI15" s="67"/>
      <c r="AJ15" s="67"/>
      <c r="AK15" s="67"/>
      <c r="AL15" s="67"/>
    </row>
    <row r="16" spans="1:38" s="5" customFormat="1">
      <c r="A16" s="438">
        <f>'1-συμβολαια'!A16</f>
        <v>0</v>
      </c>
      <c r="B16" s="67" t="str">
        <f>'1-συμβολαια'!C16</f>
        <v>υποθήκη δανείου</v>
      </c>
      <c r="C16" s="289">
        <f>'1-συμβολαια'!D16</f>
        <v>12222222</v>
      </c>
      <c r="D16" s="289">
        <f t="shared" si="0"/>
        <v>158888.88600000003</v>
      </c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  <c r="Z16" s="289"/>
      <c r="AA16" s="289"/>
      <c r="AB16" s="289"/>
      <c r="AC16" s="289"/>
      <c r="AD16" s="289"/>
      <c r="AE16" s="283">
        <f t="shared" si="1"/>
        <v>158888.88600000003</v>
      </c>
      <c r="AF16" s="283">
        <f t="shared" si="2"/>
        <v>0</v>
      </c>
      <c r="AG16" s="283">
        <f t="shared" si="3"/>
        <v>158888.88600000003</v>
      </c>
      <c r="AH16" s="67"/>
      <c r="AI16" s="67"/>
      <c r="AJ16" s="67"/>
      <c r="AK16" s="67"/>
      <c r="AL16" s="67"/>
    </row>
    <row r="17" spans="1:38" s="5" customFormat="1" ht="12" thickBot="1">
      <c r="A17" s="439">
        <f>'1-συμβολαια'!A17</f>
        <v>0</v>
      </c>
      <c r="B17" s="346" t="str">
        <f>'1-συμβολαια'!C17</f>
        <v>τόκοι δανείου</v>
      </c>
      <c r="C17" s="374">
        <f>'1-συμβολαια'!D17</f>
        <v>22222222</v>
      </c>
      <c r="D17" s="374">
        <f t="shared" si="0"/>
        <v>288888.886</v>
      </c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  <c r="Z17" s="374"/>
      <c r="AA17" s="374"/>
      <c r="AB17" s="374"/>
      <c r="AC17" s="374"/>
      <c r="AD17" s="374"/>
      <c r="AE17" s="374">
        <f t="shared" si="1"/>
        <v>288888.886</v>
      </c>
      <c r="AF17" s="374">
        <f t="shared" si="2"/>
        <v>0</v>
      </c>
      <c r="AG17" s="374">
        <f t="shared" si="3"/>
        <v>288888.886</v>
      </c>
      <c r="AH17" s="346"/>
      <c r="AI17" s="346"/>
      <c r="AJ17" s="346"/>
      <c r="AK17" s="346"/>
      <c r="AL17" s="346"/>
    </row>
    <row r="18" spans="1:38" s="5" customFormat="1">
      <c r="A18" s="488" t="str">
        <f>'1-συμβολαια'!A18</f>
        <v>5ο</v>
      </c>
      <c r="B18" s="288" t="str">
        <f>'1-συμβολαια'!C18</f>
        <v>μίσθωσις νταμάρι  Παναγία -'';;;???'' 29στρ 3έτη [1000/έτος/στρ</v>
      </c>
      <c r="C18" s="283">
        <f>'1-συμβολαια'!D18</f>
        <v>696000</v>
      </c>
      <c r="D18" s="283">
        <f t="shared" si="0"/>
        <v>9048</v>
      </c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83"/>
      <c r="Y18" s="283"/>
      <c r="Z18" s="283"/>
      <c r="AA18" s="283"/>
      <c r="AB18" s="283"/>
      <c r="AC18" s="283"/>
      <c r="AD18" s="283"/>
      <c r="AE18" s="283">
        <f t="shared" si="1"/>
        <v>9048</v>
      </c>
      <c r="AF18" s="283">
        <v>9620</v>
      </c>
      <c r="AG18" s="283">
        <f t="shared" si="3"/>
        <v>-572</v>
      </c>
      <c r="AH18" s="288"/>
      <c r="AI18" s="288"/>
      <c r="AJ18" s="288"/>
      <c r="AK18" s="288"/>
      <c r="AL18" s="288"/>
    </row>
    <row r="19" spans="1:38" s="5" customFormat="1">
      <c r="A19" s="489">
        <f>'1-συμβολαια'!A19</f>
        <v>0</v>
      </c>
      <c r="B19" s="67" t="str">
        <f>'1-συμβολαια'!C19</f>
        <v>μίσθωση … ΚΤΙΡΙΑΚΑ &amp; τεχνικές εγκαταστάσεις &amp; ΚΛΠ</v>
      </c>
      <c r="C19" s="289">
        <f>'1-συμβολαια'!D19</f>
        <v>10000000</v>
      </c>
      <c r="D19" s="289">
        <f t="shared" ref="D19:D22" si="4">C19*1.3%</f>
        <v>130000.00000000001</v>
      </c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  <c r="Z19" s="289"/>
      <c r="AA19" s="289"/>
      <c r="AB19" s="289"/>
      <c r="AC19" s="289"/>
      <c r="AD19" s="289"/>
      <c r="AE19" s="283">
        <f t="shared" ref="AE19:AE22" si="5">D19+M19+V19</f>
        <v>130000.00000000001</v>
      </c>
      <c r="AF19" s="283">
        <f t="shared" ref="AF19:AF22" si="6">E19+N19+W19</f>
        <v>0</v>
      </c>
      <c r="AG19" s="283">
        <f t="shared" ref="AG19:AG22" si="7">AE19-AF19</f>
        <v>130000.00000000001</v>
      </c>
      <c r="AH19" s="67"/>
      <c r="AI19" s="67"/>
      <c r="AJ19" s="67"/>
      <c r="AK19" s="67"/>
      <c r="AL19" s="67"/>
    </row>
    <row r="20" spans="1:38" s="5" customFormat="1">
      <c r="A20" s="489">
        <f>'1-συμβολαια'!A20</f>
        <v>0</v>
      </c>
      <c r="B20" s="67" t="str">
        <f>'1-συμβολαια'!C20</f>
        <v>μίσθωση … ΕΡΕΥΝΗΤΙΚΕΣ εργασίες</v>
      </c>
      <c r="C20" s="289">
        <f>'1-συμβολαια'!D20</f>
        <v>3333333</v>
      </c>
      <c r="D20" s="289">
        <f t="shared" si="4"/>
        <v>43333.329000000005</v>
      </c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  <c r="Z20" s="289"/>
      <c r="AA20" s="289"/>
      <c r="AB20" s="289"/>
      <c r="AC20" s="289"/>
      <c r="AD20" s="289"/>
      <c r="AE20" s="283">
        <f t="shared" si="5"/>
        <v>43333.329000000005</v>
      </c>
      <c r="AF20" s="283">
        <f t="shared" si="6"/>
        <v>0</v>
      </c>
      <c r="AG20" s="283">
        <f t="shared" si="7"/>
        <v>43333.329000000005</v>
      </c>
      <c r="AH20" s="67"/>
      <c r="AI20" s="67"/>
      <c r="AJ20" s="67"/>
      <c r="AK20" s="67"/>
      <c r="AL20" s="67"/>
    </row>
    <row r="21" spans="1:38" s="5" customFormat="1" ht="12" thickBot="1">
      <c r="A21" s="490">
        <f>'1-συμβολαια'!A21</f>
        <v>0</v>
      </c>
      <c r="B21" s="346" t="str">
        <f>'1-συμβολαια'!C21</f>
        <v>μίσθωση ….. κόστος έργων αποκατάστασης</v>
      </c>
      <c r="C21" s="374">
        <f>'1-συμβολαια'!D21</f>
        <v>6000000</v>
      </c>
      <c r="D21" s="374">
        <f t="shared" si="4"/>
        <v>78000</v>
      </c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4"/>
      <c r="U21" s="374"/>
      <c r="V21" s="374"/>
      <c r="W21" s="374"/>
      <c r="X21" s="374"/>
      <c r="Y21" s="374"/>
      <c r="Z21" s="374"/>
      <c r="AA21" s="374"/>
      <c r="AB21" s="374"/>
      <c r="AC21" s="374"/>
      <c r="AD21" s="374"/>
      <c r="AE21" s="374">
        <f t="shared" si="5"/>
        <v>78000</v>
      </c>
      <c r="AF21" s="374">
        <f t="shared" si="6"/>
        <v>0</v>
      </c>
      <c r="AG21" s="374">
        <f t="shared" si="7"/>
        <v>78000</v>
      </c>
      <c r="AH21" s="346"/>
      <c r="AI21" s="346"/>
      <c r="AJ21" s="346"/>
      <c r="AK21" s="67"/>
      <c r="AL21" s="67"/>
    </row>
    <row r="22" spans="1:38" s="5" customFormat="1">
      <c r="A22" s="474" t="str">
        <f>'1-συμβολαια'!A22</f>
        <v>6ο</v>
      </c>
      <c r="B22" s="288" t="str">
        <f>'1-συμβολαια'!C22</f>
        <v>;;;???ΑΕ σύσταση από ΜΕΤΑΤΡΟΠΗ ατομικής [= 40.000.000δρχ</v>
      </c>
      <c r="C22" s="283">
        <f>'1-συμβολαια'!D22</f>
        <v>0</v>
      </c>
      <c r="D22" s="283">
        <f t="shared" si="4"/>
        <v>0</v>
      </c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  <c r="AE22" s="283">
        <f t="shared" si="5"/>
        <v>0</v>
      </c>
      <c r="AF22" s="283">
        <f t="shared" si="6"/>
        <v>0</v>
      </c>
      <c r="AG22" s="283">
        <f t="shared" si="7"/>
        <v>0</v>
      </c>
      <c r="AH22" s="288"/>
      <c r="AI22" s="288"/>
      <c r="AJ22" s="288"/>
      <c r="AK22" s="67"/>
      <c r="AL22" s="67"/>
    </row>
    <row r="23" spans="1:38" s="5" customFormat="1" ht="12" thickBot="1">
      <c r="A23" s="439">
        <f>'1-συμβολαια'!A23</f>
        <v>0</v>
      </c>
      <c r="B23" s="346" t="str">
        <f>'1-συμβολαια'!C23</f>
        <v>πληρεξουσιότητα</v>
      </c>
      <c r="C23" s="374">
        <f>'1-συμβολαια'!D23</f>
        <v>0</v>
      </c>
      <c r="D23" s="374">
        <f t="shared" ref="D23:D38" si="8">C23*1.3%</f>
        <v>0</v>
      </c>
      <c r="E23" s="374"/>
      <c r="F23" s="374"/>
      <c r="G23" s="374"/>
      <c r="H23" s="374"/>
      <c r="I23" s="374"/>
      <c r="J23" s="374"/>
      <c r="K23" s="374"/>
      <c r="L23" s="374"/>
      <c r="M23" s="374"/>
      <c r="N23" s="374"/>
      <c r="O23" s="374"/>
      <c r="P23" s="374"/>
      <c r="Q23" s="374"/>
      <c r="R23" s="374"/>
      <c r="S23" s="374"/>
      <c r="T23" s="374"/>
      <c r="U23" s="374"/>
      <c r="V23" s="374"/>
      <c r="W23" s="374"/>
      <c r="X23" s="374"/>
      <c r="Y23" s="374"/>
      <c r="Z23" s="374"/>
      <c r="AA23" s="374"/>
      <c r="AB23" s="374"/>
      <c r="AC23" s="374"/>
      <c r="AD23" s="374"/>
      <c r="AE23" s="374">
        <f t="shared" ref="AE23:AE38" si="9">D23+M23+V23</f>
        <v>0</v>
      </c>
      <c r="AF23" s="374">
        <f t="shared" ref="AF23:AF38" si="10">E23+N23+W23</f>
        <v>0</v>
      </c>
      <c r="AG23" s="374">
        <f t="shared" ref="AG23:AG38" si="11">AE23-AF23</f>
        <v>0</v>
      </c>
      <c r="AH23" s="346"/>
      <c r="AI23" s="346"/>
      <c r="AJ23" s="346"/>
      <c r="AK23" s="346"/>
      <c r="AL23" s="67"/>
    </row>
    <row r="24" spans="1:38" s="5" customFormat="1">
      <c r="A24" s="488" t="str">
        <f>'1-συμβολαια'!A24</f>
        <v>7ο</v>
      </c>
      <c r="B24" s="288" t="str">
        <f>'1-συμβολαια'!C24</f>
        <v>;;;??? υποθήκης ΕΞΑΛΕΙΨΗ</v>
      </c>
      <c r="C24" s="283">
        <f>'1-συμβολαια'!D24</f>
        <v>0</v>
      </c>
      <c r="D24" s="283">
        <f t="shared" si="8"/>
        <v>0</v>
      </c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3"/>
      <c r="Z24" s="283"/>
      <c r="AA24" s="283"/>
      <c r="AB24" s="283"/>
      <c r="AC24" s="283"/>
      <c r="AD24" s="283"/>
      <c r="AE24" s="283">
        <f t="shared" si="9"/>
        <v>0</v>
      </c>
      <c r="AF24" s="283">
        <f t="shared" si="10"/>
        <v>0</v>
      </c>
      <c r="AG24" s="283">
        <f t="shared" si="11"/>
        <v>0</v>
      </c>
      <c r="AH24" s="288"/>
      <c r="AI24" s="288"/>
      <c r="AJ24" s="288"/>
      <c r="AK24" s="288"/>
      <c r="AL24" s="67"/>
    </row>
    <row r="25" spans="1:38" s="5" customFormat="1">
      <c r="A25" s="488">
        <f>'1-συμβολαια'!A25</f>
        <v>0</v>
      </c>
      <c r="B25" s="288" t="str">
        <f>'1-συμβολαια'!C25</f>
        <v>υποθήκης 375τραπ29/7/82 ΕΞΑΛΕΙΨΗ</v>
      </c>
      <c r="C25" s="283">
        <f>'1-συμβολαια'!D25</f>
        <v>0</v>
      </c>
      <c r="D25" s="283">
        <f t="shared" si="8"/>
        <v>0</v>
      </c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  <c r="Z25" s="283"/>
      <c r="AA25" s="283"/>
      <c r="AB25" s="283"/>
      <c r="AC25" s="283"/>
      <c r="AD25" s="283"/>
      <c r="AE25" s="283">
        <f t="shared" si="9"/>
        <v>0</v>
      </c>
      <c r="AF25" s="283">
        <f t="shared" si="10"/>
        <v>0</v>
      </c>
      <c r="AG25" s="283">
        <f t="shared" si="11"/>
        <v>0</v>
      </c>
      <c r="AH25" s="288"/>
      <c r="AI25" s="288"/>
      <c r="AJ25" s="288"/>
      <c r="AK25" s="67"/>
      <c r="AL25" s="67"/>
    </row>
    <row r="26" spans="1:38" s="5" customFormat="1">
      <c r="A26" s="488">
        <f>'1-συμβολαια'!A26</f>
        <v>0</v>
      </c>
      <c r="B26" s="288" t="str">
        <f>'1-συμβολαια'!C26</f>
        <v>δάνειο 375τραπ 9/7/82 ΕΞΟΦΛΗΣΗ</v>
      </c>
      <c r="C26" s="283">
        <f>'1-συμβολαια'!D26</f>
        <v>0</v>
      </c>
      <c r="D26" s="283">
        <f t="shared" si="8"/>
        <v>0</v>
      </c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  <c r="Z26" s="283"/>
      <c r="AA26" s="283"/>
      <c r="AB26" s="283"/>
      <c r="AC26" s="283"/>
      <c r="AD26" s="283"/>
      <c r="AE26" s="283">
        <f t="shared" si="9"/>
        <v>0</v>
      </c>
      <c r="AF26" s="283">
        <f t="shared" si="10"/>
        <v>0</v>
      </c>
      <c r="AG26" s="283">
        <f t="shared" si="11"/>
        <v>0</v>
      </c>
      <c r="AH26" s="288"/>
      <c r="AI26" s="288"/>
      <c r="AJ26" s="288"/>
      <c r="AK26" s="67"/>
      <c r="AL26" s="67"/>
    </row>
    <row r="27" spans="1:38" s="5" customFormat="1">
      <c r="A27" s="488">
        <f>'1-συμβολαια'!A27</f>
        <v>0</v>
      </c>
      <c r="B27" s="288" t="str">
        <f>'1-συμβολαια'!C27</f>
        <v>τόκοι δανείου 375τραπ {= προπληρωθέντες VS υπερΠληρωθέντες</v>
      </c>
      <c r="C27" s="283">
        <f>'1-συμβολαια'!D27</f>
        <v>1111111</v>
      </c>
      <c r="D27" s="283">
        <f t="shared" si="8"/>
        <v>14444.443000000001</v>
      </c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  <c r="AA27" s="283"/>
      <c r="AB27" s="283"/>
      <c r="AC27" s="283"/>
      <c r="AD27" s="283"/>
      <c r="AE27" s="283">
        <f t="shared" si="9"/>
        <v>14444.443000000001</v>
      </c>
      <c r="AF27" s="283">
        <f t="shared" si="10"/>
        <v>0</v>
      </c>
      <c r="AG27" s="283">
        <f t="shared" si="11"/>
        <v>14444.443000000001</v>
      </c>
      <c r="AH27" s="288"/>
      <c r="AI27" s="288"/>
      <c r="AJ27" s="288"/>
      <c r="AK27" s="67"/>
      <c r="AL27" s="67"/>
    </row>
    <row r="28" spans="1:38" s="5" customFormat="1">
      <c r="A28" s="488">
        <f>'1-συμβολαια'!A28</f>
        <v>0</v>
      </c>
      <c r="B28" s="288" t="str">
        <f>'1-συμβολαια'!C28</f>
        <v>υποθήκης 389τραπ29/7/82 ΕΞΑΛΕΙΨΗ</v>
      </c>
      <c r="C28" s="283">
        <f>'1-συμβολαια'!D28</f>
        <v>0</v>
      </c>
      <c r="D28" s="283">
        <f t="shared" si="8"/>
        <v>0</v>
      </c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  <c r="AA28" s="283"/>
      <c r="AB28" s="283"/>
      <c r="AC28" s="283"/>
      <c r="AD28" s="283"/>
      <c r="AE28" s="283">
        <f t="shared" si="9"/>
        <v>0</v>
      </c>
      <c r="AF28" s="283">
        <f t="shared" si="10"/>
        <v>0</v>
      </c>
      <c r="AG28" s="283">
        <f t="shared" si="11"/>
        <v>0</v>
      </c>
      <c r="AH28" s="288"/>
      <c r="AI28" s="288"/>
      <c r="AJ28" s="288"/>
      <c r="AK28" s="67"/>
      <c r="AL28" s="67"/>
    </row>
    <row r="29" spans="1:38" s="5" customFormat="1">
      <c r="A29" s="488">
        <f>'1-συμβολαια'!A29</f>
        <v>0</v>
      </c>
      <c r="B29" s="288" t="str">
        <f>'1-συμβολαια'!C29</f>
        <v>δάνειο 389τραπ29/7/82 ΕΞΟΦΛΗΣΗ</v>
      </c>
      <c r="C29" s="283">
        <f>'1-συμβολαια'!D29</f>
        <v>0</v>
      </c>
      <c r="D29" s="283">
        <f t="shared" si="8"/>
        <v>0</v>
      </c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3"/>
      <c r="V29" s="283"/>
      <c r="W29" s="283"/>
      <c r="X29" s="283"/>
      <c r="Y29" s="283"/>
      <c r="Z29" s="283"/>
      <c r="AA29" s="283"/>
      <c r="AB29" s="283"/>
      <c r="AC29" s="283"/>
      <c r="AD29" s="283"/>
      <c r="AE29" s="283">
        <f t="shared" si="9"/>
        <v>0</v>
      </c>
      <c r="AF29" s="283">
        <f t="shared" si="10"/>
        <v>0</v>
      </c>
      <c r="AG29" s="283">
        <f t="shared" si="11"/>
        <v>0</v>
      </c>
      <c r="AH29" s="288"/>
      <c r="AI29" s="288"/>
      <c r="AJ29" s="288"/>
      <c r="AK29" s="67"/>
      <c r="AL29" s="67"/>
    </row>
    <row r="30" spans="1:38" s="5" customFormat="1" ht="12" thickBot="1">
      <c r="A30" s="490">
        <f>'1-συμβολαια'!A30</f>
        <v>0</v>
      </c>
      <c r="B30" s="346" t="str">
        <f>'1-συμβολαια'!C30</f>
        <v>τόκοι δανείου 389τραπ {= προπληρωθέντες VS υπερΠληρωθέντες</v>
      </c>
      <c r="C30" s="374">
        <f>'1-συμβολαια'!D30</f>
        <v>2222222</v>
      </c>
      <c r="D30" s="374">
        <f t="shared" si="8"/>
        <v>28888.886000000002</v>
      </c>
      <c r="E30" s="374"/>
      <c r="F30" s="374"/>
      <c r="G30" s="374"/>
      <c r="H30" s="374"/>
      <c r="I30" s="374"/>
      <c r="J30" s="374"/>
      <c r="K30" s="374"/>
      <c r="L30" s="374"/>
      <c r="M30" s="374"/>
      <c r="N30" s="374"/>
      <c r="O30" s="374"/>
      <c r="P30" s="374"/>
      <c r="Q30" s="374"/>
      <c r="R30" s="374"/>
      <c r="S30" s="374"/>
      <c r="T30" s="374"/>
      <c r="U30" s="374"/>
      <c r="V30" s="374"/>
      <c r="W30" s="374"/>
      <c r="X30" s="374"/>
      <c r="Y30" s="374"/>
      <c r="Z30" s="374"/>
      <c r="AA30" s="374"/>
      <c r="AB30" s="374"/>
      <c r="AC30" s="374"/>
      <c r="AD30" s="374"/>
      <c r="AE30" s="374">
        <f t="shared" si="9"/>
        <v>28888.886000000002</v>
      </c>
      <c r="AF30" s="374">
        <f t="shared" si="10"/>
        <v>0</v>
      </c>
      <c r="AG30" s="374">
        <f t="shared" si="11"/>
        <v>28888.886000000002</v>
      </c>
      <c r="AH30" s="346"/>
      <c r="AI30" s="346"/>
      <c r="AJ30" s="346"/>
      <c r="AK30" s="67"/>
      <c r="AL30" s="67"/>
    </row>
    <row r="31" spans="1:38" s="5" customFormat="1">
      <c r="A31" s="474" t="str">
        <f>'1-συμβολαια'!A31</f>
        <v>8ο</v>
      </c>
      <c r="B31" s="288" t="str">
        <f>'1-συμβολαια'!C31</f>
        <v>μίσθωσης νταμάρι …. ΠΑΡΑΤΑΣΗ 3έτη</v>
      </c>
      <c r="C31" s="283">
        <f>'1-συμβολαια'!D31</f>
        <v>966657</v>
      </c>
      <c r="D31" s="283">
        <f t="shared" si="8"/>
        <v>12566.541000000001</v>
      </c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  <c r="Z31" s="283"/>
      <c r="AA31" s="283"/>
      <c r="AB31" s="283"/>
      <c r="AC31" s="283"/>
      <c r="AD31" s="283"/>
      <c r="AE31" s="283">
        <f t="shared" si="9"/>
        <v>12566.541000000001</v>
      </c>
      <c r="AF31" s="283">
        <f t="shared" si="10"/>
        <v>0</v>
      </c>
      <c r="AG31" s="283">
        <f t="shared" si="11"/>
        <v>12566.541000000001</v>
      </c>
      <c r="AH31" s="288"/>
      <c r="AI31" s="288"/>
      <c r="AJ31" s="288"/>
      <c r="AK31" s="67"/>
      <c r="AL31" s="67"/>
    </row>
    <row r="32" spans="1:38" s="5" customFormat="1" ht="12" thickBot="1">
      <c r="A32" s="439">
        <f>'1-συμβολαια'!A32</f>
        <v>0</v>
      </c>
      <c r="B32" s="601" t="str">
        <f>'1-συμβολαια'!C32</f>
        <v>ΧΑΟΣ= κλείσιμο &amp; εκ ΝΕΟΥ</v>
      </c>
      <c r="C32" s="602">
        <f>'1-συμβολαια'!D32</f>
        <v>0</v>
      </c>
      <c r="D32" s="602">
        <f t="shared" si="8"/>
        <v>0</v>
      </c>
      <c r="E32" s="602"/>
      <c r="F32" s="602"/>
      <c r="G32" s="602"/>
      <c r="H32" s="602"/>
      <c r="I32" s="602"/>
      <c r="J32" s="602"/>
      <c r="K32" s="602"/>
      <c r="L32" s="602"/>
      <c r="M32" s="602"/>
      <c r="N32" s="602"/>
      <c r="O32" s="602"/>
      <c r="P32" s="602"/>
      <c r="Q32" s="602"/>
      <c r="R32" s="602"/>
      <c r="S32" s="602"/>
      <c r="T32" s="602"/>
      <c r="U32" s="602"/>
      <c r="V32" s="602"/>
      <c r="W32" s="602"/>
      <c r="X32" s="602"/>
      <c r="Y32" s="599"/>
      <c r="Z32" s="599"/>
      <c r="AA32" s="599"/>
      <c r="AB32" s="599"/>
      <c r="AC32" s="599"/>
      <c r="AD32" s="599"/>
      <c r="AE32" s="599">
        <f t="shared" si="9"/>
        <v>0</v>
      </c>
      <c r="AF32" s="599">
        <f t="shared" si="10"/>
        <v>0</v>
      </c>
      <c r="AG32" s="599">
        <f t="shared" si="11"/>
        <v>0</v>
      </c>
      <c r="AH32" s="598"/>
      <c r="AI32" s="598"/>
      <c r="AJ32" s="598"/>
      <c r="AK32" s="600"/>
      <c r="AL32" s="600"/>
    </row>
    <row r="33" spans="1:38" s="5" customFormat="1">
      <c r="A33" s="488" t="str">
        <f>'1-συμβολαια'!A33</f>
        <v>9ο</v>
      </c>
      <c r="B33" s="288" t="str">
        <f>'1-συμβολαια'!C33</f>
        <v xml:space="preserve">υποθήκη </v>
      </c>
      <c r="C33" s="283">
        <f>'1-συμβολαια'!D33</f>
        <v>100000</v>
      </c>
      <c r="D33" s="283">
        <f t="shared" si="8"/>
        <v>1300.0000000000002</v>
      </c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3"/>
      <c r="AA33" s="283"/>
      <c r="AB33" s="283"/>
      <c r="AC33" s="283"/>
      <c r="AD33" s="283"/>
      <c r="AE33" s="283">
        <f t="shared" si="9"/>
        <v>1300.0000000000002</v>
      </c>
      <c r="AF33" s="283">
        <v>1300</v>
      </c>
      <c r="AG33" s="283">
        <f t="shared" si="11"/>
        <v>0</v>
      </c>
      <c r="AH33" s="288"/>
      <c r="AI33" s="288"/>
      <c r="AJ33" s="288"/>
      <c r="AK33" s="67"/>
      <c r="AL33" s="67"/>
    </row>
    <row r="34" spans="1:38" s="5" customFormat="1">
      <c r="A34" s="488" t="str">
        <f>'1-συμβολαια'!A34</f>
        <v>794-1-2-3τραπ</v>
      </c>
      <c r="B34" s="288" t="str">
        <f>'1-συμβολαια'!C34</f>
        <v>υποθήκες δανείων [7/8/89-25/1/1991-8/3/1991-22/11/1991</v>
      </c>
      <c r="C34" s="283">
        <f>'1-συμβολαια'!D34</f>
        <v>73333333</v>
      </c>
      <c r="D34" s="283">
        <f t="shared" si="8"/>
        <v>953333.32900000003</v>
      </c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  <c r="V34" s="283"/>
      <c r="W34" s="283"/>
      <c r="X34" s="283"/>
      <c r="Y34" s="283"/>
      <c r="Z34" s="283"/>
      <c r="AA34" s="283"/>
      <c r="AB34" s="283"/>
      <c r="AC34" s="283"/>
      <c r="AD34" s="283"/>
      <c r="AE34" s="283">
        <f t="shared" si="9"/>
        <v>953333.32900000003</v>
      </c>
      <c r="AF34" s="283">
        <f t="shared" si="10"/>
        <v>0</v>
      </c>
      <c r="AG34" s="283">
        <f t="shared" si="11"/>
        <v>953333.32900000003</v>
      </c>
      <c r="AH34" s="288"/>
      <c r="AI34" s="288"/>
      <c r="AJ34" s="288"/>
      <c r="AK34" s="67"/>
      <c r="AL34" s="67"/>
    </row>
    <row r="35" spans="1:38" s="5" customFormat="1">
      <c r="A35" s="488">
        <f>'1-συμβολαια'!A35</f>
        <v>0</v>
      </c>
      <c r="B35" s="288" t="str">
        <f>'1-συμβολαια'!C35</f>
        <v>δάνεια ανωτέρω υποθηκών</v>
      </c>
      <c r="C35" s="283">
        <f>'1-συμβολαια'!D35</f>
        <v>61000000</v>
      </c>
      <c r="D35" s="283">
        <f t="shared" si="8"/>
        <v>793000.00000000012</v>
      </c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83"/>
      <c r="Y35" s="283"/>
      <c r="Z35" s="283"/>
      <c r="AA35" s="283"/>
      <c r="AB35" s="283"/>
      <c r="AC35" s="283"/>
      <c r="AD35" s="283"/>
      <c r="AE35" s="283">
        <f t="shared" si="9"/>
        <v>793000.00000000012</v>
      </c>
      <c r="AF35" s="283">
        <f t="shared" si="10"/>
        <v>0</v>
      </c>
      <c r="AG35" s="283">
        <f t="shared" si="11"/>
        <v>793000.00000000012</v>
      </c>
      <c r="AH35" s="288"/>
      <c r="AI35" s="288"/>
      <c r="AJ35" s="288"/>
      <c r="AK35" s="67"/>
      <c r="AL35" s="67"/>
    </row>
    <row r="36" spans="1:38" s="5" customFormat="1" ht="12" thickBot="1">
      <c r="A36" s="490">
        <f>'1-συμβολαια'!A36</f>
        <v>0</v>
      </c>
      <c r="B36" s="346" t="str">
        <f>'1-συμβολαια'!C36</f>
        <v>τόκοι  ανωτέρω δανείων προπληρωθέντες</v>
      </c>
      <c r="C36" s="374">
        <f>'1-συμβολαια'!D36</f>
        <v>133333333</v>
      </c>
      <c r="D36" s="374">
        <f t="shared" si="8"/>
        <v>1733333.3290000001</v>
      </c>
      <c r="E36" s="374"/>
      <c r="F36" s="374"/>
      <c r="G36" s="374"/>
      <c r="H36" s="374"/>
      <c r="I36" s="374"/>
      <c r="J36" s="374"/>
      <c r="K36" s="374"/>
      <c r="L36" s="374"/>
      <c r="M36" s="374"/>
      <c r="N36" s="374"/>
      <c r="O36" s="374"/>
      <c r="P36" s="374"/>
      <c r="Q36" s="374"/>
      <c r="R36" s="374"/>
      <c r="S36" s="374"/>
      <c r="T36" s="374"/>
      <c r="U36" s="374"/>
      <c r="V36" s="374"/>
      <c r="W36" s="374"/>
      <c r="X36" s="374"/>
      <c r="Y36" s="374"/>
      <c r="Z36" s="374"/>
      <c r="AA36" s="374"/>
      <c r="AB36" s="374"/>
      <c r="AC36" s="374"/>
      <c r="AD36" s="374"/>
      <c r="AE36" s="374">
        <f t="shared" si="9"/>
        <v>1733333.3290000001</v>
      </c>
      <c r="AF36" s="374">
        <f t="shared" si="10"/>
        <v>0</v>
      </c>
      <c r="AG36" s="374">
        <f t="shared" si="11"/>
        <v>1733333.3290000001</v>
      </c>
      <c r="AH36" s="346"/>
      <c r="AI36" s="346"/>
      <c r="AJ36" s="346"/>
      <c r="AK36" s="346"/>
      <c r="AL36" s="346"/>
    </row>
    <row r="37" spans="1:38" s="5" customFormat="1">
      <c r="A37" s="474" t="str">
        <f>'1-συμβολαια'!A37</f>
        <v>10ο</v>
      </c>
      <c r="B37" s="288" t="str">
        <f>'1-συμβολαια'!C37</f>
        <v>υποθήκη  τοιχόν τόκων</v>
      </c>
      <c r="C37" s="283">
        <f>'1-συμβολαια'!D37</f>
        <v>100000</v>
      </c>
      <c r="D37" s="283">
        <f t="shared" si="8"/>
        <v>1300.0000000000002</v>
      </c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83"/>
      <c r="Y37" s="283"/>
      <c r="Z37" s="283"/>
      <c r="AA37" s="283"/>
      <c r="AB37" s="283"/>
      <c r="AC37" s="283"/>
      <c r="AD37" s="283"/>
      <c r="AE37" s="283">
        <f t="shared" si="9"/>
        <v>1300.0000000000002</v>
      </c>
      <c r="AF37" s="283">
        <v>1300</v>
      </c>
      <c r="AG37" s="283">
        <f t="shared" si="11"/>
        <v>0</v>
      </c>
      <c r="AH37" s="288"/>
      <c r="AI37" s="288"/>
      <c r="AJ37" s="288"/>
      <c r="AK37" s="288"/>
      <c r="AL37" s="288"/>
    </row>
    <row r="38" spans="1:38" s="5" customFormat="1">
      <c r="A38" s="474" t="str">
        <f>'1-συμβολαια'!A38</f>
        <v>794-4-5τραπ</v>
      </c>
      <c r="B38" s="288" t="str">
        <f>'1-συμβολαια'!C38</f>
        <v>υποθήκες δανείων [27/08/1992-30/10/1992</v>
      </c>
      <c r="C38" s="283">
        <f>'1-συμβολαια'!D38</f>
        <v>32555555</v>
      </c>
      <c r="D38" s="283">
        <f t="shared" si="8"/>
        <v>423222.21500000003</v>
      </c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  <c r="AA38" s="283"/>
      <c r="AB38" s="283"/>
      <c r="AC38" s="283"/>
      <c r="AD38" s="283"/>
      <c r="AE38" s="283">
        <f t="shared" si="9"/>
        <v>423222.21500000003</v>
      </c>
      <c r="AF38" s="283">
        <f t="shared" si="10"/>
        <v>0</v>
      </c>
      <c r="AG38" s="283">
        <f t="shared" si="11"/>
        <v>423222.21500000003</v>
      </c>
      <c r="AH38" s="288"/>
      <c r="AI38" s="288"/>
      <c r="AJ38" s="288"/>
      <c r="AK38" s="67"/>
      <c r="AL38" s="67"/>
    </row>
    <row r="39" spans="1:38" s="5" customFormat="1">
      <c r="A39" s="474">
        <f>'1-συμβολαια'!A39</f>
        <v>0</v>
      </c>
      <c r="B39" s="288" t="str">
        <f>'1-συμβολαια'!C39</f>
        <v>δάνεια ανωτέρω υποθηκών</v>
      </c>
      <c r="C39" s="283">
        <f>'1-συμβολαια'!D39</f>
        <v>27000000</v>
      </c>
      <c r="D39" s="283">
        <f t="shared" ref="D39:D46" si="12">C39*1.3%</f>
        <v>351000.00000000006</v>
      </c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83"/>
      <c r="AC39" s="283"/>
      <c r="AD39" s="283"/>
      <c r="AE39" s="283">
        <f t="shared" ref="AE39:AE46" si="13">D39+M39+V39</f>
        <v>351000.00000000006</v>
      </c>
      <c r="AF39" s="283">
        <f t="shared" ref="AF39:AF46" si="14">E39+N39+W39</f>
        <v>0</v>
      </c>
      <c r="AG39" s="283">
        <f t="shared" ref="AG39:AG46" si="15">AE39-AF39</f>
        <v>351000.00000000006</v>
      </c>
      <c r="AH39" s="288"/>
      <c r="AI39" s="288"/>
      <c r="AJ39" s="288"/>
      <c r="AK39" s="67"/>
      <c r="AL39" s="67"/>
    </row>
    <row r="40" spans="1:38" s="5" customFormat="1" ht="12" thickBot="1">
      <c r="A40" s="439">
        <f>'1-συμβολαια'!A40</f>
        <v>0</v>
      </c>
      <c r="B40" s="346" t="str">
        <f>'1-συμβολαια'!C40</f>
        <v>τόκοι  ανωτέρω δανείων προπληρωθέντες</v>
      </c>
      <c r="C40" s="374">
        <f>'1-συμβολαια'!D40</f>
        <v>55555555</v>
      </c>
      <c r="D40" s="374">
        <f t="shared" si="12"/>
        <v>722222.21500000008</v>
      </c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Z40" s="374"/>
      <c r="AA40" s="374"/>
      <c r="AB40" s="374"/>
      <c r="AC40" s="374"/>
      <c r="AD40" s="374"/>
      <c r="AE40" s="374">
        <f t="shared" si="13"/>
        <v>722222.21500000008</v>
      </c>
      <c r="AF40" s="374">
        <f t="shared" si="14"/>
        <v>0</v>
      </c>
      <c r="AG40" s="374">
        <f t="shared" si="15"/>
        <v>722222.21500000008</v>
      </c>
      <c r="AH40" s="346"/>
      <c r="AI40" s="346"/>
      <c r="AJ40" s="288"/>
      <c r="AK40" s="67"/>
      <c r="AL40" s="67"/>
    </row>
    <row r="41" spans="1:38" s="5" customFormat="1">
      <c r="A41" s="488" t="str">
        <f>'1-συμβολαια'!A41</f>
        <v>11ο</v>
      </c>
      <c r="B41" s="288" t="str">
        <f>'1-συμβολαια'!C41</f>
        <v>μίσθωσις νταμάρι  Λιμένας -'';;;???'' 24,526στρ 3έτη [8000/έτος/στρ</v>
      </c>
      <c r="C41" s="283">
        <f>'1-συμβολαια'!D41</f>
        <v>588624</v>
      </c>
      <c r="D41" s="283">
        <f t="shared" si="12"/>
        <v>7652.112000000001</v>
      </c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  <c r="V41" s="283"/>
      <c r="W41" s="283"/>
      <c r="X41" s="283"/>
      <c r="Y41" s="283"/>
      <c r="Z41" s="283"/>
      <c r="AA41" s="283"/>
      <c r="AB41" s="283"/>
      <c r="AC41" s="283"/>
      <c r="AD41" s="283"/>
      <c r="AE41" s="283">
        <f t="shared" si="13"/>
        <v>7652.112000000001</v>
      </c>
      <c r="AF41" s="283">
        <f t="shared" si="14"/>
        <v>0</v>
      </c>
      <c r="AG41" s="283">
        <f t="shared" si="15"/>
        <v>7652.112000000001</v>
      </c>
      <c r="AH41" s="288"/>
      <c r="AI41" s="288"/>
      <c r="AJ41" s="288"/>
      <c r="AK41" s="67"/>
      <c r="AL41" s="67"/>
    </row>
    <row r="42" spans="1:38" s="5" customFormat="1">
      <c r="A42" s="488">
        <f>'1-συμβολαια'!A42</f>
        <v>0</v>
      </c>
      <c r="B42" s="288" t="str">
        <f>'1-συμβολαια'!C42</f>
        <v>μίσθωση … ΚΤΙΡΙΑΚΑ &amp; τεχνικές εγκαταστάσεις &amp; ΚΛΠ</v>
      </c>
      <c r="C42" s="283">
        <f>'1-συμβολαια'!D42</f>
        <v>50000000</v>
      </c>
      <c r="D42" s="283">
        <f t="shared" si="12"/>
        <v>650000</v>
      </c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3"/>
      <c r="V42" s="283"/>
      <c r="W42" s="283"/>
      <c r="X42" s="283"/>
      <c r="Y42" s="283"/>
      <c r="Z42" s="283"/>
      <c r="AA42" s="283"/>
      <c r="AB42" s="283"/>
      <c r="AC42" s="283"/>
      <c r="AD42" s="283"/>
      <c r="AE42" s="283">
        <f t="shared" si="13"/>
        <v>650000</v>
      </c>
      <c r="AF42" s="283">
        <v>7800</v>
      </c>
      <c r="AG42" s="283">
        <f t="shared" si="15"/>
        <v>642200</v>
      </c>
      <c r="AH42" s="288"/>
      <c r="AI42" s="288"/>
      <c r="AJ42" s="288"/>
      <c r="AK42" s="67"/>
      <c r="AL42" s="67"/>
    </row>
    <row r="43" spans="1:38" s="5" customFormat="1">
      <c r="A43" s="488">
        <f>'1-συμβολαια'!A43</f>
        <v>0</v>
      </c>
      <c r="B43" s="288" t="str">
        <f>'1-συμβολαια'!C43</f>
        <v>μίσθωση … ΕΡΕΥΝΗΤΙΚΕΣ εργασίες</v>
      </c>
      <c r="C43" s="283">
        <f>'1-συμβολαια'!D43</f>
        <v>3333333</v>
      </c>
      <c r="D43" s="283">
        <f t="shared" si="12"/>
        <v>43333.329000000005</v>
      </c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  <c r="V43" s="283"/>
      <c r="W43" s="283"/>
      <c r="X43" s="283"/>
      <c r="Y43" s="283"/>
      <c r="Z43" s="283"/>
      <c r="AA43" s="283"/>
      <c r="AB43" s="283"/>
      <c r="AC43" s="283"/>
      <c r="AD43" s="283"/>
      <c r="AE43" s="283">
        <f t="shared" si="13"/>
        <v>43333.329000000005</v>
      </c>
      <c r="AF43" s="283">
        <f t="shared" si="14"/>
        <v>0</v>
      </c>
      <c r="AG43" s="283">
        <f t="shared" si="15"/>
        <v>43333.329000000005</v>
      </c>
      <c r="AH43" s="288"/>
      <c r="AI43" s="288"/>
      <c r="AJ43" s="288"/>
      <c r="AK43" s="67"/>
      <c r="AL43" s="67"/>
    </row>
    <row r="44" spans="1:38" s="5" customFormat="1" ht="12" thickBot="1">
      <c r="A44" s="490">
        <f>'1-συμβολαια'!A44</f>
        <v>0</v>
      </c>
      <c r="B44" s="346" t="str">
        <f>'1-συμβολαια'!C44</f>
        <v>μίσθωση ….. κόστος έργων αποκατάστασης</v>
      </c>
      <c r="C44" s="374">
        <f>'1-συμβολαια'!D44</f>
        <v>6000000</v>
      </c>
      <c r="D44" s="374">
        <f t="shared" si="12"/>
        <v>78000</v>
      </c>
      <c r="E44" s="374"/>
      <c r="F44" s="374"/>
      <c r="G44" s="374"/>
      <c r="H44" s="374"/>
      <c r="I44" s="374"/>
      <c r="J44" s="374"/>
      <c r="K44" s="374"/>
      <c r="L44" s="374"/>
      <c r="M44" s="374"/>
      <c r="N44" s="374"/>
      <c r="O44" s="374"/>
      <c r="P44" s="374"/>
      <c r="Q44" s="374"/>
      <c r="R44" s="374"/>
      <c r="S44" s="374"/>
      <c r="T44" s="374"/>
      <c r="U44" s="374"/>
      <c r="V44" s="374"/>
      <c r="W44" s="374"/>
      <c r="X44" s="374"/>
      <c r="Y44" s="374"/>
      <c r="Z44" s="374"/>
      <c r="AA44" s="374"/>
      <c r="AB44" s="374"/>
      <c r="AC44" s="374"/>
      <c r="AD44" s="374"/>
      <c r="AE44" s="374">
        <f t="shared" si="13"/>
        <v>78000</v>
      </c>
      <c r="AF44" s="374">
        <f t="shared" si="14"/>
        <v>0</v>
      </c>
      <c r="AG44" s="374">
        <f t="shared" si="15"/>
        <v>78000</v>
      </c>
      <c r="AH44" s="346"/>
      <c r="AI44" s="346"/>
      <c r="AJ44" s="288"/>
      <c r="AK44" s="67"/>
      <c r="AL44" s="67"/>
    </row>
    <row r="45" spans="1:38" s="5" customFormat="1">
      <c r="A45" s="474" t="str">
        <f>'1-συμβολαια'!A45</f>
        <v>12ο</v>
      </c>
      <c r="B45" s="288" t="str">
        <f>'1-συμβολαια'!C45</f>
        <v>μίσθωσης νταμάρι ... &amp; ... ΠΑΡΑΤΑΣΗ 3έτη</v>
      </c>
      <c r="C45" s="283">
        <f>'1-συμβολαια'!D45</f>
        <v>957000</v>
      </c>
      <c r="D45" s="283">
        <f t="shared" si="12"/>
        <v>12441.000000000002</v>
      </c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  <c r="Z45" s="283"/>
      <c r="AA45" s="283"/>
      <c r="AB45" s="283"/>
      <c r="AC45" s="283"/>
      <c r="AD45" s="283"/>
      <c r="AE45" s="283">
        <f t="shared" si="13"/>
        <v>12441.000000000002</v>
      </c>
      <c r="AF45" s="283">
        <f t="shared" si="14"/>
        <v>0</v>
      </c>
      <c r="AG45" s="283">
        <f t="shared" si="15"/>
        <v>12441.000000000002</v>
      </c>
      <c r="AH45" s="288"/>
      <c r="AI45" s="288"/>
      <c r="AJ45" s="288"/>
      <c r="AK45" s="67"/>
      <c r="AL45" s="67"/>
    </row>
    <row r="46" spans="1:38" s="5" customFormat="1" ht="12" thickBot="1">
      <c r="A46" s="439">
        <f>'1-συμβολαια'!A46</f>
        <v>0</v>
      </c>
      <c r="B46" s="601" t="str">
        <f>'1-συμβολαια'!C46</f>
        <v>ΧΑΟΣ= κλείσιμο &amp; εκ ΝΕΟΥ</v>
      </c>
      <c r="C46" s="602">
        <f>'1-συμβολαια'!D46</f>
        <v>0</v>
      </c>
      <c r="D46" s="602">
        <f t="shared" si="12"/>
        <v>0</v>
      </c>
      <c r="E46" s="602"/>
      <c r="F46" s="602"/>
      <c r="G46" s="602"/>
      <c r="H46" s="602"/>
      <c r="I46" s="602"/>
      <c r="J46" s="602"/>
      <c r="K46" s="602"/>
      <c r="L46" s="602"/>
      <c r="M46" s="602"/>
      <c r="N46" s="602"/>
      <c r="O46" s="602"/>
      <c r="P46" s="602"/>
      <c r="Q46" s="602"/>
      <c r="R46" s="602"/>
      <c r="S46" s="602"/>
      <c r="T46" s="602"/>
      <c r="U46" s="602"/>
      <c r="V46" s="602"/>
      <c r="W46" s="602"/>
      <c r="X46" s="602"/>
      <c r="Y46" s="283"/>
      <c r="Z46" s="283"/>
      <c r="AA46" s="283"/>
      <c r="AB46" s="283"/>
      <c r="AC46" s="283"/>
      <c r="AD46" s="283"/>
      <c r="AE46" s="283">
        <f t="shared" si="13"/>
        <v>0</v>
      </c>
      <c r="AF46" s="283">
        <f t="shared" si="14"/>
        <v>0</v>
      </c>
      <c r="AG46" s="283">
        <f t="shared" si="15"/>
        <v>0</v>
      </c>
      <c r="AH46" s="288"/>
      <c r="AI46" s="288"/>
      <c r="AJ46" s="288"/>
      <c r="AK46" s="67"/>
      <c r="AL46" s="67"/>
    </row>
    <row r="47" spans="1:38">
      <c r="A47" s="881" t="str">
        <f>'1-συμβολαια'!A47</f>
        <v>σύνολο</v>
      </c>
      <c r="B47" s="882"/>
      <c r="C47" s="883"/>
      <c r="D47" s="280">
        <f>SUM(D3:D46)</f>
        <v>8284978.7019999996</v>
      </c>
      <c r="E47" s="280"/>
      <c r="F47" s="280"/>
      <c r="G47" s="280"/>
      <c r="H47" s="280"/>
      <c r="I47" s="280"/>
      <c r="J47" s="280"/>
      <c r="K47" s="280"/>
      <c r="L47" s="280"/>
      <c r="M47" s="280">
        <f>SUM(M3:M46)</f>
        <v>0</v>
      </c>
      <c r="N47" s="280"/>
      <c r="O47" s="280"/>
      <c r="P47" s="280"/>
      <c r="Q47" s="280"/>
      <c r="R47" s="280"/>
      <c r="S47" s="280"/>
      <c r="T47" s="280"/>
      <c r="U47" s="280"/>
      <c r="V47" s="280">
        <f>SUM(V3:V46)</f>
        <v>0</v>
      </c>
      <c r="W47" s="280"/>
      <c r="X47" s="280"/>
      <c r="Y47" s="280"/>
      <c r="Z47" s="280"/>
      <c r="AA47" s="280"/>
      <c r="AB47" s="280"/>
      <c r="AC47" s="280"/>
      <c r="AD47" s="280"/>
      <c r="AE47" s="280">
        <f>SUM(AE3:AE46)</f>
        <v>8284978.7019999996</v>
      </c>
      <c r="AF47" s="280">
        <f>SUM(AF3:AF46)</f>
        <v>21220</v>
      </c>
      <c r="AG47" s="280">
        <f>SUM(AG3:AG46)</f>
        <v>8263758.7019999996</v>
      </c>
      <c r="AH47" s="280">
        <f>SUM(AH3:AH46)</f>
        <v>0</v>
      </c>
      <c r="AI47" s="280"/>
      <c r="AJ47" s="280"/>
      <c r="AK47" s="280"/>
      <c r="AL47" s="280"/>
    </row>
    <row r="49" spans="4:31">
      <c r="E49" s="2"/>
      <c r="F49" s="2"/>
      <c r="G49" s="2"/>
      <c r="H49" s="161" t="s">
        <v>323</v>
      </c>
      <c r="I49" s="2"/>
      <c r="J49" s="2"/>
      <c r="K49" s="2"/>
      <c r="L49" s="2"/>
      <c r="M49" s="2"/>
      <c r="N49" s="2"/>
      <c r="O49" s="2"/>
      <c r="P49" s="2"/>
      <c r="Q49" s="161" t="s">
        <v>323</v>
      </c>
      <c r="R49" s="2"/>
      <c r="S49" s="2"/>
      <c r="T49" s="2"/>
      <c r="U49" s="2"/>
      <c r="V49" s="2"/>
      <c r="W49" s="2"/>
      <c r="X49" s="2"/>
      <c r="Y49" s="2"/>
      <c r="Z49" s="161" t="s">
        <v>323</v>
      </c>
      <c r="AA49" s="2"/>
      <c r="AB49" s="2"/>
      <c r="AC49" s="2"/>
      <c r="AD49" s="2"/>
      <c r="AE49" s="2"/>
    </row>
    <row r="50" spans="4:31">
      <c r="E50" s="2"/>
      <c r="F50" s="193" t="s">
        <v>324</v>
      </c>
      <c r="G50" s="193"/>
      <c r="H50" s="193"/>
      <c r="I50" s="193"/>
      <c r="J50" s="193"/>
      <c r="K50" s="193"/>
      <c r="L50" s="193"/>
      <c r="M50" s="193"/>
      <c r="N50" s="193"/>
      <c r="O50" s="193" t="s">
        <v>324</v>
      </c>
      <c r="P50" s="2"/>
      <c r="Q50" s="2"/>
      <c r="R50" s="2"/>
      <c r="S50" s="2"/>
      <c r="T50" s="2"/>
      <c r="U50" s="2"/>
      <c r="V50" s="2"/>
      <c r="W50" s="2"/>
      <c r="X50" s="193" t="s">
        <v>324</v>
      </c>
      <c r="Y50" s="2"/>
      <c r="Z50" s="2"/>
      <c r="AA50" s="2"/>
      <c r="AB50" s="2"/>
      <c r="AC50" s="2"/>
      <c r="AD50" s="2"/>
      <c r="AE50" s="2"/>
    </row>
    <row r="51" spans="4:31">
      <c r="E51" s="2"/>
      <c r="F51" s="2"/>
      <c r="G51" s="2"/>
      <c r="H51" s="2"/>
      <c r="I51" s="4"/>
      <c r="J51" s="165" t="s">
        <v>325</v>
      </c>
      <c r="K51" s="161"/>
      <c r="L51" s="2"/>
      <c r="M51" s="2"/>
      <c r="N51" s="2"/>
      <c r="O51" s="2"/>
      <c r="P51" s="2"/>
      <c r="Q51" s="4"/>
      <c r="R51" s="165" t="s">
        <v>326</v>
      </c>
      <c r="S51" s="165"/>
      <c r="T51" s="165"/>
      <c r="U51" s="165"/>
      <c r="V51" s="4"/>
      <c r="W51" s="4"/>
      <c r="X51" s="4"/>
      <c r="Y51" s="4"/>
      <c r="Z51" s="4"/>
      <c r="AA51" s="165" t="s">
        <v>326</v>
      </c>
      <c r="AB51" s="165"/>
      <c r="AC51" s="165"/>
      <c r="AD51" s="161"/>
      <c r="AE51" s="2"/>
    </row>
    <row r="52" spans="4:31">
      <c r="E52" s="2"/>
      <c r="F52" s="2"/>
      <c r="G52" s="2"/>
      <c r="H52" s="2"/>
      <c r="I52" s="165" t="s">
        <v>326</v>
      </c>
      <c r="J52" s="4"/>
      <c r="K52" s="2"/>
      <c r="L52" s="2"/>
      <c r="M52" s="2"/>
      <c r="N52" s="2"/>
      <c r="O52" s="2"/>
      <c r="P52" s="2"/>
      <c r="Q52" s="4"/>
      <c r="R52" s="4"/>
      <c r="S52" s="165" t="s">
        <v>325</v>
      </c>
      <c r="T52" s="165"/>
      <c r="U52" s="4"/>
      <c r="V52" s="4"/>
      <c r="W52" s="4"/>
      <c r="X52" s="4"/>
      <c r="Y52" s="4"/>
      <c r="Z52" s="4"/>
      <c r="AA52" s="4"/>
      <c r="AB52" s="165" t="s">
        <v>325</v>
      </c>
      <c r="AC52" s="165"/>
      <c r="AD52" s="2"/>
      <c r="AE52" s="2"/>
    </row>
    <row r="53" spans="4:31">
      <c r="E53" s="2"/>
      <c r="F53" s="2"/>
      <c r="G53" s="2"/>
      <c r="H53" s="2"/>
      <c r="I53" s="4"/>
      <c r="J53" s="4"/>
      <c r="K53" s="2"/>
      <c r="L53" s="2"/>
      <c r="M53" s="2"/>
      <c r="N53" s="2"/>
      <c r="O53" s="2"/>
      <c r="P53" s="2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2"/>
      <c r="AE53" s="2"/>
    </row>
    <row r="54" spans="4:31">
      <c r="E54" s="194" t="s">
        <v>327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195" t="s">
        <v>328</v>
      </c>
      <c r="R54" s="2"/>
      <c r="S54" s="2"/>
      <c r="T54" s="2"/>
      <c r="U54" s="2"/>
      <c r="V54" s="2"/>
      <c r="W54" s="2"/>
      <c r="X54" s="2"/>
      <c r="Y54" s="2"/>
      <c r="Z54" s="196" t="s">
        <v>329</v>
      </c>
      <c r="AA54" s="2"/>
      <c r="AB54" s="2"/>
      <c r="AC54" s="2"/>
      <c r="AD54" s="2"/>
      <c r="AE54" s="2"/>
    </row>
    <row r="55" spans="4:31">
      <c r="E55" s="197" t="s">
        <v>330</v>
      </c>
      <c r="F55" s="2"/>
      <c r="G55" s="2"/>
      <c r="H55" s="2"/>
      <c r="I55" s="2"/>
      <c r="J55" s="2"/>
      <c r="K55" s="2"/>
      <c r="L55" s="2"/>
      <c r="M55" s="7"/>
      <c r="N55" s="2"/>
      <c r="O55" s="161"/>
      <c r="P55" s="161"/>
      <c r="Q55" s="161"/>
      <c r="R55" s="161"/>
      <c r="S55" s="198" t="s">
        <v>331</v>
      </c>
      <c r="T55" s="161"/>
      <c r="U55" s="161"/>
      <c r="V55" s="161"/>
      <c r="W55" s="2"/>
      <c r="X55" s="2"/>
      <c r="Y55" s="2"/>
      <c r="Z55" s="2"/>
      <c r="AA55" s="199" t="s">
        <v>332</v>
      </c>
      <c r="AB55" s="2"/>
      <c r="AC55" s="2"/>
      <c r="AD55" s="2"/>
      <c r="AE55" s="2"/>
    </row>
    <row r="56" spans="4:31">
      <c r="E56" s="2"/>
      <c r="F56" s="197" t="s">
        <v>333</v>
      </c>
      <c r="G56" s="2"/>
      <c r="H56" s="2"/>
      <c r="I56" s="2"/>
      <c r="J56" s="2"/>
      <c r="K56" s="2"/>
      <c r="L56" s="2"/>
      <c r="M56" s="7"/>
      <c r="N56" s="2"/>
      <c r="O56" s="2"/>
      <c r="P56" s="2"/>
      <c r="Q56" s="2"/>
      <c r="R56" s="2"/>
      <c r="S56" s="200" t="s">
        <v>334</v>
      </c>
      <c r="T56" s="2"/>
      <c r="U56" s="2"/>
      <c r="V56" s="2"/>
      <c r="W56" s="2"/>
      <c r="X56" s="2"/>
      <c r="Y56" s="2"/>
      <c r="Z56" s="2"/>
      <c r="AA56" s="2"/>
      <c r="AB56" s="200" t="s">
        <v>334</v>
      </c>
      <c r="AC56" s="2"/>
      <c r="AD56" s="2"/>
      <c r="AE56" s="2"/>
    </row>
    <row r="57" spans="4:31">
      <c r="E57" s="2"/>
      <c r="F57" s="2"/>
      <c r="G57" s="2"/>
      <c r="H57" s="2"/>
      <c r="I57" s="2"/>
      <c r="J57" s="2"/>
      <c r="K57" s="2"/>
      <c r="L57" s="2"/>
      <c r="M57" s="7"/>
      <c r="N57" s="2"/>
      <c r="O57" s="2"/>
      <c r="P57" s="161"/>
      <c r="Q57" s="161"/>
      <c r="R57" s="161"/>
      <c r="S57" s="161"/>
      <c r="T57" s="161"/>
      <c r="U57" s="161"/>
      <c r="V57" s="161"/>
      <c r="W57" s="161"/>
      <c r="X57" s="161"/>
      <c r="Y57" s="2"/>
      <c r="Z57" s="2"/>
      <c r="AA57" s="2"/>
      <c r="AB57" s="198" t="s">
        <v>331</v>
      </c>
      <c r="AC57" s="2"/>
      <c r="AD57" s="2"/>
      <c r="AE57" s="2"/>
    </row>
    <row r="58" spans="4:31">
      <c r="E58" s="2"/>
      <c r="F58" s="2"/>
      <c r="G58" s="2"/>
      <c r="H58" s="2"/>
      <c r="I58" s="2"/>
      <c r="J58" s="2"/>
      <c r="K58" s="2"/>
      <c r="L58" s="2"/>
      <c r="M58" s="7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4:31">
      <c r="D59" s="281"/>
      <c r="E59" s="7"/>
      <c r="F59" s="7"/>
      <c r="G59" s="7"/>
      <c r="H59" s="7"/>
      <c r="I59" s="7"/>
    </row>
    <row r="60" spans="4:31">
      <c r="D60" s="281"/>
      <c r="E60" s="7"/>
      <c r="F60" s="7"/>
      <c r="G60" s="7"/>
      <c r="H60" s="7"/>
      <c r="I60" s="7"/>
    </row>
    <row r="61" spans="4:31">
      <c r="D61" s="281"/>
      <c r="E61" s="7"/>
      <c r="F61" s="7"/>
      <c r="G61" s="7"/>
      <c r="H61" s="7"/>
      <c r="I61" s="7"/>
    </row>
    <row r="62" spans="4:31">
      <c r="D62" s="281"/>
      <c r="E62" s="7"/>
      <c r="F62" s="7"/>
      <c r="G62" s="7"/>
      <c r="H62" s="7"/>
      <c r="I62" s="7"/>
    </row>
    <row r="63" spans="4:31">
      <c r="D63" s="281"/>
      <c r="E63" s="7"/>
      <c r="F63" s="7"/>
      <c r="G63" s="7"/>
      <c r="H63" s="7"/>
      <c r="I63" s="7"/>
    </row>
    <row r="64" spans="4:31">
      <c r="D64" s="281"/>
      <c r="E64" s="7"/>
      <c r="F64" s="7"/>
      <c r="G64" s="7"/>
      <c r="H64" s="7"/>
      <c r="I64" s="7"/>
    </row>
    <row r="65" spans="4:9">
      <c r="D65" s="281"/>
      <c r="E65" s="7"/>
      <c r="F65" s="7"/>
      <c r="G65" s="7"/>
      <c r="H65" s="7"/>
      <c r="I65" s="7"/>
    </row>
    <row r="66" spans="4:9">
      <c r="D66" s="281"/>
      <c r="E66" s="7"/>
      <c r="F66" s="7"/>
      <c r="G66" s="7"/>
      <c r="H66" s="7"/>
      <c r="I66" s="7"/>
    </row>
    <row r="67" spans="4:9">
      <c r="D67" s="281"/>
      <c r="E67" s="7"/>
      <c r="F67" s="7"/>
      <c r="G67" s="7"/>
      <c r="H67" s="7"/>
      <c r="I67" s="7"/>
    </row>
    <row r="68" spans="4:9">
      <c r="D68" s="281"/>
      <c r="E68" s="7"/>
      <c r="F68" s="7"/>
      <c r="G68" s="7"/>
      <c r="H68" s="7"/>
      <c r="I68" s="7"/>
    </row>
    <row r="69" spans="4:9">
      <c r="D69" s="281"/>
      <c r="E69" s="7"/>
      <c r="F69" s="7"/>
      <c r="G69" s="7"/>
      <c r="H69" s="7"/>
      <c r="I69" s="7"/>
    </row>
  </sheetData>
  <mergeCells count="10">
    <mergeCell ref="AH1:AH2"/>
    <mergeCell ref="AI1:AL2"/>
    <mergeCell ref="K2:L2"/>
    <mergeCell ref="T2:U2"/>
    <mergeCell ref="AC2:AD2"/>
    <mergeCell ref="A47:C47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2026-03-19T19:22:49Z</dcterms:modified>
</cp:coreProperties>
</file>