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λαθη" sheetId="28" r:id="rId1"/>
    <sheet name="δολος" sheetId="31" r:id="rId2"/>
  </sheets>
  <definedNames>
    <definedName name="_xlnm._FilterDatabase" localSheetId="0" hidden="1">λαθη!$S$1:$T$159</definedName>
  </definedNames>
  <calcPr calcId="125725"/>
</workbook>
</file>

<file path=xl/calcChain.xml><?xml version="1.0" encoding="utf-8"?>
<calcChain xmlns="http://schemas.openxmlformats.org/spreadsheetml/2006/main">
  <c r="F5" i="28"/>
  <c r="L46"/>
  <c r="E46"/>
  <c r="F46" s="1"/>
  <c r="Z152" i="31" l="1"/>
  <c r="AA152"/>
  <c r="L36"/>
  <c r="F36"/>
  <c r="E36"/>
  <c r="L49" i="28"/>
  <c r="T49" s="1"/>
  <c r="E49"/>
  <c r="F49" s="1"/>
  <c r="S49" s="1"/>
  <c r="E115"/>
  <c r="E150" i="31"/>
  <c r="F150" s="1"/>
  <c r="S104" i="28" l="1"/>
  <c r="T103"/>
  <c r="S101"/>
  <c r="E73" i="31"/>
  <c r="F73" s="1"/>
  <c r="O71"/>
  <c r="I71"/>
  <c r="V140"/>
  <c r="E6" l="1"/>
  <c r="F6" s="1"/>
  <c r="O14"/>
  <c r="E14"/>
  <c r="E3" i="28"/>
  <c r="E15" i="31"/>
  <c r="E16"/>
  <c r="F16" s="1"/>
  <c r="L24"/>
  <c r="E24"/>
  <c r="L23"/>
  <c r="E23"/>
  <c r="L27"/>
  <c r="E27"/>
  <c r="T9" l="1"/>
  <c r="O57" l="1"/>
  <c r="I57"/>
  <c r="O56"/>
  <c r="I56"/>
  <c r="E94" i="28" l="1"/>
  <c r="F94" s="1"/>
  <c r="E89"/>
  <c r="F89" s="1"/>
  <c r="L86"/>
  <c r="E86"/>
  <c r="F86" s="1"/>
  <c r="E40" i="31"/>
  <c r="F40" s="1"/>
  <c r="E39"/>
  <c r="F39" s="1"/>
  <c r="E90" i="28"/>
  <c r="F90" s="1"/>
  <c r="E51" i="31"/>
  <c r="F51" s="1"/>
  <c r="E50"/>
  <c r="F50" s="1"/>
  <c r="Y152" l="1"/>
  <c r="E60"/>
  <c r="E65"/>
  <c r="F65" s="1"/>
  <c r="L73"/>
  <c r="E111" i="28" l="1"/>
  <c r="F111" s="1"/>
  <c r="E116" l="1"/>
  <c r="E117"/>
  <c r="F117" s="1"/>
  <c r="E108" i="31"/>
  <c r="F108" s="1"/>
  <c r="E124" i="28"/>
  <c r="F124" s="1"/>
  <c r="E125"/>
  <c r="F125" s="1"/>
  <c r="E127"/>
  <c r="F127" s="1"/>
  <c r="E128"/>
  <c r="F128" s="1"/>
  <c r="O114" i="31"/>
  <c r="O113"/>
  <c r="O115"/>
  <c r="O116"/>
  <c r="E119"/>
  <c r="F119" s="1"/>
  <c r="I122" l="1"/>
  <c r="E124" l="1"/>
  <c r="F124" s="1"/>
  <c r="E125" l="1"/>
  <c r="F125" s="1"/>
  <c r="E126"/>
  <c r="E130" i="28"/>
  <c r="E131" i="31"/>
  <c r="F131" s="1"/>
  <c r="E139" l="1"/>
  <c r="F139" s="1"/>
  <c r="E144" l="1"/>
  <c r="F144" s="1"/>
  <c r="E145"/>
  <c r="F145" s="1"/>
  <c r="E143"/>
  <c r="F143" s="1"/>
  <c r="E146"/>
  <c r="F146" s="1"/>
  <c r="U152" l="1"/>
  <c r="V152"/>
  <c r="W152"/>
  <c r="X152"/>
  <c r="S131" i="28" l="1"/>
  <c r="T131"/>
  <c r="S152" i="31"/>
  <c r="L28"/>
  <c r="I28"/>
  <c r="O26"/>
  <c r="E26"/>
  <c r="E25"/>
  <c r="F25" s="1"/>
  <c r="O29"/>
  <c r="I29"/>
  <c r="E29"/>
  <c r="F29" s="1"/>
  <c r="T29" l="1"/>
  <c r="T152" s="1"/>
  <c r="O11" i="28"/>
  <c r="J11"/>
  <c r="E11"/>
  <c r="F11" s="1"/>
  <c r="O8" i="31"/>
  <c r="I8"/>
  <c r="E8"/>
  <c r="F8" s="1"/>
  <c r="O4"/>
  <c r="I4"/>
  <c r="E6" i="28" l="1"/>
  <c r="E7"/>
  <c r="O9"/>
  <c r="I9"/>
  <c r="E9"/>
  <c r="F9" s="1"/>
  <c r="F31" l="1"/>
  <c r="E36"/>
  <c r="F36" s="1"/>
  <c r="F38"/>
  <c r="F32"/>
  <c r="F33"/>
  <c r="F35"/>
  <c r="E47"/>
  <c r="E37"/>
  <c r="F37" s="1"/>
  <c r="O39"/>
  <c r="I39"/>
  <c r="E39"/>
  <c r="F39" s="1"/>
  <c r="E40"/>
  <c r="F40" s="1"/>
  <c r="E27" l="1"/>
  <c r="F27" s="1"/>
  <c r="E51"/>
  <c r="F51" s="1"/>
  <c r="E52"/>
  <c r="F52" s="1"/>
  <c r="F17"/>
  <c r="O13"/>
  <c r="O14"/>
  <c r="O15"/>
  <c r="L10"/>
  <c r="I13"/>
  <c r="I14"/>
  <c r="I15"/>
  <c r="E10"/>
  <c r="F10" s="1"/>
  <c r="E12"/>
  <c r="E13"/>
  <c r="F13" s="1"/>
  <c r="E14"/>
  <c r="F14" s="1"/>
  <c r="E15"/>
  <c r="F15" s="1"/>
  <c r="E22"/>
  <c r="E21"/>
  <c r="E23"/>
  <c r="E18"/>
  <c r="E19"/>
  <c r="F20"/>
  <c r="I19"/>
  <c r="L19"/>
  <c r="O19"/>
  <c r="E26"/>
  <c r="L29"/>
  <c r="E29"/>
  <c r="F29" s="1"/>
  <c r="E30"/>
  <c r="F41"/>
  <c r="F34"/>
  <c r="O24"/>
  <c r="I24"/>
  <c r="F8"/>
  <c r="E24"/>
  <c r="F24" s="1"/>
  <c r="E28"/>
  <c r="F28" s="1"/>
  <c r="E50"/>
  <c r="F50" s="1"/>
  <c r="O43" l="1"/>
  <c r="I43"/>
  <c r="I44"/>
  <c r="F6"/>
  <c r="F30"/>
  <c r="E42"/>
  <c r="E43"/>
  <c r="F43" s="1"/>
  <c r="E53" l="1"/>
  <c r="F53" s="1"/>
  <c r="F55"/>
  <c r="F54"/>
  <c r="E57"/>
  <c r="F57" l="1"/>
  <c r="E56"/>
  <c r="E58"/>
  <c r="F58" s="1"/>
  <c r="O66" l="1"/>
  <c r="I66"/>
  <c r="E66"/>
  <c r="F66" s="1"/>
  <c r="E44"/>
  <c r="F44" s="1"/>
  <c r="E45"/>
  <c r="F45" s="1"/>
  <c r="F56"/>
  <c r="E59"/>
  <c r="F59" s="1"/>
  <c r="E60"/>
  <c r="F60" s="1"/>
  <c r="E61"/>
  <c r="F61" s="1"/>
  <c r="E62"/>
  <c r="F62" s="1"/>
  <c r="I45"/>
  <c r="L56"/>
  <c r="O44"/>
  <c r="O45"/>
  <c r="E65"/>
  <c r="E69" l="1"/>
  <c r="F69" s="1"/>
  <c r="E63"/>
  <c r="F63" s="1"/>
  <c r="E64"/>
  <c r="F64" s="1"/>
  <c r="F65"/>
  <c r="E67"/>
  <c r="F67" s="1"/>
  <c r="E68"/>
  <c r="F68" s="1"/>
  <c r="O5" i="31"/>
  <c r="O3"/>
  <c r="L5"/>
  <c r="L9"/>
  <c r="I5"/>
  <c r="E71" i="28"/>
  <c r="F71" s="1"/>
  <c r="E72"/>
  <c r="F72" s="1"/>
  <c r="E74"/>
  <c r="E76"/>
  <c r="F76" s="1"/>
  <c r="E73"/>
  <c r="F73" s="1"/>
  <c r="O78"/>
  <c r="I78"/>
  <c r="E78"/>
  <c r="F78" s="1"/>
  <c r="E79"/>
  <c r="F79" s="1"/>
  <c r="E80"/>
  <c r="F80" s="1"/>
  <c r="E81"/>
  <c r="F81" s="1"/>
  <c r="F82"/>
  <c r="E82"/>
  <c r="I42" i="31" l="1"/>
  <c r="E42"/>
  <c r="I3" l="1"/>
  <c r="R131" i="28"/>
</calcChain>
</file>

<file path=xl/sharedStrings.xml><?xml version="1.0" encoding="utf-8"?>
<sst xmlns="http://schemas.openxmlformats.org/spreadsheetml/2006/main" count="605" uniqueCount="282">
  <si>
    <t>ΕΙΔΟΣ</t>
  </si>
  <si>
    <t>ΑΞΙΑ ΠΡΑΞΗΣ</t>
  </si>
  <si>
    <t>ημερ</t>
  </si>
  <si>
    <t>δωρεά</t>
  </si>
  <si>
    <t>αρ</t>
  </si>
  <si>
    <t>ελεγχος</t>
  </si>
  <si>
    <t>ΤΑΝ-0,65% =κ15</t>
  </si>
  <si>
    <t>ΤΑΝ-1,3% =κ15</t>
  </si>
  <si>
    <t>ΤΑΝ-0,125% =κ17</t>
  </si>
  <si>
    <t>μισθωτήριο</t>
  </si>
  <si>
    <t>σύσταση ΑΕ</t>
  </si>
  <si>
    <t>ραλλου</t>
  </si>
  <si>
    <t>μισθωση ακινήτου</t>
  </si>
  <si>
    <t xml:space="preserve">σύνολο </t>
  </si>
  <si>
    <t>κ18</t>
  </si>
  <si>
    <t>4ος</t>
  </si>
  <si>
    <t>11ος</t>
  </si>
  <si>
    <t>12ος</t>
  </si>
  <si>
    <t>7ος</t>
  </si>
  <si>
    <t>γονική παροχή</t>
  </si>
  <si>
    <t>5ος</t>
  </si>
  <si>
    <t>ΤΑΝ-9% ή 5%</t>
  </si>
  <si>
    <t>3ος</t>
  </si>
  <si>
    <t>2ος</t>
  </si>
  <si>
    <t>1ος</t>
  </si>
  <si>
    <t>γονική</t>
  </si>
  <si>
    <t>10ος</t>
  </si>
  <si>
    <t>9ος</t>
  </si>
  <si>
    <t>8ος</t>
  </si>
  <si>
    <t>6ος</t>
  </si>
  <si>
    <t>μίσθωση</t>
  </si>
  <si>
    <t>κακώς καταχώρηση ως 1.600</t>
  </si>
  <si>
    <t>20+D*1</t>
  </si>
  <si>
    <t>12+D*1,2%</t>
  </si>
  <si>
    <t>λύση προσυμφώνου</t>
  </si>
  <si>
    <t>σύσταση ΟΕ</t>
  </si>
  <si>
    <t>προσύμφ γονικής</t>
  </si>
  <si>
    <t>παράταση εκμ μαρμ</t>
  </si>
  <si>
    <t>εξάλειψη υποθ</t>
  </si>
  <si>
    <t>μισθωση ακιν</t>
  </si>
  <si>
    <t>μισθ λατομ</t>
  </si>
  <si>
    <t>λυση προσυμφωνου -7000</t>
  </si>
  <si>
    <t>λυση προσυμφωνου -6999</t>
  </si>
  <si>
    <t>3/4/2007 [[[ ?? = 23/06/2007 = ????]]] = οι πολίτες στην τράπεζα ΚΑΙ συννημμένο προς υποθυκοφυλακείο</t>
  </si>
  <si>
    <t>προσύμφΠοσοστών &amp; εργολαβικό</t>
  </si>
  <si>
    <t>αγοραπωλησία -προσύμφ-5844 =40.000</t>
  </si>
  <si>
    <t xml:space="preserve">αγοραπωλησία  </t>
  </si>
  <si>
    <t>προσύμφωνο αγοραπ</t>
  </si>
  <si>
    <t>δωρεα</t>
  </si>
  <si>
    <t>εξάλειψη υποθήκης -1.200.000δρχ</t>
  </si>
  <si>
    <t>αγοραπωλησία -προσύμφ-5789</t>
  </si>
  <si>
    <t>20+D*1%</t>
  </si>
  <si>
    <t>2,93 + 3%χ + D*1,2%</t>
  </si>
  <si>
    <t>αγοραπωλησία -προσύμφ-4941=5.000</t>
  </si>
  <si>
    <t>αγοραπωλησία -προσύμφ -3362 =44.020,54</t>
  </si>
  <si>
    <t>αγοραπωλησία -προσύμφ -4137Α' =56.000</t>
  </si>
  <si>
    <t>αγοραπωλησία -προσύμφ -3489 =24.944,96</t>
  </si>
  <si>
    <t>αγοραπωλησία -προσύμφ -4246 =35.200</t>
  </si>
  <si>
    <t>αγοραπωλησία -προσύμφ -3325 =7.000</t>
  </si>
  <si>
    <t>αγοραπωλησία -προσύμφ -3534 =15.057,2</t>
  </si>
  <si>
    <t>αγοραπωλησία -προσύμφ -3976 =1.000</t>
  </si>
  <si>
    <t>αγοραπωλησία -προσύμφ -3817 =5.733,44</t>
  </si>
  <si>
    <t>αγοραπωλησία -προσύμφ -3792 =3000</t>
  </si>
  <si>
    <t>αγοραπωλησία -προσύμφ -3369 =7.864,14</t>
  </si>
  <si>
    <t>αγοραπωλησία</t>
  </si>
  <si>
    <t>αγοραπωλησία -προσύμφ -10341=8εκ=23.477,62 &amp; 10772 =4εκ =11.738,81 ΑΡΑ =35.216,43</t>
  </si>
  <si>
    <t>αγοραπωλησία -προσύμφ -3201 =88.000</t>
  </si>
  <si>
    <t>αποδοχή πρότασης γονικής =1.735.000</t>
  </si>
  <si>
    <t>παράταση μίσθωσης -60.840δρχ</t>
  </si>
  <si>
    <t>διαθήκη</t>
  </si>
  <si>
    <t>*24 +ΚΑΡΚΑΜΑΝΗΣ -ΜΑΡΓΑΡΙΤΗΣ</t>
  </si>
  <si>
    <t>παράταση μίσθωσης</t>
  </si>
  <si>
    <t>διανομή</t>
  </si>
  <si>
    <t>αγοραπωλησία -προσύμφ -2087 =4.402,2</t>
  </si>
  <si>
    <t>αγοραπωλησία -προσύμφ -2043 =4.402,2</t>
  </si>
  <si>
    <t>αγοραπωλησία -προσύμφ -2030 =8.804,4</t>
  </si>
  <si>
    <t>αγοραπωλησία -προσύμφ -1751 =1εκ =2.934,7</t>
  </si>
  <si>
    <t>αγοραπωλησια -προσύμφ -1639 =976.675δρχ</t>
  </si>
  <si>
    <t>αγοραπωλησια -προσύμφ -1554 =3εκ =8.804,11</t>
  </si>
  <si>
    <t>γονική =783.960</t>
  </si>
  <si>
    <t>αγοραπωλησια προσύμφ -1589 =500.000</t>
  </si>
  <si>
    <t>αγοραπωλησια -προσύμφ -806 =100.000δρχ =293,47</t>
  </si>
  <si>
    <t>αγοροπωλησια -προσύμφ -211 =1.550.000</t>
  </si>
  <si>
    <t>αγοροπωλησια -προσύμφ -1079 =5.000.000 =14.673,51</t>
  </si>
  <si>
    <t>διανομή =14εκ</t>
  </si>
  <si>
    <t>αγοροπωλησια -προσύμφ -1100 =1.200.000 =3.521,64</t>
  </si>
  <si>
    <t>αγοροπωλησια -προσύμφ -743 =100.000 =293,47</t>
  </si>
  <si>
    <t>πρόταση γονικης =600.000</t>
  </si>
  <si>
    <t>αγοροπωλησια -προσύμφ -559 =500.000 =1.467,35</t>
  </si>
  <si>
    <t>αγοραπωλησία -προσύμφ -3273 =2.000</t>
  </si>
  <si>
    <t>αγοραπωλησία προσύμφ -28615καπολα =1.467,35</t>
  </si>
  <si>
    <t>αγοραπωλησία -προσύμφ -27084καπολα =1εκ =2.934,7</t>
  </si>
  <si>
    <t>μίσθωση = 7.043,29</t>
  </si>
  <si>
    <t>αγοραπωλησια -προσύμφ -9190 =2εκ =5.869,41</t>
  </si>
  <si>
    <t>αγοραπωλησία -προσύμφ -2535 =1467,35</t>
  </si>
  <si>
    <t>αγοραπωλησία -προσύμφ -9901 =200.000δρχ =586,94</t>
  </si>
  <si>
    <t>αγοραπωλησία -προσύμφ -2231=1.000</t>
  </si>
  <si>
    <t>αγοραπωλησία προσύμφ -2353 =9.391,05</t>
  </si>
  <si>
    <t>αγοραπωλησία -προσύμφ -1859 =4.000.000 =11.738,81</t>
  </si>
  <si>
    <t>αγοραπωλησία -προσύμφ -12037 =325.000 =953,78€</t>
  </si>
  <si>
    <t>αγοραπωλησία -προσύμφ -12454 κυρου =2.500.000 =7.336,76€</t>
  </si>
  <si>
    <t>αγοροπωλησια -προσύμφ -10776κ =600.000 =1.760,82</t>
  </si>
  <si>
    <t>αγοροπωλησια -προσύμφ -487 =8.711.064δρχ =25.564,38€</t>
  </si>
  <si>
    <t>αγοροπωλησια -προσύμφ -388 =500.000 =1.467,35</t>
  </si>
  <si>
    <t>*14 =καταχώρησε περισσότερα =[αφαίρεση κ18=54,54</t>
  </si>
  <si>
    <t>*14 = στην κατάσταση προς ΤΑΝ χρέωσε 2.823δρχ αντί 281 =[ αφαίρεση κ17 =8,55</t>
  </si>
  <si>
    <t xml:space="preserve">*14 = είναι ''προσύμφωνο αγοραπωλησίας'' - 1,5εκ δρχ =4.548,79€ με κ18 =5,75 =[αφαίρεση κ15 =25,18 &amp; κ17 =4,84 </t>
  </si>
  <si>
    <t>προσύμφωνο αγοραπωλησίας</t>
  </si>
  <si>
    <t>*14 = καταχώρηση ως 2.850.000δρχ =8.363,9€ =[αφαίρεση κ18 =8,13 &amp; κ15 =48,65 &amp; κ17 =9,35</t>
  </si>
  <si>
    <t>1-</t>
  </si>
  <si>
    <t>3-</t>
  </si>
  <si>
    <t>5-</t>
  </si>
  <si>
    <t>4-</t>
  </si>
  <si>
    <t>4 + 14 + κατέβαλε περισσότερα =[ μειον = 26,42</t>
  </si>
  <si>
    <t>ΔΟΛΟΣ</t>
  </si>
  <si>
    <t>9 = λάθη ελέγχου</t>
  </si>
  <si>
    <t>1 -κ15-17</t>
  </si>
  <si>
    <t>1-κ18</t>
  </si>
  <si>
    <t>4-κ18</t>
  </si>
  <si>
    <t>4-κ15-17</t>
  </si>
  <si>
    <t>κ15-17</t>
  </si>
  <si>
    <t>4 + 14 + κατέβαλε περισσότερα =[ μειον = 17,17</t>
  </si>
  <si>
    <t>4 + 14 + κατέβαλε περισσότερα =[ μειον = 7,89</t>
  </si>
  <si>
    <t>2 + 72</t>
  </si>
  <si>
    <t>4 + 14 + κατέβαλε περισσότερα =[ μειον = 24,06</t>
  </si>
  <si>
    <t>4 + 14 + κατέβαλε περισσότερα =[ μειον = 8,1</t>
  </si>
  <si>
    <t>4 + 14 + κατέβαλε περισσότερα =[ μειον = 1,8</t>
  </si>
  <si>
    <t>αγοραπωλησία -προσύμφ -9638 =4.733,96</t>
  </si>
  <si>
    <t>4 + 14 + κατέβαλε περισσότερα =[ μειον = 4,27</t>
  </si>
  <si>
    <t>4 + κατέβαλε περισσότερα =[ μειον = 1,8</t>
  </si>
  <si>
    <t>2 + 5 + 72</t>
  </si>
  <si>
    <t>2 + 72 + 4 + 5 + 14 + κατέβαλε περισσότερα =[ μειον = 46,85</t>
  </si>
  <si>
    <t>101 + 2 + 72 + 4 + 14 + κατέβαλε περισσότερα =[ μειον = 99,73</t>
  </si>
  <si>
    <t xml:space="preserve">2 + 72 </t>
  </si>
  <si>
    <t>4 +κατέβαλε περισσότερα =[ μειον =10,63</t>
  </si>
  <si>
    <t>4 +κατέβαλε περισσότερα =[ μειον =15,78</t>
  </si>
  <si>
    <t>διορθωση 32888-καπόλα</t>
  </si>
  <si>
    <t>4 +κατέβαλε περισσότερα =[ μειον =3</t>
  </si>
  <si>
    <t>4 +κατέβαλε περισσότερα =[ μειον =41,5</t>
  </si>
  <si>
    <t>???????</t>
  </si>
  <si>
    <t>4 + 209 + κατέβαλε περισσότερα =[ μειον =????</t>
  </si>
  <si>
    <t>102 = δεν υπολόγισε το προσύμφωνο</t>
  </si>
  <si>
    <t>201 =10061 =γονική =59.778,55 ΕΙΝΑΙ σε εκτέλεση του 8866 προσυμφώνου γονικής = 50.254,77 ( το οποίο ξεκίνησε ως γονική &amp; εκτιμήθηκε &amp; πληρώθηκε ΑΛΛΑ δεν μεταγράφηκε λόγω νομικού κωλύματος ΑΡΑ ακυρώθηκε) ΑΡΑ αφαιρούνται οι αρχικές πληρωμές</t>
  </si>
  <si>
    <t>4 + 201</t>
  </si>
  <si>
    <t>αγοραπωλησια -προσύμφ -8403 =5.000</t>
  </si>
  <si>
    <t>212 = στην κατάσταση πληρώνει 4,18 ,ΕΝΏ στο συμβόλαιο ΚΑΙ στο βιβλίο συμβολαίων καταχωρεί πάγια -κ18=1</t>
  </si>
  <si>
    <t>102 + 4 + 212</t>
  </si>
  <si>
    <t>σύσταση ΕΠΕ</t>
  </si>
  <si>
    <t>4 + κατέβαλε περισσότερα =[ μειον =2,68</t>
  </si>
  <si>
    <t>1 + 215</t>
  </si>
  <si>
    <t xml:space="preserve">1 + 71 </t>
  </si>
  <si>
    <t>συσταση οριζ. &amp; διανομή</t>
  </si>
  <si>
    <t>4 -</t>
  </si>
  <si>
    <t>4 + ΚΑΙ ζητάει και παραπάνω</t>
  </si>
  <si>
    <t>101-</t>
  </si>
  <si>
    <t>αγοραπωλησια</t>
  </si>
  <si>
    <t>100 + 218 =[μείον =8,75</t>
  </si>
  <si>
    <t>σύσταση οπριζοντίου</t>
  </si>
  <si>
    <t>100-</t>
  </si>
  <si>
    <t>100 +220</t>
  </si>
  <si>
    <t>221 = είναι πάγια πράξη βάσει όρων παράτασης μισθωτηρίου</t>
  </si>
  <si>
    <t>100 +222 =[μείον κ18=0,63</t>
  </si>
  <si>
    <t>αγοραπωλησία -προσυμφ-8950 =25.000</t>
  </si>
  <si>
    <t>224 = και τα 2 συμβόλαια είναι σε εκτέλεση του 8950 προσυμφώνου = 25.000</t>
  </si>
  <si>
    <t>4 + 220</t>
  </si>
  <si>
    <t xml:space="preserve"> 4 + 224 </t>
  </si>
  <si>
    <t xml:space="preserve">1 + 4 </t>
  </si>
  <si>
    <t>ανταλλαγή</t>
  </si>
  <si>
    <t>100 +[μείον =2,11</t>
  </si>
  <si>
    <t>1 -</t>
  </si>
  <si>
    <t>1 + 225 =[9134 -1€</t>
  </si>
  <si>
    <t>αγοραπωλησία -προσυμφ -8673 =10.400</t>
  </si>
  <si>
    <t>102-</t>
  </si>
  <si>
    <t>202 =8866 προσύμφωνο γονικής = 50.254,77( ξεκίνησε ως γονική &amp; εκτιμήθηκε &amp; πληρώθηκε ΑΛΛΑ δεν μεταγράφηκε λόγω νομικού κωλύματος ΑΡΑ ακυρώθηκε) ΑΡΑ αφαίρεση πληρωμών . Καταχωρήθηκε ως πάγια πράξη ΑΛΛΑ δεν μεταφερθήκαν οι πληρωμές στο 10061 ( τις οποίες ζητάει )</t>
  </si>
  <si>
    <t>100 + 201</t>
  </si>
  <si>
    <t>202 + 201</t>
  </si>
  <si>
    <t xml:space="preserve">226 = χρέωση 20 αντί 12 σε 6 πάγιες [6*8 =48 =9% = </t>
  </si>
  <si>
    <t>4 + 226</t>
  </si>
  <si>
    <t>1 + 225=[8695 &amp; 8687</t>
  </si>
  <si>
    <t>λυση προσυμφ -7770 =</t>
  </si>
  <si>
    <t>225-</t>
  </si>
  <si>
    <t>λύση προσυμφ -4724 =4988,99</t>
  </si>
  <si>
    <t>1 + 21 = 204</t>
  </si>
  <si>
    <t>προσύμφ αγοραπ</t>
  </si>
  <si>
    <t>6 + 203 = 21</t>
  </si>
  <si>
    <t>1 + 225 =7759 + 14</t>
  </si>
  <si>
    <t>αγοραπ προσυμφ -657 =5εκΔΡΧ =14.673,51</t>
  </si>
  <si>
    <t>αγοραπωλησία προσυμφ -7204Α' =6.247,53</t>
  </si>
  <si>
    <t>1 + 4[=205]</t>
  </si>
  <si>
    <t>γονικη</t>
  </si>
  <si>
    <t>διορθωση γονικης 7831κ</t>
  </si>
  <si>
    <t>διόρθωση γονικής -12085κ</t>
  </si>
  <si>
    <t>100 + 232</t>
  </si>
  <si>
    <t>1 + 4[205]</t>
  </si>
  <si>
    <t>101 + 233</t>
  </si>
  <si>
    <t>100 + 234</t>
  </si>
  <si>
    <t>100 + είναι διανομή</t>
  </si>
  <si>
    <t>αποδοχη κληρονομιας</t>
  </si>
  <si>
    <t>100 + διπλοεγγραφή</t>
  </si>
  <si>
    <t>αγοραπ προσυμφ - ??? = ???</t>
  </si>
  <si>
    <t>1 + 4</t>
  </si>
  <si>
    <t>αγοραπωλησία προσυμφ -6650 = αραβων =15.000</t>
  </si>
  <si>
    <t>χρησιδανειο</t>
  </si>
  <si>
    <t>αγοραπ προσυμφ -3172 =2934,7</t>
  </si>
  <si>
    <t>αγοραπ -προσυμφ -7850 -46.000 -αραβων =23.000</t>
  </si>
  <si>
    <t>αγοραπ προσ -6669 -25.000 -(αραβων=5.000</t>
  </si>
  <si>
    <t>1 + 4 +23</t>
  </si>
  <si>
    <t>1 + 4 + 23</t>
  </si>
  <si>
    <t>λυση προσυμφ -25083καπολα =αραβων =2εκΔΡΧ =5.869,4</t>
  </si>
  <si>
    <t>αγοραπ προσυμφ -7242 =αραβων =18.000</t>
  </si>
  <si>
    <t>100 + 237</t>
  </si>
  <si>
    <t>100 +206</t>
  </si>
  <si>
    <t>101 + 207</t>
  </si>
  <si>
    <t>238 = το καταχωρεί 2 φορές</t>
  </si>
  <si>
    <t>100 +239</t>
  </si>
  <si>
    <t xml:space="preserve">240 = είναι βάσει προσυμφώνου -2827 =9.238,58 [ να αφαιρεθούν κ18=85,56 </t>
  </si>
  <si>
    <t>101 + 240</t>
  </si>
  <si>
    <t>100 + 241</t>
  </si>
  <si>
    <t xml:space="preserve">243 =  αποδόθηκε ΤΑΝ στην πρόταση ΑΡΑ ως πάγια πράξη [ να αφαιρεθούν κ18=5,53 &amp; κ15=33,09 &amp; κ17 =6,36 </t>
  </si>
  <si>
    <t>100 + 243</t>
  </si>
  <si>
    <t>100 + 244</t>
  </si>
  <si>
    <t>100 + 245</t>
  </si>
  <si>
    <t>100 + 246</t>
  </si>
  <si>
    <t xml:space="preserve">100 + είναι αγοραπωλησία </t>
  </si>
  <si>
    <t>100 + 209</t>
  </si>
  <si>
    <t>6 + 21</t>
  </si>
  <si>
    <t>1 + 4 +225</t>
  </si>
  <si>
    <t>αγοραπ -προσυμφ -8170 = αραβων = 5.000</t>
  </si>
  <si>
    <t>258 = ΣΙΓΟΥΡΑ το χρέωσε με 6.410,4 χωρίς να υπολογίσει το προσύμφωνο</t>
  </si>
  <si>
    <t>102 + 4 + 258</t>
  </si>
  <si>
    <t>συσταση &amp; γονικη</t>
  </si>
  <si>
    <t xml:space="preserve">εκθ δημ δικαστ πληστηρ </t>
  </si>
  <si>
    <t>βάσει 40330 υπ.Αποφ 2005 είναι από 11 έως 77€</t>
  </si>
  <si>
    <t>103 = δεν υπολόγισε σωστά το αρχικό μίσθωμα</t>
  </si>
  <si>
    <t>παραταση μισθώσεως = 1.138,2</t>
  </si>
  <si>
    <t xml:space="preserve">100 + 103 + 225 </t>
  </si>
  <si>
    <t>έγκριση παρατ μισθ -5435 =178,55€ [εως 2016]</t>
  </si>
  <si>
    <t>αγοραπ προσυμφ -6591 =αραβων = 10.021,51</t>
  </si>
  <si>
    <t>λύση μισθωσης -4.818 =1.870,71 [εως 2026</t>
  </si>
  <si>
    <t>103-</t>
  </si>
  <si>
    <t>αγοραπ -προσυμφ -8725 -65.000 -[αραβων =7.000</t>
  </si>
  <si>
    <t>102 + 260</t>
  </si>
  <si>
    <t>260 = ΣΙΓΟΥΡΑ το χρέωσε με 65.000 χωρίς να υπολογίσει το προσύμφωνο</t>
  </si>
  <si>
    <t>αγοραπ προσυμφ -8857 =αραβων = 20.000</t>
  </si>
  <si>
    <t>102 + 261</t>
  </si>
  <si>
    <t>261 = ΣΙΓΟΥΡΑ το χρέωσε με 37.153,39 χωρίς να υπολογίσει το προσύμφωνο</t>
  </si>
  <si>
    <t>αγοραπ -προσυμφ -8177 =αραβων =6300</t>
  </si>
  <si>
    <t>102 + 262</t>
  </si>
  <si>
    <t>262 = ΣΙΓΟΥΡΑ το χρέωσε με 6.300 χωρίς να υπολογίσει το προσύμφωνο</t>
  </si>
  <si>
    <t>αγοραπωλησία -προσύμφ -8.894 =2.000</t>
  </si>
  <si>
    <t>263 = ΣΙΓΟΥΡΑ το χρέωσε με 15.000 χωρίς να υπολογίσει το προσύμφωνο</t>
  </si>
  <si>
    <t>102 + 264</t>
  </si>
  <si>
    <t>264 = έγραψε το ποσό της πράξης από το βιβλίο συμβολαίων . Το σωστό είναι υπολογίζοντας το προσύμφωνο</t>
  </si>
  <si>
    <t>αγοραπ -προσυμφ -9.306 =αραβων =20.000</t>
  </si>
  <si>
    <t>αγοραπ -προσυμφ -5671 =αραβων =8.799,71</t>
  </si>
  <si>
    <t>καταργηση προσυμφ-6583 -92.500 -[αραβων=</t>
  </si>
  <si>
    <t>καταργηση προσυμφ-6584 -92.500 -[αραβων=</t>
  </si>
  <si>
    <t>αγοραπ -προσυμφ -9040 -59.760 -[αραβων = 30.000</t>
  </si>
  <si>
    <t>αγοραπ προσυμφ -8568 =αραβων =7.000</t>
  </si>
  <si>
    <t xml:space="preserve">4 + 205 </t>
  </si>
  <si>
    <t>4 + 205</t>
  </si>
  <si>
    <t>αγοραπ -προσυμφ-8950 =αραβων =25.000</t>
  </si>
  <si>
    <t xml:space="preserve">αγοραπ προσυμφ -8669 =αραβων </t>
  </si>
  <si>
    <t xml:space="preserve">αγοραπ προσυμφ -8670 =αραβων </t>
  </si>
  <si>
    <t>γονική =δωρεά =4.236,1</t>
  </si>
  <si>
    <t>λύση προσυμφ -9079 -αραβων =10.000</t>
  </si>
  <si>
    <t>εξάλειψη υποθήκης -13,63εκ =40.097,77</t>
  </si>
  <si>
    <t>265 +267 +23 +24 +Κωστη Αργυρω -Κωνσταντινος</t>
  </si>
  <si>
    <t>7-κ18</t>
  </si>
  <si>
    <t>7-κ15-17</t>
  </si>
  <si>
    <t>μίσθωση -1.513,72</t>
  </si>
  <si>
    <t>*24 +ΣΑΛΑΧΩΝΗΣ ΜΑΡΓ. -ΣΑΛΑΧΩΝΗΣ ΣΤΑΥΡ</t>
  </si>
  <si>
    <t xml:space="preserve">501 = είναι ''προσύμφωνο αγοραπωλησίας'' - 1,5εκ δρχ =4.548,79€ </t>
  </si>
  <si>
    <t>502 = είναι αγοραπωλησία</t>
  </si>
  <si>
    <t>503 = είναι διανομή</t>
  </si>
  <si>
    <t>504 = είναι πληρεξούσιο</t>
  </si>
  <si>
    <t>506 = διπλη εγγραφή από 5.953 έως 5.971 (μετά το 6.036 &amp; πρι ν 6.037)</t>
  </si>
  <si>
    <t>100+217</t>
  </si>
  <si>
    <t>100 - 101  = λάθη ελέγχου</t>
  </si>
  <si>
    <t>ΕΩΣ</t>
  </si>
  <si>
    <t>ΔΙΠΛΗ ΕΓΓΡΑΦΗ</t>
  </si>
  <si>
    <t>506-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</si>
</sst>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1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7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8"/>
      <color rgb="FF00B050"/>
      <name val="Arial"/>
      <family val="2"/>
      <charset val="161"/>
    </font>
    <font>
      <b/>
      <sz val="8"/>
      <color rgb="FF0070C0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006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88">
    <xf numFmtId="0" fontId="0" fillId="0" borderId="0" xfId="0"/>
    <xf numFmtId="43" fontId="12" fillId="0" borderId="1" xfId="1" applyFont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164" fontId="15" fillId="0" borderId="0" xfId="1" applyNumberFormat="1" applyFont="1"/>
    <xf numFmtId="164" fontId="13" fillId="0" borderId="1" xfId="1" applyNumberFormat="1" applyFont="1" applyBorder="1"/>
    <xf numFmtId="0" fontId="14" fillId="6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0" borderId="0" xfId="0" applyFont="1"/>
    <xf numFmtId="14" fontId="12" fillId="0" borderId="1" xfId="1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right" vertical="center"/>
    </xf>
    <xf numFmtId="164" fontId="12" fillId="0" borderId="1" xfId="1" applyNumberFormat="1" applyFont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14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5" xfId="1" applyFont="1" applyBorder="1" applyAlignment="1">
      <alignment horizontal="right" vertical="center"/>
    </xf>
    <xf numFmtId="43" fontId="12" fillId="0" borderId="10" xfId="1" applyFont="1" applyFill="1" applyBorder="1" applyAlignment="1">
      <alignment horizontal="right" vertical="center"/>
    </xf>
    <xf numFmtId="14" fontId="12" fillId="0" borderId="5" xfId="1" applyNumberFormat="1" applyFont="1" applyFill="1" applyBorder="1" applyAlignment="1">
      <alignment horizontal="center" vertical="center"/>
    </xf>
    <xf numFmtId="43" fontId="12" fillId="10" borderId="1" xfId="1" applyFont="1" applyFill="1" applyBorder="1" applyAlignment="1">
      <alignment horizontal="right" vertical="center"/>
    </xf>
    <xf numFmtId="43" fontId="12" fillId="5" borderId="1" xfId="1" applyFont="1" applyFill="1" applyBorder="1" applyAlignment="1">
      <alignment horizontal="center" vertical="center"/>
    </xf>
    <xf numFmtId="43" fontId="12" fillId="13" borderId="1" xfId="1" applyFont="1" applyFill="1" applyBorder="1" applyAlignment="1">
      <alignment horizontal="right" vertical="center"/>
    </xf>
    <xf numFmtId="43" fontId="12" fillId="13" borderId="1" xfId="1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164" fontId="12" fillId="13" borderId="1" xfId="1" applyNumberFormat="1" applyFont="1" applyFill="1" applyBorder="1" applyAlignment="1">
      <alignment horizontal="right" vertical="center"/>
    </xf>
    <xf numFmtId="43" fontId="12" fillId="13" borderId="1" xfId="1" applyFont="1" applyFill="1" applyBorder="1"/>
    <xf numFmtId="0" fontId="12" fillId="12" borderId="2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/>
    </xf>
    <xf numFmtId="43" fontId="12" fillId="12" borderId="1" xfId="1" applyFont="1" applyFill="1" applyBorder="1" applyAlignment="1">
      <alignment horizontal="right" vertical="center"/>
    </xf>
    <xf numFmtId="43" fontId="12" fillId="12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lef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left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3" xfId="1" applyFont="1" applyFill="1" applyBorder="1" applyAlignment="1">
      <alignment horizontal="right" vertical="center"/>
    </xf>
    <xf numFmtId="43" fontId="12" fillId="0" borderId="6" xfId="1" applyFont="1" applyFill="1" applyBorder="1" applyAlignment="1">
      <alignment horizontal="right" vertical="center"/>
    </xf>
    <xf numFmtId="43" fontId="12" fillId="0" borderId="6" xfId="1" applyFont="1" applyBorder="1" applyAlignment="1">
      <alignment horizontal="right" vertical="center"/>
    </xf>
    <xf numFmtId="43" fontId="12" fillId="0" borderId="5" xfId="1" applyFont="1" applyFill="1" applyBorder="1" applyAlignment="1">
      <alignment horizontal="righ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/>
    </xf>
    <xf numFmtId="43" fontId="12" fillId="11" borderId="1" xfId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vertical="top"/>
    </xf>
    <xf numFmtId="0" fontId="15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12" borderId="1" xfId="1" applyFont="1" applyFill="1" applyBorder="1" applyAlignment="1">
      <alignment horizontal="left"/>
    </xf>
    <xf numFmtId="43" fontId="12" fillId="5" borderId="1" xfId="1" applyFont="1" applyFill="1" applyBorder="1" applyAlignment="1">
      <alignment horizontal="right" vertical="center"/>
    </xf>
    <xf numFmtId="14" fontId="12" fillId="5" borderId="5" xfId="0" applyNumberFormat="1" applyFont="1" applyFill="1" applyBorder="1" applyAlignment="1">
      <alignment horizontal="center" vertical="center"/>
    </xf>
    <xf numFmtId="14" fontId="12" fillId="11" borderId="5" xfId="0" applyNumberFormat="1" applyFont="1" applyFill="1" applyBorder="1" applyAlignment="1">
      <alignment horizontal="center" vertical="center"/>
    </xf>
    <xf numFmtId="43" fontId="12" fillId="11" borderId="1" xfId="1" applyFont="1" applyFill="1" applyBorder="1" applyAlignment="1">
      <alignment horizontal="left"/>
    </xf>
    <xf numFmtId="0" fontId="15" fillId="11" borderId="0" xfId="0" applyFont="1" applyFill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164" fontId="12" fillId="12" borderId="2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164" fontId="12" fillId="0" borderId="2" xfId="1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right" vertical="center"/>
    </xf>
    <xf numFmtId="164" fontId="12" fillId="0" borderId="5" xfId="1" applyNumberFormat="1" applyFont="1" applyFill="1" applyBorder="1" applyAlignment="1">
      <alignment horizontal="right" vertical="center"/>
    </xf>
    <xf numFmtId="164" fontId="12" fillId="13" borderId="2" xfId="1" applyNumberFormat="1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10" borderId="1" xfId="1" applyFont="1" applyFill="1" applyBorder="1" applyAlignment="1">
      <alignment horizontal="right" vertical="center"/>
    </xf>
    <xf numFmtId="43" fontId="12" fillId="12" borderId="1" xfId="1" applyFont="1" applyFill="1" applyBorder="1" applyAlignment="1">
      <alignment horizontal="righ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 applyAlignment="1">
      <alignment horizontal="left"/>
    </xf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center" vertical="center"/>
    </xf>
    <xf numFmtId="43" fontId="12" fillId="11" borderId="1" xfId="1" applyFont="1" applyFill="1" applyBorder="1" applyAlignment="1">
      <alignment horizontal="righ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5" fillId="0" borderId="0" xfId="0" applyFont="1" applyFill="1"/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5" fillId="0" borderId="0" xfId="0" applyFont="1" applyAlignment="1"/>
    <xf numFmtId="164" fontId="15" fillId="0" borderId="0" xfId="1" applyNumberFormat="1" applyFont="1" applyAlignment="1"/>
    <xf numFmtId="14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43" fontId="12" fillId="0" borderId="10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left"/>
    </xf>
    <xf numFmtId="164" fontId="12" fillId="0" borderId="2" xfId="1" applyNumberFormat="1" applyFont="1" applyFill="1" applyBorder="1" applyAlignment="1">
      <alignment horizontal="center" vertical="center"/>
    </xf>
    <xf numFmtId="164" fontId="12" fillId="0" borderId="5" xfId="1" applyNumberFormat="1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12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43" fontId="12" fillId="7" borderId="10" xfId="1" applyFont="1" applyFill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left"/>
    </xf>
    <xf numFmtId="43" fontId="12" fillId="13" borderId="1" xfId="1" applyFont="1" applyFill="1" applyBorder="1" applyAlignment="1">
      <alignment horizontal="left"/>
    </xf>
    <xf numFmtId="164" fontId="12" fillId="0" borderId="1" xfId="1" applyNumberFormat="1" applyFont="1" applyFill="1" applyBorder="1" applyAlignment="1">
      <alignment horizontal="left" vertical="center"/>
    </xf>
    <xf numFmtId="43" fontId="15" fillId="0" borderId="1" xfId="1" applyFont="1" applyBorder="1"/>
    <xf numFmtId="43" fontId="15" fillId="0" borderId="1" xfId="1" applyFont="1" applyFill="1" applyBorder="1"/>
    <xf numFmtId="43" fontId="19" fillId="0" borderId="1" xfId="1" applyFont="1" applyBorder="1"/>
    <xf numFmtId="43" fontId="12" fillId="0" borderId="3" xfId="1" applyFont="1" applyFill="1" applyBorder="1" applyAlignment="1">
      <alignment horizontal="left"/>
    </xf>
    <xf numFmtId="43" fontId="20" fillId="0" borderId="1" xfId="1" applyFont="1" applyBorder="1"/>
    <xf numFmtId="43" fontId="18" fillId="3" borderId="1" xfId="1" applyFont="1" applyFill="1" applyBorder="1"/>
    <xf numFmtId="43" fontId="15" fillId="11" borderId="1" xfId="1" applyFont="1" applyFill="1" applyBorder="1"/>
    <xf numFmtId="43" fontId="19" fillId="3" borderId="1" xfId="1" applyFont="1" applyFill="1" applyBorder="1"/>
    <xf numFmtId="0" fontId="15" fillId="0" borderId="0" xfId="0" applyFont="1" applyFill="1" applyAlignment="1"/>
    <xf numFmtId="164" fontId="12" fillId="7" borderId="2" xfId="1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43" fontId="12" fillId="7" borderId="1" xfId="1" applyFont="1" applyFill="1" applyBorder="1" applyAlignment="1">
      <alignment horizontal="right" vertical="center"/>
    </xf>
    <xf numFmtId="14" fontId="12" fillId="7" borderId="5" xfId="1" applyNumberFormat="1" applyFont="1" applyFill="1" applyBorder="1" applyAlignment="1">
      <alignment horizontal="center" vertical="center"/>
    </xf>
    <xf numFmtId="43" fontId="12" fillId="7" borderId="3" xfId="1" applyFont="1" applyFill="1" applyBorder="1" applyAlignment="1">
      <alignment horizontal="left"/>
    </xf>
    <xf numFmtId="43" fontId="15" fillId="7" borderId="1" xfId="1" applyFont="1" applyFill="1" applyBorder="1"/>
    <xf numFmtId="0" fontId="15" fillId="0" borderId="0" xfId="0" applyFont="1" applyAlignment="1">
      <alignment horizontal="center"/>
    </xf>
    <xf numFmtId="43" fontId="15" fillId="0" borderId="0" xfId="0" applyNumberFormat="1" applyFont="1" applyAlignment="1"/>
    <xf numFmtId="0" fontId="15" fillId="0" borderId="0" xfId="0" applyFont="1"/>
    <xf numFmtId="0" fontId="12" fillId="0" borderId="1" xfId="0" applyFont="1" applyFill="1" applyBorder="1"/>
    <xf numFmtId="43" fontId="15" fillId="0" borderId="0" xfId="0" applyNumberFormat="1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/>
    </xf>
    <xf numFmtId="164" fontId="12" fillId="0" borderId="1" xfId="1" applyNumberFormat="1" applyFont="1" applyFill="1" applyBorder="1" applyAlignment="1">
      <alignment horizontal="center"/>
    </xf>
    <xf numFmtId="164" fontId="12" fillId="0" borderId="9" xfId="1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/>
    </xf>
    <xf numFmtId="43" fontId="15" fillId="13" borderId="1" xfId="1" applyFont="1" applyFill="1" applyBorder="1"/>
    <xf numFmtId="0" fontId="12" fillId="7" borderId="1" xfId="0" applyFont="1" applyFill="1" applyBorder="1" applyAlignment="1">
      <alignment horizontal="left"/>
    </xf>
    <xf numFmtId="14" fontId="12" fillId="5" borderId="5" xfId="0" applyNumberFormat="1" applyFont="1" applyFill="1" applyBorder="1" applyAlignment="1">
      <alignment horizontal="center" vertical="center"/>
    </xf>
    <xf numFmtId="43" fontId="15" fillId="12" borderId="1" xfId="1" applyFont="1" applyFill="1" applyBorder="1"/>
    <xf numFmtId="43" fontId="12" fillId="0" borderId="1" xfId="1" applyFont="1" applyFill="1" applyBorder="1" applyAlignment="1">
      <alignment vertical="center"/>
    </xf>
    <xf numFmtId="164" fontId="12" fillId="7" borderId="1" xfId="1" applyNumberFormat="1" applyFont="1" applyFill="1" applyBorder="1" applyAlignment="1">
      <alignment horizontal="center" vertical="center"/>
    </xf>
    <xf numFmtId="14" fontId="12" fillId="7" borderId="1" xfId="1" applyNumberFormat="1" applyFont="1" applyFill="1" applyBorder="1" applyAlignment="1">
      <alignment horizontal="center" vertical="center"/>
    </xf>
    <xf numFmtId="43" fontId="12" fillId="7" borderId="5" xfId="1" applyFont="1" applyFill="1" applyBorder="1" applyAlignment="1">
      <alignment horizontal="right" vertical="center"/>
    </xf>
    <xf numFmtId="164" fontId="12" fillId="7" borderId="1" xfId="1" applyNumberFormat="1" applyFont="1" applyFill="1" applyBorder="1" applyAlignment="1">
      <alignment horizontal="left"/>
    </xf>
    <xf numFmtId="164" fontId="12" fillId="11" borderId="5" xfId="1" applyNumberFormat="1" applyFont="1" applyFill="1" applyBorder="1" applyAlignment="1">
      <alignment horizontal="right" vertical="center"/>
    </xf>
    <xf numFmtId="0" fontId="15" fillId="0" borderId="0" xfId="0" applyFont="1" applyFill="1" applyAlignment="1"/>
    <xf numFmtId="164" fontId="12" fillId="0" borderId="5" xfId="1" applyNumberFormat="1" applyFont="1" applyFill="1" applyBorder="1" applyAlignment="1">
      <alignment horizontal="center"/>
    </xf>
    <xf numFmtId="43" fontId="12" fillId="2" borderId="1" xfId="1" applyFont="1" applyFill="1" applyBorder="1" applyAlignment="1">
      <alignment horizontal="right" vertical="center"/>
    </xf>
    <xf numFmtId="43" fontId="12" fillId="6" borderId="1" xfId="1" applyFont="1" applyFill="1" applyBorder="1" applyAlignment="1">
      <alignment horizontal="right" vertical="center"/>
    </xf>
    <xf numFmtId="43" fontId="15" fillId="0" borderId="0" xfId="1" applyFont="1" applyBorder="1"/>
    <xf numFmtId="43" fontId="19" fillId="0" borderId="1" xfId="1" applyFont="1" applyFill="1" applyBorder="1"/>
    <xf numFmtId="0" fontId="15" fillId="3" borderId="0" xfId="0" applyFont="1" applyFill="1" applyAlignment="1">
      <alignment horizontal="left"/>
    </xf>
    <xf numFmtId="164" fontId="15" fillId="3" borderId="0" xfId="1" applyNumberFormat="1" applyFont="1" applyFill="1" applyAlignment="1">
      <alignment horizontal="left"/>
    </xf>
    <xf numFmtId="43" fontId="12" fillId="5" borderId="3" xfId="1" applyFont="1" applyFill="1" applyBorder="1" applyAlignment="1">
      <alignment horizontal="center" vertical="center"/>
    </xf>
    <xf numFmtId="43" fontId="12" fillId="5" borderId="6" xfId="1" applyFont="1" applyFill="1" applyBorder="1" applyAlignment="1">
      <alignment horizontal="center" vertical="center"/>
    </xf>
    <xf numFmtId="43" fontId="12" fillId="5" borderId="5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right"/>
    </xf>
    <xf numFmtId="0" fontId="13" fillId="4" borderId="5" xfId="0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/>
    </xf>
    <xf numFmtId="164" fontId="15" fillId="0" borderId="0" xfId="1" applyNumberFormat="1" applyFont="1" applyAlignment="1">
      <alignment horizontal="left"/>
    </xf>
    <xf numFmtId="14" fontId="12" fillId="7" borderId="5" xfId="0" applyNumberFormat="1" applyFont="1" applyFill="1" applyBorder="1" applyAlignment="1">
      <alignment horizontal="center" vertical="center"/>
    </xf>
    <xf numFmtId="43" fontId="12" fillId="7" borderId="1" xfId="1" applyFont="1" applyFill="1" applyBorder="1" applyAlignment="1">
      <alignment horizontal="left"/>
    </xf>
    <xf numFmtId="43" fontId="18" fillId="7" borderId="3" xfId="1" applyFont="1" applyFill="1" applyBorder="1" applyAlignment="1">
      <alignment horizontal="center" vertical="center"/>
    </xf>
    <xf numFmtId="43" fontId="18" fillId="7" borderId="6" xfId="1" applyFont="1" applyFill="1" applyBorder="1" applyAlignment="1">
      <alignment horizontal="center" vertical="center"/>
    </xf>
    <xf numFmtId="43" fontId="18" fillId="7" borderId="5" xfId="1" applyFont="1" applyFill="1" applyBorder="1" applyAlignment="1">
      <alignment horizontal="center" vertical="center"/>
    </xf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00FF00"/>
      <color rgb="FF00FFFF"/>
      <color rgb="FFFFFF00"/>
      <color rgb="FFFF00FF"/>
      <color rgb="FF92D050"/>
      <color rgb="FFCC00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workbookViewId="0">
      <pane ySplit="2" topLeftCell="A102" activePane="bottomLeft" state="frozen"/>
      <selection pane="bottomLeft" activeCell="U74" sqref="U74:U79"/>
    </sheetView>
  </sheetViews>
  <sheetFormatPr defaultRowHeight="11.25"/>
  <cols>
    <col min="1" max="1" width="8.140625" style="8" bestFit="1" customWidth="1"/>
    <col min="2" max="2" width="8.7109375" style="8" bestFit="1" customWidth="1"/>
    <col min="3" max="3" width="49.42578125" style="8" customWidth="1"/>
    <col min="4" max="4" width="11.140625" style="8" bestFit="1" customWidth="1"/>
    <col min="5" max="5" width="12.85546875" style="8" customWidth="1"/>
    <col min="6" max="8" width="10.28515625" style="8" bestFit="1" customWidth="1"/>
    <col min="9" max="9" width="9.42578125" style="8" bestFit="1" customWidth="1"/>
    <col min="10" max="10" width="8.28515625" style="8" bestFit="1" customWidth="1"/>
    <col min="11" max="11" width="9.42578125" style="8" bestFit="1" customWidth="1"/>
    <col min="12" max="12" width="9.140625" style="8" bestFit="1" customWidth="1"/>
    <col min="13" max="13" width="9.42578125" style="8" bestFit="1" customWidth="1"/>
    <col min="14" max="14" width="8.140625" style="8" bestFit="1" customWidth="1"/>
    <col min="15" max="15" width="9.42578125" style="8" bestFit="1" customWidth="1"/>
    <col min="16" max="16" width="8.140625" style="8" bestFit="1" customWidth="1"/>
    <col min="17" max="17" width="9.42578125" style="8" bestFit="1" customWidth="1"/>
    <col min="18" max="18" width="32.42578125" style="8" customWidth="1"/>
    <col min="19" max="20" width="9.42578125" style="8" bestFit="1" customWidth="1"/>
    <col min="21" max="21" width="9.42578125" style="95" bestFit="1" customWidth="1"/>
    <col min="22" max="198" width="9.140625" style="8"/>
    <col min="199" max="199" width="9" style="8" bestFit="1" customWidth="1"/>
    <col min="200" max="200" width="9.85546875" style="8" bestFit="1" customWidth="1"/>
    <col min="201" max="201" width="9.140625" style="8" bestFit="1" customWidth="1"/>
    <col min="202" max="202" width="16" style="8" bestFit="1" customWidth="1"/>
    <col min="203" max="203" width="9" style="8" bestFit="1" customWidth="1"/>
    <col min="204" max="204" width="7.85546875" style="8" bestFit="1" customWidth="1"/>
    <col min="205" max="205" width="11.7109375" style="8" bestFit="1" customWidth="1"/>
    <col min="206" max="206" width="14.28515625" style="8" customWidth="1"/>
    <col min="207" max="207" width="11.7109375" style="8" bestFit="1" customWidth="1"/>
    <col min="208" max="208" width="14.140625" style="8" bestFit="1" customWidth="1"/>
    <col min="209" max="209" width="16.7109375" style="8" customWidth="1"/>
    <col min="210" max="210" width="16.5703125" style="8" customWidth="1"/>
    <col min="211" max="212" width="7.85546875" style="8" bestFit="1" customWidth="1"/>
    <col min="213" max="213" width="8" style="8" bestFit="1" customWidth="1"/>
    <col min="214" max="215" width="7.85546875" style="8" bestFit="1" customWidth="1"/>
    <col min="216" max="216" width="9.7109375" style="8" customWidth="1"/>
    <col min="217" max="217" width="12.85546875" style="8" customWidth="1"/>
    <col min="218" max="454" width="9.140625" style="8"/>
    <col min="455" max="455" width="9" style="8" bestFit="1" customWidth="1"/>
    <col min="456" max="456" width="9.85546875" style="8" bestFit="1" customWidth="1"/>
    <col min="457" max="457" width="9.140625" style="8" bestFit="1" customWidth="1"/>
    <col min="458" max="458" width="16" style="8" bestFit="1" customWidth="1"/>
    <col min="459" max="459" width="9" style="8" bestFit="1" customWidth="1"/>
    <col min="460" max="460" width="7.85546875" style="8" bestFit="1" customWidth="1"/>
    <col min="461" max="461" width="11.7109375" style="8" bestFit="1" customWidth="1"/>
    <col min="462" max="462" width="14.28515625" style="8" customWidth="1"/>
    <col min="463" max="463" width="11.7109375" style="8" bestFit="1" customWidth="1"/>
    <col min="464" max="464" width="14.140625" style="8" bestFit="1" customWidth="1"/>
    <col min="465" max="465" width="16.7109375" style="8" customWidth="1"/>
    <col min="466" max="466" width="16.5703125" style="8" customWidth="1"/>
    <col min="467" max="468" width="7.85546875" style="8" bestFit="1" customWidth="1"/>
    <col min="469" max="469" width="8" style="8" bestFit="1" customWidth="1"/>
    <col min="470" max="471" width="7.85546875" style="8" bestFit="1" customWidth="1"/>
    <col min="472" max="472" width="9.7109375" style="8" customWidth="1"/>
    <col min="473" max="473" width="12.85546875" style="8" customWidth="1"/>
    <col min="474" max="710" width="9.140625" style="8"/>
    <col min="711" max="711" width="9" style="8" bestFit="1" customWidth="1"/>
    <col min="712" max="712" width="9.85546875" style="8" bestFit="1" customWidth="1"/>
    <col min="713" max="713" width="9.140625" style="8" bestFit="1" customWidth="1"/>
    <col min="714" max="714" width="16" style="8" bestFit="1" customWidth="1"/>
    <col min="715" max="715" width="9" style="8" bestFit="1" customWidth="1"/>
    <col min="716" max="716" width="7.85546875" style="8" bestFit="1" customWidth="1"/>
    <col min="717" max="717" width="11.7109375" style="8" bestFit="1" customWidth="1"/>
    <col min="718" max="718" width="14.28515625" style="8" customWidth="1"/>
    <col min="719" max="719" width="11.7109375" style="8" bestFit="1" customWidth="1"/>
    <col min="720" max="720" width="14.140625" style="8" bestFit="1" customWidth="1"/>
    <col min="721" max="721" width="16.7109375" style="8" customWidth="1"/>
    <col min="722" max="722" width="16.5703125" style="8" customWidth="1"/>
    <col min="723" max="724" width="7.85546875" style="8" bestFit="1" customWidth="1"/>
    <col min="725" max="725" width="8" style="8" bestFit="1" customWidth="1"/>
    <col min="726" max="727" width="7.85546875" style="8" bestFit="1" customWidth="1"/>
    <col min="728" max="728" width="9.7109375" style="8" customWidth="1"/>
    <col min="729" max="729" width="12.85546875" style="8" customWidth="1"/>
    <col min="730" max="966" width="9.140625" style="8"/>
    <col min="967" max="967" width="9" style="8" bestFit="1" customWidth="1"/>
    <col min="968" max="968" width="9.85546875" style="8" bestFit="1" customWidth="1"/>
    <col min="969" max="969" width="9.140625" style="8" bestFit="1" customWidth="1"/>
    <col min="970" max="970" width="16" style="8" bestFit="1" customWidth="1"/>
    <col min="971" max="971" width="9" style="8" bestFit="1" customWidth="1"/>
    <col min="972" max="972" width="7.85546875" style="8" bestFit="1" customWidth="1"/>
    <col min="973" max="973" width="11.7109375" style="8" bestFit="1" customWidth="1"/>
    <col min="974" max="974" width="14.28515625" style="8" customWidth="1"/>
    <col min="975" max="975" width="11.7109375" style="8" bestFit="1" customWidth="1"/>
    <col min="976" max="976" width="14.140625" style="8" bestFit="1" customWidth="1"/>
    <col min="977" max="977" width="16.7109375" style="8" customWidth="1"/>
    <col min="978" max="978" width="16.5703125" style="8" customWidth="1"/>
    <col min="979" max="980" width="7.85546875" style="8" bestFit="1" customWidth="1"/>
    <col min="981" max="981" width="8" style="8" bestFit="1" customWidth="1"/>
    <col min="982" max="983" width="7.85546875" style="8" bestFit="1" customWidth="1"/>
    <col min="984" max="984" width="9.7109375" style="8" customWidth="1"/>
    <col min="985" max="985" width="12.85546875" style="8" customWidth="1"/>
    <col min="986" max="1222" width="9.140625" style="8"/>
    <col min="1223" max="1223" width="9" style="8" bestFit="1" customWidth="1"/>
    <col min="1224" max="1224" width="9.85546875" style="8" bestFit="1" customWidth="1"/>
    <col min="1225" max="1225" width="9.140625" style="8" bestFit="1" customWidth="1"/>
    <col min="1226" max="1226" width="16" style="8" bestFit="1" customWidth="1"/>
    <col min="1227" max="1227" width="9" style="8" bestFit="1" customWidth="1"/>
    <col min="1228" max="1228" width="7.85546875" style="8" bestFit="1" customWidth="1"/>
    <col min="1229" max="1229" width="11.7109375" style="8" bestFit="1" customWidth="1"/>
    <col min="1230" max="1230" width="14.28515625" style="8" customWidth="1"/>
    <col min="1231" max="1231" width="11.7109375" style="8" bestFit="1" customWidth="1"/>
    <col min="1232" max="1232" width="14.140625" style="8" bestFit="1" customWidth="1"/>
    <col min="1233" max="1233" width="16.7109375" style="8" customWidth="1"/>
    <col min="1234" max="1234" width="16.5703125" style="8" customWidth="1"/>
    <col min="1235" max="1236" width="7.85546875" style="8" bestFit="1" customWidth="1"/>
    <col min="1237" max="1237" width="8" style="8" bestFit="1" customWidth="1"/>
    <col min="1238" max="1239" width="7.85546875" style="8" bestFit="1" customWidth="1"/>
    <col min="1240" max="1240" width="9.7109375" style="8" customWidth="1"/>
    <col min="1241" max="1241" width="12.85546875" style="8" customWidth="1"/>
    <col min="1242" max="1478" width="9.140625" style="8"/>
    <col min="1479" max="1479" width="9" style="8" bestFit="1" customWidth="1"/>
    <col min="1480" max="1480" width="9.85546875" style="8" bestFit="1" customWidth="1"/>
    <col min="1481" max="1481" width="9.140625" style="8" bestFit="1" customWidth="1"/>
    <col min="1482" max="1482" width="16" style="8" bestFit="1" customWidth="1"/>
    <col min="1483" max="1483" width="9" style="8" bestFit="1" customWidth="1"/>
    <col min="1484" max="1484" width="7.85546875" style="8" bestFit="1" customWidth="1"/>
    <col min="1485" max="1485" width="11.7109375" style="8" bestFit="1" customWidth="1"/>
    <col min="1486" max="1486" width="14.28515625" style="8" customWidth="1"/>
    <col min="1487" max="1487" width="11.7109375" style="8" bestFit="1" customWidth="1"/>
    <col min="1488" max="1488" width="14.140625" style="8" bestFit="1" customWidth="1"/>
    <col min="1489" max="1489" width="16.7109375" style="8" customWidth="1"/>
    <col min="1490" max="1490" width="16.5703125" style="8" customWidth="1"/>
    <col min="1491" max="1492" width="7.85546875" style="8" bestFit="1" customWidth="1"/>
    <col min="1493" max="1493" width="8" style="8" bestFit="1" customWidth="1"/>
    <col min="1494" max="1495" width="7.85546875" style="8" bestFit="1" customWidth="1"/>
    <col min="1496" max="1496" width="9.7109375" style="8" customWidth="1"/>
    <col min="1497" max="1497" width="12.85546875" style="8" customWidth="1"/>
    <col min="1498" max="1734" width="9.140625" style="8"/>
    <col min="1735" max="1735" width="9" style="8" bestFit="1" customWidth="1"/>
    <col min="1736" max="1736" width="9.85546875" style="8" bestFit="1" customWidth="1"/>
    <col min="1737" max="1737" width="9.140625" style="8" bestFit="1" customWidth="1"/>
    <col min="1738" max="1738" width="16" style="8" bestFit="1" customWidth="1"/>
    <col min="1739" max="1739" width="9" style="8" bestFit="1" customWidth="1"/>
    <col min="1740" max="1740" width="7.85546875" style="8" bestFit="1" customWidth="1"/>
    <col min="1741" max="1741" width="11.7109375" style="8" bestFit="1" customWidth="1"/>
    <col min="1742" max="1742" width="14.28515625" style="8" customWidth="1"/>
    <col min="1743" max="1743" width="11.7109375" style="8" bestFit="1" customWidth="1"/>
    <col min="1744" max="1744" width="14.140625" style="8" bestFit="1" customWidth="1"/>
    <col min="1745" max="1745" width="16.7109375" style="8" customWidth="1"/>
    <col min="1746" max="1746" width="16.5703125" style="8" customWidth="1"/>
    <col min="1747" max="1748" width="7.85546875" style="8" bestFit="1" customWidth="1"/>
    <col min="1749" max="1749" width="8" style="8" bestFit="1" customWidth="1"/>
    <col min="1750" max="1751" width="7.85546875" style="8" bestFit="1" customWidth="1"/>
    <col min="1752" max="1752" width="9.7109375" style="8" customWidth="1"/>
    <col min="1753" max="1753" width="12.85546875" style="8" customWidth="1"/>
    <col min="1754" max="1990" width="9.140625" style="8"/>
    <col min="1991" max="1991" width="9" style="8" bestFit="1" customWidth="1"/>
    <col min="1992" max="1992" width="9.85546875" style="8" bestFit="1" customWidth="1"/>
    <col min="1993" max="1993" width="9.140625" style="8" bestFit="1" customWidth="1"/>
    <col min="1994" max="1994" width="16" style="8" bestFit="1" customWidth="1"/>
    <col min="1995" max="1995" width="9" style="8" bestFit="1" customWidth="1"/>
    <col min="1996" max="1996" width="7.85546875" style="8" bestFit="1" customWidth="1"/>
    <col min="1997" max="1997" width="11.7109375" style="8" bestFit="1" customWidth="1"/>
    <col min="1998" max="1998" width="14.28515625" style="8" customWidth="1"/>
    <col min="1999" max="1999" width="11.7109375" style="8" bestFit="1" customWidth="1"/>
    <col min="2000" max="2000" width="14.140625" style="8" bestFit="1" customWidth="1"/>
    <col min="2001" max="2001" width="16.7109375" style="8" customWidth="1"/>
    <col min="2002" max="2002" width="16.5703125" style="8" customWidth="1"/>
    <col min="2003" max="2004" width="7.85546875" style="8" bestFit="1" customWidth="1"/>
    <col min="2005" max="2005" width="8" style="8" bestFit="1" customWidth="1"/>
    <col min="2006" max="2007" width="7.85546875" style="8" bestFit="1" customWidth="1"/>
    <col min="2008" max="2008" width="9.7109375" style="8" customWidth="1"/>
    <col min="2009" max="2009" width="12.85546875" style="8" customWidth="1"/>
    <col min="2010" max="2246" width="9.140625" style="8"/>
    <col min="2247" max="2247" width="9" style="8" bestFit="1" customWidth="1"/>
    <col min="2248" max="2248" width="9.85546875" style="8" bestFit="1" customWidth="1"/>
    <col min="2249" max="2249" width="9.140625" style="8" bestFit="1" customWidth="1"/>
    <col min="2250" max="2250" width="16" style="8" bestFit="1" customWidth="1"/>
    <col min="2251" max="2251" width="9" style="8" bestFit="1" customWidth="1"/>
    <col min="2252" max="2252" width="7.85546875" style="8" bestFit="1" customWidth="1"/>
    <col min="2253" max="2253" width="11.7109375" style="8" bestFit="1" customWidth="1"/>
    <col min="2254" max="2254" width="14.28515625" style="8" customWidth="1"/>
    <col min="2255" max="2255" width="11.7109375" style="8" bestFit="1" customWidth="1"/>
    <col min="2256" max="2256" width="14.140625" style="8" bestFit="1" customWidth="1"/>
    <col min="2257" max="2257" width="16.7109375" style="8" customWidth="1"/>
    <col min="2258" max="2258" width="16.5703125" style="8" customWidth="1"/>
    <col min="2259" max="2260" width="7.85546875" style="8" bestFit="1" customWidth="1"/>
    <col min="2261" max="2261" width="8" style="8" bestFit="1" customWidth="1"/>
    <col min="2262" max="2263" width="7.85546875" style="8" bestFit="1" customWidth="1"/>
    <col min="2264" max="2264" width="9.7109375" style="8" customWidth="1"/>
    <col min="2265" max="2265" width="12.85546875" style="8" customWidth="1"/>
    <col min="2266" max="2502" width="9.140625" style="8"/>
    <col min="2503" max="2503" width="9" style="8" bestFit="1" customWidth="1"/>
    <col min="2504" max="2504" width="9.85546875" style="8" bestFit="1" customWidth="1"/>
    <col min="2505" max="2505" width="9.140625" style="8" bestFit="1" customWidth="1"/>
    <col min="2506" max="2506" width="16" style="8" bestFit="1" customWidth="1"/>
    <col min="2507" max="2507" width="9" style="8" bestFit="1" customWidth="1"/>
    <col min="2508" max="2508" width="7.85546875" style="8" bestFit="1" customWidth="1"/>
    <col min="2509" max="2509" width="11.7109375" style="8" bestFit="1" customWidth="1"/>
    <col min="2510" max="2510" width="14.28515625" style="8" customWidth="1"/>
    <col min="2511" max="2511" width="11.7109375" style="8" bestFit="1" customWidth="1"/>
    <col min="2512" max="2512" width="14.140625" style="8" bestFit="1" customWidth="1"/>
    <col min="2513" max="2513" width="16.7109375" style="8" customWidth="1"/>
    <col min="2514" max="2514" width="16.5703125" style="8" customWidth="1"/>
    <col min="2515" max="2516" width="7.85546875" style="8" bestFit="1" customWidth="1"/>
    <col min="2517" max="2517" width="8" style="8" bestFit="1" customWidth="1"/>
    <col min="2518" max="2519" width="7.85546875" style="8" bestFit="1" customWidth="1"/>
    <col min="2520" max="2520" width="9.7109375" style="8" customWidth="1"/>
    <col min="2521" max="2521" width="12.85546875" style="8" customWidth="1"/>
    <col min="2522" max="2758" width="9.140625" style="8"/>
    <col min="2759" max="2759" width="9" style="8" bestFit="1" customWidth="1"/>
    <col min="2760" max="2760" width="9.85546875" style="8" bestFit="1" customWidth="1"/>
    <col min="2761" max="2761" width="9.140625" style="8" bestFit="1" customWidth="1"/>
    <col min="2762" max="2762" width="16" style="8" bestFit="1" customWidth="1"/>
    <col min="2763" max="2763" width="9" style="8" bestFit="1" customWidth="1"/>
    <col min="2764" max="2764" width="7.85546875" style="8" bestFit="1" customWidth="1"/>
    <col min="2765" max="2765" width="11.7109375" style="8" bestFit="1" customWidth="1"/>
    <col min="2766" max="2766" width="14.28515625" style="8" customWidth="1"/>
    <col min="2767" max="2767" width="11.7109375" style="8" bestFit="1" customWidth="1"/>
    <col min="2768" max="2768" width="14.140625" style="8" bestFit="1" customWidth="1"/>
    <col min="2769" max="2769" width="16.7109375" style="8" customWidth="1"/>
    <col min="2770" max="2770" width="16.5703125" style="8" customWidth="1"/>
    <col min="2771" max="2772" width="7.85546875" style="8" bestFit="1" customWidth="1"/>
    <col min="2773" max="2773" width="8" style="8" bestFit="1" customWidth="1"/>
    <col min="2774" max="2775" width="7.85546875" style="8" bestFit="1" customWidth="1"/>
    <col min="2776" max="2776" width="9.7109375" style="8" customWidth="1"/>
    <col min="2777" max="2777" width="12.85546875" style="8" customWidth="1"/>
    <col min="2778" max="3014" width="9.140625" style="8"/>
    <col min="3015" max="3015" width="9" style="8" bestFit="1" customWidth="1"/>
    <col min="3016" max="3016" width="9.85546875" style="8" bestFit="1" customWidth="1"/>
    <col min="3017" max="3017" width="9.140625" style="8" bestFit="1" customWidth="1"/>
    <col min="3018" max="3018" width="16" style="8" bestFit="1" customWidth="1"/>
    <col min="3019" max="3019" width="9" style="8" bestFit="1" customWidth="1"/>
    <col min="3020" max="3020" width="7.85546875" style="8" bestFit="1" customWidth="1"/>
    <col min="3021" max="3021" width="11.7109375" style="8" bestFit="1" customWidth="1"/>
    <col min="3022" max="3022" width="14.28515625" style="8" customWidth="1"/>
    <col min="3023" max="3023" width="11.7109375" style="8" bestFit="1" customWidth="1"/>
    <col min="3024" max="3024" width="14.140625" style="8" bestFit="1" customWidth="1"/>
    <col min="3025" max="3025" width="16.7109375" style="8" customWidth="1"/>
    <col min="3026" max="3026" width="16.5703125" style="8" customWidth="1"/>
    <col min="3027" max="3028" width="7.85546875" style="8" bestFit="1" customWidth="1"/>
    <col min="3029" max="3029" width="8" style="8" bestFit="1" customWidth="1"/>
    <col min="3030" max="3031" width="7.85546875" style="8" bestFit="1" customWidth="1"/>
    <col min="3032" max="3032" width="9.7109375" style="8" customWidth="1"/>
    <col min="3033" max="3033" width="12.85546875" style="8" customWidth="1"/>
    <col min="3034" max="3270" width="9.140625" style="8"/>
    <col min="3271" max="3271" width="9" style="8" bestFit="1" customWidth="1"/>
    <col min="3272" max="3272" width="9.85546875" style="8" bestFit="1" customWidth="1"/>
    <col min="3273" max="3273" width="9.140625" style="8" bestFit="1" customWidth="1"/>
    <col min="3274" max="3274" width="16" style="8" bestFit="1" customWidth="1"/>
    <col min="3275" max="3275" width="9" style="8" bestFit="1" customWidth="1"/>
    <col min="3276" max="3276" width="7.85546875" style="8" bestFit="1" customWidth="1"/>
    <col min="3277" max="3277" width="11.7109375" style="8" bestFit="1" customWidth="1"/>
    <col min="3278" max="3278" width="14.28515625" style="8" customWidth="1"/>
    <col min="3279" max="3279" width="11.7109375" style="8" bestFit="1" customWidth="1"/>
    <col min="3280" max="3280" width="14.140625" style="8" bestFit="1" customWidth="1"/>
    <col min="3281" max="3281" width="16.7109375" style="8" customWidth="1"/>
    <col min="3282" max="3282" width="16.5703125" style="8" customWidth="1"/>
    <col min="3283" max="3284" width="7.85546875" style="8" bestFit="1" customWidth="1"/>
    <col min="3285" max="3285" width="8" style="8" bestFit="1" customWidth="1"/>
    <col min="3286" max="3287" width="7.85546875" style="8" bestFit="1" customWidth="1"/>
    <col min="3288" max="3288" width="9.7109375" style="8" customWidth="1"/>
    <col min="3289" max="3289" width="12.85546875" style="8" customWidth="1"/>
    <col min="3290" max="3526" width="9.140625" style="8"/>
    <col min="3527" max="3527" width="9" style="8" bestFit="1" customWidth="1"/>
    <col min="3528" max="3528" width="9.85546875" style="8" bestFit="1" customWidth="1"/>
    <col min="3529" max="3529" width="9.140625" style="8" bestFit="1" customWidth="1"/>
    <col min="3530" max="3530" width="16" style="8" bestFit="1" customWidth="1"/>
    <col min="3531" max="3531" width="9" style="8" bestFit="1" customWidth="1"/>
    <col min="3532" max="3532" width="7.85546875" style="8" bestFit="1" customWidth="1"/>
    <col min="3533" max="3533" width="11.7109375" style="8" bestFit="1" customWidth="1"/>
    <col min="3534" max="3534" width="14.28515625" style="8" customWidth="1"/>
    <col min="3535" max="3535" width="11.7109375" style="8" bestFit="1" customWidth="1"/>
    <col min="3536" max="3536" width="14.140625" style="8" bestFit="1" customWidth="1"/>
    <col min="3537" max="3537" width="16.7109375" style="8" customWidth="1"/>
    <col min="3538" max="3538" width="16.5703125" style="8" customWidth="1"/>
    <col min="3539" max="3540" width="7.85546875" style="8" bestFit="1" customWidth="1"/>
    <col min="3541" max="3541" width="8" style="8" bestFit="1" customWidth="1"/>
    <col min="3542" max="3543" width="7.85546875" style="8" bestFit="1" customWidth="1"/>
    <col min="3544" max="3544" width="9.7109375" style="8" customWidth="1"/>
    <col min="3545" max="3545" width="12.85546875" style="8" customWidth="1"/>
    <col min="3546" max="3782" width="9.140625" style="8"/>
    <col min="3783" max="3783" width="9" style="8" bestFit="1" customWidth="1"/>
    <col min="3784" max="3784" width="9.85546875" style="8" bestFit="1" customWidth="1"/>
    <col min="3785" max="3785" width="9.140625" style="8" bestFit="1" customWidth="1"/>
    <col min="3786" max="3786" width="16" style="8" bestFit="1" customWidth="1"/>
    <col min="3787" max="3787" width="9" style="8" bestFit="1" customWidth="1"/>
    <col min="3788" max="3788" width="7.85546875" style="8" bestFit="1" customWidth="1"/>
    <col min="3789" max="3789" width="11.7109375" style="8" bestFit="1" customWidth="1"/>
    <col min="3790" max="3790" width="14.28515625" style="8" customWidth="1"/>
    <col min="3791" max="3791" width="11.7109375" style="8" bestFit="1" customWidth="1"/>
    <col min="3792" max="3792" width="14.140625" style="8" bestFit="1" customWidth="1"/>
    <col min="3793" max="3793" width="16.7109375" style="8" customWidth="1"/>
    <col min="3794" max="3794" width="16.5703125" style="8" customWidth="1"/>
    <col min="3795" max="3796" width="7.85546875" style="8" bestFit="1" customWidth="1"/>
    <col min="3797" max="3797" width="8" style="8" bestFit="1" customWidth="1"/>
    <col min="3798" max="3799" width="7.85546875" style="8" bestFit="1" customWidth="1"/>
    <col min="3800" max="3800" width="9.7109375" style="8" customWidth="1"/>
    <col min="3801" max="3801" width="12.85546875" style="8" customWidth="1"/>
    <col min="3802" max="4038" width="9.140625" style="8"/>
    <col min="4039" max="4039" width="9" style="8" bestFit="1" customWidth="1"/>
    <col min="4040" max="4040" width="9.85546875" style="8" bestFit="1" customWidth="1"/>
    <col min="4041" max="4041" width="9.140625" style="8" bestFit="1" customWidth="1"/>
    <col min="4042" max="4042" width="16" style="8" bestFit="1" customWidth="1"/>
    <col min="4043" max="4043" width="9" style="8" bestFit="1" customWidth="1"/>
    <col min="4044" max="4044" width="7.85546875" style="8" bestFit="1" customWidth="1"/>
    <col min="4045" max="4045" width="11.7109375" style="8" bestFit="1" customWidth="1"/>
    <col min="4046" max="4046" width="14.28515625" style="8" customWidth="1"/>
    <col min="4047" max="4047" width="11.7109375" style="8" bestFit="1" customWidth="1"/>
    <col min="4048" max="4048" width="14.140625" style="8" bestFit="1" customWidth="1"/>
    <col min="4049" max="4049" width="16.7109375" style="8" customWidth="1"/>
    <col min="4050" max="4050" width="16.5703125" style="8" customWidth="1"/>
    <col min="4051" max="4052" width="7.85546875" style="8" bestFit="1" customWidth="1"/>
    <col min="4053" max="4053" width="8" style="8" bestFit="1" customWidth="1"/>
    <col min="4054" max="4055" width="7.85546875" style="8" bestFit="1" customWidth="1"/>
    <col min="4056" max="4056" width="9.7109375" style="8" customWidth="1"/>
    <col min="4057" max="4057" width="12.85546875" style="8" customWidth="1"/>
    <col min="4058" max="4294" width="9.140625" style="8"/>
    <col min="4295" max="4295" width="9" style="8" bestFit="1" customWidth="1"/>
    <col min="4296" max="4296" width="9.85546875" style="8" bestFit="1" customWidth="1"/>
    <col min="4297" max="4297" width="9.140625" style="8" bestFit="1" customWidth="1"/>
    <col min="4298" max="4298" width="16" style="8" bestFit="1" customWidth="1"/>
    <col min="4299" max="4299" width="9" style="8" bestFit="1" customWidth="1"/>
    <col min="4300" max="4300" width="7.85546875" style="8" bestFit="1" customWidth="1"/>
    <col min="4301" max="4301" width="11.7109375" style="8" bestFit="1" customWidth="1"/>
    <col min="4302" max="4302" width="14.28515625" style="8" customWidth="1"/>
    <col min="4303" max="4303" width="11.7109375" style="8" bestFit="1" customWidth="1"/>
    <col min="4304" max="4304" width="14.140625" style="8" bestFit="1" customWidth="1"/>
    <col min="4305" max="4305" width="16.7109375" style="8" customWidth="1"/>
    <col min="4306" max="4306" width="16.5703125" style="8" customWidth="1"/>
    <col min="4307" max="4308" width="7.85546875" style="8" bestFit="1" customWidth="1"/>
    <col min="4309" max="4309" width="8" style="8" bestFit="1" customWidth="1"/>
    <col min="4310" max="4311" width="7.85546875" style="8" bestFit="1" customWidth="1"/>
    <col min="4312" max="4312" width="9.7109375" style="8" customWidth="1"/>
    <col min="4313" max="4313" width="12.85546875" style="8" customWidth="1"/>
    <col min="4314" max="4550" width="9.140625" style="8"/>
    <col min="4551" max="4551" width="9" style="8" bestFit="1" customWidth="1"/>
    <col min="4552" max="4552" width="9.85546875" style="8" bestFit="1" customWidth="1"/>
    <col min="4553" max="4553" width="9.140625" style="8" bestFit="1" customWidth="1"/>
    <col min="4554" max="4554" width="16" style="8" bestFit="1" customWidth="1"/>
    <col min="4555" max="4555" width="9" style="8" bestFit="1" customWidth="1"/>
    <col min="4556" max="4556" width="7.85546875" style="8" bestFit="1" customWidth="1"/>
    <col min="4557" max="4557" width="11.7109375" style="8" bestFit="1" customWidth="1"/>
    <col min="4558" max="4558" width="14.28515625" style="8" customWidth="1"/>
    <col min="4559" max="4559" width="11.7109375" style="8" bestFit="1" customWidth="1"/>
    <col min="4560" max="4560" width="14.140625" style="8" bestFit="1" customWidth="1"/>
    <col min="4561" max="4561" width="16.7109375" style="8" customWidth="1"/>
    <col min="4562" max="4562" width="16.5703125" style="8" customWidth="1"/>
    <col min="4563" max="4564" width="7.85546875" style="8" bestFit="1" customWidth="1"/>
    <col min="4565" max="4565" width="8" style="8" bestFit="1" customWidth="1"/>
    <col min="4566" max="4567" width="7.85546875" style="8" bestFit="1" customWidth="1"/>
    <col min="4568" max="4568" width="9.7109375" style="8" customWidth="1"/>
    <col min="4569" max="4569" width="12.85546875" style="8" customWidth="1"/>
    <col min="4570" max="4806" width="9.140625" style="8"/>
    <col min="4807" max="4807" width="9" style="8" bestFit="1" customWidth="1"/>
    <col min="4808" max="4808" width="9.85546875" style="8" bestFit="1" customWidth="1"/>
    <col min="4809" max="4809" width="9.140625" style="8" bestFit="1" customWidth="1"/>
    <col min="4810" max="4810" width="16" style="8" bestFit="1" customWidth="1"/>
    <col min="4811" max="4811" width="9" style="8" bestFit="1" customWidth="1"/>
    <col min="4812" max="4812" width="7.85546875" style="8" bestFit="1" customWidth="1"/>
    <col min="4813" max="4813" width="11.7109375" style="8" bestFit="1" customWidth="1"/>
    <col min="4814" max="4814" width="14.28515625" style="8" customWidth="1"/>
    <col min="4815" max="4815" width="11.7109375" style="8" bestFit="1" customWidth="1"/>
    <col min="4816" max="4816" width="14.140625" style="8" bestFit="1" customWidth="1"/>
    <col min="4817" max="4817" width="16.7109375" style="8" customWidth="1"/>
    <col min="4818" max="4818" width="16.5703125" style="8" customWidth="1"/>
    <col min="4819" max="4820" width="7.85546875" style="8" bestFit="1" customWidth="1"/>
    <col min="4821" max="4821" width="8" style="8" bestFit="1" customWidth="1"/>
    <col min="4822" max="4823" width="7.85546875" style="8" bestFit="1" customWidth="1"/>
    <col min="4824" max="4824" width="9.7109375" style="8" customWidth="1"/>
    <col min="4825" max="4825" width="12.85546875" style="8" customWidth="1"/>
    <col min="4826" max="5062" width="9.140625" style="8"/>
    <col min="5063" max="5063" width="9" style="8" bestFit="1" customWidth="1"/>
    <col min="5064" max="5064" width="9.85546875" style="8" bestFit="1" customWidth="1"/>
    <col min="5065" max="5065" width="9.140625" style="8" bestFit="1" customWidth="1"/>
    <col min="5066" max="5066" width="16" style="8" bestFit="1" customWidth="1"/>
    <col min="5067" max="5067" width="9" style="8" bestFit="1" customWidth="1"/>
    <col min="5068" max="5068" width="7.85546875" style="8" bestFit="1" customWidth="1"/>
    <col min="5069" max="5069" width="11.7109375" style="8" bestFit="1" customWidth="1"/>
    <col min="5070" max="5070" width="14.28515625" style="8" customWidth="1"/>
    <col min="5071" max="5071" width="11.7109375" style="8" bestFit="1" customWidth="1"/>
    <col min="5072" max="5072" width="14.140625" style="8" bestFit="1" customWidth="1"/>
    <col min="5073" max="5073" width="16.7109375" style="8" customWidth="1"/>
    <col min="5074" max="5074" width="16.5703125" style="8" customWidth="1"/>
    <col min="5075" max="5076" width="7.85546875" style="8" bestFit="1" customWidth="1"/>
    <col min="5077" max="5077" width="8" style="8" bestFit="1" customWidth="1"/>
    <col min="5078" max="5079" width="7.85546875" style="8" bestFit="1" customWidth="1"/>
    <col min="5080" max="5080" width="9.7109375" style="8" customWidth="1"/>
    <col min="5081" max="5081" width="12.85546875" style="8" customWidth="1"/>
    <col min="5082" max="5318" width="9.140625" style="8"/>
    <col min="5319" max="5319" width="9" style="8" bestFit="1" customWidth="1"/>
    <col min="5320" max="5320" width="9.85546875" style="8" bestFit="1" customWidth="1"/>
    <col min="5321" max="5321" width="9.140625" style="8" bestFit="1" customWidth="1"/>
    <col min="5322" max="5322" width="16" style="8" bestFit="1" customWidth="1"/>
    <col min="5323" max="5323" width="9" style="8" bestFit="1" customWidth="1"/>
    <col min="5324" max="5324" width="7.85546875" style="8" bestFit="1" customWidth="1"/>
    <col min="5325" max="5325" width="11.7109375" style="8" bestFit="1" customWidth="1"/>
    <col min="5326" max="5326" width="14.28515625" style="8" customWidth="1"/>
    <col min="5327" max="5327" width="11.7109375" style="8" bestFit="1" customWidth="1"/>
    <col min="5328" max="5328" width="14.140625" style="8" bestFit="1" customWidth="1"/>
    <col min="5329" max="5329" width="16.7109375" style="8" customWidth="1"/>
    <col min="5330" max="5330" width="16.5703125" style="8" customWidth="1"/>
    <col min="5331" max="5332" width="7.85546875" style="8" bestFit="1" customWidth="1"/>
    <col min="5333" max="5333" width="8" style="8" bestFit="1" customWidth="1"/>
    <col min="5334" max="5335" width="7.85546875" style="8" bestFit="1" customWidth="1"/>
    <col min="5336" max="5336" width="9.7109375" style="8" customWidth="1"/>
    <col min="5337" max="5337" width="12.85546875" style="8" customWidth="1"/>
    <col min="5338" max="5574" width="9.140625" style="8"/>
    <col min="5575" max="5575" width="9" style="8" bestFit="1" customWidth="1"/>
    <col min="5576" max="5576" width="9.85546875" style="8" bestFit="1" customWidth="1"/>
    <col min="5577" max="5577" width="9.140625" style="8" bestFit="1" customWidth="1"/>
    <col min="5578" max="5578" width="16" style="8" bestFit="1" customWidth="1"/>
    <col min="5579" max="5579" width="9" style="8" bestFit="1" customWidth="1"/>
    <col min="5580" max="5580" width="7.85546875" style="8" bestFit="1" customWidth="1"/>
    <col min="5581" max="5581" width="11.7109375" style="8" bestFit="1" customWidth="1"/>
    <col min="5582" max="5582" width="14.28515625" style="8" customWidth="1"/>
    <col min="5583" max="5583" width="11.7109375" style="8" bestFit="1" customWidth="1"/>
    <col min="5584" max="5584" width="14.140625" style="8" bestFit="1" customWidth="1"/>
    <col min="5585" max="5585" width="16.7109375" style="8" customWidth="1"/>
    <col min="5586" max="5586" width="16.5703125" style="8" customWidth="1"/>
    <col min="5587" max="5588" width="7.85546875" style="8" bestFit="1" customWidth="1"/>
    <col min="5589" max="5589" width="8" style="8" bestFit="1" customWidth="1"/>
    <col min="5590" max="5591" width="7.85546875" style="8" bestFit="1" customWidth="1"/>
    <col min="5592" max="5592" width="9.7109375" style="8" customWidth="1"/>
    <col min="5593" max="5593" width="12.85546875" style="8" customWidth="1"/>
    <col min="5594" max="5830" width="9.140625" style="8"/>
    <col min="5831" max="5831" width="9" style="8" bestFit="1" customWidth="1"/>
    <col min="5832" max="5832" width="9.85546875" style="8" bestFit="1" customWidth="1"/>
    <col min="5833" max="5833" width="9.140625" style="8" bestFit="1" customWidth="1"/>
    <col min="5834" max="5834" width="16" style="8" bestFit="1" customWidth="1"/>
    <col min="5835" max="5835" width="9" style="8" bestFit="1" customWidth="1"/>
    <col min="5836" max="5836" width="7.85546875" style="8" bestFit="1" customWidth="1"/>
    <col min="5837" max="5837" width="11.7109375" style="8" bestFit="1" customWidth="1"/>
    <col min="5838" max="5838" width="14.28515625" style="8" customWidth="1"/>
    <col min="5839" max="5839" width="11.7109375" style="8" bestFit="1" customWidth="1"/>
    <col min="5840" max="5840" width="14.140625" style="8" bestFit="1" customWidth="1"/>
    <col min="5841" max="5841" width="16.7109375" style="8" customWidth="1"/>
    <col min="5842" max="5842" width="16.5703125" style="8" customWidth="1"/>
    <col min="5843" max="5844" width="7.85546875" style="8" bestFit="1" customWidth="1"/>
    <col min="5845" max="5845" width="8" style="8" bestFit="1" customWidth="1"/>
    <col min="5846" max="5847" width="7.85546875" style="8" bestFit="1" customWidth="1"/>
    <col min="5848" max="5848" width="9.7109375" style="8" customWidth="1"/>
    <col min="5849" max="5849" width="12.85546875" style="8" customWidth="1"/>
    <col min="5850" max="6086" width="9.140625" style="8"/>
    <col min="6087" max="6087" width="9" style="8" bestFit="1" customWidth="1"/>
    <col min="6088" max="6088" width="9.85546875" style="8" bestFit="1" customWidth="1"/>
    <col min="6089" max="6089" width="9.140625" style="8" bestFit="1" customWidth="1"/>
    <col min="6090" max="6090" width="16" style="8" bestFit="1" customWidth="1"/>
    <col min="6091" max="6091" width="9" style="8" bestFit="1" customWidth="1"/>
    <col min="6092" max="6092" width="7.85546875" style="8" bestFit="1" customWidth="1"/>
    <col min="6093" max="6093" width="11.7109375" style="8" bestFit="1" customWidth="1"/>
    <col min="6094" max="6094" width="14.28515625" style="8" customWidth="1"/>
    <col min="6095" max="6095" width="11.7109375" style="8" bestFit="1" customWidth="1"/>
    <col min="6096" max="6096" width="14.140625" style="8" bestFit="1" customWidth="1"/>
    <col min="6097" max="6097" width="16.7109375" style="8" customWidth="1"/>
    <col min="6098" max="6098" width="16.5703125" style="8" customWidth="1"/>
    <col min="6099" max="6100" width="7.85546875" style="8" bestFit="1" customWidth="1"/>
    <col min="6101" max="6101" width="8" style="8" bestFit="1" customWidth="1"/>
    <col min="6102" max="6103" width="7.85546875" style="8" bestFit="1" customWidth="1"/>
    <col min="6104" max="6104" width="9.7109375" style="8" customWidth="1"/>
    <col min="6105" max="6105" width="12.85546875" style="8" customWidth="1"/>
    <col min="6106" max="6342" width="9.140625" style="8"/>
    <col min="6343" max="6343" width="9" style="8" bestFit="1" customWidth="1"/>
    <col min="6344" max="6344" width="9.85546875" style="8" bestFit="1" customWidth="1"/>
    <col min="6345" max="6345" width="9.140625" style="8" bestFit="1" customWidth="1"/>
    <col min="6346" max="6346" width="16" style="8" bestFit="1" customWidth="1"/>
    <col min="6347" max="6347" width="9" style="8" bestFit="1" customWidth="1"/>
    <col min="6348" max="6348" width="7.85546875" style="8" bestFit="1" customWidth="1"/>
    <col min="6349" max="6349" width="11.7109375" style="8" bestFit="1" customWidth="1"/>
    <col min="6350" max="6350" width="14.28515625" style="8" customWidth="1"/>
    <col min="6351" max="6351" width="11.7109375" style="8" bestFit="1" customWidth="1"/>
    <col min="6352" max="6352" width="14.140625" style="8" bestFit="1" customWidth="1"/>
    <col min="6353" max="6353" width="16.7109375" style="8" customWidth="1"/>
    <col min="6354" max="6354" width="16.5703125" style="8" customWidth="1"/>
    <col min="6355" max="6356" width="7.85546875" style="8" bestFit="1" customWidth="1"/>
    <col min="6357" max="6357" width="8" style="8" bestFit="1" customWidth="1"/>
    <col min="6358" max="6359" width="7.85546875" style="8" bestFit="1" customWidth="1"/>
    <col min="6360" max="6360" width="9.7109375" style="8" customWidth="1"/>
    <col min="6361" max="6361" width="12.85546875" style="8" customWidth="1"/>
    <col min="6362" max="6598" width="9.140625" style="8"/>
    <col min="6599" max="6599" width="9" style="8" bestFit="1" customWidth="1"/>
    <col min="6600" max="6600" width="9.85546875" style="8" bestFit="1" customWidth="1"/>
    <col min="6601" max="6601" width="9.140625" style="8" bestFit="1" customWidth="1"/>
    <col min="6602" max="6602" width="16" style="8" bestFit="1" customWidth="1"/>
    <col min="6603" max="6603" width="9" style="8" bestFit="1" customWidth="1"/>
    <col min="6604" max="6604" width="7.85546875" style="8" bestFit="1" customWidth="1"/>
    <col min="6605" max="6605" width="11.7109375" style="8" bestFit="1" customWidth="1"/>
    <col min="6606" max="6606" width="14.28515625" style="8" customWidth="1"/>
    <col min="6607" max="6607" width="11.7109375" style="8" bestFit="1" customWidth="1"/>
    <col min="6608" max="6608" width="14.140625" style="8" bestFit="1" customWidth="1"/>
    <col min="6609" max="6609" width="16.7109375" style="8" customWidth="1"/>
    <col min="6610" max="6610" width="16.5703125" style="8" customWidth="1"/>
    <col min="6611" max="6612" width="7.85546875" style="8" bestFit="1" customWidth="1"/>
    <col min="6613" max="6613" width="8" style="8" bestFit="1" customWidth="1"/>
    <col min="6614" max="6615" width="7.85546875" style="8" bestFit="1" customWidth="1"/>
    <col min="6616" max="6616" width="9.7109375" style="8" customWidth="1"/>
    <col min="6617" max="6617" width="12.85546875" style="8" customWidth="1"/>
    <col min="6618" max="6854" width="9.140625" style="8"/>
    <col min="6855" max="6855" width="9" style="8" bestFit="1" customWidth="1"/>
    <col min="6856" max="6856" width="9.85546875" style="8" bestFit="1" customWidth="1"/>
    <col min="6857" max="6857" width="9.140625" style="8" bestFit="1" customWidth="1"/>
    <col min="6858" max="6858" width="16" style="8" bestFit="1" customWidth="1"/>
    <col min="6859" max="6859" width="9" style="8" bestFit="1" customWidth="1"/>
    <col min="6860" max="6860" width="7.85546875" style="8" bestFit="1" customWidth="1"/>
    <col min="6861" max="6861" width="11.7109375" style="8" bestFit="1" customWidth="1"/>
    <col min="6862" max="6862" width="14.28515625" style="8" customWidth="1"/>
    <col min="6863" max="6863" width="11.7109375" style="8" bestFit="1" customWidth="1"/>
    <col min="6864" max="6864" width="14.140625" style="8" bestFit="1" customWidth="1"/>
    <col min="6865" max="6865" width="16.7109375" style="8" customWidth="1"/>
    <col min="6866" max="6866" width="16.5703125" style="8" customWidth="1"/>
    <col min="6867" max="6868" width="7.85546875" style="8" bestFit="1" customWidth="1"/>
    <col min="6869" max="6869" width="8" style="8" bestFit="1" customWidth="1"/>
    <col min="6870" max="6871" width="7.85546875" style="8" bestFit="1" customWidth="1"/>
    <col min="6872" max="6872" width="9.7109375" style="8" customWidth="1"/>
    <col min="6873" max="6873" width="12.85546875" style="8" customWidth="1"/>
    <col min="6874" max="7110" width="9.140625" style="8"/>
    <col min="7111" max="7111" width="9" style="8" bestFit="1" customWidth="1"/>
    <col min="7112" max="7112" width="9.85546875" style="8" bestFit="1" customWidth="1"/>
    <col min="7113" max="7113" width="9.140625" style="8" bestFit="1" customWidth="1"/>
    <col min="7114" max="7114" width="16" style="8" bestFit="1" customWidth="1"/>
    <col min="7115" max="7115" width="9" style="8" bestFit="1" customWidth="1"/>
    <col min="7116" max="7116" width="7.85546875" style="8" bestFit="1" customWidth="1"/>
    <col min="7117" max="7117" width="11.7109375" style="8" bestFit="1" customWidth="1"/>
    <col min="7118" max="7118" width="14.28515625" style="8" customWidth="1"/>
    <col min="7119" max="7119" width="11.7109375" style="8" bestFit="1" customWidth="1"/>
    <col min="7120" max="7120" width="14.140625" style="8" bestFit="1" customWidth="1"/>
    <col min="7121" max="7121" width="16.7109375" style="8" customWidth="1"/>
    <col min="7122" max="7122" width="16.5703125" style="8" customWidth="1"/>
    <col min="7123" max="7124" width="7.85546875" style="8" bestFit="1" customWidth="1"/>
    <col min="7125" max="7125" width="8" style="8" bestFit="1" customWidth="1"/>
    <col min="7126" max="7127" width="7.85546875" style="8" bestFit="1" customWidth="1"/>
    <col min="7128" max="7128" width="9.7109375" style="8" customWidth="1"/>
    <col min="7129" max="7129" width="12.85546875" style="8" customWidth="1"/>
    <col min="7130" max="7366" width="9.140625" style="8"/>
    <col min="7367" max="7367" width="9" style="8" bestFit="1" customWidth="1"/>
    <col min="7368" max="7368" width="9.85546875" style="8" bestFit="1" customWidth="1"/>
    <col min="7369" max="7369" width="9.140625" style="8" bestFit="1" customWidth="1"/>
    <col min="7370" max="7370" width="16" style="8" bestFit="1" customWidth="1"/>
    <col min="7371" max="7371" width="9" style="8" bestFit="1" customWidth="1"/>
    <col min="7372" max="7372" width="7.85546875" style="8" bestFit="1" customWidth="1"/>
    <col min="7373" max="7373" width="11.7109375" style="8" bestFit="1" customWidth="1"/>
    <col min="7374" max="7374" width="14.28515625" style="8" customWidth="1"/>
    <col min="7375" max="7375" width="11.7109375" style="8" bestFit="1" customWidth="1"/>
    <col min="7376" max="7376" width="14.140625" style="8" bestFit="1" customWidth="1"/>
    <col min="7377" max="7377" width="16.7109375" style="8" customWidth="1"/>
    <col min="7378" max="7378" width="16.5703125" style="8" customWidth="1"/>
    <col min="7379" max="7380" width="7.85546875" style="8" bestFit="1" customWidth="1"/>
    <col min="7381" max="7381" width="8" style="8" bestFit="1" customWidth="1"/>
    <col min="7382" max="7383" width="7.85546875" style="8" bestFit="1" customWidth="1"/>
    <col min="7384" max="7384" width="9.7109375" style="8" customWidth="1"/>
    <col min="7385" max="7385" width="12.85546875" style="8" customWidth="1"/>
    <col min="7386" max="7622" width="9.140625" style="8"/>
    <col min="7623" max="7623" width="9" style="8" bestFit="1" customWidth="1"/>
    <col min="7624" max="7624" width="9.85546875" style="8" bestFit="1" customWidth="1"/>
    <col min="7625" max="7625" width="9.140625" style="8" bestFit="1" customWidth="1"/>
    <col min="7626" max="7626" width="16" style="8" bestFit="1" customWidth="1"/>
    <col min="7627" max="7627" width="9" style="8" bestFit="1" customWidth="1"/>
    <col min="7628" max="7628" width="7.85546875" style="8" bestFit="1" customWidth="1"/>
    <col min="7629" max="7629" width="11.7109375" style="8" bestFit="1" customWidth="1"/>
    <col min="7630" max="7630" width="14.28515625" style="8" customWidth="1"/>
    <col min="7631" max="7631" width="11.7109375" style="8" bestFit="1" customWidth="1"/>
    <col min="7632" max="7632" width="14.140625" style="8" bestFit="1" customWidth="1"/>
    <col min="7633" max="7633" width="16.7109375" style="8" customWidth="1"/>
    <col min="7634" max="7634" width="16.5703125" style="8" customWidth="1"/>
    <col min="7635" max="7636" width="7.85546875" style="8" bestFit="1" customWidth="1"/>
    <col min="7637" max="7637" width="8" style="8" bestFit="1" customWidth="1"/>
    <col min="7638" max="7639" width="7.85546875" style="8" bestFit="1" customWidth="1"/>
    <col min="7640" max="7640" width="9.7109375" style="8" customWidth="1"/>
    <col min="7641" max="7641" width="12.85546875" style="8" customWidth="1"/>
    <col min="7642" max="7878" width="9.140625" style="8"/>
    <col min="7879" max="7879" width="9" style="8" bestFit="1" customWidth="1"/>
    <col min="7880" max="7880" width="9.85546875" style="8" bestFit="1" customWidth="1"/>
    <col min="7881" max="7881" width="9.140625" style="8" bestFit="1" customWidth="1"/>
    <col min="7882" max="7882" width="16" style="8" bestFit="1" customWidth="1"/>
    <col min="7883" max="7883" width="9" style="8" bestFit="1" customWidth="1"/>
    <col min="7884" max="7884" width="7.85546875" style="8" bestFit="1" customWidth="1"/>
    <col min="7885" max="7885" width="11.7109375" style="8" bestFit="1" customWidth="1"/>
    <col min="7886" max="7886" width="14.28515625" style="8" customWidth="1"/>
    <col min="7887" max="7887" width="11.7109375" style="8" bestFit="1" customWidth="1"/>
    <col min="7888" max="7888" width="14.140625" style="8" bestFit="1" customWidth="1"/>
    <col min="7889" max="7889" width="16.7109375" style="8" customWidth="1"/>
    <col min="7890" max="7890" width="16.5703125" style="8" customWidth="1"/>
    <col min="7891" max="7892" width="7.85546875" style="8" bestFit="1" customWidth="1"/>
    <col min="7893" max="7893" width="8" style="8" bestFit="1" customWidth="1"/>
    <col min="7894" max="7895" width="7.85546875" style="8" bestFit="1" customWidth="1"/>
    <col min="7896" max="7896" width="9.7109375" style="8" customWidth="1"/>
    <col min="7897" max="7897" width="12.85546875" style="8" customWidth="1"/>
    <col min="7898" max="8134" width="9.140625" style="8"/>
    <col min="8135" max="8135" width="9" style="8" bestFit="1" customWidth="1"/>
    <col min="8136" max="8136" width="9.85546875" style="8" bestFit="1" customWidth="1"/>
    <col min="8137" max="8137" width="9.140625" style="8" bestFit="1" customWidth="1"/>
    <col min="8138" max="8138" width="16" style="8" bestFit="1" customWidth="1"/>
    <col min="8139" max="8139" width="9" style="8" bestFit="1" customWidth="1"/>
    <col min="8140" max="8140" width="7.85546875" style="8" bestFit="1" customWidth="1"/>
    <col min="8141" max="8141" width="11.7109375" style="8" bestFit="1" customWidth="1"/>
    <col min="8142" max="8142" width="14.28515625" style="8" customWidth="1"/>
    <col min="8143" max="8143" width="11.7109375" style="8" bestFit="1" customWidth="1"/>
    <col min="8144" max="8144" width="14.140625" style="8" bestFit="1" customWidth="1"/>
    <col min="8145" max="8145" width="16.7109375" style="8" customWidth="1"/>
    <col min="8146" max="8146" width="16.5703125" style="8" customWidth="1"/>
    <col min="8147" max="8148" width="7.85546875" style="8" bestFit="1" customWidth="1"/>
    <col min="8149" max="8149" width="8" style="8" bestFit="1" customWidth="1"/>
    <col min="8150" max="8151" width="7.85546875" style="8" bestFit="1" customWidth="1"/>
    <col min="8152" max="8152" width="9.7109375" style="8" customWidth="1"/>
    <col min="8153" max="8153" width="12.85546875" style="8" customWidth="1"/>
    <col min="8154" max="8390" width="9.140625" style="8"/>
    <col min="8391" max="8391" width="9" style="8" bestFit="1" customWidth="1"/>
    <col min="8392" max="8392" width="9.85546875" style="8" bestFit="1" customWidth="1"/>
    <col min="8393" max="8393" width="9.140625" style="8" bestFit="1" customWidth="1"/>
    <col min="8394" max="8394" width="16" style="8" bestFit="1" customWidth="1"/>
    <col min="8395" max="8395" width="9" style="8" bestFit="1" customWidth="1"/>
    <col min="8396" max="8396" width="7.85546875" style="8" bestFit="1" customWidth="1"/>
    <col min="8397" max="8397" width="11.7109375" style="8" bestFit="1" customWidth="1"/>
    <col min="8398" max="8398" width="14.28515625" style="8" customWidth="1"/>
    <col min="8399" max="8399" width="11.7109375" style="8" bestFit="1" customWidth="1"/>
    <col min="8400" max="8400" width="14.140625" style="8" bestFit="1" customWidth="1"/>
    <col min="8401" max="8401" width="16.7109375" style="8" customWidth="1"/>
    <col min="8402" max="8402" width="16.5703125" style="8" customWidth="1"/>
    <col min="8403" max="8404" width="7.85546875" style="8" bestFit="1" customWidth="1"/>
    <col min="8405" max="8405" width="8" style="8" bestFit="1" customWidth="1"/>
    <col min="8406" max="8407" width="7.85546875" style="8" bestFit="1" customWidth="1"/>
    <col min="8408" max="8408" width="9.7109375" style="8" customWidth="1"/>
    <col min="8409" max="8409" width="12.85546875" style="8" customWidth="1"/>
    <col min="8410" max="8646" width="9.140625" style="8"/>
    <col min="8647" max="8647" width="9" style="8" bestFit="1" customWidth="1"/>
    <col min="8648" max="8648" width="9.85546875" style="8" bestFit="1" customWidth="1"/>
    <col min="8649" max="8649" width="9.140625" style="8" bestFit="1" customWidth="1"/>
    <col min="8650" max="8650" width="16" style="8" bestFit="1" customWidth="1"/>
    <col min="8651" max="8651" width="9" style="8" bestFit="1" customWidth="1"/>
    <col min="8652" max="8652" width="7.85546875" style="8" bestFit="1" customWidth="1"/>
    <col min="8653" max="8653" width="11.7109375" style="8" bestFit="1" customWidth="1"/>
    <col min="8654" max="8654" width="14.28515625" style="8" customWidth="1"/>
    <col min="8655" max="8655" width="11.7109375" style="8" bestFit="1" customWidth="1"/>
    <col min="8656" max="8656" width="14.140625" style="8" bestFit="1" customWidth="1"/>
    <col min="8657" max="8657" width="16.7109375" style="8" customWidth="1"/>
    <col min="8658" max="8658" width="16.5703125" style="8" customWidth="1"/>
    <col min="8659" max="8660" width="7.85546875" style="8" bestFit="1" customWidth="1"/>
    <col min="8661" max="8661" width="8" style="8" bestFit="1" customWidth="1"/>
    <col min="8662" max="8663" width="7.85546875" style="8" bestFit="1" customWidth="1"/>
    <col min="8664" max="8664" width="9.7109375" style="8" customWidth="1"/>
    <col min="8665" max="8665" width="12.85546875" style="8" customWidth="1"/>
    <col min="8666" max="8902" width="9.140625" style="8"/>
    <col min="8903" max="8903" width="9" style="8" bestFit="1" customWidth="1"/>
    <col min="8904" max="8904" width="9.85546875" style="8" bestFit="1" customWidth="1"/>
    <col min="8905" max="8905" width="9.140625" style="8" bestFit="1" customWidth="1"/>
    <col min="8906" max="8906" width="16" style="8" bestFit="1" customWidth="1"/>
    <col min="8907" max="8907" width="9" style="8" bestFit="1" customWidth="1"/>
    <col min="8908" max="8908" width="7.85546875" style="8" bestFit="1" customWidth="1"/>
    <col min="8909" max="8909" width="11.7109375" style="8" bestFit="1" customWidth="1"/>
    <col min="8910" max="8910" width="14.28515625" style="8" customWidth="1"/>
    <col min="8911" max="8911" width="11.7109375" style="8" bestFit="1" customWidth="1"/>
    <col min="8912" max="8912" width="14.140625" style="8" bestFit="1" customWidth="1"/>
    <col min="8913" max="8913" width="16.7109375" style="8" customWidth="1"/>
    <col min="8914" max="8914" width="16.5703125" style="8" customWidth="1"/>
    <col min="8915" max="8916" width="7.85546875" style="8" bestFit="1" customWidth="1"/>
    <col min="8917" max="8917" width="8" style="8" bestFit="1" customWidth="1"/>
    <col min="8918" max="8919" width="7.85546875" style="8" bestFit="1" customWidth="1"/>
    <col min="8920" max="8920" width="9.7109375" style="8" customWidth="1"/>
    <col min="8921" max="8921" width="12.85546875" style="8" customWidth="1"/>
    <col min="8922" max="9158" width="9.140625" style="8"/>
    <col min="9159" max="9159" width="9" style="8" bestFit="1" customWidth="1"/>
    <col min="9160" max="9160" width="9.85546875" style="8" bestFit="1" customWidth="1"/>
    <col min="9161" max="9161" width="9.140625" style="8" bestFit="1" customWidth="1"/>
    <col min="9162" max="9162" width="16" style="8" bestFit="1" customWidth="1"/>
    <col min="9163" max="9163" width="9" style="8" bestFit="1" customWidth="1"/>
    <col min="9164" max="9164" width="7.85546875" style="8" bestFit="1" customWidth="1"/>
    <col min="9165" max="9165" width="11.7109375" style="8" bestFit="1" customWidth="1"/>
    <col min="9166" max="9166" width="14.28515625" style="8" customWidth="1"/>
    <col min="9167" max="9167" width="11.7109375" style="8" bestFit="1" customWidth="1"/>
    <col min="9168" max="9168" width="14.140625" style="8" bestFit="1" customWidth="1"/>
    <col min="9169" max="9169" width="16.7109375" style="8" customWidth="1"/>
    <col min="9170" max="9170" width="16.5703125" style="8" customWidth="1"/>
    <col min="9171" max="9172" width="7.85546875" style="8" bestFit="1" customWidth="1"/>
    <col min="9173" max="9173" width="8" style="8" bestFit="1" customWidth="1"/>
    <col min="9174" max="9175" width="7.85546875" style="8" bestFit="1" customWidth="1"/>
    <col min="9176" max="9176" width="9.7109375" style="8" customWidth="1"/>
    <col min="9177" max="9177" width="12.85546875" style="8" customWidth="1"/>
    <col min="9178" max="9414" width="9.140625" style="8"/>
    <col min="9415" max="9415" width="9" style="8" bestFit="1" customWidth="1"/>
    <col min="9416" max="9416" width="9.85546875" style="8" bestFit="1" customWidth="1"/>
    <col min="9417" max="9417" width="9.140625" style="8" bestFit="1" customWidth="1"/>
    <col min="9418" max="9418" width="16" style="8" bestFit="1" customWidth="1"/>
    <col min="9419" max="9419" width="9" style="8" bestFit="1" customWidth="1"/>
    <col min="9420" max="9420" width="7.85546875" style="8" bestFit="1" customWidth="1"/>
    <col min="9421" max="9421" width="11.7109375" style="8" bestFit="1" customWidth="1"/>
    <col min="9422" max="9422" width="14.28515625" style="8" customWidth="1"/>
    <col min="9423" max="9423" width="11.7109375" style="8" bestFit="1" customWidth="1"/>
    <col min="9424" max="9424" width="14.140625" style="8" bestFit="1" customWidth="1"/>
    <col min="9425" max="9425" width="16.7109375" style="8" customWidth="1"/>
    <col min="9426" max="9426" width="16.5703125" style="8" customWidth="1"/>
    <col min="9427" max="9428" width="7.85546875" style="8" bestFit="1" customWidth="1"/>
    <col min="9429" max="9429" width="8" style="8" bestFit="1" customWidth="1"/>
    <col min="9430" max="9431" width="7.85546875" style="8" bestFit="1" customWidth="1"/>
    <col min="9432" max="9432" width="9.7109375" style="8" customWidth="1"/>
    <col min="9433" max="9433" width="12.85546875" style="8" customWidth="1"/>
    <col min="9434" max="9670" width="9.140625" style="8"/>
    <col min="9671" max="9671" width="9" style="8" bestFit="1" customWidth="1"/>
    <col min="9672" max="9672" width="9.85546875" style="8" bestFit="1" customWidth="1"/>
    <col min="9673" max="9673" width="9.140625" style="8" bestFit="1" customWidth="1"/>
    <col min="9674" max="9674" width="16" style="8" bestFit="1" customWidth="1"/>
    <col min="9675" max="9675" width="9" style="8" bestFit="1" customWidth="1"/>
    <col min="9676" max="9676" width="7.85546875" style="8" bestFit="1" customWidth="1"/>
    <col min="9677" max="9677" width="11.7109375" style="8" bestFit="1" customWidth="1"/>
    <col min="9678" max="9678" width="14.28515625" style="8" customWidth="1"/>
    <col min="9679" max="9679" width="11.7109375" style="8" bestFit="1" customWidth="1"/>
    <col min="9680" max="9680" width="14.140625" style="8" bestFit="1" customWidth="1"/>
    <col min="9681" max="9681" width="16.7109375" style="8" customWidth="1"/>
    <col min="9682" max="9682" width="16.5703125" style="8" customWidth="1"/>
    <col min="9683" max="9684" width="7.85546875" style="8" bestFit="1" customWidth="1"/>
    <col min="9685" max="9685" width="8" style="8" bestFit="1" customWidth="1"/>
    <col min="9686" max="9687" width="7.85546875" style="8" bestFit="1" customWidth="1"/>
    <col min="9688" max="9688" width="9.7109375" style="8" customWidth="1"/>
    <col min="9689" max="9689" width="12.85546875" style="8" customWidth="1"/>
    <col min="9690" max="9926" width="9.140625" style="8"/>
    <col min="9927" max="9927" width="9" style="8" bestFit="1" customWidth="1"/>
    <col min="9928" max="9928" width="9.85546875" style="8" bestFit="1" customWidth="1"/>
    <col min="9929" max="9929" width="9.140625" style="8" bestFit="1" customWidth="1"/>
    <col min="9930" max="9930" width="16" style="8" bestFit="1" customWidth="1"/>
    <col min="9931" max="9931" width="9" style="8" bestFit="1" customWidth="1"/>
    <col min="9932" max="9932" width="7.85546875" style="8" bestFit="1" customWidth="1"/>
    <col min="9933" max="9933" width="11.7109375" style="8" bestFit="1" customWidth="1"/>
    <col min="9934" max="9934" width="14.28515625" style="8" customWidth="1"/>
    <col min="9935" max="9935" width="11.7109375" style="8" bestFit="1" customWidth="1"/>
    <col min="9936" max="9936" width="14.140625" style="8" bestFit="1" customWidth="1"/>
    <col min="9937" max="9937" width="16.7109375" style="8" customWidth="1"/>
    <col min="9938" max="9938" width="16.5703125" style="8" customWidth="1"/>
    <col min="9939" max="9940" width="7.85546875" style="8" bestFit="1" customWidth="1"/>
    <col min="9941" max="9941" width="8" style="8" bestFit="1" customWidth="1"/>
    <col min="9942" max="9943" width="7.85546875" style="8" bestFit="1" customWidth="1"/>
    <col min="9944" max="9944" width="9.7109375" style="8" customWidth="1"/>
    <col min="9945" max="9945" width="12.85546875" style="8" customWidth="1"/>
    <col min="9946" max="10182" width="9.140625" style="8"/>
    <col min="10183" max="10183" width="9" style="8" bestFit="1" customWidth="1"/>
    <col min="10184" max="10184" width="9.85546875" style="8" bestFit="1" customWidth="1"/>
    <col min="10185" max="10185" width="9.140625" style="8" bestFit="1" customWidth="1"/>
    <col min="10186" max="10186" width="16" style="8" bestFit="1" customWidth="1"/>
    <col min="10187" max="10187" width="9" style="8" bestFit="1" customWidth="1"/>
    <col min="10188" max="10188" width="7.85546875" style="8" bestFit="1" customWidth="1"/>
    <col min="10189" max="10189" width="11.7109375" style="8" bestFit="1" customWidth="1"/>
    <col min="10190" max="10190" width="14.28515625" style="8" customWidth="1"/>
    <col min="10191" max="10191" width="11.7109375" style="8" bestFit="1" customWidth="1"/>
    <col min="10192" max="10192" width="14.140625" style="8" bestFit="1" customWidth="1"/>
    <col min="10193" max="10193" width="16.7109375" style="8" customWidth="1"/>
    <col min="10194" max="10194" width="16.5703125" style="8" customWidth="1"/>
    <col min="10195" max="10196" width="7.85546875" style="8" bestFit="1" customWidth="1"/>
    <col min="10197" max="10197" width="8" style="8" bestFit="1" customWidth="1"/>
    <col min="10198" max="10199" width="7.85546875" style="8" bestFit="1" customWidth="1"/>
    <col min="10200" max="10200" width="9.7109375" style="8" customWidth="1"/>
    <col min="10201" max="10201" width="12.85546875" style="8" customWidth="1"/>
    <col min="10202" max="10438" width="9.140625" style="8"/>
    <col min="10439" max="10439" width="9" style="8" bestFit="1" customWidth="1"/>
    <col min="10440" max="10440" width="9.85546875" style="8" bestFit="1" customWidth="1"/>
    <col min="10441" max="10441" width="9.140625" style="8" bestFit="1" customWidth="1"/>
    <col min="10442" max="10442" width="16" style="8" bestFit="1" customWidth="1"/>
    <col min="10443" max="10443" width="9" style="8" bestFit="1" customWidth="1"/>
    <col min="10444" max="10444" width="7.85546875" style="8" bestFit="1" customWidth="1"/>
    <col min="10445" max="10445" width="11.7109375" style="8" bestFit="1" customWidth="1"/>
    <col min="10446" max="10446" width="14.28515625" style="8" customWidth="1"/>
    <col min="10447" max="10447" width="11.7109375" style="8" bestFit="1" customWidth="1"/>
    <col min="10448" max="10448" width="14.140625" style="8" bestFit="1" customWidth="1"/>
    <col min="10449" max="10449" width="16.7109375" style="8" customWidth="1"/>
    <col min="10450" max="10450" width="16.5703125" style="8" customWidth="1"/>
    <col min="10451" max="10452" width="7.85546875" style="8" bestFit="1" customWidth="1"/>
    <col min="10453" max="10453" width="8" style="8" bestFit="1" customWidth="1"/>
    <col min="10454" max="10455" width="7.85546875" style="8" bestFit="1" customWidth="1"/>
    <col min="10456" max="10456" width="9.7109375" style="8" customWidth="1"/>
    <col min="10457" max="10457" width="12.85546875" style="8" customWidth="1"/>
    <col min="10458" max="10694" width="9.140625" style="8"/>
    <col min="10695" max="10695" width="9" style="8" bestFit="1" customWidth="1"/>
    <col min="10696" max="10696" width="9.85546875" style="8" bestFit="1" customWidth="1"/>
    <col min="10697" max="10697" width="9.140625" style="8" bestFit="1" customWidth="1"/>
    <col min="10698" max="10698" width="16" style="8" bestFit="1" customWidth="1"/>
    <col min="10699" max="10699" width="9" style="8" bestFit="1" customWidth="1"/>
    <col min="10700" max="10700" width="7.85546875" style="8" bestFit="1" customWidth="1"/>
    <col min="10701" max="10701" width="11.7109375" style="8" bestFit="1" customWidth="1"/>
    <col min="10702" max="10702" width="14.28515625" style="8" customWidth="1"/>
    <col min="10703" max="10703" width="11.7109375" style="8" bestFit="1" customWidth="1"/>
    <col min="10704" max="10704" width="14.140625" style="8" bestFit="1" customWidth="1"/>
    <col min="10705" max="10705" width="16.7109375" style="8" customWidth="1"/>
    <col min="10706" max="10706" width="16.5703125" style="8" customWidth="1"/>
    <col min="10707" max="10708" width="7.85546875" style="8" bestFit="1" customWidth="1"/>
    <col min="10709" max="10709" width="8" style="8" bestFit="1" customWidth="1"/>
    <col min="10710" max="10711" width="7.85546875" style="8" bestFit="1" customWidth="1"/>
    <col min="10712" max="10712" width="9.7109375" style="8" customWidth="1"/>
    <col min="10713" max="10713" width="12.85546875" style="8" customWidth="1"/>
    <col min="10714" max="10950" width="9.140625" style="8"/>
    <col min="10951" max="10951" width="9" style="8" bestFit="1" customWidth="1"/>
    <col min="10952" max="10952" width="9.85546875" style="8" bestFit="1" customWidth="1"/>
    <col min="10953" max="10953" width="9.140625" style="8" bestFit="1" customWidth="1"/>
    <col min="10954" max="10954" width="16" style="8" bestFit="1" customWidth="1"/>
    <col min="10955" max="10955" width="9" style="8" bestFit="1" customWidth="1"/>
    <col min="10956" max="10956" width="7.85546875" style="8" bestFit="1" customWidth="1"/>
    <col min="10957" max="10957" width="11.7109375" style="8" bestFit="1" customWidth="1"/>
    <col min="10958" max="10958" width="14.28515625" style="8" customWidth="1"/>
    <col min="10959" max="10959" width="11.7109375" style="8" bestFit="1" customWidth="1"/>
    <col min="10960" max="10960" width="14.140625" style="8" bestFit="1" customWidth="1"/>
    <col min="10961" max="10961" width="16.7109375" style="8" customWidth="1"/>
    <col min="10962" max="10962" width="16.5703125" style="8" customWidth="1"/>
    <col min="10963" max="10964" width="7.85546875" style="8" bestFit="1" customWidth="1"/>
    <col min="10965" max="10965" width="8" style="8" bestFit="1" customWidth="1"/>
    <col min="10966" max="10967" width="7.85546875" style="8" bestFit="1" customWidth="1"/>
    <col min="10968" max="10968" width="9.7109375" style="8" customWidth="1"/>
    <col min="10969" max="10969" width="12.85546875" style="8" customWidth="1"/>
    <col min="10970" max="11206" width="9.140625" style="8"/>
    <col min="11207" max="11207" width="9" style="8" bestFit="1" customWidth="1"/>
    <col min="11208" max="11208" width="9.85546875" style="8" bestFit="1" customWidth="1"/>
    <col min="11209" max="11209" width="9.140625" style="8" bestFit="1" customWidth="1"/>
    <col min="11210" max="11210" width="16" style="8" bestFit="1" customWidth="1"/>
    <col min="11211" max="11211" width="9" style="8" bestFit="1" customWidth="1"/>
    <col min="11212" max="11212" width="7.85546875" style="8" bestFit="1" customWidth="1"/>
    <col min="11213" max="11213" width="11.7109375" style="8" bestFit="1" customWidth="1"/>
    <col min="11214" max="11214" width="14.28515625" style="8" customWidth="1"/>
    <col min="11215" max="11215" width="11.7109375" style="8" bestFit="1" customWidth="1"/>
    <col min="11216" max="11216" width="14.140625" style="8" bestFit="1" customWidth="1"/>
    <col min="11217" max="11217" width="16.7109375" style="8" customWidth="1"/>
    <col min="11218" max="11218" width="16.5703125" style="8" customWidth="1"/>
    <col min="11219" max="11220" width="7.85546875" style="8" bestFit="1" customWidth="1"/>
    <col min="11221" max="11221" width="8" style="8" bestFit="1" customWidth="1"/>
    <col min="11222" max="11223" width="7.85546875" style="8" bestFit="1" customWidth="1"/>
    <col min="11224" max="11224" width="9.7109375" style="8" customWidth="1"/>
    <col min="11225" max="11225" width="12.85546875" style="8" customWidth="1"/>
    <col min="11226" max="11462" width="9.140625" style="8"/>
    <col min="11463" max="11463" width="9" style="8" bestFit="1" customWidth="1"/>
    <col min="11464" max="11464" width="9.85546875" style="8" bestFit="1" customWidth="1"/>
    <col min="11465" max="11465" width="9.140625" style="8" bestFit="1" customWidth="1"/>
    <col min="11466" max="11466" width="16" style="8" bestFit="1" customWidth="1"/>
    <col min="11467" max="11467" width="9" style="8" bestFit="1" customWidth="1"/>
    <col min="11468" max="11468" width="7.85546875" style="8" bestFit="1" customWidth="1"/>
    <col min="11469" max="11469" width="11.7109375" style="8" bestFit="1" customWidth="1"/>
    <col min="11470" max="11470" width="14.28515625" style="8" customWidth="1"/>
    <col min="11471" max="11471" width="11.7109375" style="8" bestFit="1" customWidth="1"/>
    <col min="11472" max="11472" width="14.140625" style="8" bestFit="1" customWidth="1"/>
    <col min="11473" max="11473" width="16.7109375" style="8" customWidth="1"/>
    <col min="11474" max="11474" width="16.5703125" style="8" customWidth="1"/>
    <col min="11475" max="11476" width="7.85546875" style="8" bestFit="1" customWidth="1"/>
    <col min="11477" max="11477" width="8" style="8" bestFit="1" customWidth="1"/>
    <col min="11478" max="11479" width="7.85546875" style="8" bestFit="1" customWidth="1"/>
    <col min="11480" max="11480" width="9.7109375" style="8" customWidth="1"/>
    <col min="11481" max="11481" width="12.85546875" style="8" customWidth="1"/>
    <col min="11482" max="11718" width="9.140625" style="8"/>
    <col min="11719" max="11719" width="9" style="8" bestFit="1" customWidth="1"/>
    <col min="11720" max="11720" width="9.85546875" style="8" bestFit="1" customWidth="1"/>
    <col min="11721" max="11721" width="9.140625" style="8" bestFit="1" customWidth="1"/>
    <col min="11722" max="11722" width="16" style="8" bestFit="1" customWidth="1"/>
    <col min="11723" max="11723" width="9" style="8" bestFit="1" customWidth="1"/>
    <col min="11724" max="11724" width="7.85546875" style="8" bestFit="1" customWidth="1"/>
    <col min="11725" max="11725" width="11.7109375" style="8" bestFit="1" customWidth="1"/>
    <col min="11726" max="11726" width="14.28515625" style="8" customWidth="1"/>
    <col min="11727" max="11727" width="11.7109375" style="8" bestFit="1" customWidth="1"/>
    <col min="11728" max="11728" width="14.140625" style="8" bestFit="1" customWidth="1"/>
    <col min="11729" max="11729" width="16.7109375" style="8" customWidth="1"/>
    <col min="11730" max="11730" width="16.5703125" style="8" customWidth="1"/>
    <col min="11731" max="11732" width="7.85546875" style="8" bestFit="1" customWidth="1"/>
    <col min="11733" max="11733" width="8" style="8" bestFit="1" customWidth="1"/>
    <col min="11734" max="11735" width="7.85546875" style="8" bestFit="1" customWidth="1"/>
    <col min="11736" max="11736" width="9.7109375" style="8" customWidth="1"/>
    <col min="11737" max="11737" width="12.85546875" style="8" customWidth="1"/>
    <col min="11738" max="11974" width="9.140625" style="8"/>
    <col min="11975" max="11975" width="9" style="8" bestFit="1" customWidth="1"/>
    <col min="11976" max="11976" width="9.85546875" style="8" bestFit="1" customWidth="1"/>
    <col min="11977" max="11977" width="9.140625" style="8" bestFit="1" customWidth="1"/>
    <col min="11978" max="11978" width="16" style="8" bestFit="1" customWidth="1"/>
    <col min="11979" max="11979" width="9" style="8" bestFit="1" customWidth="1"/>
    <col min="11980" max="11980" width="7.85546875" style="8" bestFit="1" customWidth="1"/>
    <col min="11981" max="11981" width="11.7109375" style="8" bestFit="1" customWidth="1"/>
    <col min="11982" max="11982" width="14.28515625" style="8" customWidth="1"/>
    <col min="11983" max="11983" width="11.7109375" style="8" bestFit="1" customWidth="1"/>
    <col min="11984" max="11984" width="14.140625" style="8" bestFit="1" customWidth="1"/>
    <col min="11985" max="11985" width="16.7109375" style="8" customWidth="1"/>
    <col min="11986" max="11986" width="16.5703125" style="8" customWidth="1"/>
    <col min="11987" max="11988" width="7.85546875" style="8" bestFit="1" customWidth="1"/>
    <col min="11989" max="11989" width="8" style="8" bestFit="1" customWidth="1"/>
    <col min="11990" max="11991" width="7.85546875" style="8" bestFit="1" customWidth="1"/>
    <col min="11992" max="11992" width="9.7109375" style="8" customWidth="1"/>
    <col min="11993" max="11993" width="12.85546875" style="8" customWidth="1"/>
    <col min="11994" max="12230" width="9.140625" style="8"/>
    <col min="12231" max="12231" width="9" style="8" bestFit="1" customWidth="1"/>
    <col min="12232" max="12232" width="9.85546875" style="8" bestFit="1" customWidth="1"/>
    <col min="12233" max="12233" width="9.140625" style="8" bestFit="1" customWidth="1"/>
    <col min="12234" max="12234" width="16" style="8" bestFit="1" customWidth="1"/>
    <col min="12235" max="12235" width="9" style="8" bestFit="1" customWidth="1"/>
    <col min="12236" max="12236" width="7.85546875" style="8" bestFit="1" customWidth="1"/>
    <col min="12237" max="12237" width="11.7109375" style="8" bestFit="1" customWidth="1"/>
    <col min="12238" max="12238" width="14.28515625" style="8" customWidth="1"/>
    <col min="12239" max="12239" width="11.7109375" style="8" bestFit="1" customWidth="1"/>
    <col min="12240" max="12240" width="14.140625" style="8" bestFit="1" customWidth="1"/>
    <col min="12241" max="12241" width="16.7109375" style="8" customWidth="1"/>
    <col min="12242" max="12242" width="16.5703125" style="8" customWidth="1"/>
    <col min="12243" max="12244" width="7.85546875" style="8" bestFit="1" customWidth="1"/>
    <col min="12245" max="12245" width="8" style="8" bestFit="1" customWidth="1"/>
    <col min="12246" max="12247" width="7.85546875" style="8" bestFit="1" customWidth="1"/>
    <col min="12248" max="12248" width="9.7109375" style="8" customWidth="1"/>
    <col min="12249" max="12249" width="12.85546875" style="8" customWidth="1"/>
    <col min="12250" max="12486" width="9.140625" style="8"/>
    <col min="12487" max="12487" width="9" style="8" bestFit="1" customWidth="1"/>
    <col min="12488" max="12488" width="9.85546875" style="8" bestFit="1" customWidth="1"/>
    <col min="12489" max="12489" width="9.140625" style="8" bestFit="1" customWidth="1"/>
    <col min="12490" max="12490" width="16" style="8" bestFit="1" customWidth="1"/>
    <col min="12491" max="12491" width="9" style="8" bestFit="1" customWidth="1"/>
    <col min="12492" max="12492" width="7.85546875" style="8" bestFit="1" customWidth="1"/>
    <col min="12493" max="12493" width="11.7109375" style="8" bestFit="1" customWidth="1"/>
    <col min="12494" max="12494" width="14.28515625" style="8" customWidth="1"/>
    <col min="12495" max="12495" width="11.7109375" style="8" bestFit="1" customWidth="1"/>
    <col min="12496" max="12496" width="14.140625" style="8" bestFit="1" customWidth="1"/>
    <col min="12497" max="12497" width="16.7109375" style="8" customWidth="1"/>
    <col min="12498" max="12498" width="16.5703125" style="8" customWidth="1"/>
    <col min="12499" max="12500" width="7.85546875" style="8" bestFit="1" customWidth="1"/>
    <col min="12501" max="12501" width="8" style="8" bestFit="1" customWidth="1"/>
    <col min="12502" max="12503" width="7.85546875" style="8" bestFit="1" customWidth="1"/>
    <col min="12504" max="12504" width="9.7109375" style="8" customWidth="1"/>
    <col min="12505" max="12505" width="12.85546875" style="8" customWidth="1"/>
    <col min="12506" max="12742" width="9.140625" style="8"/>
    <col min="12743" max="12743" width="9" style="8" bestFit="1" customWidth="1"/>
    <col min="12744" max="12744" width="9.85546875" style="8" bestFit="1" customWidth="1"/>
    <col min="12745" max="12745" width="9.140625" style="8" bestFit="1" customWidth="1"/>
    <col min="12746" max="12746" width="16" style="8" bestFit="1" customWidth="1"/>
    <col min="12747" max="12747" width="9" style="8" bestFit="1" customWidth="1"/>
    <col min="12748" max="12748" width="7.85546875" style="8" bestFit="1" customWidth="1"/>
    <col min="12749" max="12749" width="11.7109375" style="8" bestFit="1" customWidth="1"/>
    <col min="12750" max="12750" width="14.28515625" style="8" customWidth="1"/>
    <col min="12751" max="12751" width="11.7109375" style="8" bestFit="1" customWidth="1"/>
    <col min="12752" max="12752" width="14.140625" style="8" bestFit="1" customWidth="1"/>
    <col min="12753" max="12753" width="16.7109375" style="8" customWidth="1"/>
    <col min="12754" max="12754" width="16.5703125" style="8" customWidth="1"/>
    <col min="12755" max="12756" width="7.85546875" style="8" bestFit="1" customWidth="1"/>
    <col min="12757" max="12757" width="8" style="8" bestFit="1" customWidth="1"/>
    <col min="12758" max="12759" width="7.85546875" style="8" bestFit="1" customWidth="1"/>
    <col min="12760" max="12760" width="9.7109375" style="8" customWidth="1"/>
    <col min="12761" max="12761" width="12.85546875" style="8" customWidth="1"/>
    <col min="12762" max="12998" width="9.140625" style="8"/>
    <col min="12999" max="12999" width="9" style="8" bestFit="1" customWidth="1"/>
    <col min="13000" max="13000" width="9.85546875" style="8" bestFit="1" customWidth="1"/>
    <col min="13001" max="13001" width="9.140625" style="8" bestFit="1" customWidth="1"/>
    <col min="13002" max="13002" width="16" style="8" bestFit="1" customWidth="1"/>
    <col min="13003" max="13003" width="9" style="8" bestFit="1" customWidth="1"/>
    <col min="13004" max="13004" width="7.85546875" style="8" bestFit="1" customWidth="1"/>
    <col min="13005" max="13005" width="11.7109375" style="8" bestFit="1" customWidth="1"/>
    <col min="13006" max="13006" width="14.28515625" style="8" customWidth="1"/>
    <col min="13007" max="13007" width="11.7109375" style="8" bestFit="1" customWidth="1"/>
    <col min="13008" max="13008" width="14.140625" style="8" bestFit="1" customWidth="1"/>
    <col min="13009" max="13009" width="16.7109375" style="8" customWidth="1"/>
    <col min="13010" max="13010" width="16.5703125" style="8" customWidth="1"/>
    <col min="13011" max="13012" width="7.85546875" style="8" bestFit="1" customWidth="1"/>
    <col min="13013" max="13013" width="8" style="8" bestFit="1" customWidth="1"/>
    <col min="13014" max="13015" width="7.85546875" style="8" bestFit="1" customWidth="1"/>
    <col min="13016" max="13016" width="9.7109375" style="8" customWidth="1"/>
    <col min="13017" max="13017" width="12.85546875" style="8" customWidth="1"/>
    <col min="13018" max="13254" width="9.140625" style="8"/>
    <col min="13255" max="13255" width="9" style="8" bestFit="1" customWidth="1"/>
    <col min="13256" max="13256" width="9.85546875" style="8" bestFit="1" customWidth="1"/>
    <col min="13257" max="13257" width="9.140625" style="8" bestFit="1" customWidth="1"/>
    <col min="13258" max="13258" width="16" style="8" bestFit="1" customWidth="1"/>
    <col min="13259" max="13259" width="9" style="8" bestFit="1" customWidth="1"/>
    <col min="13260" max="13260" width="7.85546875" style="8" bestFit="1" customWidth="1"/>
    <col min="13261" max="13261" width="11.7109375" style="8" bestFit="1" customWidth="1"/>
    <col min="13262" max="13262" width="14.28515625" style="8" customWidth="1"/>
    <col min="13263" max="13263" width="11.7109375" style="8" bestFit="1" customWidth="1"/>
    <col min="13264" max="13264" width="14.140625" style="8" bestFit="1" customWidth="1"/>
    <col min="13265" max="13265" width="16.7109375" style="8" customWidth="1"/>
    <col min="13266" max="13266" width="16.5703125" style="8" customWidth="1"/>
    <col min="13267" max="13268" width="7.85546875" style="8" bestFit="1" customWidth="1"/>
    <col min="13269" max="13269" width="8" style="8" bestFit="1" customWidth="1"/>
    <col min="13270" max="13271" width="7.85546875" style="8" bestFit="1" customWidth="1"/>
    <col min="13272" max="13272" width="9.7109375" style="8" customWidth="1"/>
    <col min="13273" max="13273" width="12.85546875" style="8" customWidth="1"/>
    <col min="13274" max="13510" width="9.140625" style="8"/>
    <col min="13511" max="13511" width="9" style="8" bestFit="1" customWidth="1"/>
    <col min="13512" max="13512" width="9.85546875" style="8" bestFit="1" customWidth="1"/>
    <col min="13513" max="13513" width="9.140625" style="8" bestFit="1" customWidth="1"/>
    <col min="13514" max="13514" width="16" style="8" bestFit="1" customWidth="1"/>
    <col min="13515" max="13515" width="9" style="8" bestFit="1" customWidth="1"/>
    <col min="13516" max="13516" width="7.85546875" style="8" bestFit="1" customWidth="1"/>
    <col min="13517" max="13517" width="11.7109375" style="8" bestFit="1" customWidth="1"/>
    <col min="13518" max="13518" width="14.28515625" style="8" customWidth="1"/>
    <col min="13519" max="13519" width="11.7109375" style="8" bestFit="1" customWidth="1"/>
    <col min="13520" max="13520" width="14.140625" style="8" bestFit="1" customWidth="1"/>
    <col min="13521" max="13521" width="16.7109375" style="8" customWidth="1"/>
    <col min="13522" max="13522" width="16.5703125" style="8" customWidth="1"/>
    <col min="13523" max="13524" width="7.85546875" style="8" bestFit="1" customWidth="1"/>
    <col min="13525" max="13525" width="8" style="8" bestFit="1" customWidth="1"/>
    <col min="13526" max="13527" width="7.85546875" style="8" bestFit="1" customWidth="1"/>
    <col min="13528" max="13528" width="9.7109375" style="8" customWidth="1"/>
    <col min="13529" max="13529" width="12.85546875" style="8" customWidth="1"/>
    <col min="13530" max="13766" width="9.140625" style="8"/>
    <col min="13767" max="13767" width="9" style="8" bestFit="1" customWidth="1"/>
    <col min="13768" max="13768" width="9.85546875" style="8" bestFit="1" customWidth="1"/>
    <col min="13769" max="13769" width="9.140625" style="8" bestFit="1" customWidth="1"/>
    <col min="13770" max="13770" width="16" style="8" bestFit="1" customWidth="1"/>
    <col min="13771" max="13771" width="9" style="8" bestFit="1" customWidth="1"/>
    <col min="13772" max="13772" width="7.85546875" style="8" bestFit="1" customWidth="1"/>
    <col min="13773" max="13773" width="11.7109375" style="8" bestFit="1" customWidth="1"/>
    <col min="13774" max="13774" width="14.28515625" style="8" customWidth="1"/>
    <col min="13775" max="13775" width="11.7109375" style="8" bestFit="1" customWidth="1"/>
    <col min="13776" max="13776" width="14.140625" style="8" bestFit="1" customWidth="1"/>
    <col min="13777" max="13777" width="16.7109375" style="8" customWidth="1"/>
    <col min="13778" max="13778" width="16.5703125" style="8" customWidth="1"/>
    <col min="13779" max="13780" width="7.85546875" style="8" bestFit="1" customWidth="1"/>
    <col min="13781" max="13781" width="8" style="8" bestFit="1" customWidth="1"/>
    <col min="13782" max="13783" width="7.85546875" style="8" bestFit="1" customWidth="1"/>
    <col min="13784" max="13784" width="9.7109375" style="8" customWidth="1"/>
    <col min="13785" max="13785" width="12.85546875" style="8" customWidth="1"/>
    <col min="13786" max="14022" width="9.140625" style="8"/>
    <col min="14023" max="14023" width="9" style="8" bestFit="1" customWidth="1"/>
    <col min="14024" max="14024" width="9.85546875" style="8" bestFit="1" customWidth="1"/>
    <col min="14025" max="14025" width="9.140625" style="8" bestFit="1" customWidth="1"/>
    <col min="14026" max="14026" width="16" style="8" bestFit="1" customWidth="1"/>
    <col min="14027" max="14027" width="9" style="8" bestFit="1" customWidth="1"/>
    <col min="14028" max="14028" width="7.85546875" style="8" bestFit="1" customWidth="1"/>
    <col min="14029" max="14029" width="11.7109375" style="8" bestFit="1" customWidth="1"/>
    <col min="14030" max="14030" width="14.28515625" style="8" customWidth="1"/>
    <col min="14031" max="14031" width="11.7109375" style="8" bestFit="1" customWidth="1"/>
    <col min="14032" max="14032" width="14.140625" style="8" bestFit="1" customWidth="1"/>
    <col min="14033" max="14033" width="16.7109375" style="8" customWidth="1"/>
    <col min="14034" max="14034" width="16.5703125" style="8" customWidth="1"/>
    <col min="14035" max="14036" width="7.85546875" style="8" bestFit="1" customWidth="1"/>
    <col min="14037" max="14037" width="8" style="8" bestFit="1" customWidth="1"/>
    <col min="14038" max="14039" width="7.85546875" style="8" bestFit="1" customWidth="1"/>
    <col min="14040" max="14040" width="9.7109375" style="8" customWidth="1"/>
    <col min="14041" max="14041" width="12.85546875" style="8" customWidth="1"/>
    <col min="14042" max="14278" width="9.140625" style="8"/>
    <col min="14279" max="14279" width="9" style="8" bestFit="1" customWidth="1"/>
    <col min="14280" max="14280" width="9.85546875" style="8" bestFit="1" customWidth="1"/>
    <col min="14281" max="14281" width="9.140625" style="8" bestFit="1" customWidth="1"/>
    <col min="14282" max="14282" width="16" style="8" bestFit="1" customWidth="1"/>
    <col min="14283" max="14283" width="9" style="8" bestFit="1" customWidth="1"/>
    <col min="14284" max="14284" width="7.85546875" style="8" bestFit="1" customWidth="1"/>
    <col min="14285" max="14285" width="11.7109375" style="8" bestFit="1" customWidth="1"/>
    <col min="14286" max="14286" width="14.28515625" style="8" customWidth="1"/>
    <col min="14287" max="14287" width="11.7109375" style="8" bestFit="1" customWidth="1"/>
    <col min="14288" max="14288" width="14.140625" style="8" bestFit="1" customWidth="1"/>
    <col min="14289" max="14289" width="16.7109375" style="8" customWidth="1"/>
    <col min="14290" max="14290" width="16.5703125" style="8" customWidth="1"/>
    <col min="14291" max="14292" width="7.85546875" style="8" bestFit="1" customWidth="1"/>
    <col min="14293" max="14293" width="8" style="8" bestFit="1" customWidth="1"/>
    <col min="14294" max="14295" width="7.85546875" style="8" bestFit="1" customWidth="1"/>
    <col min="14296" max="14296" width="9.7109375" style="8" customWidth="1"/>
    <col min="14297" max="14297" width="12.85546875" style="8" customWidth="1"/>
    <col min="14298" max="14534" width="9.140625" style="8"/>
    <col min="14535" max="14535" width="9" style="8" bestFit="1" customWidth="1"/>
    <col min="14536" max="14536" width="9.85546875" style="8" bestFit="1" customWidth="1"/>
    <col min="14537" max="14537" width="9.140625" style="8" bestFit="1" customWidth="1"/>
    <col min="14538" max="14538" width="16" style="8" bestFit="1" customWidth="1"/>
    <col min="14539" max="14539" width="9" style="8" bestFit="1" customWidth="1"/>
    <col min="14540" max="14540" width="7.85546875" style="8" bestFit="1" customWidth="1"/>
    <col min="14541" max="14541" width="11.7109375" style="8" bestFit="1" customWidth="1"/>
    <col min="14542" max="14542" width="14.28515625" style="8" customWidth="1"/>
    <col min="14543" max="14543" width="11.7109375" style="8" bestFit="1" customWidth="1"/>
    <col min="14544" max="14544" width="14.140625" style="8" bestFit="1" customWidth="1"/>
    <col min="14545" max="14545" width="16.7109375" style="8" customWidth="1"/>
    <col min="14546" max="14546" width="16.5703125" style="8" customWidth="1"/>
    <col min="14547" max="14548" width="7.85546875" style="8" bestFit="1" customWidth="1"/>
    <col min="14549" max="14549" width="8" style="8" bestFit="1" customWidth="1"/>
    <col min="14550" max="14551" width="7.85546875" style="8" bestFit="1" customWidth="1"/>
    <col min="14552" max="14552" width="9.7109375" style="8" customWidth="1"/>
    <col min="14553" max="14553" width="12.85546875" style="8" customWidth="1"/>
    <col min="14554" max="14790" width="9.140625" style="8"/>
    <col min="14791" max="14791" width="9" style="8" bestFit="1" customWidth="1"/>
    <col min="14792" max="14792" width="9.85546875" style="8" bestFit="1" customWidth="1"/>
    <col min="14793" max="14793" width="9.140625" style="8" bestFit="1" customWidth="1"/>
    <col min="14794" max="14794" width="16" style="8" bestFit="1" customWidth="1"/>
    <col min="14795" max="14795" width="9" style="8" bestFit="1" customWidth="1"/>
    <col min="14796" max="14796" width="7.85546875" style="8" bestFit="1" customWidth="1"/>
    <col min="14797" max="14797" width="11.7109375" style="8" bestFit="1" customWidth="1"/>
    <col min="14798" max="14798" width="14.28515625" style="8" customWidth="1"/>
    <col min="14799" max="14799" width="11.7109375" style="8" bestFit="1" customWidth="1"/>
    <col min="14800" max="14800" width="14.140625" style="8" bestFit="1" customWidth="1"/>
    <col min="14801" max="14801" width="16.7109375" style="8" customWidth="1"/>
    <col min="14802" max="14802" width="16.5703125" style="8" customWidth="1"/>
    <col min="14803" max="14804" width="7.85546875" style="8" bestFit="1" customWidth="1"/>
    <col min="14805" max="14805" width="8" style="8" bestFit="1" customWidth="1"/>
    <col min="14806" max="14807" width="7.85546875" style="8" bestFit="1" customWidth="1"/>
    <col min="14808" max="14808" width="9.7109375" style="8" customWidth="1"/>
    <col min="14809" max="14809" width="12.85546875" style="8" customWidth="1"/>
    <col min="14810" max="15046" width="9.140625" style="8"/>
    <col min="15047" max="15047" width="9" style="8" bestFit="1" customWidth="1"/>
    <col min="15048" max="15048" width="9.85546875" style="8" bestFit="1" customWidth="1"/>
    <col min="15049" max="15049" width="9.140625" style="8" bestFit="1" customWidth="1"/>
    <col min="15050" max="15050" width="16" style="8" bestFit="1" customWidth="1"/>
    <col min="15051" max="15051" width="9" style="8" bestFit="1" customWidth="1"/>
    <col min="15052" max="15052" width="7.85546875" style="8" bestFit="1" customWidth="1"/>
    <col min="15053" max="15053" width="11.7109375" style="8" bestFit="1" customWidth="1"/>
    <col min="15054" max="15054" width="14.28515625" style="8" customWidth="1"/>
    <col min="15055" max="15055" width="11.7109375" style="8" bestFit="1" customWidth="1"/>
    <col min="15056" max="15056" width="14.140625" style="8" bestFit="1" customWidth="1"/>
    <col min="15057" max="15057" width="16.7109375" style="8" customWidth="1"/>
    <col min="15058" max="15058" width="16.5703125" style="8" customWidth="1"/>
    <col min="15059" max="15060" width="7.85546875" style="8" bestFit="1" customWidth="1"/>
    <col min="15061" max="15061" width="8" style="8" bestFit="1" customWidth="1"/>
    <col min="15062" max="15063" width="7.85546875" style="8" bestFit="1" customWidth="1"/>
    <col min="15064" max="15064" width="9.7109375" style="8" customWidth="1"/>
    <col min="15065" max="15065" width="12.85546875" style="8" customWidth="1"/>
    <col min="15066" max="15302" width="9.140625" style="8"/>
    <col min="15303" max="15303" width="9" style="8" bestFit="1" customWidth="1"/>
    <col min="15304" max="15304" width="9.85546875" style="8" bestFit="1" customWidth="1"/>
    <col min="15305" max="15305" width="9.140625" style="8" bestFit="1" customWidth="1"/>
    <col min="15306" max="15306" width="16" style="8" bestFit="1" customWidth="1"/>
    <col min="15307" max="15307" width="9" style="8" bestFit="1" customWidth="1"/>
    <col min="15308" max="15308" width="7.85546875" style="8" bestFit="1" customWidth="1"/>
    <col min="15309" max="15309" width="11.7109375" style="8" bestFit="1" customWidth="1"/>
    <col min="15310" max="15310" width="14.28515625" style="8" customWidth="1"/>
    <col min="15311" max="15311" width="11.7109375" style="8" bestFit="1" customWidth="1"/>
    <col min="15312" max="15312" width="14.140625" style="8" bestFit="1" customWidth="1"/>
    <col min="15313" max="15313" width="16.7109375" style="8" customWidth="1"/>
    <col min="15314" max="15314" width="16.5703125" style="8" customWidth="1"/>
    <col min="15315" max="15316" width="7.85546875" style="8" bestFit="1" customWidth="1"/>
    <col min="15317" max="15317" width="8" style="8" bestFit="1" customWidth="1"/>
    <col min="15318" max="15319" width="7.85546875" style="8" bestFit="1" customWidth="1"/>
    <col min="15320" max="15320" width="9.7109375" style="8" customWidth="1"/>
    <col min="15321" max="15321" width="12.85546875" style="8" customWidth="1"/>
    <col min="15322" max="15558" width="9.140625" style="8"/>
    <col min="15559" max="15559" width="9" style="8" bestFit="1" customWidth="1"/>
    <col min="15560" max="15560" width="9.85546875" style="8" bestFit="1" customWidth="1"/>
    <col min="15561" max="15561" width="9.140625" style="8" bestFit="1" customWidth="1"/>
    <col min="15562" max="15562" width="16" style="8" bestFit="1" customWidth="1"/>
    <col min="15563" max="15563" width="9" style="8" bestFit="1" customWidth="1"/>
    <col min="15564" max="15564" width="7.85546875" style="8" bestFit="1" customWidth="1"/>
    <col min="15565" max="15565" width="11.7109375" style="8" bestFit="1" customWidth="1"/>
    <col min="15566" max="15566" width="14.28515625" style="8" customWidth="1"/>
    <col min="15567" max="15567" width="11.7109375" style="8" bestFit="1" customWidth="1"/>
    <col min="15568" max="15568" width="14.140625" style="8" bestFit="1" customWidth="1"/>
    <col min="15569" max="15569" width="16.7109375" style="8" customWidth="1"/>
    <col min="15570" max="15570" width="16.5703125" style="8" customWidth="1"/>
    <col min="15571" max="15572" width="7.85546875" style="8" bestFit="1" customWidth="1"/>
    <col min="15573" max="15573" width="8" style="8" bestFit="1" customWidth="1"/>
    <col min="15574" max="15575" width="7.85546875" style="8" bestFit="1" customWidth="1"/>
    <col min="15576" max="15576" width="9.7109375" style="8" customWidth="1"/>
    <col min="15577" max="15577" width="12.85546875" style="8" customWidth="1"/>
    <col min="15578" max="15814" width="9.140625" style="8"/>
    <col min="15815" max="15815" width="9" style="8" bestFit="1" customWidth="1"/>
    <col min="15816" max="15816" width="9.85546875" style="8" bestFit="1" customWidth="1"/>
    <col min="15817" max="15817" width="9.140625" style="8" bestFit="1" customWidth="1"/>
    <col min="15818" max="15818" width="16" style="8" bestFit="1" customWidth="1"/>
    <col min="15819" max="15819" width="9" style="8" bestFit="1" customWidth="1"/>
    <col min="15820" max="15820" width="7.85546875" style="8" bestFit="1" customWidth="1"/>
    <col min="15821" max="15821" width="11.7109375" style="8" bestFit="1" customWidth="1"/>
    <col min="15822" max="15822" width="14.28515625" style="8" customWidth="1"/>
    <col min="15823" max="15823" width="11.7109375" style="8" bestFit="1" customWidth="1"/>
    <col min="15824" max="15824" width="14.140625" style="8" bestFit="1" customWidth="1"/>
    <col min="15825" max="15825" width="16.7109375" style="8" customWidth="1"/>
    <col min="15826" max="15826" width="16.5703125" style="8" customWidth="1"/>
    <col min="15827" max="15828" width="7.85546875" style="8" bestFit="1" customWidth="1"/>
    <col min="15829" max="15829" width="8" style="8" bestFit="1" customWidth="1"/>
    <col min="15830" max="15831" width="7.85546875" style="8" bestFit="1" customWidth="1"/>
    <col min="15832" max="15832" width="9.7109375" style="8" customWidth="1"/>
    <col min="15833" max="15833" width="12.85546875" style="8" customWidth="1"/>
    <col min="15834" max="16070" width="9.140625" style="8"/>
    <col min="16071" max="16071" width="9" style="8" bestFit="1" customWidth="1"/>
    <col min="16072" max="16072" width="9.85546875" style="8" bestFit="1" customWidth="1"/>
    <col min="16073" max="16073" width="9.140625" style="8" bestFit="1" customWidth="1"/>
    <col min="16074" max="16074" width="16" style="8" bestFit="1" customWidth="1"/>
    <col min="16075" max="16075" width="9" style="8" bestFit="1" customWidth="1"/>
    <col min="16076" max="16076" width="7.85546875" style="8" bestFit="1" customWidth="1"/>
    <col min="16077" max="16077" width="11.7109375" style="8" bestFit="1" customWidth="1"/>
    <col min="16078" max="16078" width="14.28515625" style="8" customWidth="1"/>
    <col min="16079" max="16079" width="11.7109375" style="8" bestFit="1" customWidth="1"/>
    <col min="16080" max="16080" width="14.140625" style="8" bestFit="1" customWidth="1"/>
    <col min="16081" max="16081" width="16.7109375" style="8" customWidth="1"/>
    <col min="16082" max="16082" width="16.5703125" style="8" customWidth="1"/>
    <col min="16083" max="16084" width="7.85546875" style="8" bestFit="1" customWidth="1"/>
    <col min="16085" max="16085" width="8" style="8" bestFit="1" customWidth="1"/>
    <col min="16086" max="16087" width="7.85546875" style="8" bestFit="1" customWidth="1"/>
    <col min="16088" max="16088" width="9.7109375" style="8" customWidth="1"/>
    <col min="16089" max="16089" width="12.85546875" style="8" customWidth="1"/>
    <col min="16090" max="16384" width="9.140625" style="8"/>
  </cols>
  <sheetData>
    <row r="1" spans="1:21" ht="11.25" customHeight="1">
      <c r="A1" s="174" t="s">
        <v>4</v>
      </c>
      <c r="B1" s="172" t="s">
        <v>2</v>
      </c>
      <c r="C1" s="172" t="s">
        <v>0</v>
      </c>
      <c r="D1" s="176" t="s">
        <v>1</v>
      </c>
      <c r="E1" s="177" t="s">
        <v>52</v>
      </c>
      <c r="F1" s="173" t="s">
        <v>21</v>
      </c>
      <c r="G1" s="173"/>
      <c r="H1" s="173"/>
      <c r="I1" s="165" t="s">
        <v>6</v>
      </c>
      <c r="J1" s="166"/>
      <c r="K1" s="166"/>
      <c r="L1" s="165" t="s">
        <v>7</v>
      </c>
      <c r="M1" s="166"/>
      <c r="N1" s="166"/>
      <c r="O1" s="167" t="s">
        <v>8</v>
      </c>
      <c r="P1" s="168"/>
      <c r="Q1" s="168"/>
      <c r="R1" s="164" t="s">
        <v>115</v>
      </c>
      <c r="S1" s="172" t="s">
        <v>14</v>
      </c>
      <c r="T1" s="172" t="s">
        <v>120</v>
      </c>
    </row>
    <row r="2" spans="1:21">
      <c r="A2" s="175"/>
      <c r="B2" s="172"/>
      <c r="C2" s="172"/>
      <c r="D2" s="176"/>
      <c r="E2" s="178"/>
      <c r="F2" s="2"/>
      <c r="G2" s="6" t="s">
        <v>11</v>
      </c>
      <c r="H2" s="7" t="s">
        <v>5</v>
      </c>
      <c r="I2" s="2"/>
      <c r="J2" s="6" t="s">
        <v>11</v>
      </c>
      <c r="K2" s="7" t="s">
        <v>5</v>
      </c>
      <c r="L2" s="2"/>
      <c r="M2" s="6" t="s">
        <v>11</v>
      </c>
      <c r="N2" s="7" t="s">
        <v>5</v>
      </c>
      <c r="O2" s="2"/>
      <c r="P2" s="6" t="s">
        <v>11</v>
      </c>
      <c r="Q2" s="7" t="s">
        <v>5</v>
      </c>
      <c r="R2" s="164"/>
      <c r="S2" s="172"/>
      <c r="T2" s="172"/>
    </row>
    <row r="3" spans="1:21" s="134" customFormat="1">
      <c r="A3" s="105">
        <v>211</v>
      </c>
      <c r="B3" s="101">
        <v>36158</v>
      </c>
      <c r="C3" s="139" t="s">
        <v>25</v>
      </c>
      <c r="D3" s="137">
        <v>3873.81</v>
      </c>
      <c r="E3" s="137">
        <f t="shared" ref="E3" si="0">2.93+10.56+(D3-352.16)*1.2%</f>
        <v>55.7498</v>
      </c>
      <c r="F3" s="137"/>
      <c r="G3" s="137">
        <v>5.0199999999999996</v>
      </c>
      <c r="H3" s="137"/>
      <c r="I3" s="103"/>
      <c r="J3" s="103">
        <v>25.18</v>
      </c>
      <c r="K3" s="103"/>
      <c r="L3" s="137"/>
      <c r="M3" s="137"/>
      <c r="N3" s="137"/>
      <c r="O3" s="138"/>
      <c r="P3" s="138">
        <v>4.84</v>
      </c>
      <c r="Q3" s="138"/>
      <c r="R3" s="120" t="s">
        <v>106</v>
      </c>
      <c r="S3" s="117">
        <v>5.75</v>
      </c>
      <c r="T3" s="117">
        <v>30.02</v>
      </c>
      <c r="U3" s="95"/>
    </row>
    <row r="4" spans="1:21" s="134" customFormat="1">
      <c r="A4" s="105">
        <v>286</v>
      </c>
      <c r="B4" s="101">
        <v>36217</v>
      </c>
      <c r="C4" s="139" t="s">
        <v>10</v>
      </c>
      <c r="D4" s="138"/>
      <c r="E4" s="11">
        <v>125000</v>
      </c>
      <c r="F4" s="137">
        <v>11.55</v>
      </c>
      <c r="G4" s="137">
        <v>11.38</v>
      </c>
      <c r="H4" s="137">
        <v>18.72</v>
      </c>
      <c r="I4" s="138"/>
      <c r="J4" s="138"/>
      <c r="K4" s="138"/>
      <c r="L4" s="137"/>
      <c r="M4" s="138"/>
      <c r="N4" s="138"/>
      <c r="O4" s="138"/>
      <c r="P4" s="138"/>
      <c r="Q4" s="138"/>
      <c r="R4" s="104" t="s">
        <v>224</v>
      </c>
      <c r="S4" s="117">
        <v>7.17</v>
      </c>
      <c r="T4" s="117"/>
      <c r="U4" s="95"/>
    </row>
    <row r="5" spans="1:21" s="134" customFormat="1">
      <c r="A5" s="105">
        <v>298</v>
      </c>
      <c r="B5" s="101">
        <v>36227</v>
      </c>
      <c r="C5" s="139" t="s">
        <v>270</v>
      </c>
      <c r="D5" s="138">
        <v>1522.52</v>
      </c>
      <c r="E5" s="137">
        <v>27.44</v>
      </c>
      <c r="F5" s="137">
        <f t="shared" ref="F5" si="1">E5*9%</f>
        <v>2.4696000000000002</v>
      </c>
      <c r="G5" s="137"/>
      <c r="H5" s="137">
        <v>2.48</v>
      </c>
      <c r="I5" s="138"/>
      <c r="J5" s="138"/>
      <c r="K5" s="138"/>
      <c r="L5" s="137">
        <v>19.68</v>
      </c>
      <c r="M5" s="137"/>
      <c r="N5" s="137">
        <v>19.79</v>
      </c>
      <c r="O5" s="138"/>
      <c r="P5" s="138"/>
      <c r="Q5" s="138"/>
      <c r="R5" s="104" t="s">
        <v>271</v>
      </c>
      <c r="S5" s="117">
        <v>0.1</v>
      </c>
      <c r="T5" s="117">
        <v>2.64</v>
      </c>
      <c r="U5" s="95"/>
    </row>
    <row r="6" spans="1:21" s="95" customFormat="1">
      <c r="A6" s="105">
        <v>425</v>
      </c>
      <c r="B6" s="101">
        <v>36315</v>
      </c>
      <c r="C6" s="70" t="s">
        <v>103</v>
      </c>
      <c r="D6" s="109">
        <v>6896.55</v>
      </c>
      <c r="E6" s="109">
        <f>2.93+10.56+(5429.2-352.16)*1.2%</f>
        <v>74.414479999999998</v>
      </c>
      <c r="F6" s="109">
        <f t="shared" ref="F6:F69" si="2">E6*9%</f>
        <v>6.6973031999999995</v>
      </c>
      <c r="G6" s="109"/>
      <c r="H6" s="109">
        <v>8.2799999999999994</v>
      </c>
      <c r="I6" s="109"/>
      <c r="J6" s="109"/>
      <c r="K6" s="109"/>
      <c r="L6" s="109"/>
      <c r="M6" s="109"/>
      <c r="N6" s="109"/>
      <c r="O6" s="109"/>
      <c r="P6" s="109"/>
      <c r="Q6" s="109"/>
      <c r="R6" s="104" t="s">
        <v>172</v>
      </c>
      <c r="S6" s="118">
        <v>1.58</v>
      </c>
      <c r="T6" s="118"/>
    </row>
    <row r="7" spans="1:21" s="85" customFormat="1">
      <c r="A7" s="71">
        <v>502</v>
      </c>
      <c r="B7" s="13">
        <v>36367</v>
      </c>
      <c r="C7" s="70" t="s">
        <v>102</v>
      </c>
      <c r="D7" s="86">
        <v>30981.99</v>
      </c>
      <c r="E7" s="97">
        <f>2.93+10.56+(5417.61-352.16)*1.2%</f>
        <v>74.275399999999991</v>
      </c>
      <c r="F7" s="86">
        <v>0.85</v>
      </c>
      <c r="G7" s="86"/>
      <c r="H7" s="86">
        <v>34.29</v>
      </c>
      <c r="I7" s="88"/>
      <c r="J7" s="88"/>
      <c r="K7" s="88"/>
      <c r="L7" s="86"/>
      <c r="M7" s="86"/>
      <c r="N7" s="86"/>
      <c r="O7" s="88"/>
      <c r="P7" s="88"/>
      <c r="Q7" s="88"/>
      <c r="R7" s="104" t="s">
        <v>172</v>
      </c>
      <c r="S7" s="117">
        <v>33.44</v>
      </c>
      <c r="T7" s="117"/>
      <c r="U7" s="95"/>
    </row>
    <row r="8" spans="1:21" s="92" customFormat="1">
      <c r="A8" s="71">
        <v>597</v>
      </c>
      <c r="B8" s="13">
        <v>36399</v>
      </c>
      <c r="C8" s="70" t="s">
        <v>101</v>
      </c>
      <c r="D8" s="93">
        <v>1760.82</v>
      </c>
      <c r="E8" s="93">
        <v>8.8000000000000007</v>
      </c>
      <c r="F8" s="93">
        <f t="shared" si="2"/>
        <v>0.79200000000000004</v>
      </c>
      <c r="G8" s="93"/>
      <c r="H8" s="93">
        <v>2.74</v>
      </c>
      <c r="I8" s="94"/>
      <c r="J8" s="94"/>
      <c r="K8" s="94"/>
      <c r="L8" s="93"/>
      <c r="M8" s="93"/>
      <c r="N8" s="93"/>
      <c r="O8" s="94"/>
      <c r="P8" s="94"/>
      <c r="Q8" s="94"/>
      <c r="R8" s="104" t="s">
        <v>172</v>
      </c>
      <c r="S8" s="117">
        <v>1.95</v>
      </c>
      <c r="T8" s="117"/>
      <c r="U8" s="95"/>
    </row>
    <row r="9" spans="1:21" s="92" customFormat="1">
      <c r="A9" s="71">
        <v>622</v>
      </c>
      <c r="B9" s="13">
        <v>36406</v>
      </c>
      <c r="C9" s="70" t="s">
        <v>25</v>
      </c>
      <c r="D9" s="97">
        <v>234.78</v>
      </c>
      <c r="E9" s="97">
        <f t="shared" ref="E9" si="3">2.93+10.56+(D9-352.16)*1.2%</f>
        <v>12.081440000000001</v>
      </c>
      <c r="F9" s="97">
        <f t="shared" ref="F9" si="4">E9*9%</f>
        <v>1.0873296000000001</v>
      </c>
      <c r="G9" s="97"/>
      <c r="H9" s="97">
        <v>3.37</v>
      </c>
      <c r="I9" s="98">
        <f t="shared" ref="I9:I66" si="5">D9*0.65%</f>
        <v>1.52607</v>
      </c>
      <c r="J9" s="98"/>
      <c r="K9" s="98">
        <v>15.26</v>
      </c>
      <c r="L9" s="97"/>
      <c r="M9" s="97"/>
      <c r="N9" s="97"/>
      <c r="O9" s="98">
        <f t="shared" ref="O9:O66" si="6">D9*0.125%</f>
        <v>0.29347499999999999</v>
      </c>
      <c r="P9" s="98"/>
      <c r="Q9" s="98">
        <v>2.93</v>
      </c>
      <c r="R9" s="104" t="s">
        <v>154</v>
      </c>
      <c r="S9" s="117">
        <v>2.2799999999999998</v>
      </c>
      <c r="T9" s="117">
        <v>16.37</v>
      </c>
      <c r="U9" s="95"/>
    </row>
    <row r="10" spans="1:21" s="92" customFormat="1">
      <c r="A10" s="71">
        <v>808</v>
      </c>
      <c r="B10" s="13">
        <v>36522</v>
      </c>
      <c r="C10" s="70" t="s">
        <v>30</v>
      </c>
      <c r="D10" s="93">
        <v>88.16</v>
      </c>
      <c r="E10" s="93">
        <f t="shared" ref="E10:E69" si="7">2.93+10.56+(D10-352.16)*1.2%</f>
        <v>10.321999999999999</v>
      </c>
      <c r="F10" s="93">
        <f t="shared" si="2"/>
        <v>0.92897999999999992</v>
      </c>
      <c r="G10" s="93"/>
      <c r="H10" s="93">
        <v>1.79</v>
      </c>
      <c r="I10" s="94"/>
      <c r="J10" s="94"/>
      <c r="K10" s="94"/>
      <c r="L10" s="93">
        <f t="shared" ref="L10:L56" si="8">D10*1.3%</f>
        <v>1.14608</v>
      </c>
      <c r="M10" s="93"/>
      <c r="N10" s="93">
        <v>11.46</v>
      </c>
      <c r="O10" s="94"/>
      <c r="P10" s="94"/>
      <c r="Q10" s="94"/>
      <c r="R10" s="104" t="s">
        <v>154</v>
      </c>
      <c r="S10" s="117">
        <v>0.86</v>
      </c>
      <c r="T10" s="117">
        <v>10.31</v>
      </c>
      <c r="U10" s="95"/>
    </row>
    <row r="11" spans="1:21" s="95" customFormat="1">
      <c r="A11" s="105">
        <v>990</v>
      </c>
      <c r="B11" s="101">
        <v>36648</v>
      </c>
      <c r="C11" s="70" t="s">
        <v>3</v>
      </c>
      <c r="D11" s="109">
        <v>4240.0600000000004</v>
      </c>
      <c r="E11" s="109">
        <f>2.93+10.56+(3359.65-352.16)*1.2%</f>
        <v>49.579880000000003</v>
      </c>
      <c r="F11" s="109">
        <f t="shared" si="2"/>
        <v>4.4621892000000001</v>
      </c>
      <c r="G11" s="109"/>
      <c r="H11" s="109">
        <v>5.41</v>
      </c>
      <c r="I11" s="109"/>
      <c r="J11" s="109">
        <f>3359*0.65%</f>
        <v>21.833500000000001</v>
      </c>
      <c r="K11" s="109">
        <v>27.56</v>
      </c>
      <c r="L11" s="109"/>
      <c r="M11" s="109"/>
      <c r="N11" s="109"/>
      <c r="O11" s="109">
        <f>3359.65*0.125%</f>
        <v>4.1995624999999999</v>
      </c>
      <c r="P11" s="109"/>
      <c r="Q11" s="109">
        <v>5.3</v>
      </c>
      <c r="R11" s="104" t="s">
        <v>211</v>
      </c>
      <c r="S11" s="118">
        <v>1.78</v>
      </c>
      <c r="T11" s="118">
        <v>6.85</v>
      </c>
    </row>
    <row r="12" spans="1:21" s="92" customFormat="1">
      <c r="A12" s="105">
        <v>1105</v>
      </c>
      <c r="B12" s="13">
        <v>36747</v>
      </c>
      <c r="C12" s="70" t="s">
        <v>88</v>
      </c>
      <c r="D12" s="93">
        <v>3521.64</v>
      </c>
      <c r="E12" s="93">
        <f t="shared" si="7"/>
        <v>51.523760000000003</v>
      </c>
      <c r="F12" s="93"/>
      <c r="G12" s="93"/>
      <c r="H12" s="93">
        <v>4.6399999999999997</v>
      </c>
      <c r="I12" s="94"/>
      <c r="J12" s="94"/>
      <c r="K12" s="94"/>
      <c r="L12" s="93"/>
      <c r="M12" s="93"/>
      <c r="N12" s="93"/>
      <c r="O12" s="94"/>
      <c r="P12" s="94"/>
      <c r="Q12" s="94"/>
      <c r="R12" s="104" t="s">
        <v>172</v>
      </c>
      <c r="S12" s="117">
        <v>2.42</v>
      </c>
      <c r="T12" s="117"/>
      <c r="U12" s="95"/>
    </row>
    <row r="13" spans="1:21" s="92" customFormat="1">
      <c r="A13" s="71">
        <v>1265</v>
      </c>
      <c r="B13" s="13">
        <v>36823</v>
      </c>
      <c r="C13" s="70" t="s">
        <v>87</v>
      </c>
      <c r="D13" s="93">
        <v>1760.82</v>
      </c>
      <c r="E13" s="93">
        <f t="shared" si="7"/>
        <v>30.393920000000001</v>
      </c>
      <c r="F13" s="93">
        <f t="shared" si="2"/>
        <v>2.7354528</v>
      </c>
      <c r="G13" s="93"/>
      <c r="H13" s="93">
        <v>19.850000000000001</v>
      </c>
      <c r="I13" s="94">
        <f t="shared" si="5"/>
        <v>11.44533</v>
      </c>
      <c r="J13" s="94"/>
      <c r="K13" s="94">
        <v>114.45</v>
      </c>
      <c r="L13" s="93"/>
      <c r="M13" s="93"/>
      <c r="N13" s="93"/>
      <c r="O13" s="94">
        <f t="shared" si="6"/>
        <v>2.201025</v>
      </c>
      <c r="P13" s="94"/>
      <c r="Q13" s="94">
        <v>22.01</v>
      </c>
      <c r="R13" s="104" t="s">
        <v>154</v>
      </c>
      <c r="S13" s="117">
        <v>17.11</v>
      </c>
      <c r="T13" s="117">
        <v>122.81</v>
      </c>
      <c r="U13" s="95"/>
    </row>
    <row r="14" spans="1:21" s="92" customFormat="1">
      <c r="A14" s="105">
        <v>1315</v>
      </c>
      <c r="B14" s="13">
        <v>36852</v>
      </c>
      <c r="C14" s="70" t="s">
        <v>3</v>
      </c>
      <c r="D14" s="93">
        <v>4695.5200000000004</v>
      </c>
      <c r="E14" s="93">
        <f t="shared" si="7"/>
        <v>65.610320000000002</v>
      </c>
      <c r="F14" s="93">
        <f t="shared" si="2"/>
        <v>5.9049287999999995</v>
      </c>
      <c r="G14" s="93"/>
      <c r="H14" s="93">
        <v>22.96</v>
      </c>
      <c r="I14" s="94">
        <f t="shared" si="5"/>
        <v>30.520880000000005</v>
      </c>
      <c r="J14" s="94"/>
      <c r="K14" s="94">
        <v>133.15</v>
      </c>
      <c r="L14" s="93"/>
      <c r="M14" s="93"/>
      <c r="N14" s="93"/>
      <c r="O14" s="94">
        <f t="shared" si="6"/>
        <v>5.8694000000000006</v>
      </c>
      <c r="P14" s="94"/>
      <c r="Q14" s="94">
        <v>25.61</v>
      </c>
      <c r="R14" s="104" t="s">
        <v>212</v>
      </c>
      <c r="S14" s="117">
        <v>17.059999999999999</v>
      </c>
      <c r="T14" s="117">
        <v>122.37</v>
      </c>
      <c r="U14" s="95"/>
    </row>
    <row r="15" spans="1:21" s="92" customFormat="1">
      <c r="A15" s="71">
        <v>1355</v>
      </c>
      <c r="B15" s="13">
        <v>36872</v>
      </c>
      <c r="C15" s="70" t="s">
        <v>3</v>
      </c>
      <c r="D15" s="93">
        <v>28088.52</v>
      </c>
      <c r="E15" s="93">
        <f t="shared" si="7"/>
        <v>346.32632000000001</v>
      </c>
      <c r="F15" s="93">
        <f t="shared" si="2"/>
        <v>31.169368800000001</v>
      </c>
      <c r="G15" s="93"/>
      <c r="H15" s="93">
        <v>331.17</v>
      </c>
      <c r="I15" s="94">
        <f t="shared" si="5"/>
        <v>182.57538000000002</v>
      </c>
      <c r="J15" s="94"/>
      <c r="K15" s="94">
        <v>182.58</v>
      </c>
      <c r="L15" s="93"/>
      <c r="M15" s="93"/>
      <c r="N15" s="93"/>
      <c r="O15" s="94">
        <f t="shared" si="6"/>
        <v>35.11065</v>
      </c>
      <c r="P15" s="94"/>
      <c r="Q15" s="94">
        <v>35.11</v>
      </c>
      <c r="R15" s="104" t="s">
        <v>158</v>
      </c>
      <c r="S15" s="117">
        <v>300</v>
      </c>
      <c r="T15" s="117"/>
      <c r="U15" s="95"/>
    </row>
    <row r="16" spans="1:21" s="92" customFormat="1">
      <c r="A16" s="105">
        <v>1382</v>
      </c>
      <c r="B16" s="13">
        <v>36888</v>
      </c>
      <c r="C16" s="70" t="s">
        <v>86</v>
      </c>
      <c r="D16" s="93"/>
      <c r="E16" s="93">
        <v>0</v>
      </c>
      <c r="F16" s="93"/>
      <c r="G16" s="93"/>
      <c r="H16" s="93">
        <v>12.56</v>
      </c>
      <c r="I16" s="94"/>
      <c r="J16" s="94"/>
      <c r="K16" s="94"/>
      <c r="L16" s="93"/>
      <c r="M16" s="93"/>
      <c r="N16" s="93"/>
      <c r="O16" s="94"/>
      <c r="P16" s="94"/>
      <c r="Q16" s="94"/>
      <c r="R16" s="104" t="s">
        <v>172</v>
      </c>
      <c r="S16" s="117">
        <v>1.1499999999999999</v>
      </c>
      <c r="T16" s="117"/>
      <c r="U16" s="95"/>
    </row>
    <row r="17" spans="1:21" s="92" customFormat="1">
      <c r="A17" s="71">
        <v>1384</v>
      </c>
      <c r="B17" s="13">
        <v>36889</v>
      </c>
      <c r="C17" s="70" t="s">
        <v>85</v>
      </c>
      <c r="D17" s="93"/>
      <c r="E17" s="93">
        <v>8.8000000000000007</v>
      </c>
      <c r="F17" s="93">
        <f t="shared" si="2"/>
        <v>0.79200000000000004</v>
      </c>
      <c r="G17" s="93"/>
      <c r="H17" s="93">
        <v>4.6399999999999997</v>
      </c>
      <c r="I17" s="94"/>
      <c r="J17" s="94"/>
      <c r="K17" s="94"/>
      <c r="L17" s="93"/>
      <c r="M17" s="93"/>
      <c r="N17" s="93"/>
      <c r="O17" s="94"/>
      <c r="P17" s="94"/>
      <c r="Q17" s="94"/>
      <c r="R17" s="104" t="s">
        <v>172</v>
      </c>
      <c r="S17" s="117">
        <v>3.85</v>
      </c>
      <c r="T17" s="117"/>
      <c r="U17" s="95"/>
    </row>
    <row r="18" spans="1:21" s="92" customFormat="1">
      <c r="A18" s="71">
        <v>1515</v>
      </c>
      <c r="B18" s="13">
        <v>36985</v>
      </c>
      <c r="C18" s="70" t="s">
        <v>83</v>
      </c>
      <c r="D18" s="93">
        <v>22010.27</v>
      </c>
      <c r="E18" s="93">
        <f t="shared" si="7"/>
        <v>273.38732000000005</v>
      </c>
      <c r="F18" s="93"/>
      <c r="G18" s="93"/>
      <c r="H18" s="93">
        <v>24.6</v>
      </c>
      <c r="I18" s="94"/>
      <c r="J18" s="94"/>
      <c r="K18" s="94"/>
      <c r="L18" s="93"/>
      <c r="M18" s="93"/>
      <c r="N18" s="93"/>
      <c r="O18" s="94"/>
      <c r="P18" s="94"/>
      <c r="Q18" s="94"/>
      <c r="R18" s="104" t="s">
        <v>172</v>
      </c>
      <c r="S18" s="117">
        <v>15.84</v>
      </c>
      <c r="T18" s="117"/>
      <c r="U18" s="95"/>
    </row>
    <row r="19" spans="1:21" s="92" customFormat="1">
      <c r="A19" s="71">
        <v>1530</v>
      </c>
      <c r="B19" s="13">
        <v>36993</v>
      </c>
      <c r="C19" s="70" t="s">
        <v>84</v>
      </c>
      <c r="D19" s="93"/>
      <c r="E19" s="93">
        <f t="shared" si="7"/>
        <v>9.2640799999999999</v>
      </c>
      <c r="F19" s="93"/>
      <c r="G19" s="93"/>
      <c r="H19" s="93"/>
      <c r="I19" s="94">
        <f t="shared" si="5"/>
        <v>0</v>
      </c>
      <c r="J19" s="94"/>
      <c r="K19" s="94"/>
      <c r="L19" s="93">
        <f t="shared" si="8"/>
        <v>0</v>
      </c>
      <c r="M19" s="93"/>
      <c r="N19" s="93"/>
      <c r="O19" s="94">
        <f t="shared" si="6"/>
        <v>0</v>
      </c>
      <c r="P19" s="94"/>
      <c r="Q19" s="94"/>
      <c r="R19" s="104" t="s">
        <v>210</v>
      </c>
      <c r="S19" s="117">
        <v>0.99</v>
      </c>
      <c r="T19" s="117"/>
      <c r="U19" s="95"/>
    </row>
    <row r="20" spans="1:21" s="92" customFormat="1">
      <c r="A20" s="71">
        <v>1532</v>
      </c>
      <c r="B20" s="13">
        <v>36998</v>
      </c>
      <c r="C20" s="70" t="s">
        <v>82</v>
      </c>
      <c r="D20" s="93">
        <v>4548.79</v>
      </c>
      <c r="E20" s="93">
        <v>8.8000000000000007</v>
      </c>
      <c r="F20" s="93">
        <f t="shared" si="2"/>
        <v>0.79200000000000004</v>
      </c>
      <c r="G20" s="93"/>
      <c r="H20" s="93">
        <v>5.75</v>
      </c>
      <c r="I20" s="94"/>
      <c r="J20" s="94"/>
      <c r="K20" s="94"/>
      <c r="L20" s="93"/>
      <c r="M20" s="93"/>
      <c r="N20" s="93"/>
      <c r="O20" s="94"/>
      <c r="P20" s="94"/>
      <c r="Q20" s="94"/>
      <c r="R20" s="104" t="s">
        <v>172</v>
      </c>
      <c r="S20" s="117">
        <v>4.96</v>
      </c>
      <c r="T20" s="117"/>
      <c r="U20" s="95"/>
    </row>
    <row r="21" spans="1:21" s="92" customFormat="1">
      <c r="A21" s="71">
        <v>1605</v>
      </c>
      <c r="B21" s="13">
        <v>37053</v>
      </c>
      <c r="C21" s="70" t="s">
        <v>81</v>
      </c>
      <c r="D21" s="94">
        <v>42140.57</v>
      </c>
      <c r="E21" s="94">
        <f>2.93+10.56+(41847.1-352.16)*1.2%</f>
        <v>511.42927999999995</v>
      </c>
      <c r="F21" s="93"/>
      <c r="G21" s="93"/>
      <c r="H21" s="93">
        <v>46.35</v>
      </c>
      <c r="I21" s="94"/>
      <c r="J21" s="94"/>
      <c r="K21" s="94"/>
      <c r="L21" s="93"/>
      <c r="M21" s="93"/>
      <c r="N21" s="93"/>
      <c r="O21" s="94"/>
      <c r="P21" s="94"/>
      <c r="Q21" s="94"/>
      <c r="R21" s="104" t="s">
        <v>172</v>
      </c>
      <c r="S21" s="117">
        <v>1.1499999999999999</v>
      </c>
      <c r="T21" s="117"/>
      <c r="U21" s="95"/>
    </row>
    <row r="22" spans="1:21" s="95" customFormat="1">
      <c r="A22" s="71">
        <v>1614</v>
      </c>
      <c r="B22" s="13">
        <v>37060</v>
      </c>
      <c r="C22" s="70" t="s">
        <v>64</v>
      </c>
      <c r="D22" s="94">
        <v>1907.56</v>
      </c>
      <c r="E22" s="93">
        <f>2.93+10.56+(1037.26-352.16)*1.2%</f>
        <v>21.711199999999998</v>
      </c>
      <c r="F22" s="93"/>
      <c r="G22" s="94"/>
      <c r="H22" s="94"/>
      <c r="I22" s="94">
        <v>12.4</v>
      </c>
      <c r="J22" s="94"/>
      <c r="K22" s="94"/>
      <c r="L22" s="94"/>
      <c r="M22" s="94"/>
      <c r="N22" s="94"/>
      <c r="O22" s="94"/>
      <c r="P22" s="94"/>
      <c r="Q22" s="94">
        <v>2.38</v>
      </c>
      <c r="R22" s="104" t="s">
        <v>158</v>
      </c>
      <c r="S22" s="118">
        <v>12.4</v>
      </c>
      <c r="T22" s="118">
        <v>2.38</v>
      </c>
    </row>
    <row r="23" spans="1:21" s="92" customFormat="1">
      <c r="A23" s="71">
        <v>1648</v>
      </c>
      <c r="B23" s="13">
        <v>37093</v>
      </c>
      <c r="C23" s="70" t="s">
        <v>80</v>
      </c>
      <c r="D23" s="93">
        <v>2504.61</v>
      </c>
      <c r="E23" s="93">
        <f>2.93+10.56+(1037.26-352.16)*1.2%</f>
        <v>21.711199999999998</v>
      </c>
      <c r="F23" s="93"/>
      <c r="G23" s="93"/>
      <c r="H23" s="93">
        <v>3.54</v>
      </c>
      <c r="I23" s="94"/>
      <c r="J23" s="94"/>
      <c r="K23" s="94"/>
      <c r="L23" s="93"/>
      <c r="M23" s="93"/>
      <c r="N23" s="93"/>
      <c r="O23" s="94"/>
      <c r="P23" s="94"/>
      <c r="Q23" s="94"/>
      <c r="R23" s="104" t="s">
        <v>172</v>
      </c>
      <c r="S23" s="117">
        <v>2.42</v>
      </c>
      <c r="T23" s="117"/>
      <c r="U23" s="95"/>
    </row>
    <row r="24" spans="1:21" s="92" customFormat="1">
      <c r="A24" s="71">
        <v>1672</v>
      </c>
      <c r="B24" s="13">
        <v>37102</v>
      </c>
      <c r="C24" s="70" t="s">
        <v>79</v>
      </c>
      <c r="D24" s="93">
        <v>2300.69</v>
      </c>
      <c r="E24" s="93">
        <f t="shared" si="7"/>
        <v>36.87236</v>
      </c>
      <c r="F24" s="93">
        <f t="shared" si="2"/>
        <v>3.3185123999999999</v>
      </c>
      <c r="G24" s="93"/>
      <c r="H24" s="93">
        <v>25.73</v>
      </c>
      <c r="I24" s="94">
        <f t="shared" si="5"/>
        <v>14.954485000000002</v>
      </c>
      <c r="J24" s="94"/>
      <c r="K24" s="94">
        <v>149.82</v>
      </c>
      <c r="L24" s="93"/>
      <c r="M24" s="93"/>
      <c r="N24" s="93"/>
      <c r="O24" s="94">
        <f t="shared" si="6"/>
        <v>2.8758625000000002</v>
      </c>
      <c r="P24" s="94"/>
      <c r="Q24" s="94">
        <v>28.81</v>
      </c>
      <c r="R24" s="104" t="s">
        <v>154</v>
      </c>
      <c r="S24" s="117">
        <v>22.41</v>
      </c>
      <c r="T24" s="117">
        <v>160.80000000000001</v>
      </c>
      <c r="U24" s="95"/>
    </row>
    <row r="25" spans="1:21" s="92" customFormat="1">
      <c r="A25" s="71">
        <v>1748</v>
      </c>
      <c r="B25" s="13">
        <v>37130</v>
      </c>
      <c r="C25" s="70" t="s">
        <v>78</v>
      </c>
      <c r="D25" s="93">
        <v>8804.11</v>
      </c>
      <c r="E25" s="93">
        <v>8.8000000000000007</v>
      </c>
      <c r="F25" s="93"/>
      <c r="G25" s="93"/>
      <c r="H25" s="93">
        <v>10.34</v>
      </c>
      <c r="I25" s="94"/>
      <c r="J25" s="94"/>
      <c r="K25" s="94"/>
      <c r="L25" s="93"/>
      <c r="M25" s="93"/>
      <c r="N25" s="93"/>
      <c r="O25" s="94"/>
      <c r="P25" s="94"/>
      <c r="Q25" s="94"/>
      <c r="R25" s="104" t="s">
        <v>172</v>
      </c>
      <c r="S25" s="117">
        <v>10.34</v>
      </c>
      <c r="T25" s="117"/>
      <c r="U25" s="95"/>
    </row>
    <row r="26" spans="1:21" s="92" customFormat="1">
      <c r="A26" s="71">
        <v>1804</v>
      </c>
      <c r="B26" s="13">
        <v>37161</v>
      </c>
      <c r="C26" s="70" t="s">
        <v>77</v>
      </c>
      <c r="D26" s="93">
        <v>15701.66</v>
      </c>
      <c r="E26" s="93">
        <f>2.93+10.56+(12834.46-352.16)*1.2%</f>
        <v>163.27760000000001</v>
      </c>
      <c r="F26" s="93"/>
      <c r="G26" s="94"/>
      <c r="H26" s="93">
        <v>17.79</v>
      </c>
      <c r="I26" s="94"/>
      <c r="J26" s="94"/>
      <c r="K26" s="94"/>
      <c r="L26" s="93"/>
      <c r="M26" s="93"/>
      <c r="N26" s="93"/>
      <c r="O26" s="94"/>
      <c r="P26" s="94"/>
      <c r="Q26" s="94"/>
      <c r="R26" s="104" t="s">
        <v>172</v>
      </c>
      <c r="S26" s="117">
        <v>3.93</v>
      </c>
      <c r="T26" s="117"/>
      <c r="U26" s="95"/>
    </row>
    <row r="27" spans="1:21" s="92" customFormat="1">
      <c r="A27" s="71">
        <v>1930</v>
      </c>
      <c r="B27" s="13">
        <v>37245</v>
      </c>
      <c r="C27" s="70" t="s">
        <v>93</v>
      </c>
      <c r="D27" s="93">
        <v>13030.52</v>
      </c>
      <c r="E27" s="93">
        <f>2.93+10.56+(7161.12-352.16)*1.2%</f>
        <v>95.197519999999997</v>
      </c>
      <c r="F27" s="93">
        <f t="shared" si="2"/>
        <v>8.567776799999999</v>
      </c>
      <c r="G27" s="94"/>
      <c r="H27" s="93">
        <v>14.91</v>
      </c>
      <c r="I27" s="94"/>
      <c r="J27" s="94"/>
      <c r="K27" s="94"/>
      <c r="L27" s="93"/>
      <c r="M27" s="93"/>
      <c r="N27" s="93"/>
      <c r="O27" s="94"/>
      <c r="P27" s="94"/>
      <c r="Q27" s="94"/>
      <c r="R27" s="104" t="s">
        <v>172</v>
      </c>
      <c r="S27" s="117">
        <v>6.34</v>
      </c>
      <c r="T27" s="117"/>
      <c r="U27" s="95"/>
    </row>
    <row r="28" spans="1:21" s="92" customFormat="1">
      <c r="A28" s="71">
        <v>2037</v>
      </c>
      <c r="B28" s="13">
        <v>37328</v>
      </c>
      <c r="C28" s="70" t="s">
        <v>72</v>
      </c>
      <c r="D28" s="93">
        <v>56.92</v>
      </c>
      <c r="E28" s="93">
        <f t="shared" si="7"/>
        <v>9.94712</v>
      </c>
      <c r="F28" s="93">
        <f t="shared" si="2"/>
        <v>0.89524079999999995</v>
      </c>
      <c r="G28" s="93"/>
      <c r="H28" s="93">
        <v>62.3</v>
      </c>
      <c r="I28" s="94"/>
      <c r="J28" s="94"/>
      <c r="K28" s="94"/>
      <c r="L28" s="93"/>
      <c r="M28" s="93"/>
      <c r="N28" s="93"/>
      <c r="O28" s="94"/>
      <c r="P28" s="94"/>
      <c r="Q28" s="94"/>
      <c r="R28" s="104" t="s">
        <v>154</v>
      </c>
      <c r="S28" s="117">
        <v>61.4</v>
      </c>
      <c r="T28" s="117"/>
      <c r="U28" s="95"/>
    </row>
    <row r="29" spans="1:21" s="92" customFormat="1" ht="12" customHeight="1">
      <c r="A29" s="71">
        <v>2208</v>
      </c>
      <c r="B29" s="21">
        <v>37434</v>
      </c>
      <c r="C29" s="41" t="s">
        <v>30</v>
      </c>
      <c r="D29" s="93">
        <v>5791.7</v>
      </c>
      <c r="E29" s="93">
        <f>2.93+10.56+(5791.7-352.16)*1.2%</f>
        <v>78.764479999999992</v>
      </c>
      <c r="F29" s="93">
        <f t="shared" si="2"/>
        <v>7.0888031999999992</v>
      </c>
      <c r="G29" s="93">
        <v>5.87</v>
      </c>
      <c r="H29" s="93">
        <v>7.27</v>
      </c>
      <c r="I29" s="94"/>
      <c r="J29" s="94"/>
      <c r="K29" s="94"/>
      <c r="L29" s="93">
        <f t="shared" si="8"/>
        <v>75.292100000000005</v>
      </c>
      <c r="M29" s="93"/>
      <c r="N29" s="93">
        <v>77.63</v>
      </c>
      <c r="O29" s="94"/>
      <c r="P29" s="94"/>
      <c r="Q29" s="94"/>
      <c r="R29" s="104" t="s">
        <v>214</v>
      </c>
      <c r="S29" s="117">
        <v>0.18</v>
      </c>
      <c r="T29" s="117">
        <v>2.34</v>
      </c>
      <c r="U29" s="95"/>
    </row>
    <row r="30" spans="1:21" s="85" customFormat="1">
      <c r="A30" s="71">
        <v>2241</v>
      </c>
      <c r="B30" s="13">
        <v>37447</v>
      </c>
      <c r="C30" s="70" t="s">
        <v>76</v>
      </c>
      <c r="D30" s="86">
        <v>45562.77</v>
      </c>
      <c r="E30" s="86">
        <f>2.93+10.56+(42628.07-352.16)*1.2%</f>
        <v>520.80091999999991</v>
      </c>
      <c r="F30" s="86">
        <f t="shared" si="2"/>
        <v>46.872082799999987</v>
      </c>
      <c r="G30" s="24">
        <v>45.66</v>
      </c>
      <c r="H30" s="86">
        <v>50.3</v>
      </c>
      <c r="I30" s="88"/>
      <c r="J30" s="88"/>
      <c r="K30" s="88"/>
      <c r="L30" s="86"/>
      <c r="M30" s="86"/>
      <c r="N30" s="86"/>
      <c r="O30" s="94"/>
      <c r="P30" s="88"/>
      <c r="Q30" s="88"/>
      <c r="R30" s="104" t="s">
        <v>172</v>
      </c>
      <c r="S30" s="117">
        <v>3.43</v>
      </c>
      <c r="T30" s="117"/>
      <c r="U30" s="95"/>
    </row>
    <row r="31" spans="1:21" s="92" customFormat="1">
      <c r="A31" s="71">
        <v>2272</v>
      </c>
      <c r="B31" s="13">
        <v>37462</v>
      </c>
      <c r="C31" s="70" t="s">
        <v>100</v>
      </c>
      <c r="D31" s="93">
        <v>7336.76</v>
      </c>
      <c r="E31" s="93">
        <v>8.8000000000000007</v>
      </c>
      <c r="F31" s="93">
        <f>E31*5%</f>
        <v>0.44000000000000006</v>
      </c>
      <c r="G31" s="24"/>
      <c r="H31" s="93">
        <v>8.75</v>
      </c>
      <c r="I31" s="94"/>
      <c r="J31" s="94"/>
      <c r="K31" s="94"/>
      <c r="L31" s="93"/>
      <c r="M31" s="93"/>
      <c r="N31" s="93"/>
      <c r="O31" s="94"/>
      <c r="P31" s="94"/>
      <c r="Q31" s="94"/>
      <c r="R31" s="104" t="s">
        <v>172</v>
      </c>
      <c r="S31" s="117">
        <v>8.31</v>
      </c>
      <c r="T31" s="117"/>
      <c r="U31" s="95"/>
    </row>
    <row r="32" spans="1:21" s="85" customFormat="1">
      <c r="A32" s="71">
        <v>2280</v>
      </c>
      <c r="B32" s="13">
        <v>37463</v>
      </c>
      <c r="C32" s="70" t="s">
        <v>75</v>
      </c>
      <c r="D32" s="93">
        <v>4402.2</v>
      </c>
      <c r="E32" s="93">
        <v>8.8000000000000007</v>
      </c>
      <c r="F32" s="93">
        <f t="shared" si="2"/>
        <v>0.79200000000000004</v>
      </c>
      <c r="G32" s="24">
        <v>9.1300000000000008</v>
      </c>
      <c r="H32" s="93">
        <v>10.33</v>
      </c>
      <c r="I32" s="94"/>
      <c r="J32" s="94"/>
      <c r="K32" s="94"/>
      <c r="L32" s="93"/>
      <c r="M32" s="93"/>
      <c r="N32" s="93"/>
      <c r="O32" s="94"/>
      <c r="P32" s="94"/>
      <c r="Q32" s="94"/>
      <c r="R32" s="104" t="s">
        <v>172</v>
      </c>
      <c r="S32" s="117">
        <v>9.5399999999999991</v>
      </c>
      <c r="T32" s="117"/>
      <c r="U32" s="95"/>
    </row>
    <row r="33" spans="1:21" s="85" customFormat="1">
      <c r="A33" s="71">
        <v>2281</v>
      </c>
      <c r="B33" s="13">
        <v>37463</v>
      </c>
      <c r="C33" s="70" t="s">
        <v>74</v>
      </c>
      <c r="D33" s="93">
        <v>4402.2</v>
      </c>
      <c r="E33" s="93">
        <v>8.8000000000000007</v>
      </c>
      <c r="F33" s="93">
        <f t="shared" si="2"/>
        <v>0.79200000000000004</v>
      </c>
      <c r="G33" s="24">
        <v>0.15</v>
      </c>
      <c r="H33" s="93">
        <v>5.58</v>
      </c>
      <c r="I33" s="94"/>
      <c r="J33" s="94"/>
      <c r="K33" s="94"/>
      <c r="L33" s="93"/>
      <c r="M33" s="93"/>
      <c r="N33" s="93"/>
      <c r="O33" s="94"/>
      <c r="P33" s="94"/>
      <c r="Q33" s="94"/>
      <c r="R33" s="104" t="s">
        <v>172</v>
      </c>
      <c r="S33" s="117">
        <v>4.79</v>
      </c>
      <c r="T33" s="117"/>
      <c r="U33" s="95"/>
    </row>
    <row r="34" spans="1:21" s="85" customFormat="1">
      <c r="A34" s="71">
        <v>2282</v>
      </c>
      <c r="B34" s="13">
        <v>37463</v>
      </c>
      <c r="C34" s="70" t="s">
        <v>73</v>
      </c>
      <c r="D34" s="86">
        <v>4402.2</v>
      </c>
      <c r="E34" s="86">
        <v>8.8000000000000007</v>
      </c>
      <c r="F34" s="93">
        <f t="shared" si="2"/>
        <v>0.79200000000000004</v>
      </c>
      <c r="G34" s="24">
        <v>0.15</v>
      </c>
      <c r="H34" s="86">
        <v>5.58</v>
      </c>
      <c r="I34" s="88"/>
      <c r="J34" s="88"/>
      <c r="K34" s="88"/>
      <c r="L34" s="86"/>
      <c r="M34" s="86"/>
      <c r="N34" s="86"/>
      <c r="O34" s="88"/>
      <c r="P34" s="88"/>
      <c r="Q34" s="88"/>
      <c r="R34" s="104" t="s">
        <v>172</v>
      </c>
      <c r="S34" s="117">
        <v>4.79</v>
      </c>
      <c r="T34" s="117"/>
      <c r="U34" s="95"/>
    </row>
    <row r="35" spans="1:21" s="92" customFormat="1">
      <c r="A35" s="71">
        <v>2377</v>
      </c>
      <c r="B35" s="13">
        <v>37505</v>
      </c>
      <c r="C35" s="70" t="s">
        <v>98</v>
      </c>
      <c r="D35" s="93">
        <v>11738.81</v>
      </c>
      <c r="E35" s="93">
        <v>8.8000000000000007</v>
      </c>
      <c r="F35" s="93">
        <f>E35*5%</f>
        <v>0.44000000000000006</v>
      </c>
      <c r="G35" s="24"/>
      <c r="H35" s="93">
        <v>13.5</v>
      </c>
      <c r="I35" s="94"/>
      <c r="J35" s="94"/>
      <c r="K35" s="94"/>
      <c r="L35" s="93"/>
      <c r="M35" s="93"/>
      <c r="N35" s="93"/>
      <c r="O35" s="94"/>
      <c r="P35" s="94"/>
      <c r="Q35" s="94"/>
      <c r="R35" s="104" t="s">
        <v>172</v>
      </c>
      <c r="S35" s="117">
        <v>13.06</v>
      </c>
      <c r="T35" s="117"/>
      <c r="U35" s="95"/>
    </row>
    <row r="36" spans="1:21" s="92" customFormat="1">
      <c r="A36" s="71">
        <v>2414</v>
      </c>
      <c r="B36" s="13">
        <v>37519</v>
      </c>
      <c r="C36" s="70" t="s">
        <v>99</v>
      </c>
      <c r="D36" s="93">
        <v>13646.37</v>
      </c>
      <c r="E36" s="93">
        <f>2.93+10.56+(12692.59-352.16)*1.2%</f>
        <v>161.57516000000001</v>
      </c>
      <c r="F36" s="93">
        <f t="shared" si="2"/>
        <v>14.5417644</v>
      </c>
      <c r="G36" s="24"/>
      <c r="H36" s="93">
        <v>15.56</v>
      </c>
      <c r="I36" s="94"/>
      <c r="J36" s="94"/>
      <c r="K36" s="94"/>
      <c r="L36" s="93"/>
      <c r="M36" s="93"/>
      <c r="N36" s="93"/>
      <c r="O36" s="94"/>
      <c r="P36" s="94"/>
      <c r="Q36" s="94"/>
      <c r="R36" s="104" t="s">
        <v>172</v>
      </c>
      <c r="S36" s="117">
        <v>1.06</v>
      </c>
      <c r="T36" s="117"/>
      <c r="U36" s="95"/>
    </row>
    <row r="37" spans="1:21" s="92" customFormat="1">
      <c r="A37" s="71">
        <v>2443</v>
      </c>
      <c r="B37" s="13">
        <v>37536</v>
      </c>
      <c r="C37" s="70" t="s">
        <v>96</v>
      </c>
      <c r="D37" s="93">
        <v>41300</v>
      </c>
      <c r="E37" s="93">
        <f>2.93+10.56+(40300-352.16)*1.2%</f>
        <v>492.86408</v>
      </c>
      <c r="F37" s="93">
        <f t="shared" si="2"/>
        <v>44.357767199999998</v>
      </c>
      <c r="G37" s="24"/>
      <c r="H37" s="93">
        <v>45.43</v>
      </c>
      <c r="I37" s="94"/>
      <c r="J37" s="94"/>
      <c r="K37" s="94"/>
      <c r="L37" s="93"/>
      <c r="M37" s="93"/>
      <c r="N37" s="93"/>
      <c r="O37" s="94"/>
      <c r="P37" s="94"/>
      <c r="Q37" s="94"/>
      <c r="R37" s="104" t="s">
        <v>172</v>
      </c>
      <c r="S37" s="117">
        <v>1.7</v>
      </c>
      <c r="T37" s="117"/>
      <c r="U37" s="95"/>
    </row>
    <row r="38" spans="1:21" s="92" customFormat="1">
      <c r="A38" s="71">
        <v>2504</v>
      </c>
      <c r="B38" s="13">
        <v>37561</v>
      </c>
      <c r="C38" s="70" t="s">
        <v>95</v>
      </c>
      <c r="D38" s="93">
        <v>5000</v>
      </c>
      <c r="E38" s="93">
        <v>8.8000000000000007</v>
      </c>
      <c r="F38" s="93">
        <f>E38*5%</f>
        <v>0.44000000000000006</v>
      </c>
      <c r="G38" s="24">
        <v>0.56000000000000005</v>
      </c>
      <c r="H38" s="93">
        <v>6.23</v>
      </c>
      <c r="I38" s="94"/>
      <c r="J38" s="94"/>
      <c r="K38" s="94"/>
      <c r="L38" s="93"/>
      <c r="M38" s="93"/>
      <c r="N38" s="93"/>
      <c r="O38" s="94"/>
      <c r="P38" s="94"/>
      <c r="Q38" s="94"/>
      <c r="R38" s="104" t="s">
        <v>172</v>
      </c>
      <c r="S38" s="117">
        <v>5.44</v>
      </c>
      <c r="T38" s="117"/>
      <c r="U38" s="95"/>
    </row>
    <row r="39" spans="1:21" s="92" customFormat="1">
      <c r="A39" s="71">
        <v>2519</v>
      </c>
      <c r="B39" s="13">
        <v>37573</v>
      </c>
      <c r="C39" s="70" t="s">
        <v>3</v>
      </c>
      <c r="D39" s="93">
        <v>9682.24</v>
      </c>
      <c r="E39" s="93">
        <f>2.93+10.56+(3283.74-352.16)*1.2%</f>
        <v>48.668959999999998</v>
      </c>
      <c r="F39" s="93">
        <f t="shared" si="2"/>
        <v>4.3802063999999996</v>
      </c>
      <c r="G39" s="24"/>
      <c r="H39" s="93">
        <v>11.28</v>
      </c>
      <c r="I39" s="94">
        <f>3283.74*0.65%</f>
        <v>21.34431</v>
      </c>
      <c r="J39" s="94"/>
      <c r="K39" s="94">
        <v>62.93</v>
      </c>
      <c r="L39" s="93"/>
      <c r="M39" s="93"/>
      <c r="N39" s="93"/>
      <c r="O39" s="94">
        <f>3283.74*0.125%</f>
        <v>4.1046749999999994</v>
      </c>
      <c r="P39" s="94"/>
      <c r="Q39" s="94">
        <v>12.1</v>
      </c>
      <c r="R39" s="104" t="s">
        <v>217</v>
      </c>
      <c r="S39" s="117">
        <v>2.9</v>
      </c>
      <c r="T39" s="117">
        <v>49.59</v>
      </c>
      <c r="U39" s="95"/>
    </row>
    <row r="40" spans="1:21" s="92" customFormat="1">
      <c r="A40" s="71">
        <v>2553</v>
      </c>
      <c r="B40" s="13">
        <v>37589</v>
      </c>
      <c r="C40" s="70" t="s">
        <v>94</v>
      </c>
      <c r="D40" s="93">
        <v>16240.65</v>
      </c>
      <c r="E40" s="93">
        <f>2.93+10.56+(14773.3-352.16)*1.2%</f>
        <v>186.54367999999999</v>
      </c>
      <c r="F40" s="93">
        <f t="shared" si="2"/>
        <v>16.7889312</v>
      </c>
      <c r="G40" s="24"/>
      <c r="H40" s="93">
        <v>18.36</v>
      </c>
      <c r="I40" s="94"/>
      <c r="J40" s="94"/>
      <c r="K40" s="94"/>
      <c r="L40" s="93"/>
      <c r="M40" s="93"/>
      <c r="N40" s="93"/>
      <c r="O40" s="94"/>
      <c r="P40" s="94"/>
      <c r="Q40" s="94"/>
      <c r="R40" s="104" t="s">
        <v>172</v>
      </c>
      <c r="S40" s="117">
        <v>1.57</v>
      </c>
      <c r="T40" s="117"/>
      <c r="U40" s="95"/>
    </row>
    <row r="41" spans="1:21" s="85" customFormat="1">
      <c r="A41" s="71">
        <v>2847</v>
      </c>
      <c r="B41" s="13">
        <v>37787</v>
      </c>
      <c r="C41" s="70" t="s">
        <v>64</v>
      </c>
      <c r="D41" s="86">
        <v>9238.58</v>
      </c>
      <c r="E41" s="86">
        <v>8.8000000000000007</v>
      </c>
      <c r="F41" s="93">
        <f t="shared" si="2"/>
        <v>0.79200000000000004</v>
      </c>
      <c r="G41" s="24"/>
      <c r="H41" s="94">
        <v>86.54</v>
      </c>
      <c r="I41" s="88"/>
      <c r="J41" s="88"/>
      <c r="K41" s="88"/>
      <c r="L41" s="86"/>
      <c r="M41" s="86"/>
      <c r="N41" s="86"/>
      <c r="O41" s="88"/>
      <c r="P41" s="88"/>
      <c r="Q41" s="88"/>
      <c r="R41" s="104" t="s">
        <v>216</v>
      </c>
      <c r="S41" s="117">
        <v>85.56</v>
      </c>
      <c r="T41" s="117"/>
      <c r="U41" s="95"/>
    </row>
    <row r="42" spans="1:21" s="85" customFormat="1">
      <c r="A42" s="71">
        <v>2933</v>
      </c>
      <c r="B42" s="13">
        <v>37790</v>
      </c>
      <c r="C42" s="70" t="s">
        <v>69</v>
      </c>
      <c r="D42" s="86"/>
      <c r="E42" s="86">
        <f t="shared" si="7"/>
        <v>9.2640799999999999</v>
      </c>
      <c r="F42" s="86">
        <v>0.73</v>
      </c>
      <c r="G42" s="79">
        <v>0.73</v>
      </c>
      <c r="H42" s="86">
        <v>0.73</v>
      </c>
      <c r="I42" s="88"/>
      <c r="J42" s="88"/>
      <c r="K42" s="88">
        <v>93.75</v>
      </c>
      <c r="L42" s="86"/>
      <c r="M42" s="86"/>
      <c r="N42" s="86"/>
      <c r="O42" s="88"/>
      <c r="P42" s="88"/>
      <c r="Q42" s="88">
        <v>18.02</v>
      </c>
      <c r="R42" s="104" t="s">
        <v>154</v>
      </c>
      <c r="S42" s="117"/>
      <c r="T42" s="117">
        <v>111.77</v>
      </c>
      <c r="U42" s="95"/>
    </row>
    <row r="43" spans="1:21" s="85" customFormat="1">
      <c r="A43" s="71">
        <v>2936</v>
      </c>
      <c r="B43" s="13">
        <v>37792</v>
      </c>
      <c r="C43" s="70" t="s">
        <v>3</v>
      </c>
      <c r="D43" s="86">
        <v>14423.38</v>
      </c>
      <c r="E43" s="86">
        <f t="shared" si="7"/>
        <v>182.34464</v>
      </c>
      <c r="F43" s="86">
        <f t="shared" si="2"/>
        <v>16.411017600000001</v>
      </c>
      <c r="G43" s="79">
        <v>15.2</v>
      </c>
      <c r="H43" s="86">
        <v>16.399999999999999</v>
      </c>
      <c r="I43" s="88">
        <f t="shared" si="5"/>
        <v>93.75197</v>
      </c>
      <c r="J43" s="88"/>
      <c r="K43" s="88">
        <v>143.99</v>
      </c>
      <c r="L43" s="86"/>
      <c r="M43" s="86"/>
      <c r="N43" s="86"/>
      <c r="O43" s="88">
        <f t="shared" si="6"/>
        <v>18.029225</v>
      </c>
      <c r="P43" s="88"/>
      <c r="Q43" s="88">
        <v>27.69</v>
      </c>
      <c r="R43" s="104" t="s">
        <v>154</v>
      </c>
      <c r="S43" s="117"/>
      <c r="T43" s="117">
        <v>59.9</v>
      </c>
      <c r="U43" s="95"/>
    </row>
    <row r="44" spans="1:21" s="75" customFormat="1">
      <c r="A44" s="71">
        <v>2942</v>
      </c>
      <c r="B44" s="13">
        <v>37796</v>
      </c>
      <c r="C44" s="70" t="s">
        <v>25</v>
      </c>
      <c r="D44" s="76">
        <v>12507.4</v>
      </c>
      <c r="E44" s="76">
        <f t="shared" si="7"/>
        <v>159.35288</v>
      </c>
      <c r="F44" s="76">
        <f t="shared" si="2"/>
        <v>14.3417592</v>
      </c>
      <c r="G44" s="79">
        <v>14.38</v>
      </c>
      <c r="H44" s="76">
        <v>14.33</v>
      </c>
      <c r="I44" s="88">
        <f t="shared" si="5"/>
        <v>81.298100000000005</v>
      </c>
      <c r="J44" s="77"/>
      <c r="K44" s="77">
        <v>105.6</v>
      </c>
      <c r="L44" s="76"/>
      <c r="M44" s="76"/>
      <c r="N44" s="76"/>
      <c r="O44" s="77">
        <f t="shared" si="6"/>
        <v>15.63425</v>
      </c>
      <c r="P44" s="77"/>
      <c r="Q44" s="77">
        <v>20.3</v>
      </c>
      <c r="R44" s="104" t="s">
        <v>154</v>
      </c>
      <c r="S44" s="117"/>
      <c r="T44" s="117">
        <v>28.97</v>
      </c>
      <c r="U44" s="95"/>
    </row>
    <row r="45" spans="1:21" s="75" customFormat="1">
      <c r="A45" s="71">
        <v>2944</v>
      </c>
      <c r="B45" s="13">
        <v>37796</v>
      </c>
      <c r="C45" s="70" t="s">
        <v>68</v>
      </c>
      <c r="D45" s="76">
        <v>178.55</v>
      </c>
      <c r="E45" s="76">
        <f t="shared" si="7"/>
        <v>11.40668</v>
      </c>
      <c r="F45" s="76">
        <f t="shared" si="2"/>
        <v>1.0266012</v>
      </c>
      <c r="G45" s="79">
        <v>0.59</v>
      </c>
      <c r="H45" s="76">
        <v>148.37</v>
      </c>
      <c r="I45" s="77">
        <f t="shared" si="5"/>
        <v>1.1605750000000001</v>
      </c>
      <c r="J45" s="77"/>
      <c r="K45" s="77">
        <v>148.37</v>
      </c>
      <c r="L45" s="76"/>
      <c r="M45" s="76"/>
      <c r="N45" s="76"/>
      <c r="O45" s="77">
        <f t="shared" si="6"/>
        <v>0.22318750000000001</v>
      </c>
      <c r="P45" s="77"/>
      <c r="Q45" s="77">
        <v>28.53</v>
      </c>
      <c r="R45" s="104" t="s">
        <v>154</v>
      </c>
      <c r="S45" s="117"/>
      <c r="T45" s="117">
        <v>176.52</v>
      </c>
      <c r="U45" s="95"/>
    </row>
    <row r="46" spans="1:21" s="92" customFormat="1">
      <c r="A46" s="105">
        <v>3034</v>
      </c>
      <c r="B46" s="21">
        <v>37825</v>
      </c>
      <c r="C46" s="104" t="s">
        <v>92</v>
      </c>
      <c r="D46" s="137">
        <v>7643.29</v>
      </c>
      <c r="E46" s="137">
        <f>2.93+10.56+(7043.29-352.16)*1.2%</f>
        <v>93.783559999999994</v>
      </c>
      <c r="F46" s="137">
        <f t="shared" si="2"/>
        <v>8.4405203999999987</v>
      </c>
      <c r="G46" s="110">
        <v>7.23</v>
      </c>
      <c r="H46" s="137">
        <v>9.08</v>
      </c>
      <c r="I46" s="138"/>
      <c r="J46" s="138"/>
      <c r="K46" s="138"/>
      <c r="L46" s="137">
        <f>7043.29*1.3%</f>
        <v>91.56277</v>
      </c>
      <c r="M46" s="137"/>
      <c r="N46" s="137">
        <v>99.36</v>
      </c>
      <c r="O46" s="138"/>
      <c r="P46" s="138"/>
      <c r="Q46" s="138"/>
      <c r="R46" s="104" t="s">
        <v>70</v>
      </c>
      <c r="S46" s="117">
        <v>0.64</v>
      </c>
      <c r="T46" s="117">
        <v>7.8</v>
      </c>
      <c r="U46" s="95"/>
    </row>
    <row r="47" spans="1:21" s="92" customFormat="1">
      <c r="A47" s="71">
        <v>3122</v>
      </c>
      <c r="B47" s="64"/>
      <c r="C47" s="70" t="s">
        <v>97</v>
      </c>
      <c r="D47" s="93">
        <v>14000</v>
      </c>
      <c r="E47" s="93">
        <f>2.93+10.56+(4608.95-352.16)*1.2%</f>
        <v>64.571479999999994</v>
      </c>
      <c r="F47" s="93">
        <v>5.81</v>
      </c>
      <c r="G47" s="79"/>
      <c r="H47" s="93">
        <v>15.95</v>
      </c>
      <c r="I47" s="94"/>
      <c r="J47" s="94"/>
      <c r="K47" s="94"/>
      <c r="L47" s="93"/>
      <c r="M47" s="93"/>
      <c r="N47" s="93"/>
      <c r="O47" s="94"/>
      <c r="P47" s="94"/>
      <c r="Q47" s="94"/>
      <c r="R47" s="104" t="s">
        <v>172</v>
      </c>
      <c r="S47" s="117">
        <v>10.14</v>
      </c>
      <c r="T47" s="117"/>
      <c r="U47" s="95"/>
    </row>
    <row r="48" spans="1:21" s="92" customFormat="1">
      <c r="A48" s="71">
        <v>3132</v>
      </c>
      <c r="B48" s="21">
        <v>37855</v>
      </c>
      <c r="C48" s="41" t="s">
        <v>90</v>
      </c>
      <c r="D48" s="93">
        <v>1467.35</v>
      </c>
      <c r="E48" s="93">
        <v>8.8000000000000007</v>
      </c>
      <c r="F48" s="93">
        <v>1.47</v>
      </c>
      <c r="G48" s="79"/>
      <c r="H48" s="93">
        <v>2.41</v>
      </c>
      <c r="I48" s="94"/>
      <c r="J48" s="94"/>
      <c r="K48" s="94"/>
      <c r="L48" s="93"/>
      <c r="M48" s="93"/>
      <c r="N48" s="93"/>
      <c r="O48" s="94"/>
      <c r="P48" s="94"/>
      <c r="Q48" s="94"/>
      <c r="R48" s="104" t="s">
        <v>172</v>
      </c>
      <c r="S48" s="117">
        <v>0.94</v>
      </c>
      <c r="T48" s="117"/>
      <c r="U48" s="95"/>
    </row>
    <row r="49" spans="1:21" s="134" customFormat="1">
      <c r="A49" s="105">
        <v>3149</v>
      </c>
      <c r="B49" s="21">
        <v>37860</v>
      </c>
      <c r="C49" s="135" t="s">
        <v>266</v>
      </c>
      <c r="D49" s="156">
        <v>8000</v>
      </c>
      <c r="E49" s="137">
        <f t="shared" ref="E49" si="9">2.93+10.56+(D49-352.16)*1.2%</f>
        <v>105.26407999999999</v>
      </c>
      <c r="F49" s="137">
        <f t="shared" ref="F49" si="10">E49*9%</f>
        <v>9.4737671999999993</v>
      </c>
      <c r="G49" s="110">
        <v>0.59</v>
      </c>
      <c r="H49" s="137">
        <v>44.04</v>
      </c>
      <c r="I49" s="138"/>
      <c r="J49" s="138"/>
      <c r="K49" s="138"/>
      <c r="L49" s="137">
        <f t="shared" ref="L49" si="11">D49*1.3%</f>
        <v>104.00000000000001</v>
      </c>
      <c r="M49" s="137"/>
      <c r="N49" s="137">
        <v>520.13</v>
      </c>
      <c r="O49" s="138"/>
      <c r="P49" s="138"/>
      <c r="Q49" s="138"/>
      <c r="R49" s="104" t="s">
        <v>158</v>
      </c>
      <c r="S49" s="117">
        <f>H49-F49</f>
        <v>34.566232800000002</v>
      </c>
      <c r="T49" s="117">
        <f>N49-L49</f>
        <v>416.13</v>
      </c>
      <c r="U49" s="95"/>
    </row>
    <row r="50" spans="1:21" s="95" customFormat="1">
      <c r="A50" s="71">
        <v>3375</v>
      </c>
      <c r="B50" s="13">
        <v>37917</v>
      </c>
      <c r="C50" s="70" t="s">
        <v>72</v>
      </c>
      <c r="D50" s="94">
        <v>13844.72</v>
      </c>
      <c r="E50" s="93">
        <f t="shared" ref="E50" si="12">2.93+10.56+(D50-352.16)*1.2%</f>
        <v>175.40072000000001</v>
      </c>
      <c r="F50" s="93">
        <f t="shared" ref="F50:F52" si="13">E50*9%</f>
        <v>15.7860648</v>
      </c>
      <c r="G50" s="94"/>
      <c r="H50" s="94">
        <v>151.86000000000001</v>
      </c>
      <c r="I50" s="94"/>
      <c r="J50" s="94"/>
      <c r="K50" s="94"/>
      <c r="L50" s="94"/>
      <c r="M50" s="94"/>
      <c r="N50" s="94"/>
      <c r="O50" s="94"/>
      <c r="P50" s="94"/>
      <c r="Q50" s="94"/>
      <c r="R50" s="104" t="s">
        <v>154</v>
      </c>
      <c r="S50" s="118">
        <v>136.07</v>
      </c>
      <c r="T50" s="118"/>
    </row>
    <row r="51" spans="1:21" s="95" customFormat="1">
      <c r="A51" s="71">
        <v>3392</v>
      </c>
      <c r="B51" s="13">
        <v>37923</v>
      </c>
      <c r="C51" s="70" t="s">
        <v>91</v>
      </c>
      <c r="D51" s="94">
        <v>8197.92</v>
      </c>
      <c r="E51" s="93">
        <f>2.93+10.56+(5983.32-352.16)*1.2%</f>
        <v>81.063919999999996</v>
      </c>
      <c r="F51" s="93">
        <f t="shared" si="13"/>
        <v>7.2957527999999989</v>
      </c>
      <c r="G51" s="94"/>
      <c r="H51" s="94">
        <v>10.46</v>
      </c>
      <c r="I51" s="94"/>
      <c r="J51" s="94"/>
      <c r="K51" s="94"/>
      <c r="L51" s="94"/>
      <c r="M51" s="94"/>
      <c r="N51" s="94"/>
      <c r="O51" s="94"/>
      <c r="P51" s="94"/>
      <c r="Q51" s="94"/>
      <c r="R51" s="104" t="s">
        <v>172</v>
      </c>
      <c r="S51" s="118">
        <v>3.04</v>
      </c>
      <c r="T51" s="118"/>
    </row>
    <row r="52" spans="1:21" s="95" customFormat="1">
      <c r="A52" s="71">
        <v>3442</v>
      </c>
      <c r="B52" s="13">
        <v>37931</v>
      </c>
      <c r="C52" s="70" t="s">
        <v>89</v>
      </c>
      <c r="D52" s="94">
        <v>17252.97</v>
      </c>
      <c r="E52" s="93">
        <f>2.93+10.56+(15252.97-352.16)*1.2%</f>
        <v>192.29972000000001</v>
      </c>
      <c r="F52" s="93">
        <f t="shared" si="13"/>
        <v>17.306974799999999</v>
      </c>
      <c r="G52" s="94"/>
      <c r="H52" s="94">
        <v>19.46</v>
      </c>
      <c r="I52" s="94"/>
      <c r="J52" s="94"/>
      <c r="K52" s="94"/>
      <c r="L52" s="94"/>
      <c r="M52" s="94"/>
      <c r="N52" s="94"/>
      <c r="O52" s="94"/>
      <c r="P52" s="94"/>
      <c r="Q52" s="94"/>
      <c r="R52" s="104" t="s">
        <v>172</v>
      </c>
      <c r="S52" s="118">
        <v>2.35</v>
      </c>
      <c r="T52" s="118"/>
    </row>
    <row r="53" spans="1:21" s="75" customFormat="1">
      <c r="A53" s="71">
        <v>3587</v>
      </c>
      <c r="B53" s="13">
        <v>38001</v>
      </c>
      <c r="C53" s="70" t="s">
        <v>64</v>
      </c>
      <c r="D53" s="86">
        <v>1087.75</v>
      </c>
      <c r="E53" s="86">
        <f t="shared" ref="E53" si="14">2.93+10.56+(D53-352.16)*1.2%</f>
        <v>22.317079999999997</v>
      </c>
      <c r="F53" s="86">
        <f t="shared" ref="F53" si="15">E53*9%</f>
        <v>2.0085371999999997</v>
      </c>
      <c r="G53" s="78"/>
      <c r="H53" s="86">
        <v>15.05</v>
      </c>
      <c r="I53" s="88"/>
      <c r="J53" s="88"/>
      <c r="K53" s="88"/>
      <c r="L53" s="86"/>
      <c r="M53" s="86"/>
      <c r="N53" s="86"/>
      <c r="O53" s="88"/>
      <c r="P53" s="88"/>
      <c r="Q53" s="88"/>
      <c r="R53" s="104" t="s">
        <v>158</v>
      </c>
      <c r="S53" s="117">
        <v>13.04</v>
      </c>
      <c r="T53" s="117"/>
      <c r="U53" s="95"/>
    </row>
    <row r="54" spans="1:21" s="75" customFormat="1">
      <c r="A54" s="71">
        <v>3650</v>
      </c>
      <c r="B54" s="21">
        <v>38028</v>
      </c>
      <c r="C54" s="87" t="s">
        <v>67</v>
      </c>
      <c r="D54" s="86">
        <v>5091.71</v>
      </c>
      <c r="E54" s="86">
        <v>8.8000000000000007</v>
      </c>
      <c r="F54" s="86">
        <f t="shared" si="2"/>
        <v>0.79200000000000004</v>
      </c>
      <c r="G54" s="78">
        <v>0.59</v>
      </c>
      <c r="H54" s="86">
        <v>6.32</v>
      </c>
      <c r="I54" s="77"/>
      <c r="J54" s="77"/>
      <c r="K54" s="88">
        <v>33.090000000000003</v>
      </c>
      <c r="L54" s="86"/>
      <c r="M54" s="86"/>
      <c r="N54" s="86"/>
      <c r="O54" s="88"/>
      <c r="P54" s="88"/>
      <c r="Q54" s="88">
        <v>6.36</v>
      </c>
      <c r="R54" s="104" t="s">
        <v>219</v>
      </c>
      <c r="S54" s="117">
        <v>5.53</v>
      </c>
      <c r="T54" s="117">
        <v>39.450000000000003</v>
      </c>
      <c r="U54" s="95"/>
    </row>
    <row r="55" spans="1:21" s="75" customFormat="1">
      <c r="A55" s="71">
        <v>3651</v>
      </c>
      <c r="B55" s="21">
        <v>38028</v>
      </c>
      <c r="C55" s="87" t="s">
        <v>67</v>
      </c>
      <c r="D55" s="86">
        <v>5091.71</v>
      </c>
      <c r="E55" s="86">
        <v>8.8000000000000007</v>
      </c>
      <c r="F55" s="86">
        <f t="shared" si="2"/>
        <v>0.79200000000000004</v>
      </c>
      <c r="G55" s="78">
        <v>0.59</v>
      </c>
      <c r="H55" s="86">
        <v>6.32</v>
      </c>
      <c r="I55" s="77"/>
      <c r="J55" s="77"/>
      <c r="K55" s="88">
        <v>33.090000000000003</v>
      </c>
      <c r="L55" s="86"/>
      <c r="M55" s="86"/>
      <c r="N55" s="86"/>
      <c r="O55" s="88"/>
      <c r="P55" s="88"/>
      <c r="Q55" s="88">
        <v>6.36</v>
      </c>
      <c r="R55" s="104" t="s">
        <v>219</v>
      </c>
      <c r="S55" s="117">
        <v>5.53</v>
      </c>
      <c r="T55" s="117">
        <v>39.450000000000003</v>
      </c>
      <c r="U55" s="95"/>
    </row>
    <row r="56" spans="1:21" s="75" customFormat="1">
      <c r="A56" s="71">
        <v>3656</v>
      </c>
      <c r="B56" s="13">
        <v>38028</v>
      </c>
      <c r="C56" s="70" t="s">
        <v>63</v>
      </c>
      <c r="D56" s="76">
        <v>8.8000000000000007</v>
      </c>
      <c r="E56" s="81">
        <f t="shared" si="7"/>
        <v>9.3696799999999989</v>
      </c>
      <c r="F56" s="76">
        <f t="shared" si="2"/>
        <v>0.84327119999999989</v>
      </c>
      <c r="G56" s="22">
        <v>8.11</v>
      </c>
      <c r="H56" s="76">
        <v>9.32</v>
      </c>
      <c r="I56" s="77"/>
      <c r="J56" s="77"/>
      <c r="K56" s="77"/>
      <c r="L56" s="76">
        <f t="shared" si="8"/>
        <v>0.11440000000000002</v>
      </c>
      <c r="M56" s="76"/>
      <c r="N56" s="76">
        <v>9.32</v>
      </c>
      <c r="O56" s="77"/>
      <c r="P56" s="77"/>
      <c r="Q56" s="77"/>
      <c r="R56" s="104" t="s">
        <v>172</v>
      </c>
      <c r="S56" s="117">
        <v>8.48</v>
      </c>
      <c r="T56" s="117"/>
      <c r="U56" s="95"/>
    </row>
    <row r="57" spans="1:21" s="80" customFormat="1">
      <c r="A57" s="71">
        <v>3665</v>
      </c>
      <c r="B57" s="13">
        <v>38034</v>
      </c>
      <c r="C57" s="82" t="s">
        <v>66</v>
      </c>
      <c r="D57" s="81">
        <v>102723.07</v>
      </c>
      <c r="E57" s="81">
        <f>2.93+10.56+(14723.07-352.16)*1.2%</f>
        <v>185.94092000000001</v>
      </c>
      <c r="F57" s="81">
        <f t="shared" si="2"/>
        <v>16.734682800000002</v>
      </c>
      <c r="G57" s="78">
        <v>15.52</v>
      </c>
      <c r="H57" s="81">
        <v>111.77</v>
      </c>
      <c r="I57" s="83"/>
      <c r="J57" s="83"/>
      <c r="K57" s="83"/>
      <c r="L57" s="81"/>
      <c r="M57" s="81"/>
      <c r="N57" s="81"/>
      <c r="O57" s="83"/>
      <c r="P57" s="83"/>
      <c r="Q57" s="83"/>
      <c r="R57" s="104" t="s">
        <v>172</v>
      </c>
      <c r="S57" s="117">
        <v>95.04</v>
      </c>
      <c r="T57" s="117"/>
      <c r="U57" s="95"/>
    </row>
    <row r="58" spans="1:21" s="80" customFormat="1">
      <c r="A58" s="71">
        <v>3684</v>
      </c>
      <c r="B58" s="13">
        <v>38208</v>
      </c>
      <c r="C58" s="82" t="s">
        <v>65</v>
      </c>
      <c r="D58" s="81">
        <v>67951.09</v>
      </c>
      <c r="E58" s="81">
        <f>2.93+10.56+(32734.66-352.16)*1.2%</f>
        <v>402.08000000000004</v>
      </c>
      <c r="F58" s="81">
        <f>E58*9%</f>
        <v>36.187200000000004</v>
      </c>
      <c r="G58" s="78">
        <v>73.010000000000005</v>
      </c>
      <c r="H58" s="81">
        <v>74.209999999999994</v>
      </c>
      <c r="I58" s="83"/>
      <c r="J58" s="83"/>
      <c r="K58" s="83"/>
      <c r="L58" s="81"/>
      <c r="M58" s="81"/>
      <c r="N58" s="81"/>
      <c r="O58" s="83"/>
      <c r="P58" s="83"/>
      <c r="Q58" s="83"/>
      <c r="R58" s="104" t="s">
        <v>172</v>
      </c>
      <c r="S58" s="117">
        <v>38.020000000000003</v>
      </c>
      <c r="T58" s="117"/>
      <c r="U58" s="95"/>
    </row>
    <row r="59" spans="1:21" s="75" customFormat="1">
      <c r="A59" s="71">
        <v>3927</v>
      </c>
      <c r="B59" s="13">
        <v>38134</v>
      </c>
      <c r="C59" s="70" t="s">
        <v>62</v>
      </c>
      <c r="D59" s="76">
        <v>1938.72</v>
      </c>
      <c r="E59" s="76">
        <f t="shared" si="7"/>
        <v>32.52872</v>
      </c>
      <c r="F59" s="76">
        <f t="shared" si="2"/>
        <v>2.9275848</v>
      </c>
      <c r="G59" s="22"/>
      <c r="H59" s="76">
        <v>3.46</v>
      </c>
      <c r="I59" s="77"/>
      <c r="J59" s="77"/>
      <c r="K59" s="77"/>
      <c r="L59" s="76"/>
      <c r="M59" s="76"/>
      <c r="N59" s="76"/>
      <c r="O59" s="77"/>
      <c r="P59" s="77"/>
      <c r="Q59" s="77"/>
      <c r="R59" s="104" t="s">
        <v>172</v>
      </c>
      <c r="S59" s="117">
        <v>0.53</v>
      </c>
      <c r="T59" s="117"/>
      <c r="U59" s="95"/>
    </row>
    <row r="60" spans="1:21" s="75" customFormat="1">
      <c r="A60" s="71">
        <v>3957</v>
      </c>
      <c r="B60" s="13">
        <v>38155</v>
      </c>
      <c r="C60" s="70" t="s">
        <v>62</v>
      </c>
      <c r="D60" s="76">
        <v>2545.27</v>
      </c>
      <c r="E60" s="76">
        <f t="shared" si="7"/>
        <v>39.807320000000004</v>
      </c>
      <c r="F60" s="76">
        <f t="shared" si="2"/>
        <v>3.5826588000000004</v>
      </c>
      <c r="G60" s="22">
        <v>1.83</v>
      </c>
      <c r="H60" s="76">
        <v>6.81</v>
      </c>
      <c r="I60" s="77"/>
      <c r="J60" s="77"/>
      <c r="K60" s="77"/>
      <c r="L60" s="76"/>
      <c r="M60" s="76"/>
      <c r="N60" s="76"/>
      <c r="O60" s="77"/>
      <c r="P60" s="77"/>
      <c r="Q60" s="77"/>
      <c r="R60" s="104" t="s">
        <v>172</v>
      </c>
      <c r="S60" s="117">
        <v>3.23</v>
      </c>
      <c r="T60" s="117"/>
      <c r="U60" s="95"/>
    </row>
    <row r="61" spans="1:21" s="75" customFormat="1">
      <c r="A61" s="71">
        <v>4080</v>
      </c>
      <c r="B61" s="13">
        <v>38204</v>
      </c>
      <c r="C61" s="70" t="s">
        <v>61</v>
      </c>
      <c r="D61" s="76">
        <v>8.8000000000000007</v>
      </c>
      <c r="E61" s="76">
        <f t="shared" si="7"/>
        <v>9.3696799999999989</v>
      </c>
      <c r="F61" s="76">
        <f t="shared" si="2"/>
        <v>0.84327119999999989</v>
      </c>
      <c r="G61" s="22"/>
      <c r="H61" s="76">
        <v>4.6100000000000003</v>
      </c>
      <c r="I61" s="77"/>
      <c r="J61" s="77"/>
      <c r="K61" s="77"/>
      <c r="L61" s="76"/>
      <c r="M61" s="76"/>
      <c r="N61" s="76"/>
      <c r="O61" s="77"/>
      <c r="P61" s="77"/>
      <c r="Q61" s="77"/>
      <c r="R61" s="104" t="s">
        <v>172</v>
      </c>
      <c r="S61" s="117">
        <v>3.77</v>
      </c>
      <c r="T61" s="117"/>
      <c r="U61" s="95"/>
    </row>
    <row r="62" spans="1:21" s="75" customFormat="1">
      <c r="A62" s="71">
        <v>4085</v>
      </c>
      <c r="B62" s="13">
        <v>38208</v>
      </c>
      <c r="C62" s="70" t="s">
        <v>60</v>
      </c>
      <c r="D62" s="76">
        <v>12387.53</v>
      </c>
      <c r="E62" s="76">
        <f t="shared" si="7"/>
        <v>157.91444000000001</v>
      </c>
      <c r="F62" s="76">
        <f t="shared" si="2"/>
        <v>14.212299600000001</v>
      </c>
      <c r="G62" s="22"/>
      <c r="H62" s="76">
        <v>15.28</v>
      </c>
      <c r="I62" s="77"/>
      <c r="J62" s="77"/>
      <c r="K62" s="77"/>
      <c r="L62" s="76"/>
      <c r="M62" s="76"/>
      <c r="N62" s="76"/>
      <c r="O62" s="77"/>
      <c r="P62" s="77"/>
      <c r="Q62" s="77"/>
      <c r="R62" s="104" t="s">
        <v>172</v>
      </c>
      <c r="S62" s="117">
        <v>1.07</v>
      </c>
      <c r="T62" s="117"/>
      <c r="U62" s="95"/>
    </row>
    <row r="63" spans="1:21" s="16" customFormat="1">
      <c r="A63" s="71">
        <v>4257</v>
      </c>
      <c r="B63" s="13">
        <v>38247</v>
      </c>
      <c r="C63" s="70" t="s">
        <v>59</v>
      </c>
      <c r="D63" s="17">
        <v>8.8000000000000007</v>
      </c>
      <c r="E63" s="76">
        <f t="shared" si="7"/>
        <v>9.3696799999999989</v>
      </c>
      <c r="F63" s="76">
        <f t="shared" si="2"/>
        <v>0.84327119999999989</v>
      </c>
      <c r="G63" s="22"/>
      <c r="H63" s="17">
        <v>17.09</v>
      </c>
      <c r="I63" s="77"/>
      <c r="J63" s="18"/>
      <c r="K63" s="18"/>
      <c r="L63" s="76"/>
      <c r="M63" s="17"/>
      <c r="N63" s="17"/>
      <c r="O63" s="77"/>
      <c r="P63" s="18"/>
      <c r="Q63" s="18"/>
      <c r="R63" s="104" t="s">
        <v>172</v>
      </c>
      <c r="S63" s="117">
        <v>16.25</v>
      </c>
      <c r="T63" s="117"/>
      <c r="U63" s="95"/>
    </row>
    <row r="64" spans="1:21" s="58" customFormat="1">
      <c r="A64" s="71">
        <v>4282</v>
      </c>
      <c r="B64" s="13">
        <v>38253</v>
      </c>
      <c r="C64" s="70" t="s">
        <v>58</v>
      </c>
      <c r="D64" s="59">
        <v>11119.43</v>
      </c>
      <c r="E64" s="76">
        <f t="shared" si="7"/>
        <v>142.69724000000002</v>
      </c>
      <c r="F64" s="76">
        <f t="shared" si="2"/>
        <v>12.842751600000001</v>
      </c>
      <c r="G64" s="22"/>
      <c r="H64" s="59">
        <v>20.39</v>
      </c>
      <c r="I64" s="77"/>
      <c r="J64" s="60"/>
      <c r="K64" s="60"/>
      <c r="L64" s="76"/>
      <c r="M64" s="59"/>
      <c r="N64" s="59"/>
      <c r="O64" s="77"/>
      <c r="P64" s="60"/>
      <c r="Q64" s="60"/>
      <c r="R64" s="104" t="s">
        <v>172</v>
      </c>
      <c r="S64" s="117">
        <v>7.55</v>
      </c>
      <c r="T64" s="117"/>
      <c r="U64" s="95"/>
    </row>
    <row r="65" spans="1:21" s="58" customFormat="1">
      <c r="A65" s="71">
        <v>4364</v>
      </c>
      <c r="B65" s="13">
        <v>38279</v>
      </c>
      <c r="C65" s="70" t="s">
        <v>57</v>
      </c>
      <c r="D65" s="59">
        <v>8.8000000000000007</v>
      </c>
      <c r="E65" s="76">
        <f>2.93</f>
        <v>2.93</v>
      </c>
      <c r="F65" s="76">
        <f t="shared" si="2"/>
        <v>0.26369999999999999</v>
      </c>
      <c r="G65" s="22">
        <v>0.59</v>
      </c>
      <c r="H65" s="59">
        <v>38.840000000000003</v>
      </c>
      <c r="I65" s="77"/>
      <c r="J65" s="60"/>
      <c r="K65" s="60"/>
      <c r="L65" s="76"/>
      <c r="M65" s="59"/>
      <c r="N65" s="59"/>
      <c r="O65" s="77"/>
      <c r="P65" s="60"/>
      <c r="Q65" s="60"/>
      <c r="R65" s="104" t="s">
        <v>172</v>
      </c>
      <c r="S65" s="117">
        <v>38.590000000000003</v>
      </c>
      <c r="T65" s="117"/>
      <c r="U65" s="95"/>
    </row>
    <row r="66" spans="1:21" s="75" customFormat="1">
      <c r="A66" s="71">
        <v>4483</v>
      </c>
      <c r="B66" s="13">
        <v>38322</v>
      </c>
      <c r="C66" s="70" t="s">
        <v>25</v>
      </c>
      <c r="D66" s="76">
        <v>3629.25</v>
      </c>
      <c r="E66" s="76">
        <f t="shared" si="7"/>
        <v>52.815080000000002</v>
      </c>
      <c r="F66" s="76">
        <f t="shared" si="2"/>
        <v>4.7533571999999999</v>
      </c>
      <c r="G66" s="22"/>
      <c r="H66" s="76">
        <v>4.74</v>
      </c>
      <c r="I66" s="77">
        <f t="shared" si="5"/>
        <v>23.590125</v>
      </c>
      <c r="J66" s="77"/>
      <c r="K66" s="77">
        <v>62.9</v>
      </c>
      <c r="L66" s="76"/>
      <c r="M66" s="76"/>
      <c r="N66" s="76"/>
      <c r="O66" s="77">
        <f t="shared" si="6"/>
        <v>4.5365625000000005</v>
      </c>
      <c r="P66" s="77"/>
      <c r="Q66" s="77">
        <v>12.09</v>
      </c>
      <c r="R66" s="104" t="s">
        <v>158</v>
      </c>
      <c r="S66" s="117"/>
      <c r="T66" s="117">
        <v>36.86</v>
      </c>
      <c r="U66" s="95"/>
    </row>
    <row r="67" spans="1:21" s="58" customFormat="1">
      <c r="A67" s="71">
        <v>4544</v>
      </c>
      <c r="B67" s="13">
        <v>38349</v>
      </c>
      <c r="C67" s="70" t="s">
        <v>56</v>
      </c>
      <c r="D67" s="59">
        <v>16789.22</v>
      </c>
      <c r="E67" s="76">
        <f t="shared" si="7"/>
        <v>210.73472000000004</v>
      </c>
      <c r="F67" s="76">
        <f t="shared" si="2"/>
        <v>18.966124800000003</v>
      </c>
      <c r="G67" s="22"/>
      <c r="H67" s="59">
        <v>32.43</v>
      </c>
      <c r="I67" s="77"/>
      <c r="J67" s="60"/>
      <c r="K67" s="60"/>
      <c r="L67" s="76"/>
      <c r="M67" s="59"/>
      <c r="N67" s="59"/>
      <c r="O67" s="77"/>
      <c r="P67" s="60"/>
      <c r="Q67" s="60"/>
      <c r="R67" s="104" t="s">
        <v>172</v>
      </c>
      <c r="S67" s="117">
        <v>13.46</v>
      </c>
      <c r="T67" s="117"/>
      <c r="U67" s="95"/>
    </row>
    <row r="68" spans="1:21" s="58" customFormat="1">
      <c r="A68" s="71">
        <v>4699</v>
      </c>
      <c r="B68" s="13">
        <v>38442</v>
      </c>
      <c r="C68" s="70" t="s">
        <v>55</v>
      </c>
      <c r="D68" s="59">
        <v>117170.75</v>
      </c>
      <c r="E68" s="76">
        <f t="shared" si="7"/>
        <v>1415.3130799999999</v>
      </c>
      <c r="F68" s="76">
        <f t="shared" si="2"/>
        <v>127.37817719999998</v>
      </c>
      <c r="G68" s="22">
        <v>126.54</v>
      </c>
      <c r="H68" s="59">
        <v>187.85</v>
      </c>
      <c r="I68" s="77"/>
      <c r="J68" s="60"/>
      <c r="K68" s="60"/>
      <c r="L68" s="76"/>
      <c r="M68" s="59"/>
      <c r="N68" s="59"/>
      <c r="O68" s="77"/>
      <c r="P68" s="60"/>
      <c r="Q68" s="60"/>
      <c r="R68" s="104" t="s">
        <v>172</v>
      </c>
      <c r="S68" s="117">
        <v>40.47</v>
      </c>
      <c r="T68" s="117"/>
      <c r="U68" s="95"/>
    </row>
    <row r="69" spans="1:21" s="58" customFormat="1">
      <c r="A69" s="71">
        <v>4733</v>
      </c>
      <c r="B69" s="21">
        <v>38476</v>
      </c>
      <c r="C69" s="41" t="s">
        <v>54</v>
      </c>
      <c r="D69" s="76">
        <v>55679.46</v>
      </c>
      <c r="E69" s="76">
        <f t="shared" si="7"/>
        <v>677.41759999999999</v>
      </c>
      <c r="F69" s="76">
        <f t="shared" si="2"/>
        <v>60.967583999999995</v>
      </c>
      <c r="G69" s="22">
        <v>60.08</v>
      </c>
      <c r="H69" s="76">
        <v>108.83</v>
      </c>
      <c r="I69" s="77"/>
      <c r="J69" s="60"/>
      <c r="K69" s="60"/>
      <c r="L69" s="76"/>
      <c r="M69" s="59"/>
      <c r="N69" s="59"/>
      <c r="O69" s="77"/>
      <c r="P69" s="60"/>
      <c r="Q69" s="60"/>
      <c r="R69" s="104" t="s">
        <v>172</v>
      </c>
      <c r="S69" s="117">
        <v>47.86</v>
      </c>
      <c r="T69" s="117"/>
      <c r="U69" s="95"/>
    </row>
    <row r="70" spans="1:21" s="58" customFormat="1">
      <c r="A70" s="29"/>
      <c r="B70" s="63">
        <v>38482</v>
      </c>
      <c r="C70" s="30"/>
      <c r="D70" s="31"/>
      <c r="E70" s="62" t="s">
        <v>33</v>
      </c>
      <c r="F70" s="162"/>
      <c r="G70" s="162"/>
      <c r="H70" s="163"/>
      <c r="I70" s="31"/>
      <c r="J70" s="31"/>
      <c r="K70" s="31"/>
      <c r="L70" s="31"/>
      <c r="M70" s="31"/>
      <c r="N70" s="31"/>
      <c r="O70" s="31"/>
      <c r="P70" s="31"/>
      <c r="Q70" s="31"/>
      <c r="R70" s="32"/>
      <c r="S70" s="117"/>
      <c r="T70" s="117"/>
      <c r="U70" s="95"/>
    </row>
    <row r="71" spans="1:21" s="16" customFormat="1">
      <c r="A71" s="71">
        <v>4918</v>
      </c>
      <c r="B71" s="13">
        <v>38545</v>
      </c>
      <c r="C71" s="14" t="s">
        <v>3</v>
      </c>
      <c r="D71" s="67">
        <v>1500.22</v>
      </c>
      <c r="E71" s="67">
        <f>12+1000.15*1.2%</f>
        <v>24.001799999999999</v>
      </c>
      <c r="F71" s="67">
        <f t="shared" ref="F71:F72" si="16">E71*9%</f>
        <v>2.1601619999999997</v>
      </c>
      <c r="G71" s="138">
        <v>1.08</v>
      </c>
      <c r="H71" s="67">
        <v>7.18</v>
      </c>
      <c r="I71" s="68"/>
      <c r="J71" s="67"/>
      <c r="K71" s="67"/>
      <c r="L71" s="68">
        <v>36.72</v>
      </c>
      <c r="M71" s="12"/>
      <c r="N71" s="68">
        <v>7.06</v>
      </c>
      <c r="O71" s="18">
        <v>1.25</v>
      </c>
      <c r="P71" s="18"/>
      <c r="Q71" s="18">
        <v>7.06</v>
      </c>
      <c r="R71" s="104" t="s">
        <v>221</v>
      </c>
      <c r="S71" s="117">
        <v>5.0199999999999996</v>
      </c>
      <c r="T71" s="117">
        <v>29.53</v>
      </c>
      <c r="U71" s="95"/>
    </row>
    <row r="72" spans="1:21" s="45" customFormat="1">
      <c r="A72" s="71">
        <v>5027</v>
      </c>
      <c r="B72" s="13">
        <v>38573</v>
      </c>
      <c r="C72" s="14" t="s">
        <v>53</v>
      </c>
      <c r="D72" s="46">
        <v>5609.63</v>
      </c>
      <c r="E72" s="59">
        <f>12+609.63*1.2%</f>
        <v>19.315560000000001</v>
      </c>
      <c r="F72" s="59">
        <f t="shared" si="16"/>
        <v>1.7384004</v>
      </c>
      <c r="G72" s="138"/>
      <c r="H72" s="46">
        <v>7.13</v>
      </c>
      <c r="I72" s="47"/>
      <c r="J72" s="47"/>
      <c r="K72" s="47"/>
      <c r="L72" s="46"/>
      <c r="M72" s="46"/>
      <c r="N72" s="46"/>
      <c r="O72" s="47"/>
      <c r="P72" s="47"/>
      <c r="Q72" s="47"/>
      <c r="R72" s="104" t="s">
        <v>172</v>
      </c>
      <c r="S72" s="117">
        <v>5.39</v>
      </c>
      <c r="T72" s="117"/>
      <c r="U72" s="95"/>
    </row>
    <row r="73" spans="1:21" s="45" customFormat="1">
      <c r="A73" s="71">
        <v>5844</v>
      </c>
      <c r="B73" s="13">
        <v>38805</v>
      </c>
      <c r="C73" s="14" t="s">
        <v>47</v>
      </c>
      <c r="D73" s="46">
        <v>40000</v>
      </c>
      <c r="E73" s="59">
        <f>12+D73*1.2%</f>
        <v>492</v>
      </c>
      <c r="F73" s="59">
        <f t="shared" ref="F73:F81" si="17">E73*9%</f>
        <v>44.28</v>
      </c>
      <c r="G73" s="138"/>
      <c r="H73" s="46">
        <v>65.88</v>
      </c>
      <c r="I73" s="47"/>
      <c r="J73" s="47"/>
      <c r="K73" s="47"/>
      <c r="L73" s="46"/>
      <c r="M73" s="46"/>
      <c r="N73" s="46"/>
      <c r="O73" s="47"/>
      <c r="P73" s="47"/>
      <c r="Q73" s="47"/>
      <c r="R73" s="104" t="s">
        <v>222</v>
      </c>
      <c r="S73" s="117">
        <v>21.6</v>
      </c>
      <c r="T73" s="117"/>
      <c r="U73" s="95"/>
    </row>
    <row r="74" spans="1:21" s="58" customFormat="1">
      <c r="A74" s="71">
        <v>5898</v>
      </c>
      <c r="B74" s="13">
        <v>38821</v>
      </c>
      <c r="C74" s="14" t="s">
        <v>50</v>
      </c>
      <c r="D74" s="59">
        <v>2162.16</v>
      </c>
      <c r="E74" s="59">
        <f t="shared" ref="E74" si="18">12+D74*1.2%</f>
        <v>37.945920000000001</v>
      </c>
      <c r="F74" s="59">
        <v>2.25</v>
      </c>
      <c r="G74" s="138"/>
      <c r="H74" s="59">
        <v>3.41</v>
      </c>
      <c r="I74" s="60"/>
      <c r="J74" s="60"/>
      <c r="K74" s="60"/>
      <c r="L74" s="59"/>
      <c r="M74" s="59"/>
      <c r="N74" s="59"/>
      <c r="O74" s="60"/>
      <c r="P74" s="60"/>
      <c r="Q74" s="60"/>
      <c r="R74" s="104" t="s">
        <v>172</v>
      </c>
      <c r="S74" s="117">
        <v>1.1599999999999999</v>
      </c>
      <c r="T74" s="117"/>
      <c r="U74" s="95"/>
    </row>
    <row r="75" spans="1:21" s="134" customFormat="1">
      <c r="A75" s="126">
        <v>5953</v>
      </c>
      <c r="B75" s="183" t="s">
        <v>279</v>
      </c>
      <c r="C75" s="144">
        <v>5971</v>
      </c>
      <c r="D75" s="128"/>
      <c r="E75" s="128"/>
      <c r="F75" s="185" t="s">
        <v>280</v>
      </c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7"/>
      <c r="R75" s="184" t="s">
        <v>281</v>
      </c>
      <c r="S75" s="131">
        <v>404.84</v>
      </c>
      <c r="T75" s="131">
        <v>1681.71</v>
      </c>
      <c r="U75" s="95"/>
    </row>
    <row r="76" spans="1:21" s="58" customFormat="1">
      <c r="A76" s="71">
        <v>6000</v>
      </c>
      <c r="B76" s="13">
        <v>38849</v>
      </c>
      <c r="C76" s="14" t="s">
        <v>49</v>
      </c>
      <c r="D76" s="59">
        <v>3521.64</v>
      </c>
      <c r="E76" s="59">
        <f t="shared" ref="E76" si="19">12+D76*1.2%</f>
        <v>54.259679999999996</v>
      </c>
      <c r="F76" s="59">
        <f t="shared" ref="F76" si="20">E76*9%</f>
        <v>4.8833711999999991</v>
      </c>
      <c r="G76" s="138">
        <v>0.6</v>
      </c>
      <c r="H76" s="59">
        <v>4.88</v>
      </c>
      <c r="I76" s="60"/>
      <c r="J76" s="60"/>
      <c r="K76" s="60"/>
      <c r="L76" s="60">
        <v>45.78</v>
      </c>
      <c r="M76" s="59"/>
      <c r="N76" s="59">
        <v>45.78</v>
      </c>
      <c r="O76" s="60"/>
      <c r="P76" s="12"/>
      <c r="Q76" s="60">
        <v>5.18</v>
      </c>
      <c r="R76" s="104" t="s">
        <v>158</v>
      </c>
      <c r="S76" s="117">
        <v>5.18</v>
      </c>
      <c r="T76" s="117"/>
      <c r="U76" s="95"/>
    </row>
    <row r="77" spans="1:21" s="58" customFormat="1">
      <c r="A77" s="112">
        <v>6027</v>
      </c>
      <c r="B77" s="101">
        <v>38854</v>
      </c>
      <c r="C77" s="139" t="s">
        <v>48</v>
      </c>
      <c r="D77" s="137">
        <v>5000</v>
      </c>
      <c r="E77" s="137"/>
      <c r="F77" s="137">
        <v>1.83</v>
      </c>
      <c r="G77" s="137"/>
      <c r="H77" s="137">
        <v>6.48</v>
      </c>
      <c r="I77" s="138"/>
      <c r="J77" s="138"/>
      <c r="K77" s="138">
        <v>32.5</v>
      </c>
      <c r="L77" s="137"/>
      <c r="M77" s="137"/>
      <c r="N77" s="137"/>
      <c r="O77" s="138"/>
      <c r="P77" s="138"/>
      <c r="Q77" s="138">
        <v>6.25</v>
      </c>
      <c r="R77" s="104" t="s">
        <v>220</v>
      </c>
      <c r="S77" s="117">
        <v>4.6500000000000004</v>
      </c>
      <c r="T77" s="117">
        <v>38.75</v>
      </c>
      <c r="U77" s="95"/>
    </row>
    <row r="78" spans="1:21" s="45" customFormat="1">
      <c r="A78" s="71">
        <v>6084</v>
      </c>
      <c r="B78" s="13">
        <v>38882</v>
      </c>
      <c r="C78" s="14" t="s">
        <v>25</v>
      </c>
      <c r="D78" s="46">
        <v>32957.300000000003</v>
      </c>
      <c r="E78" s="46">
        <f>12+D78*1.2%</f>
        <v>407.48760000000004</v>
      </c>
      <c r="F78" s="59">
        <f t="shared" si="17"/>
        <v>36.673884000000001</v>
      </c>
      <c r="G78" s="138"/>
      <c r="H78" s="46">
        <v>43.47</v>
      </c>
      <c r="I78" s="47">
        <f>D78*0.65%</f>
        <v>214.22245000000004</v>
      </c>
      <c r="J78" s="47"/>
      <c r="K78" s="47">
        <v>255.17</v>
      </c>
      <c r="L78" s="46"/>
      <c r="M78" s="46"/>
      <c r="N78" s="46"/>
      <c r="O78" s="47">
        <f>D78*0.125%</f>
        <v>41.196625000000004</v>
      </c>
      <c r="P78" s="47"/>
      <c r="Q78" s="47">
        <v>49.07</v>
      </c>
      <c r="R78" s="104" t="s">
        <v>158</v>
      </c>
      <c r="S78" s="117">
        <v>6.8</v>
      </c>
      <c r="T78" s="117">
        <v>48.82</v>
      </c>
      <c r="U78" s="95"/>
    </row>
    <row r="79" spans="1:21" s="45" customFormat="1">
      <c r="A79" s="71">
        <v>6373</v>
      </c>
      <c r="B79" s="13">
        <v>38995</v>
      </c>
      <c r="C79" s="14" t="s">
        <v>47</v>
      </c>
      <c r="D79" s="46">
        <v>2000</v>
      </c>
      <c r="E79" s="59">
        <f t="shared" ref="E79:E82" si="21">12+D79*1.2%</f>
        <v>36</v>
      </c>
      <c r="F79" s="59">
        <f t="shared" si="17"/>
        <v>3.2399999999999998</v>
      </c>
      <c r="G79" s="138"/>
      <c r="H79" s="46">
        <v>22.68</v>
      </c>
      <c r="I79" s="47"/>
      <c r="J79" s="47"/>
      <c r="K79" s="47"/>
      <c r="L79" s="46"/>
      <c r="M79" s="46"/>
      <c r="N79" s="46"/>
      <c r="O79" s="47"/>
      <c r="P79" s="47"/>
      <c r="Q79" s="47"/>
      <c r="R79" s="104" t="s">
        <v>158</v>
      </c>
      <c r="S79" s="117">
        <v>19.440000000000001</v>
      </c>
      <c r="T79" s="117"/>
      <c r="U79" s="95"/>
    </row>
    <row r="80" spans="1:21" s="45" customFormat="1">
      <c r="A80" s="71">
        <v>6445</v>
      </c>
      <c r="B80" s="13">
        <v>39023</v>
      </c>
      <c r="C80" s="14" t="s">
        <v>25</v>
      </c>
      <c r="D80" s="46">
        <v>54514.54</v>
      </c>
      <c r="E80" s="59">
        <f t="shared" si="21"/>
        <v>666.17448000000002</v>
      </c>
      <c r="F80" s="59">
        <f t="shared" si="17"/>
        <v>59.955703200000002</v>
      </c>
      <c r="G80" s="138"/>
      <c r="H80" s="46">
        <v>59.95</v>
      </c>
      <c r="I80" s="47"/>
      <c r="J80" s="47"/>
      <c r="K80" s="47">
        <v>354</v>
      </c>
      <c r="L80" s="46"/>
      <c r="M80" s="46"/>
      <c r="N80" s="46"/>
      <c r="O80" s="47"/>
      <c r="P80" s="47"/>
      <c r="Q80" s="47">
        <v>68.069999999999993</v>
      </c>
      <c r="R80" s="104" t="s">
        <v>223</v>
      </c>
      <c r="S80" s="117"/>
      <c r="T80" s="117">
        <v>422.07</v>
      </c>
      <c r="U80" s="95"/>
    </row>
    <row r="81" spans="1:21" s="45" customFormat="1">
      <c r="A81" s="71">
        <v>6513</v>
      </c>
      <c r="B81" s="13">
        <v>39058</v>
      </c>
      <c r="C81" s="14" t="s">
        <v>46</v>
      </c>
      <c r="D81" s="46">
        <v>2053.0700000000002</v>
      </c>
      <c r="E81" s="59">
        <f t="shared" si="21"/>
        <v>36.636840000000007</v>
      </c>
      <c r="F81" s="59">
        <f t="shared" si="17"/>
        <v>3.2973156000000006</v>
      </c>
      <c r="G81" s="138"/>
      <c r="H81" s="46">
        <v>27.92</v>
      </c>
      <c r="I81" s="47"/>
      <c r="J81" s="47"/>
      <c r="K81" s="47"/>
      <c r="L81" s="46"/>
      <c r="M81" s="46"/>
      <c r="N81" s="46"/>
      <c r="O81" s="47"/>
      <c r="P81" s="47"/>
      <c r="Q81" s="47"/>
      <c r="R81" s="104" t="s">
        <v>158</v>
      </c>
      <c r="S81" s="117">
        <v>24.62</v>
      </c>
      <c r="T81" s="117"/>
      <c r="U81" s="95"/>
    </row>
    <row r="82" spans="1:21" s="45" customFormat="1">
      <c r="A82" s="71">
        <v>6569</v>
      </c>
      <c r="B82" s="13">
        <v>39073</v>
      </c>
      <c r="C82" s="14" t="s">
        <v>45</v>
      </c>
      <c r="D82" s="46">
        <v>48111</v>
      </c>
      <c r="E82" s="59">
        <f t="shared" si="21"/>
        <v>589.33199999999999</v>
      </c>
      <c r="F82" s="59">
        <f>(12+8111*1.2%)*9%</f>
        <v>9.8398800000000008</v>
      </c>
      <c r="G82" s="138"/>
      <c r="H82" s="46">
        <v>53.04</v>
      </c>
      <c r="I82" s="47"/>
      <c r="J82" s="47"/>
      <c r="K82" s="47"/>
      <c r="L82" s="46"/>
      <c r="M82" s="46"/>
      <c r="N82" s="46"/>
      <c r="O82" s="47"/>
      <c r="P82" s="47"/>
      <c r="Q82" s="47"/>
      <c r="R82" s="104" t="s">
        <v>172</v>
      </c>
      <c r="S82" s="117">
        <v>9.84</v>
      </c>
      <c r="T82" s="117"/>
      <c r="U82" s="95"/>
    </row>
    <row r="83" spans="1:21" s="95" customFormat="1">
      <c r="A83" s="105">
        <v>6616</v>
      </c>
      <c r="B83" s="101">
        <v>39091</v>
      </c>
      <c r="C83" s="139" t="s">
        <v>203</v>
      </c>
      <c r="D83" s="138">
        <v>11143.31</v>
      </c>
      <c r="E83" s="137"/>
      <c r="F83" s="137">
        <v>9.9499999999999993</v>
      </c>
      <c r="G83" s="138"/>
      <c r="H83" s="138">
        <v>13.11</v>
      </c>
      <c r="I83" s="138"/>
      <c r="J83" s="12"/>
      <c r="K83" s="138"/>
      <c r="L83" s="138"/>
      <c r="M83" s="138"/>
      <c r="N83" s="138"/>
      <c r="O83" s="138"/>
      <c r="P83" s="12"/>
      <c r="Q83" s="138"/>
      <c r="R83" s="104" t="s">
        <v>172</v>
      </c>
      <c r="S83" s="118">
        <v>3.16</v>
      </c>
      <c r="T83" s="118"/>
    </row>
    <row r="84" spans="1:21" s="95" customFormat="1">
      <c r="A84" s="105">
        <v>6662</v>
      </c>
      <c r="B84" s="101">
        <v>39112</v>
      </c>
      <c r="C84" s="144" t="s">
        <v>199</v>
      </c>
      <c r="D84" s="138">
        <v>20518.310000000001</v>
      </c>
      <c r="E84" s="137"/>
      <c r="F84" s="137">
        <v>23.23</v>
      </c>
      <c r="G84" s="138"/>
      <c r="H84" s="138">
        <v>23.23</v>
      </c>
      <c r="I84" s="138"/>
      <c r="J84" s="12"/>
      <c r="K84" s="138"/>
      <c r="L84" s="138"/>
      <c r="M84" s="138"/>
      <c r="N84" s="138"/>
      <c r="O84" s="138"/>
      <c r="P84" s="12"/>
      <c r="Q84" s="138"/>
      <c r="R84" s="104" t="s">
        <v>172</v>
      </c>
      <c r="S84" s="118">
        <v>22.63</v>
      </c>
      <c r="T84" s="118"/>
    </row>
    <row r="85" spans="1:21" s="95" customFormat="1">
      <c r="A85" s="105">
        <v>6730</v>
      </c>
      <c r="B85" s="101">
        <v>39143</v>
      </c>
      <c r="C85" s="139" t="s">
        <v>197</v>
      </c>
      <c r="D85" s="138"/>
      <c r="E85" s="138"/>
      <c r="F85" s="138"/>
      <c r="G85" s="138"/>
      <c r="H85" s="138"/>
      <c r="I85" s="147"/>
      <c r="J85" s="147"/>
      <c r="K85" s="147"/>
      <c r="L85" s="147"/>
      <c r="M85" s="147"/>
      <c r="N85" s="147"/>
      <c r="O85" s="147"/>
      <c r="P85" s="147"/>
      <c r="Q85" s="147"/>
      <c r="R85" s="104" t="s">
        <v>198</v>
      </c>
      <c r="S85" s="118">
        <v>1.83</v>
      </c>
      <c r="T85" s="118"/>
    </row>
    <row r="86" spans="1:21" s="95" customFormat="1">
      <c r="A86" s="105">
        <v>6755</v>
      </c>
      <c r="B86" s="101">
        <v>39149</v>
      </c>
      <c r="C86" s="139" t="s">
        <v>44</v>
      </c>
      <c r="D86" s="137">
        <v>1356</v>
      </c>
      <c r="E86" s="137">
        <f>12+D86*1.2%</f>
        <v>28.272000000000002</v>
      </c>
      <c r="F86" s="137">
        <f>E86*9%</f>
        <v>2.5444800000000001</v>
      </c>
      <c r="G86" s="138"/>
      <c r="H86" s="137">
        <v>2.7</v>
      </c>
      <c r="I86" s="12"/>
      <c r="J86" s="12"/>
      <c r="K86" s="138"/>
      <c r="L86" s="138">
        <f>D86*1.3%</f>
        <v>17.628</v>
      </c>
      <c r="M86" s="137"/>
      <c r="N86" s="137">
        <v>19.5</v>
      </c>
      <c r="O86" s="138"/>
      <c r="P86" s="12"/>
      <c r="Q86" s="138"/>
      <c r="R86" s="104" t="s">
        <v>195</v>
      </c>
      <c r="S86" s="118">
        <v>0.16</v>
      </c>
      <c r="T86" s="118">
        <v>1.87</v>
      </c>
    </row>
    <row r="87" spans="1:21" s="95" customFormat="1">
      <c r="A87" s="105">
        <v>6768</v>
      </c>
      <c r="B87" s="101">
        <v>39154</v>
      </c>
      <c r="C87" s="139" t="s">
        <v>205</v>
      </c>
      <c r="D87" s="137">
        <v>12616.68</v>
      </c>
      <c r="E87" s="137">
        <v>133.4</v>
      </c>
      <c r="F87" s="137">
        <v>12.01</v>
      </c>
      <c r="G87" s="138"/>
      <c r="H87" s="137">
        <v>14.7</v>
      </c>
      <c r="I87" s="12"/>
      <c r="J87" s="12"/>
      <c r="K87" s="138"/>
      <c r="L87" s="138"/>
      <c r="M87" s="137"/>
      <c r="N87" s="137"/>
      <c r="O87" s="138"/>
      <c r="P87" s="12"/>
      <c r="Q87" s="138"/>
      <c r="R87" s="104" t="s">
        <v>172</v>
      </c>
      <c r="S87" s="118">
        <v>2.69</v>
      </c>
      <c r="T87" s="118"/>
    </row>
    <row r="88" spans="1:21" s="95" customFormat="1">
      <c r="A88" s="105">
        <v>6769</v>
      </c>
      <c r="B88" s="101">
        <v>39154</v>
      </c>
      <c r="C88" s="139" t="s">
        <v>205</v>
      </c>
      <c r="D88" s="137">
        <v>12831.18</v>
      </c>
      <c r="E88" s="137">
        <v>135.97</v>
      </c>
      <c r="F88" s="137">
        <v>12.24</v>
      </c>
      <c r="G88" s="138"/>
      <c r="H88" s="137">
        <v>14.93</v>
      </c>
      <c r="I88" s="12"/>
      <c r="J88" s="12"/>
      <c r="K88" s="138"/>
      <c r="L88" s="138"/>
      <c r="M88" s="137"/>
      <c r="N88" s="137"/>
      <c r="O88" s="138"/>
      <c r="P88" s="12"/>
      <c r="Q88" s="138"/>
      <c r="R88" s="104" t="s">
        <v>172</v>
      </c>
      <c r="S88" s="118">
        <v>2.69</v>
      </c>
      <c r="T88" s="118"/>
    </row>
    <row r="89" spans="1:21" s="134" customFormat="1">
      <c r="A89" s="72">
        <v>6798</v>
      </c>
      <c r="B89" s="101">
        <v>39170</v>
      </c>
      <c r="C89" s="139" t="s">
        <v>25</v>
      </c>
      <c r="D89" s="137">
        <v>53498.63</v>
      </c>
      <c r="E89" s="137">
        <f t="shared" ref="E89" si="22">12+D89*1.2%</f>
        <v>653.98356000000001</v>
      </c>
      <c r="F89" s="137">
        <f t="shared" ref="F89" si="23">E89*9%</f>
        <v>58.858520399999996</v>
      </c>
      <c r="G89" s="138"/>
      <c r="H89" s="137">
        <v>58.85</v>
      </c>
      <c r="I89" s="138"/>
      <c r="J89" s="138"/>
      <c r="K89" s="138">
        <v>347.74</v>
      </c>
      <c r="L89" s="137"/>
      <c r="M89" s="138"/>
      <c r="N89" s="138"/>
      <c r="O89" s="138"/>
      <c r="P89" s="138"/>
      <c r="Q89" s="138">
        <v>66.87</v>
      </c>
      <c r="R89" s="104" t="s">
        <v>196</v>
      </c>
      <c r="S89" s="117"/>
      <c r="T89" s="117">
        <v>414.61</v>
      </c>
      <c r="U89" s="95"/>
    </row>
    <row r="90" spans="1:21" s="134" customFormat="1">
      <c r="A90" s="12">
        <v>6811</v>
      </c>
      <c r="B90" s="52">
        <v>39174</v>
      </c>
      <c r="C90" s="53" t="s">
        <v>25</v>
      </c>
      <c r="D90" s="90">
        <v>16923.07</v>
      </c>
      <c r="E90" s="137">
        <f t="shared" ref="E90" si="24">12+D90*1.2%</f>
        <v>215.07684</v>
      </c>
      <c r="F90" s="137">
        <f t="shared" ref="F90" si="25">E90*9%</f>
        <v>19.356915600000001</v>
      </c>
      <c r="G90" s="138"/>
      <c r="H90" s="137">
        <v>36.380000000000003</v>
      </c>
      <c r="I90" s="138">
        <v>109.99995500000001</v>
      </c>
      <c r="J90" s="138"/>
      <c r="K90" s="138">
        <v>212.45</v>
      </c>
      <c r="L90" s="137"/>
      <c r="M90" s="137"/>
      <c r="N90" s="137"/>
      <c r="O90" s="138">
        <v>21.153837500000002</v>
      </c>
      <c r="P90" s="138"/>
      <c r="Q90" s="138">
        <v>40.85</v>
      </c>
      <c r="R90" s="104" t="s">
        <v>192</v>
      </c>
      <c r="S90" s="117">
        <v>17.02</v>
      </c>
      <c r="T90" s="117">
        <v>122.15</v>
      </c>
      <c r="U90" s="95"/>
    </row>
    <row r="91" spans="1:21" s="134" customFormat="1">
      <c r="A91" s="69"/>
      <c r="B91" s="145">
        <v>39175</v>
      </c>
      <c r="C91" s="30"/>
      <c r="D91" s="110"/>
      <c r="E91" s="110"/>
      <c r="F91" s="110"/>
      <c r="G91" s="110"/>
      <c r="H91" s="110"/>
      <c r="I91" s="161" t="s">
        <v>43</v>
      </c>
      <c r="J91" s="162"/>
      <c r="K91" s="162"/>
      <c r="L91" s="162"/>
      <c r="M91" s="162"/>
      <c r="N91" s="162"/>
      <c r="O91" s="162"/>
      <c r="P91" s="162"/>
      <c r="Q91" s="163"/>
      <c r="R91" s="32"/>
      <c r="S91" s="146"/>
      <c r="T91" s="146"/>
      <c r="U91" s="95"/>
    </row>
    <row r="92" spans="1:21" s="134" customFormat="1">
      <c r="A92" s="73">
        <v>6897</v>
      </c>
      <c r="B92" s="101">
        <v>39199</v>
      </c>
      <c r="C92" s="53" t="s">
        <v>189</v>
      </c>
      <c r="D92" s="90">
        <v>80134.37</v>
      </c>
      <c r="E92" s="137"/>
      <c r="F92" s="137">
        <v>1.83</v>
      </c>
      <c r="G92" s="137"/>
      <c r="H92" s="137">
        <v>87.62</v>
      </c>
      <c r="I92" s="137"/>
      <c r="J92" s="138"/>
      <c r="K92" s="138">
        <v>384.84</v>
      </c>
      <c r="L92" s="137"/>
      <c r="M92" s="138"/>
      <c r="N92" s="138"/>
      <c r="O92" s="138"/>
      <c r="P92" s="138"/>
      <c r="Q92" s="138">
        <v>74</v>
      </c>
      <c r="R92" s="104" t="s">
        <v>194</v>
      </c>
      <c r="S92" s="117">
        <v>85.79</v>
      </c>
      <c r="T92" s="117">
        <v>458.84</v>
      </c>
      <c r="U92" s="95"/>
    </row>
    <row r="93" spans="1:21" s="45" customFormat="1">
      <c r="A93" s="69"/>
      <c r="B93" s="63">
        <v>39256</v>
      </c>
      <c r="C93" s="30"/>
      <c r="D93" s="31"/>
      <c r="E93" s="31"/>
      <c r="F93" s="31"/>
      <c r="G93" s="31"/>
      <c r="H93" s="31"/>
      <c r="I93" s="161" t="s">
        <v>43</v>
      </c>
      <c r="J93" s="162"/>
      <c r="K93" s="162"/>
      <c r="L93" s="162"/>
      <c r="M93" s="162"/>
      <c r="N93" s="162"/>
      <c r="O93" s="162"/>
      <c r="P93" s="162"/>
      <c r="Q93" s="163"/>
      <c r="R93" s="61"/>
      <c r="S93" s="117"/>
      <c r="T93" s="117"/>
      <c r="U93" s="95"/>
    </row>
    <row r="94" spans="1:21" s="95" customFormat="1">
      <c r="A94" s="105">
        <v>7130</v>
      </c>
      <c r="B94" s="101">
        <v>39276</v>
      </c>
      <c r="C94" s="102" t="s">
        <v>201</v>
      </c>
      <c r="D94" s="138">
        <v>50000</v>
      </c>
      <c r="E94" s="138">
        <f>12+35000*1.2%</f>
        <v>432</v>
      </c>
      <c r="F94" s="138">
        <f>E94*9%</f>
        <v>38.879999999999995</v>
      </c>
      <c r="G94" s="138"/>
      <c r="H94" s="138">
        <v>55.08</v>
      </c>
      <c r="I94" s="138"/>
      <c r="J94" s="138"/>
      <c r="K94" s="138"/>
      <c r="L94" s="138"/>
      <c r="M94" s="138"/>
      <c r="N94" s="138"/>
      <c r="O94" s="138"/>
      <c r="P94" s="138"/>
      <c r="Q94" s="138"/>
      <c r="R94" s="104" t="s">
        <v>172</v>
      </c>
      <c r="S94" s="118">
        <v>16.2</v>
      </c>
      <c r="T94" s="118"/>
    </row>
    <row r="95" spans="1:21" s="95" customFormat="1">
      <c r="A95" s="105">
        <v>7270</v>
      </c>
      <c r="B95" s="101">
        <v>39324</v>
      </c>
      <c r="C95" s="135" t="s">
        <v>187</v>
      </c>
      <c r="D95" s="137">
        <v>6247.53</v>
      </c>
      <c r="E95" s="137"/>
      <c r="F95" s="137">
        <v>0.6</v>
      </c>
      <c r="G95" s="137"/>
      <c r="H95" s="137">
        <v>7.82</v>
      </c>
      <c r="I95" s="138"/>
      <c r="J95" s="138"/>
      <c r="K95" s="138"/>
      <c r="L95" s="138"/>
      <c r="M95" s="138"/>
      <c r="N95" s="138"/>
      <c r="O95" s="138"/>
      <c r="P95" s="138"/>
      <c r="Q95" s="138"/>
      <c r="R95" s="104" t="s">
        <v>172</v>
      </c>
      <c r="S95" s="118">
        <v>7.22</v>
      </c>
      <c r="T95" s="118"/>
    </row>
    <row r="96" spans="1:21" s="16" customFormat="1">
      <c r="A96" s="71">
        <v>7304</v>
      </c>
      <c r="B96" s="13">
        <v>39338</v>
      </c>
      <c r="C96" s="102" t="s">
        <v>186</v>
      </c>
      <c r="D96" s="17">
        <v>14673.51</v>
      </c>
      <c r="E96" s="17">
        <v>12</v>
      </c>
      <c r="F96" s="17">
        <v>0.6</v>
      </c>
      <c r="G96" s="17"/>
      <c r="H96" s="17">
        <v>16.920000000000002</v>
      </c>
      <c r="I96" s="18"/>
      <c r="J96" s="18"/>
      <c r="K96" s="18"/>
      <c r="L96" s="17"/>
      <c r="M96" s="17"/>
      <c r="N96" s="17"/>
      <c r="O96" s="18"/>
      <c r="P96" s="18"/>
      <c r="Q96" s="18"/>
      <c r="R96" s="104" t="s">
        <v>172</v>
      </c>
      <c r="S96" s="117"/>
      <c r="T96" s="117"/>
      <c r="U96" s="95"/>
    </row>
    <row r="97" spans="1:21" s="134" customFormat="1">
      <c r="A97" s="105">
        <v>7379</v>
      </c>
      <c r="B97" s="101">
        <v>39373</v>
      </c>
      <c r="C97" s="102" t="s">
        <v>208</v>
      </c>
      <c r="D97" s="137">
        <v>5869.4</v>
      </c>
      <c r="E97" s="137">
        <v>12</v>
      </c>
      <c r="F97" s="137">
        <v>0.6</v>
      </c>
      <c r="G97" s="137"/>
      <c r="H97" s="138">
        <v>7.42</v>
      </c>
      <c r="I97" s="138"/>
      <c r="J97" s="138"/>
      <c r="K97" s="138"/>
      <c r="L97" s="137"/>
      <c r="M97" s="137"/>
      <c r="N97" s="137"/>
      <c r="O97" s="138"/>
      <c r="P97" s="138"/>
      <c r="Q97" s="138"/>
      <c r="R97" s="104" t="s">
        <v>172</v>
      </c>
      <c r="S97" s="117">
        <v>6.82</v>
      </c>
      <c r="T97" s="117"/>
      <c r="U97" s="95"/>
    </row>
    <row r="98" spans="1:21" s="134" customFormat="1">
      <c r="A98" s="105">
        <v>7456</v>
      </c>
      <c r="B98" s="101">
        <v>39415</v>
      </c>
      <c r="C98" s="102" t="s">
        <v>209</v>
      </c>
      <c r="D98" s="137">
        <v>25919.54</v>
      </c>
      <c r="E98" s="137"/>
      <c r="F98" s="137">
        <v>9.6300000000000008</v>
      </c>
      <c r="G98" s="137"/>
      <c r="H98" s="138">
        <v>29.07</v>
      </c>
      <c r="I98" s="138"/>
      <c r="J98" s="138"/>
      <c r="K98" s="138"/>
      <c r="L98" s="137"/>
      <c r="M98" s="137"/>
      <c r="N98" s="137"/>
      <c r="O98" s="138"/>
      <c r="P98" s="138"/>
      <c r="Q98" s="138"/>
      <c r="R98" s="104" t="s">
        <v>172</v>
      </c>
      <c r="S98" s="117">
        <v>19.440000000000001</v>
      </c>
      <c r="T98" s="117"/>
      <c r="U98" s="95"/>
    </row>
    <row r="99" spans="1:21" s="134" customFormat="1">
      <c r="A99" s="105">
        <v>8012</v>
      </c>
      <c r="B99" s="101"/>
      <c r="C99" s="139" t="s">
        <v>254</v>
      </c>
      <c r="D99" s="137">
        <v>9995</v>
      </c>
      <c r="E99" s="137"/>
      <c r="F99" s="138">
        <v>2.34</v>
      </c>
      <c r="G99" s="137"/>
      <c r="H99" s="137">
        <v>11.87</v>
      </c>
      <c r="I99" s="137"/>
      <c r="J99" s="137"/>
      <c r="K99" s="137"/>
      <c r="L99" s="137"/>
      <c r="M99" s="137"/>
      <c r="N99" s="137"/>
      <c r="O99" s="138"/>
      <c r="P99" s="138"/>
      <c r="Q99" s="138"/>
      <c r="R99" s="104" t="s">
        <v>172</v>
      </c>
      <c r="S99" s="117">
        <v>9.5</v>
      </c>
      <c r="T99" s="117"/>
      <c r="U99" s="95"/>
    </row>
    <row r="100" spans="1:21" s="134" customFormat="1">
      <c r="A100" s="105">
        <v>8232</v>
      </c>
      <c r="B100" s="101"/>
      <c r="C100" s="139" t="s">
        <v>246</v>
      </c>
      <c r="D100" s="137"/>
      <c r="E100" s="137"/>
      <c r="F100" s="137">
        <v>0.6</v>
      </c>
      <c r="G100" s="137">
        <v>0.6</v>
      </c>
      <c r="H100" s="137">
        <v>7.88</v>
      </c>
      <c r="I100" s="138"/>
      <c r="J100" s="138"/>
      <c r="K100" s="138"/>
      <c r="L100" s="137"/>
      <c r="M100" s="137"/>
      <c r="N100" s="137"/>
      <c r="O100" s="138"/>
      <c r="P100" s="138"/>
      <c r="Q100" s="138"/>
      <c r="R100" s="104" t="s">
        <v>247</v>
      </c>
      <c r="S100" s="117">
        <v>7.28</v>
      </c>
      <c r="T100" s="117"/>
      <c r="U100" s="95"/>
    </row>
    <row r="101" spans="1:21" s="134" customFormat="1">
      <c r="A101" s="105">
        <v>8285</v>
      </c>
      <c r="B101" s="101">
        <v>39757</v>
      </c>
      <c r="C101" s="102" t="s">
        <v>227</v>
      </c>
      <c r="D101" s="137">
        <v>6410.4</v>
      </c>
      <c r="E101" s="137"/>
      <c r="F101" s="137">
        <v>2.6</v>
      </c>
      <c r="G101" s="137">
        <v>3.81</v>
      </c>
      <c r="H101" s="137">
        <v>8</v>
      </c>
      <c r="I101" s="138"/>
      <c r="J101" s="138"/>
      <c r="K101" s="138"/>
      <c r="L101" s="137"/>
      <c r="M101" s="137"/>
      <c r="N101" s="137"/>
      <c r="O101" s="138"/>
      <c r="P101" s="138"/>
      <c r="Q101" s="138"/>
      <c r="R101" s="104" t="s">
        <v>229</v>
      </c>
      <c r="S101" s="117">
        <f>H101-F101</f>
        <v>5.4</v>
      </c>
      <c r="T101" s="117"/>
      <c r="U101" s="95"/>
    </row>
    <row r="102" spans="1:21" s="134" customFormat="1">
      <c r="A102" s="105">
        <v>8389</v>
      </c>
      <c r="B102" s="101">
        <v>39801</v>
      </c>
      <c r="C102" s="102" t="s">
        <v>236</v>
      </c>
      <c r="D102" s="138">
        <v>1300</v>
      </c>
      <c r="E102" s="137"/>
      <c r="F102" s="137">
        <v>0.6</v>
      </c>
      <c r="G102" s="137">
        <v>0.6</v>
      </c>
      <c r="H102" s="137">
        <v>2.48</v>
      </c>
      <c r="I102" s="138"/>
      <c r="J102" s="138"/>
      <c r="K102" s="138"/>
      <c r="L102" s="137"/>
      <c r="M102" s="137"/>
      <c r="N102" s="137">
        <v>16.899999999999999</v>
      </c>
      <c r="O102" s="138"/>
      <c r="P102" s="138"/>
      <c r="Q102" s="138"/>
      <c r="R102" s="104" t="s">
        <v>235</v>
      </c>
      <c r="S102" s="117">
        <v>1.88</v>
      </c>
      <c r="T102" s="117">
        <v>16.899999999999999</v>
      </c>
      <c r="U102" s="95"/>
    </row>
    <row r="103" spans="1:21" s="134" customFormat="1">
      <c r="A103" s="105">
        <v>8390</v>
      </c>
      <c r="B103" s="101">
        <v>39802</v>
      </c>
      <c r="C103" s="102" t="s">
        <v>234</v>
      </c>
      <c r="D103" s="138">
        <v>2500</v>
      </c>
      <c r="E103" s="137"/>
      <c r="F103" s="137">
        <v>2.31</v>
      </c>
      <c r="G103" s="137">
        <v>0.6</v>
      </c>
      <c r="H103" s="137">
        <v>3.78</v>
      </c>
      <c r="I103" s="138"/>
      <c r="J103" s="138"/>
      <c r="K103" s="138"/>
      <c r="L103" s="137">
        <v>14.8</v>
      </c>
      <c r="M103" s="137"/>
      <c r="N103" s="137">
        <v>32.5</v>
      </c>
      <c r="O103" s="138"/>
      <c r="P103" s="138"/>
      <c r="Q103" s="138"/>
      <c r="R103" s="104" t="s">
        <v>235</v>
      </c>
      <c r="S103" s="117">
        <v>1.47</v>
      </c>
      <c r="T103" s="117">
        <f>N103-L103</f>
        <v>17.7</v>
      </c>
      <c r="U103" s="95"/>
    </row>
    <row r="104" spans="1:21" s="134" customFormat="1">
      <c r="A104" s="105">
        <v>8501</v>
      </c>
      <c r="B104" s="101">
        <v>39875</v>
      </c>
      <c r="C104" s="102" t="s">
        <v>237</v>
      </c>
      <c r="D104" s="137">
        <v>32841.25</v>
      </c>
      <c r="E104" s="137"/>
      <c r="F104" s="137">
        <v>25.73</v>
      </c>
      <c r="G104" s="137">
        <v>36.549999999999997</v>
      </c>
      <c r="H104" s="137">
        <v>36.549999999999997</v>
      </c>
      <c r="I104" s="138"/>
      <c r="J104" s="138"/>
      <c r="K104" s="138"/>
      <c r="L104" s="137"/>
      <c r="M104" s="137"/>
      <c r="N104" s="137"/>
      <c r="O104" s="138"/>
      <c r="P104" s="138"/>
      <c r="Q104" s="138"/>
      <c r="R104" s="104" t="s">
        <v>172</v>
      </c>
      <c r="S104" s="117">
        <f>G104-F104</f>
        <v>10.819999999999997</v>
      </c>
      <c r="T104" s="117"/>
      <c r="U104" s="95"/>
    </row>
    <row r="105" spans="1:21" s="16" customFormat="1">
      <c r="A105" s="74"/>
      <c r="B105" s="63">
        <v>40028</v>
      </c>
      <c r="C105" s="26"/>
      <c r="D105" s="24"/>
      <c r="E105" s="23" t="s">
        <v>32</v>
      </c>
      <c r="F105" s="24"/>
      <c r="G105" s="24"/>
      <c r="H105" s="24"/>
      <c r="I105" s="24"/>
      <c r="J105" s="24"/>
      <c r="K105" s="24"/>
      <c r="L105" s="24"/>
      <c r="M105" s="27"/>
      <c r="N105" s="24"/>
      <c r="O105" s="28"/>
      <c r="P105" s="24"/>
      <c r="Q105" s="24"/>
      <c r="R105" s="25"/>
      <c r="S105" s="143"/>
      <c r="T105" s="143"/>
      <c r="U105" s="95"/>
    </row>
    <row r="106" spans="1:21">
      <c r="A106" s="71">
        <v>8837</v>
      </c>
      <c r="B106" s="9">
        <v>40031</v>
      </c>
      <c r="C106" s="139" t="s">
        <v>171</v>
      </c>
      <c r="D106" s="1">
        <v>10400</v>
      </c>
      <c r="E106" s="1">
        <v>20</v>
      </c>
      <c r="F106" s="17">
        <v>1</v>
      </c>
      <c r="G106" s="17">
        <v>1</v>
      </c>
      <c r="H106" s="17">
        <v>11.16</v>
      </c>
      <c r="I106" s="10"/>
      <c r="J106" s="10"/>
      <c r="K106" s="10"/>
      <c r="L106" s="1"/>
      <c r="M106" s="1"/>
      <c r="N106" s="1"/>
      <c r="O106" s="10"/>
      <c r="P106" s="10"/>
      <c r="Q106" s="10"/>
      <c r="R106" s="104" t="s">
        <v>172</v>
      </c>
      <c r="S106" s="117">
        <v>10.16</v>
      </c>
      <c r="T106" s="117"/>
    </row>
    <row r="107" spans="1:21" s="134" customFormat="1">
      <c r="A107" s="105">
        <v>8973</v>
      </c>
      <c r="B107" s="101"/>
      <c r="C107" s="139" t="s">
        <v>240</v>
      </c>
      <c r="D107" s="138">
        <v>65000</v>
      </c>
      <c r="E107" s="137"/>
      <c r="F107" s="137">
        <v>54</v>
      </c>
      <c r="G107" s="137"/>
      <c r="H107" s="137">
        <v>60.3</v>
      </c>
      <c r="I107" s="138"/>
      <c r="J107" s="138"/>
      <c r="K107" s="138"/>
      <c r="L107" s="137"/>
      <c r="M107" s="137"/>
      <c r="N107" s="137"/>
      <c r="O107" s="138"/>
      <c r="P107" s="138"/>
      <c r="Q107" s="138"/>
      <c r="R107" s="104" t="s">
        <v>172</v>
      </c>
      <c r="S107" s="117">
        <v>6.3</v>
      </c>
      <c r="T107" s="117"/>
      <c r="U107" s="95"/>
    </row>
    <row r="108" spans="1:21" s="134" customFormat="1">
      <c r="A108" s="105">
        <v>8958</v>
      </c>
      <c r="B108" s="101">
        <v>40074</v>
      </c>
      <c r="C108" s="139" t="s">
        <v>238</v>
      </c>
      <c r="D108" s="138">
        <v>1870.71</v>
      </c>
      <c r="E108" s="137"/>
      <c r="F108" s="137">
        <v>1</v>
      </c>
      <c r="G108" s="137">
        <v>1</v>
      </c>
      <c r="H108" s="137">
        <v>3.09</v>
      </c>
      <c r="I108" s="138"/>
      <c r="J108" s="138"/>
      <c r="K108" s="138"/>
      <c r="L108" s="137">
        <v>0</v>
      </c>
      <c r="M108" s="137"/>
      <c r="N108" s="137">
        <v>24.31</v>
      </c>
      <c r="O108" s="138"/>
      <c r="P108" s="138"/>
      <c r="Q108" s="138"/>
      <c r="R108" s="104" t="s">
        <v>239</v>
      </c>
      <c r="S108" s="117"/>
      <c r="T108" s="117">
        <v>24.31</v>
      </c>
      <c r="U108" s="95"/>
    </row>
    <row r="109" spans="1:21" s="134" customFormat="1">
      <c r="A109" s="105">
        <v>8973</v>
      </c>
      <c r="B109" s="101"/>
      <c r="C109" s="139" t="s">
        <v>240</v>
      </c>
      <c r="D109" s="138">
        <v>65000</v>
      </c>
      <c r="E109" s="137"/>
      <c r="F109" s="137">
        <v>54</v>
      </c>
      <c r="G109" s="128"/>
      <c r="H109" s="137">
        <v>57.32</v>
      </c>
      <c r="I109" s="138"/>
      <c r="J109" s="138"/>
      <c r="K109" s="138"/>
      <c r="L109" s="137"/>
      <c r="M109" s="137"/>
      <c r="N109" s="137"/>
      <c r="O109" s="138"/>
      <c r="P109" s="138"/>
      <c r="Q109" s="138"/>
      <c r="R109" s="104" t="s">
        <v>241</v>
      </c>
      <c r="S109" s="117">
        <v>3.32</v>
      </c>
      <c r="T109" s="117"/>
      <c r="U109" s="95"/>
    </row>
    <row r="110" spans="1:21" s="134" customFormat="1">
      <c r="A110" s="106">
        <v>9020</v>
      </c>
      <c r="B110" s="101"/>
      <c r="C110" s="102" t="s">
        <v>243</v>
      </c>
      <c r="D110" s="138"/>
      <c r="E110" s="137"/>
      <c r="F110" s="137">
        <v>17.239999999999998</v>
      </c>
      <c r="G110" s="137"/>
      <c r="H110" s="137">
        <v>35.24</v>
      </c>
      <c r="I110" s="138"/>
      <c r="J110" s="138"/>
      <c r="K110" s="138"/>
      <c r="L110" s="137"/>
      <c r="M110" s="137"/>
      <c r="N110" s="137"/>
      <c r="O110" s="138"/>
      <c r="P110" s="138"/>
      <c r="Q110" s="138"/>
      <c r="R110" s="104" t="s">
        <v>244</v>
      </c>
      <c r="S110" s="117">
        <v>18</v>
      </c>
      <c r="T110" s="117"/>
      <c r="U110" s="95"/>
    </row>
    <row r="111" spans="1:21" s="134" customFormat="1">
      <c r="A111" s="105">
        <v>9134</v>
      </c>
      <c r="B111" s="9">
        <v>40142</v>
      </c>
      <c r="C111" s="135" t="s">
        <v>167</v>
      </c>
      <c r="D111" s="137">
        <v>3637.77</v>
      </c>
      <c r="E111" s="137">
        <f>20+D111*1%</f>
        <v>56.377699999999997</v>
      </c>
      <c r="F111" s="137">
        <f>E111*9%</f>
        <v>5.0739929999999998</v>
      </c>
      <c r="G111" s="137">
        <v>2.96</v>
      </c>
      <c r="H111" s="137">
        <v>5.07</v>
      </c>
      <c r="I111" s="138"/>
      <c r="J111" s="138"/>
      <c r="K111" s="138"/>
      <c r="L111" s="137"/>
      <c r="M111" s="137"/>
      <c r="N111" s="137"/>
      <c r="O111" s="138"/>
      <c r="P111" s="138"/>
      <c r="Q111" s="138"/>
      <c r="R111" s="104" t="s">
        <v>168</v>
      </c>
      <c r="S111" s="117">
        <v>2.11</v>
      </c>
      <c r="T111" s="117"/>
      <c r="U111" s="95"/>
    </row>
    <row r="112" spans="1:21" s="134" customFormat="1">
      <c r="A112" s="154">
        <v>9168</v>
      </c>
      <c r="B112" s="9">
        <v>40163</v>
      </c>
      <c r="C112" s="57" t="s">
        <v>249</v>
      </c>
      <c r="D112" s="137">
        <v>13000</v>
      </c>
      <c r="E112" s="137"/>
      <c r="F112" s="137">
        <v>13.5</v>
      </c>
      <c r="G112" s="128"/>
      <c r="H112" s="137">
        <v>15.3</v>
      </c>
      <c r="I112" s="138"/>
      <c r="J112" s="138"/>
      <c r="K112" s="138"/>
      <c r="L112" s="137"/>
      <c r="M112" s="137"/>
      <c r="N112" s="137"/>
      <c r="O112" s="138"/>
      <c r="P112" s="138"/>
      <c r="Q112" s="138"/>
      <c r="R112" s="104" t="s">
        <v>172</v>
      </c>
      <c r="S112" s="117">
        <v>1.8</v>
      </c>
      <c r="T112" s="117"/>
      <c r="U112" s="95"/>
    </row>
    <row r="113" spans="1:21" s="134" customFormat="1">
      <c r="A113" s="154">
        <v>9239</v>
      </c>
      <c r="B113" s="9"/>
      <c r="C113" s="33" t="s">
        <v>257</v>
      </c>
      <c r="D113" s="137">
        <v>59760</v>
      </c>
      <c r="E113" s="137"/>
      <c r="F113" s="137">
        <v>28.58</v>
      </c>
      <c r="G113" s="138"/>
      <c r="H113" s="137">
        <v>55.58</v>
      </c>
      <c r="I113" s="138"/>
      <c r="J113" s="138"/>
      <c r="K113" s="138"/>
      <c r="L113" s="137"/>
      <c r="M113" s="137"/>
      <c r="N113" s="137"/>
      <c r="O113" s="138"/>
      <c r="P113" s="138"/>
      <c r="Q113" s="138"/>
      <c r="R113" s="104" t="s">
        <v>172</v>
      </c>
      <c r="S113" s="117">
        <v>27</v>
      </c>
      <c r="T113" s="117"/>
      <c r="U113" s="95"/>
    </row>
    <row r="114" spans="1:21" s="134" customFormat="1">
      <c r="A114" s="154">
        <v>9308</v>
      </c>
      <c r="B114" s="9">
        <v>40249</v>
      </c>
      <c r="C114" s="57" t="s">
        <v>253</v>
      </c>
      <c r="D114" s="137">
        <v>35011.53</v>
      </c>
      <c r="E114" s="137"/>
      <c r="F114" s="137">
        <v>15.31</v>
      </c>
      <c r="G114" s="138"/>
      <c r="H114" s="137">
        <v>33.299999999999997</v>
      </c>
      <c r="I114" s="138"/>
      <c r="J114" s="138"/>
      <c r="K114" s="138"/>
      <c r="L114" s="137"/>
      <c r="M114" s="137"/>
      <c r="N114" s="137"/>
      <c r="O114" s="138"/>
      <c r="P114" s="138"/>
      <c r="Q114" s="138"/>
      <c r="R114" s="104" t="s">
        <v>172</v>
      </c>
      <c r="S114" s="117">
        <v>17.989999999999998</v>
      </c>
      <c r="T114" s="117"/>
      <c r="U114" s="95"/>
    </row>
    <row r="115" spans="1:21" s="134" customFormat="1">
      <c r="A115" s="154">
        <v>9328</v>
      </c>
      <c r="B115" s="9">
        <v>40262</v>
      </c>
      <c r="C115" s="33" t="s">
        <v>265</v>
      </c>
      <c r="D115" s="137">
        <v>19054.12</v>
      </c>
      <c r="E115" s="137">
        <f>20+10000*1%</f>
        <v>120</v>
      </c>
      <c r="F115" s="137">
        <v>10.8</v>
      </c>
      <c r="G115" s="138">
        <v>1</v>
      </c>
      <c r="H115" s="137">
        <v>18.940000000000001</v>
      </c>
      <c r="I115" s="138"/>
      <c r="J115" s="138"/>
      <c r="K115" s="138"/>
      <c r="L115" s="137">
        <v>130</v>
      </c>
      <c r="M115" s="137"/>
      <c r="N115" s="155"/>
      <c r="O115" s="138"/>
      <c r="P115" s="138"/>
      <c r="Q115" s="138"/>
      <c r="R115" s="104" t="s">
        <v>251</v>
      </c>
      <c r="S115" s="117">
        <v>7.94</v>
      </c>
      <c r="T115" s="117"/>
      <c r="U115" s="95"/>
    </row>
    <row r="116" spans="1:21">
      <c r="A116" s="71">
        <v>9354</v>
      </c>
      <c r="B116" s="9">
        <v>40269</v>
      </c>
      <c r="C116" s="135" t="s">
        <v>258</v>
      </c>
      <c r="D116" s="1">
        <v>45000</v>
      </c>
      <c r="E116" s="1">
        <f>20+37445.42*1%</f>
        <v>394.45420000000001</v>
      </c>
      <c r="F116" s="137">
        <v>29.2</v>
      </c>
      <c r="G116" s="1"/>
      <c r="H116" s="1">
        <v>42.3</v>
      </c>
      <c r="I116" s="10"/>
      <c r="J116" s="10"/>
      <c r="K116" s="10"/>
      <c r="L116" s="1"/>
      <c r="M116" s="1"/>
      <c r="N116" s="1"/>
      <c r="O116" s="10"/>
      <c r="P116" s="10"/>
      <c r="Q116" s="10"/>
      <c r="R116" s="104" t="s">
        <v>172</v>
      </c>
      <c r="S116" s="117">
        <v>4.8</v>
      </c>
      <c r="T116" s="117"/>
    </row>
    <row r="117" spans="1:21">
      <c r="A117" s="71">
        <v>9346</v>
      </c>
      <c r="B117" s="13">
        <v>40269</v>
      </c>
      <c r="C117" s="139" t="s">
        <v>25</v>
      </c>
      <c r="D117" s="18">
        <v>15904.86</v>
      </c>
      <c r="E117" s="17">
        <f>20+15204.88*1%</f>
        <v>172.0488</v>
      </c>
      <c r="F117" s="17">
        <f>E117*9%</f>
        <v>15.484392</v>
      </c>
      <c r="G117" s="17"/>
      <c r="H117" s="17">
        <v>16.11</v>
      </c>
      <c r="I117" s="10"/>
      <c r="J117" s="10"/>
      <c r="K117" s="10"/>
      <c r="L117" s="1"/>
      <c r="M117" s="1"/>
      <c r="N117" s="1"/>
      <c r="O117" s="10"/>
      <c r="P117" s="10"/>
      <c r="Q117" s="10"/>
      <c r="R117" s="104" t="s">
        <v>161</v>
      </c>
      <c r="S117" s="117">
        <v>0.63</v>
      </c>
      <c r="T117" s="117"/>
    </row>
    <row r="118" spans="1:21" s="134" customFormat="1">
      <c r="A118" s="105">
        <v>9395</v>
      </c>
      <c r="B118" s="101"/>
      <c r="C118" s="139" t="s">
        <v>261</v>
      </c>
      <c r="D118" s="138">
        <v>16667</v>
      </c>
      <c r="E118" s="137"/>
      <c r="F118" s="137">
        <v>1</v>
      </c>
      <c r="G118" s="137"/>
      <c r="H118" s="137">
        <v>16.8</v>
      </c>
      <c r="I118" s="138"/>
      <c r="J118" s="138"/>
      <c r="K118" s="138"/>
      <c r="L118" s="137"/>
      <c r="M118" s="137"/>
      <c r="N118" s="137"/>
      <c r="O118" s="138"/>
      <c r="P118" s="138"/>
      <c r="Q118" s="138"/>
      <c r="R118" s="104" t="s">
        <v>172</v>
      </c>
      <c r="S118" s="117">
        <v>15.8</v>
      </c>
      <c r="T118" s="117"/>
      <c r="U118" s="95"/>
    </row>
    <row r="119" spans="1:21" s="134" customFormat="1">
      <c r="A119" s="105">
        <v>9396</v>
      </c>
      <c r="B119" s="101"/>
      <c r="C119" s="139" t="s">
        <v>261</v>
      </c>
      <c r="D119" s="138">
        <v>8334</v>
      </c>
      <c r="E119" s="137"/>
      <c r="F119" s="137">
        <v>1</v>
      </c>
      <c r="G119" s="137"/>
      <c r="H119" s="137">
        <v>9.3000000000000007</v>
      </c>
      <c r="I119" s="138"/>
      <c r="J119" s="138"/>
      <c r="K119" s="138"/>
      <c r="L119" s="137"/>
      <c r="M119" s="137"/>
      <c r="N119" s="137"/>
      <c r="O119" s="138"/>
      <c r="P119" s="138"/>
      <c r="Q119" s="138"/>
      <c r="R119" s="104" t="s">
        <v>172</v>
      </c>
      <c r="S119" s="117">
        <v>8.3000000000000007</v>
      </c>
      <c r="T119" s="117"/>
      <c r="U119" s="95"/>
    </row>
    <row r="120" spans="1:21" s="134" customFormat="1">
      <c r="A120" s="105">
        <v>9420</v>
      </c>
      <c r="B120" s="101"/>
      <c r="C120" s="139" t="s">
        <v>262</v>
      </c>
      <c r="D120" s="138">
        <v>5200</v>
      </c>
      <c r="E120" s="137"/>
      <c r="F120" s="137">
        <v>1</v>
      </c>
      <c r="G120" s="137"/>
      <c r="H120" s="137">
        <v>6.48</v>
      </c>
      <c r="I120" s="138"/>
      <c r="J120" s="138"/>
      <c r="K120" s="138"/>
      <c r="L120" s="137"/>
      <c r="M120" s="137"/>
      <c r="N120" s="137"/>
      <c r="O120" s="138"/>
      <c r="P120" s="138"/>
      <c r="Q120" s="138"/>
      <c r="R120" s="104" t="s">
        <v>172</v>
      </c>
      <c r="S120" s="117">
        <v>5.48</v>
      </c>
      <c r="T120" s="117"/>
      <c r="U120" s="95"/>
    </row>
    <row r="121" spans="1:21" s="134" customFormat="1">
      <c r="A121" s="105">
        <v>9421</v>
      </c>
      <c r="B121" s="101"/>
      <c r="C121" s="139" t="s">
        <v>263</v>
      </c>
      <c r="D121" s="138">
        <v>5200</v>
      </c>
      <c r="E121" s="137"/>
      <c r="F121" s="137">
        <v>1</v>
      </c>
      <c r="G121" s="137"/>
      <c r="H121" s="137">
        <v>6.48</v>
      </c>
      <c r="I121" s="138"/>
      <c r="J121" s="138"/>
      <c r="K121" s="138"/>
      <c r="L121" s="137"/>
      <c r="M121" s="137"/>
      <c r="N121" s="137"/>
      <c r="O121" s="138"/>
      <c r="P121" s="138"/>
      <c r="Q121" s="138"/>
      <c r="R121" s="104" t="s">
        <v>172</v>
      </c>
      <c r="S121" s="117">
        <v>5.48</v>
      </c>
      <c r="T121" s="117"/>
      <c r="U121" s="95"/>
    </row>
    <row r="122" spans="1:21">
      <c r="A122" s="71">
        <v>9511</v>
      </c>
      <c r="B122" s="9">
        <v>40338</v>
      </c>
      <c r="C122" s="139" t="s">
        <v>71</v>
      </c>
      <c r="D122" s="1">
        <v>249.45</v>
      </c>
      <c r="E122" s="1">
        <v>20</v>
      </c>
      <c r="F122" s="18">
        <v>1</v>
      </c>
      <c r="G122" s="17"/>
      <c r="H122" s="17">
        <v>2.02</v>
      </c>
      <c r="I122" s="10"/>
      <c r="J122" s="10"/>
      <c r="K122" s="10"/>
      <c r="L122" s="1">
        <v>0</v>
      </c>
      <c r="M122" s="1"/>
      <c r="N122" s="1">
        <v>3.24</v>
      </c>
      <c r="O122" s="10"/>
      <c r="P122" s="10"/>
      <c r="Q122" s="10"/>
      <c r="R122" s="104" t="s">
        <v>159</v>
      </c>
      <c r="S122" s="117">
        <v>1.02</v>
      </c>
      <c r="T122" s="117">
        <v>3.24</v>
      </c>
    </row>
    <row r="123" spans="1:21" s="134" customFormat="1">
      <c r="A123" s="105">
        <v>9555</v>
      </c>
      <c r="B123" s="9">
        <v>40354</v>
      </c>
      <c r="C123" s="139" t="s">
        <v>157</v>
      </c>
      <c r="D123" s="137"/>
      <c r="E123" s="137"/>
      <c r="F123" s="138">
        <v>2</v>
      </c>
      <c r="G123" s="137"/>
      <c r="H123" s="137">
        <v>3.7</v>
      </c>
      <c r="I123" s="138"/>
      <c r="J123" s="138"/>
      <c r="K123" s="138"/>
      <c r="L123" s="137"/>
      <c r="M123" s="137"/>
      <c r="N123" s="137"/>
      <c r="O123" s="138"/>
      <c r="P123" s="138"/>
      <c r="Q123" s="138"/>
      <c r="R123" s="104" t="s">
        <v>158</v>
      </c>
      <c r="S123" s="117">
        <v>1.7</v>
      </c>
      <c r="T123" s="117"/>
      <c r="U123" s="95"/>
    </row>
    <row r="124" spans="1:21">
      <c r="A124" s="105">
        <v>9563</v>
      </c>
      <c r="B124" s="9">
        <v>40359</v>
      </c>
      <c r="C124" s="135" t="s">
        <v>30</v>
      </c>
      <c r="D124" s="137">
        <v>1600</v>
      </c>
      <c r="E124" s="137">
        <f>20+1000*1%</f>
        <v>30</v>
      </c>
      <c r="F124" s="137">
        <f>E124*9%</f>
        <v>2.6999999999999997</v>
      </c>
      <c r="G124" s="137"/>
      <c r="H124" s="137">
        <v>3.24</v>
      </c>
      <c r="I124" s="138"/>
      <c r="J124" s="138"/>
      <c r="K124" s="138"/>
      <c r="L124" s="137">
        <v>13</v>
      </c>
      <c r="M124" s="137">
        <v>13</v>
      </c>
      <c r="N124" s="137">
        <v>20.8</v>
      </c>
      <c r="O124" s="138"/>
      <c r="P124" s="138"/>
      <c r="Q124" s="138"/>
      <c r="R124" s="104" t="s">
        <v>31</v>
      </c>
      <c r="S124" s="117">
        <v>0.54</v>
      </c>
      <c r="T124" s="117">
        <v>7.8</v>
      </c>
    </row>
    <row r="125" spans="1:21">
      <c r="A125" s="71">
        <v>9570</v>
      </c>
      <c r="B125" s="9">
        <v>40359</v>
      </c>
      <c r="C125" s="135" t="s">
        <v>155</v>
      </c>
      <c r="D125" s="17">
        <v>70000</v>
      </c>
      <c r="E125" s="17">
        <f>20+60278.57*1%</f>
        <v>622.78570000000002</v>
      </c>
      <c r="F125" s="137">
        <f>E125*9%</f>
        <v>56.050713000000002</v>
      </c>
      <c r="G125" s="17"/>
      <c r="H125" s="17">
        <v>64.8</v>
      </c>
      <c r="I125" s="18"/>
      <c r="J125" s="18"/>
      <c r="K125" s="18"/>
      <c r="L125" s="11"/>
      <c r="M125" s="11"/>
      <c r="N125" s="17"/>
      <c r="O125" s="18"/>
      <c r="P125" s="18"/>
      <c r="Q125" s="18"/>
      <c r="R125" s="37" t="s">
        <v>156</v>
      </c>
      <c r="S125" s="117">
        <v>8.75</v>
      </c>
      <c r="T125" s="117"/>
    </row>
    <row r="126" spans="1:21" s="134" customFormat="1">
      <c r="A126" s="105">
        <v>9578</v>
      </c>
      <c r="B126" s="21">
        <v>40359</v>
      </c>
      <c r="C126" s="135" t="s">
        <v>204</v>
      </c>
      <c r="D126" s="137">
        <v>45000</v>
      </c>
      <c r="E126" s="137">
        <v>250</v>
      </c>
      <c r="F126" s="137">
        <v>22.5</v>
      </c>
      <c r="G126" s="137"/>
      <c r="H126" s="137">
        <v>42.3</v>
      </c>
      <c r="I126" s="138"/>
      <c r="J126" s="138"/>
      <c r="K126" s="138"/>
      <c r="L126" s="11"/>
      <c r="M126" s="11"/>
      <c r="N126" s="137"/>
      <c r="O126" s="138"/>
      <c r="P126" s="138"/>
      <c r="Q126" s="138"/>
      <c r="R126" s="37" t="s">
        <v>172</v>
      </c>
      <c r="S126" s="117">
        <v>19.8</v>
      </c>
      <c r="T126" s="117"/>
      <c r="U126" s="95"/>
    </row>
    <row r="127" spans="1:21">
      <c r="A127" s="105">
        <v>9579</v>
      </c>
      <c r="B127" s="101">
        <v>40359</v>
      </c>
      <c r="C127" s="104" t="s">
        <v>264</v>
      </c>
      <c r="D127" s="137">
        <v>15000</v>
      </c>
      <c r="E127" s="137">
        <f>20+4236.1*1%</f>
        <v>62.361000000000004</v>
      </c>
      <c r="F127" s="137">
        <f>E127*9%</f>
        <v>5.6124900000000002</v>
      </c>
      <c r="G127" s="137"/>
      <c r="H127" s="137">
        <v>15.3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4" t="s">
        <v>277</v>
      </c>
      <c r="S127" s="117">
        <v>9.69</v>
      </c>
      <c r="T127" s="117"/>
    </row>
    <row r="128" spans="1:21" s="107" customFormat="1">
      <c r="A128" s="105">
        <v>9676</v>
      </c>
      <c r="B128" s="9">
        <v>40421</v>
      </c>
      <c r="C128" s="135" t="s">
        <v>19</v>
      </c>
      <c r="D128" s="90">
        <v>9656.3700000000008</v>
      </c>
      <c r="E128" s="109">
        <f>20+D128*1%</f>
        <v>116.56370000000001</v>
      </c>
      <c r="F128" s="109">
        <f>E128*9%</f>
        <v>10.490733000000001</v>
      </c>
      <c r="G128" s="109">
        <v>86.94</v>
      </c>
      <c r="H128" s="109">
        <v>89.06</v>
      </c>
      <c r="I128" s="109"/>
      <c r="J128" s="109"/>
      <c r="K128" s="109"/>
      <c r="L128" s="109"/>
      <c r="M128" s="109"/>
      <c r="N128" s="109"/>
      <c r="O128" s="109"/>
      <c r="P128" s="109"/>
      <c r="Q128" s="109"/>
      <c r="R128" s="104" t="s">
        <v>154</v>
      </c>
      <c r="S128" s="117">
        <v>76.45</v>
      </c>
      <c r="T128" s="117"/>
      <c r="U128" s="95"/>
    </row>
    <row r="129" spans="1:21" s="107" customFormat="1">
      <c r="A129" s="105">
        <v>10051</v>
      </c>
      <c r="B129" s="9">
        <v>40647</v>
      </c>
      <c r="C129" s="89" t="s">
        <v>144</v>
      </c>
      <c r="D129" s="132">
        <v>0</v>
      </c>
      <c r="E129" s="109">
        <v>20</v>
      </c>
      <c r="F129" s="109">
        <v>1</v>
      </c>
      <c r="G129" s="109">
        <v>4.18</v>
      </c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4" t="s">
        <v>146</v>
      </c>
      <c r="S129" s="117">
        <v>2.12</v>
      </c>
      <c r="T129" s="117"/>
      <c r="U129" s="95"/>
    </row>
    <row r="130" spans="1:21" s="107" customFormat="1">
      <c r="A130" s="105">
        <v>10061</v>
      </c>
      <c r="B130" s="9">
        <v>40652</v>
      </c>
      <c r="C130" s="89" t="s">
        <v>19</v>
      </c>
      <c r="D130" s="108">
        <v>9523.7800000000007</v>
      </c>
      <c r="E130" s="108">
        <f>20+D130*1%</f>
        <v>115.23780000000001</v>
      </c>
      <c r="F130" s="109">
        <v>53.48</v>
      </c>
      <c r="G130" s="108">
        <v>53.48</v>
      </c>
      <c r="H130" s="108">
        <v>53.48</v>
      </c>
      <c r="I130" s="109">
        <v>61.9</v>
      </c>
      <c r="J130" s="109">
        <v>61.9</v>
      </c>
      <c r="K130" s="109">
        <v>388.56</v>
      </c>
      <c r="L130" s="11"/>
      <c r="M130" s="11"/>
      <c r="N130" s="108"/>
      <c r="O130" s="109">
        <v>10.4</v>
      </c>
      <c r="P130" s="109">
        <v>10.4</v>
      </c>
      <c r="Q130" s="109">
        <v>74.72</v>
      </c>
      <c r="R130" s="37" t="s">
        <v>174</v>
      </c>
      <c r="S130" s="117"/>
      <c r="T130" s="117">
        <v>463.28</v>
      </c>
      <c r="U130" s="95"/>
    </row>
    <row r="131" spans="1:21">
      <c r="A131" s="169" t="s">
        <v>13</v>
      </c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1"/>
      <c r="R131" s="5">
        <f>SUM(R3:R130)</f>
        <v>0</v>
      </c>
      <c r="S131" s="121">
        <f>SUM(S3:S130)</f>
        <v>2192.8962327999998</v>
      </c>
      <c r="T131" s="122">
        <f>SUM(T3:T130)</f>
        <v>5194.91</v>
      </c>
    </row>
    <row r="133" spans="1:21">
      <c r="A133" s="100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153"/>
    </row>
    <row r="134" spans="1:21">
      <c r="A134" s="100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125"/>
      <c r="T134" s="125"/>
      <c r="U134" s="153"/>
    </row>
    <row r="135" spans="1:21">
      <c r="A135" s="160" t="s">
        <v>278</v>
      </c>
      <c r="B135" s="160"/>
      <c r="C135" s="160"/>
      <c r="D135" s="160"/>
      <c r="E135" s="99"/>
      <c r="F135" s="99"/>
      <c r="G135" s="99"/>
      <c r="H135" s="99"/>
      <c r="I135" s="99"/>
      <c r="J135" s="99"/>
      <c r="K135" s="99"/>
      <c r="L135" s="99"/>
      <c r="M135" s="133"/>
      <c r="N135" s="133"/>
      <c r="O135" s="99"/>
      <c r="P135" s="99"/>
      <c r="Q135" s="99"/>
      <c r="R135" s="99"/>
      <c r="S135" s="99"/>
      <c r="T135" s="99"/>
      <c r="U135" s="153"/>
    </row>
    <row r="136" spans="1:21">
      <c r="A136" s="160" t="s">
        <v>141</v>
      </c>
      <c r="B136" s="160"/>
      <c r="C136" s="160"/>
      <c r="D136" s="99"/>
      <c r="E136" s="99"/>
      <c r="F136" s="99"/>
      <c r="G136" s="133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153"/>
    </row>
    <row r="137" spans="1:21">
      <c r="A137" s="160" t="s">
        <v>233</v>
      </c>
      <c r="B137" s="160"/>
      <c r="C137" s="160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153"/>
    </row>
    <row r="139" spans="1:21">
      <c r="A139" s="159" t="s">
        <v>142</v>
      </c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</row>
    <row r="140" spans="1:21">
      <c r="A140" s="159" t="s">
        <v>173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</row>
    <row r="141" spans="1:21">
      <c r="A141" s="159" t="s">
        <v>145</v>
      </c>
      <c r="B141" s="159"/>
      <c r="C141" s="159"/>
      <c r="D141" s="159"/>
      <c r="E141" s="159"/>
      <c r="F141" s="159"/>
      <c r="G141" s="159"/>
      <c r="H141" s="159"/>
    </row>
    <row r="142" spans="1:21">
      <c r="A142" s="159" t="s">
        <v>160</v>
      </c>
      <c r="B142" s="159"/>
      <c r="C142" s="159"/>
      <c r="D142" s="159"/>
    </row>
    <row r="143" spans="1:21">
      <c r="A143" s="159" t="s">
        <v>213</v>
      </c>
      <c r="B143" s="159"/>
      <c r="C143" s="159"/>
      <c r="R143" s="134"/>
    </row>
    <row r="144" spans="1:21">
      <c r="A144" s="159" t="s">
        <v>215</v>
      </c>
      <c r="B144" s="159"/>
      <c r="C144" s="159"/>
      <c r="D144" s="159"/>
      <c r="E144" s="159"/>
      <c r="S144" s="136"/>
    </row>
    <row r="145" spans="1:8">
      <c r="A145" s="159" t="s">
        <v>218</v>
      </c>
      <c r="B145" s="159"/>
      <c r="C145" s="159"/>
      <c r="D145" s="159"/>
      <c r="E145" s="159"/>
      <c r="F145" s="159"/>
      <c r="G145" s="159"/>
    </row>
    <row r="146" spans="1:8">
      <c r="A146" s="159" t="s">
        <v>228</v>
      </c>
      <c r="B146" s="159"/>
      <c r="C146" s="159"/>
      <c r="D146" s="159"/>
      <c r="E146" s="159"/>
    </row>
    <row r="147" spans="1:8">
      <c r="A147" s="159" t="s">
        <v>242</v>
      </c>
      <c r="B147" s="159"/>
      <c r="C147" s="159"/>
      <c r="D147" s="159"/>
    </row>
    <row r="148" spans="1:8">
      <c r="A148" s="159" t="s">
        <v>245</v>
      </c>
      <c r="B148" s="159"/>
      <c r="C148" s="159"/>
      <c r="D148" s="159"/>
    </row>
    <row r="149" spans="1:8">
      <c r="A149" s="159" t="s">
        <v>248</v>
      </c>
      <c r="B149" s="159"/>
      <c r="C149" s="159"/>
      <c r="D149" s="159"/>
    </row>
    <row r="150" spans="1:8">
      <c r="A150" s="159" t="s">
        <v>250</v>
      </c>
      <c r="B150" s="159"/>
      <c r="C150" s="159"/>
      <c r="D150" s="159"/>
    </row>
    <row r="151" spans="1:8">
      <c r="A151" s="159" t="s">
        <v>252</v>
      </c>
      <c r="B151" s="159"/>
      <c r="C151" s="159"/>
      <c r="D151" s="159"/>
      <c r="E151" s="159"/>
      <c r="F151" s="159"/>
      <c r="G151" s="99"/>
      <c r="H151" s="99"/>
    </row>
    <row r="153" spans="1:8">
      <c r="A153" s="159" t="s">
        <v>272</v>
      </c>
      <c r="B153" s="159"/>
      <c r="C153" s="159"/>
      <c r="D153" s="159"/>
    </row>
    <row r="154" spans="1:8">
      <c r="A154" s="159" t="s">
        <v>273</v>
      </c>
      <c r="B154" s="159"/>
      <c r="C154" s="159"/>
      <c r="D154" s="95"/>
    </row>
    <row r="155" spans="1:8">
      <c r="A155" s="159" t="s">
        <v>274</v>
      </c>
      <c r="B155" s="159"/>
      <c r="C155" s="95"/>
      <c r="D155" s="95"/>
    </row>
    <row r="156" spans="1:8">
      <c r="A156" s="159" t="s">
        <v>275</v>
      </c>
      <c r="B156" s="159"/>
      <c r="C156" s="159"/>
      <c r="D156" s="95"/>
    </row>
    <row r="157" spans="1:8">
      <c r="A157" s="159" t="s">
        <v>276</v>
      </c>
      <c r="B157" s="159"/>
      <c r="C157" s="159"/>
      <c r="D157" s="159"/>
    </row>
    <row r="158" spans="1:8">
      <c r="A158" s="134"/>
      <c r="B158" s="134"/>
      <c r="C158" s="134"/>
      <c r="D158" s="134"/>
    </row>
    <row r="159" spans="1:8">
      <c r="A159" s="134"/>
      <c r="B159" s="134"/>
      <c r="C159" s="134"/>
      <c r="D159" s="134"/>
    </row>
  </sheetData>
  <autoFilter ref="S1:T159"/>
  <mergeCells count="38">
    <mergeCell ref="A155:B155"/>
    <mergeCell ref="A156:C156"/>
    <mergeCell ref="F75:Q75"/>
    <mergeCell ref="A131:Q131"/>
    <mergeCell ref="S1:S2"/>
    <mergeCell ref="T1:T2"/>
    <mergeCell ref="I91:Q91"/>
    <mergeCell ref="A139:R139"/>
    <mergeCell ref="F1:H1"/>
    <mergeCell ref="A137:C137"/>
    <mergeCell ref="A136:C136"/>
    <mergeCell ref="F70:H70"/>
    <mergeCell ref="A1:A2"/>
    <mergeCell ref="B1:B2"/>
    <mergeCell ref="C1:C2"/>
    <mergeCell ref="D1:D2"/>
    <mergeCell ref="E1:E2"/>
    <mergeCell ref="I93:Q93"/>
    <mergeCell ref="R1:R2"/>
    <mergeCell ref="I1:K1"/>
    <mergeCell ref="L1:N1"/>
    <mergeCell ref="O1:Q1"/>
    <mergeCell ref="A141:H141"/>
    <mergeCell ref="A135:D135"/>
    <mergeCell ref="A157:D157"/>
    <mergeCell ref="A146:E146"/>
    <mergeCell ref="A147:D147"/>
    <mergeCell ref="A140:R140"/>
    <mergeCell ref="A142:D142"/>
    <mergeCell ref="A150:D150"/>
    <mergeCell ref="A151:F151"/>
    <mergeCell ref="A143:C143"/>
    <mergeCell ref="A148:D148"/>
    <mergeCell ref="A145:G145"/>
    <mergeCell ref="A149:D149"/>
    <mergeCell ref="A144:E144"/>
    <mergeCell ref="A153:D153"/>
    <mergeCell ref="A154:C1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8"/>
  <sheetViews>
    <sheetView workbookViewId="0">
      <pane ySplit="2" topLeftCell="A141" activePane="bottomLeft" state="frozen"/>
      <selection pane="bottomLeft" activeCell="E171" sqref="E171"/>
    </sheetView>
  </sheetViews>
  <sheetFormatPr defaultRowHeight="11.25"/>
  <cols>
    <col min="1" max="1" width="9.42578125" style="4" customWidth="1"/>
    <col min="2" max="2" width="8.7109375" style="8" bestFit="1" customWidth="1"/>
    <col min="3" max="3" width="11.7109375" style="8" customWidth="1"/>
    <col min="4" max="4" width="11.140625" style="8" bestFit="1" customWidth="1"/>
    <col min="5" max="5" width="9.7109375" style="8" customWidth="1"/>
    <col min="6" max="8" width="10.28515625" style="8" bestFit="1" customWidth="1"/>
    <col min="9" max="17" width="9.42578125" style="8" bestFit="1" customWidth="1"/>
    <col min="18" max="18" width="19" style="8" customWidth="1"/>
    <col min="19" max="19" width="10.28515625" style="8" bestFit="1" customWidth="1"/>
    <col min="20" max="20" width="9.42578125" style="107" bestFit="1" customWidth="1"/>
    <col min="21" max="22" width="8.140625" style="8" bestFit="1" customWidth="1"/>
    <col min="23" max="23" width="9.42578125" style="107" bestFit="1" customWidth="1"/>
    <col min="24" max="24" width="5.7109375" style="107" bestFit="1" customWidth="1"/>
    <col min="25" max="25" width="8.140625" style="134" bestFit="1" customWidth="1"/>
    <col min="26" max="26" width="9.42578125" style="134" bestFit="1" customWidth="1"/>
    <col min="27" max="27" width="9.7109375" style="8" customWidth="1"/>
    <col min="28" max="28" width="9.140625" style="95"/>
    <col min="29" max="203" width="9.140625" style="8"/>
    <col min="204" max="204" width="9" style="8" bestFit="1" customWidth="1"/>
    <col min="205" max="205" width="9.85546875" style="8" bestFit="1" customWidth="1"/>
    <col min="206" max="206" width="9.140625" style="8" bestFit="1" customWidth="1"/>
    <col min="207" max="207" width="16" style="8" bestFit="1" customWidth="1"/>
    <col min="208" max="208" width="9" style="8" bestFit="1" customWidth="1"/>
    <col min="209" max="209" width="7.85546875" style="8" bestFit="1" customWidth="1"/>
    <col min="210" max="210" width="11.7109375" style="8" bestFit="1" customWidth="1"/>
    <col min="211" max="211" width="14.28515625" style="8" customWidth="1"/>
    <col min="212" max="212" width="11.7109375" style="8" bestFit="1" customWidth="1"/>
    <col min="213" max="213" width="14.140625" style="8" bestFit="1" customWidth="1"/>
    <col min="214" max="214" width="16.7109375" style="8" customWidth="1"/>
    <col min="215" max="215" width="16.5703125" style="8" customWidth="1"/>
    <col min="216" max="217" width="7.85546875" style="8" bestFit="1" customWidth="1"/>
    <col min="218" max="218" width="8" style="8" bestFit="1" customWidth="1"/>
    <col min="219" max="220" width="7.85546875" style="8" bestFit="1" customWidth="1"/>
    <col min="221" max="221" width="9.7109375" style="8" customWidth="1"/>
    <col min="222" max="222" width="12.85546875" style="8" customWidth="1"/>
    <col min="223" max="459" width="9.140625" style="8"/>
    <col min="460" max="460" width="9" style="8" bestFit="1" customWidth="1"/>
    <col min="461" max="461" width="9.85546875" style="8" bestFit="1" customWidth="1"/>
    <col min="462" max="462" width="9.140625" style="8" bestFit="1" customWidth="1"/>
    <col min="463" max="463" width="16" style="8" bestFit="1" customWidth="1"/>
    <col min="464" max="464" width="9" style="8" bestFit="1" customWidth="1"/>
    <col min="465" max="465" width="7.85546875" style="8" bestFit="1" customWidth="1"/>
    <col min="466" max="466" width="11.7109375" style="8" bestFit="1" customWidth="1"/>
    <col min="467" max="467" width="14.28515625" style="8" customWidth="1"/>
    <col min="468" max="468" width="11.7109375" style="8" bestFit="1" customWidth="1"/>
    <col min="469" max="469" width="14.140625" style="8" bestFit="1" customWidth="1"/>
    <col min="470" max="470" width="16.7109375" style="8" customWidth="1"/>
    <col min="471" max="471" width="16.5703125" style="8" customWidth="1"/>
    <col min="472" max="473" width="7.85546875" style="8" bestFit="1" customWidth="1"/>
    <col min="474" max="474" width="8" style="8" bestFit="1" customWidth="1"/>
    <col min="475" max="476" width="7.85546875" style="8" bestFit="1" customWidth="1"/>
    <col min="477" max="477" width="9.7109375" style="8" customWidth="1"/>
    <col min="478" max="478" width="12.85546875" style="8" customWidth="1"/>
    <col min="479" max="715" width="9.140625" style="8"/>
    <col min="716" max="716" width="9" style="8" bestFit="1" customWidth="1"/>
    <col min="717" max="717" width="9.85546875" style="8" bestFit="1" customWidth="1"/>
    <col min="718" max="718" width="9.140625" style="8" bestFit="1" customWidth="1"/>
    <col min="719" max="719" width="16" style="8" bestFit="1" customWidth="1"/>
    <col min="720" max="720" width="9" style="8" bestFit="1" customWidth="1"/>
    <col min="721" max="721" width="7.85546875" style="8" bestFit="1" customWidth="1"/>
    <col min="722" max="722" width="11.7109375" style="8" bestFit="1" customWidth="1"/>
    <col min="723" max="723" width="14.28515625" style="8" customWidth="1"/>
    <col min="724" max="724" width="11.7109375" style="8" bestFit="1" customWidth="1"/>
    <col min="725" max="725" width="14.140625" style="8" bestFit="1" customWidth="1"/>
    <col min="726" max="726" width="16.7109375" style="8" customWidth="1"/>
    <col min="727" max="727" width="16.5703125" style="8" customWidth="1"/>
    <col min="728" max="729" width="7.85546875" style="8" bestFit="1" customWidth="1"/>
    <col min="730" max="730" width="8" style="8" bestFit="1" customWidth="1"/>
    <col min="731" max="732" width="7.85546875" style="8" bestFit="1" customWidth="1"/>
    <col min="733" max="733" width="9.7109375" style="8" customWidth="1"/>
    <col min="734" max="734" width="12.85546875" style="8" customWidth="1"/>
    <col min="735" max="971" width="9.140625" style="8"/>
    <col min="972" max="972" width="9" style="8" bestFit="1" customWidth="1"/>
    <col min="973" max="973" width="9.85546875" style="8" bestFit="1" customWidth="1"/>
    <col min="974" max="974" width="9.140625" style="8" bestFit="1" customWidth="1"/>
    <col min="975" max="975" width="16" style="8" bestFit="1" customWidth="1"/>
    <col min="976" max="976" width="9" style="8" bestFit="1" customWidth="1"/>
    <col min="977" max="977" width="7.85546875" style="8" bestFit="1" customWidth="1"/>
    <col min="978" max="978" width="11.7109375" style="8" bestFit="1" customWidth="1"/>
    <col min="979" max="979" width="14.28515625" style="8" customWidth="1"/>
    <col min="980" max="980" width="11.7109375" style="8" bestFit="1" customWidth="1"/>
    <col min="981" max="981" width="14.140625" style="8" bestFit="1" customWidth="1"/>
    <col min="982" max="982" width="16.7109375" style="8" customWidth="1"/>
    <col min="983" max="983" width="16.5703125" style="8" customWidth="1"/>
    <col min="984" max="985" width="7.85546875" style="8" bestFit="1" customWidth="1"/>
    <col min="986" max="986" width="8" style="8" bestFit="1" customWidth="1"/>
    <col min="987" max="988" width="7.85546875" style="8" bestFit="1" customWidth="1"/>
    <col min="989" max="989" width="9.7109375" style="8" customWidth="1"/>
    <col min="990" max="990" width="12.85546875" style="8" customWidth="1"/>
    <col min="991" max="1227" width="9.140625" style="8"/>
    <col min="1228" max="1228" width="9" style="8" bestFit="1" customWidth="1"/>
    <col min="1229" max="1229" width="9.85546875" style="8" bestFit="1" customWidth="1"/>
    <col min="1230" max="1230" width="9.140625" style="8" bestFit="1" customWidth="1"/>
    <col min="1231" max="1231" width="16" style="8" bestFit="1" customWidth="1"/>
    <col min="1232" max="1232" width="9" style="8" bestFit="1" customWidth="1"/>
    <col min="1233" max="1233" width="7.85546875" style="8" bestFit="1" customWidth="1"/>
    <col min="1234" max="1234" width="11.7109375" style="8" bestFit="1" customWidth="1"/>
    <col min="1235" max="1235" width="14.28515625" style="8" customWidth="1"/>
    <col min="1236" max="1236" width="11.7109375" style="8" bestFit="1" customWidth="1"/>
    <col min="1237" max="1237" width="14.140625" style="8" bestFit="1" customWidth="1"/>
    <col min="1238" max="1238" width="16.7109375" style="8" customWidth="1"/>
    <col min="1239" max="1239" width="16.5703125" style="8" customWidth="1"/>
    <col min="1240" max="1241" width="7.85546875" style="8" bestFit="1" customWidth="1"/>
    <col min="1242" max="1242" width="8" style="8" bestFit="1" customWidth="1"/>
    <col min="1243" max="1244" width="7.85546875" style="8" bestFit="1" customWidth="1"/>
    <col min="1245" max="1245" width="9.7109375" style="8" customWidth="1"/>
    <col min="1246" max="1246" width="12.85546875" style="8" customWidth="1"/>
    <col min="1247" max="1483" width="9.140625" style="8"/>
    <col min="1484" max="1484" width="9" style="8" bestFit="1" customWidth="1"/>
    <col min="1485" max="1485" width="9.85546875" style="8" bestFit="1" customWidth="1"/>
    <col min="1486" max="1486" width="9.140625" style="8" bestFit="1" customWidth="1"/>
    <col min="1487" max="1487" width="16" style="8" bestFit="1" customWidth="1"/>
    <col min="1488" max="1488" width="9" style="8" bestFit="1" customWidth="1"/>
    <col min="1489" max="1489" width="7.85546875" style="8" bestFit="1" customWidth="1"/>
    <col min="1490" max="1490" width="11.7109375" style="8" bestFit="1" customWidth="1"/>
    <col min="1491" max="1491" width="14.28515625" style="8" customWidth="1"/>
    <col min="1492" max="1492" width="11.7109375" style="8" bestFit="1" customWidth="1"/>
    <col min="1493" max="1493" width="14.140625" style="8" bestFit="1" customWidth="1"/>
    <col min="1494" max="1494" width="16.7109375" style="8" customWidth="1"/>
    <col min="1495" max="1495" width="16.5703125" style="8" customWidth="1"/>
    <col min="1496" max="1497" width="7.85546875" style="8" bestFit="1" customWidth="1"/>
    <col min="1498" max="1498" width="8" style="8" bestFit="1" customWidth="1"/>
    <col min="1499" max="1500" width="7.85546875" style="8" bestFit="1" customWidth="1"/>
    <col min="1501" max="1501" width="9.7109375" style="8" customWidth="1"/>
    <col min="1502" max="1502" width="12.85546875" style="8" customWidth="1"/>
    <col min="1503" max="1739" width="9.140625" style="8"/>
    <col min="1740" max="1740" width="9" style="8" bestFit="1" customWidth="1"/>
    <col min="1741" max="1741" width="9.85546875" style="8" bestFit="1" customWidth="1"/>
    <col min="1742" max="1742" width="9.140625" style="8" bestFit="1" customWidth="1"/>
    <col min="1743" max="1743" width="16" style="8" bestFit="1" customWidth="1"/>
    <col min="1744" max="1744" width="9" style="8" bestFit="1" customWidth="1"/>
    <col min="1745" max="1745" width="7.85546875" style="8" bestFit="1" customWidth="1"/>
    <col min="1746" max="1746" width="11.7109375" style="8" bestFit="1" customWidth="1"/>
    <col min="1747" max="1747" width="14.28515625" style="8" customWidth="1"/>
    <col min="1748" max="1748" width="11.7109375" style="8" bestFit="1" customWidth="1"/>
    <col min="1749" max="1749" width="14.140625" style="8" bestFit="1" customWidth="1"/>
    <col min="1750" max="1750" width="16.7109375" style="8" customWidth="1"/>
    <col min="1751" max="1751" width="16.5703125" style="8" customWidth="1"/>
    <col min="1752" max="1753" width="7.85546875" style="8" bestFit="1" customWidth="1"/>
    <col min="1754" max="1754" width="8" style="8" bestFit="1" customWidth="1"/>
    <col min="1755" max="1756" width="7.85546875" style="8" bestFit="1" customWidth="1"/>
    <col min="1757" max="1757" width="9.7109375" style="8" customWidth="1"/>
    <col min="1758" max="1758" width="12.85546875" style="8" customWidth="1"/>
    <col min="1759" max="1995" width="9.140625" style="8"/>
    <col min="1996" max="1996" width="9" style="8" bestFit="1" customWidth="1"/>
    <col min="1997" max="1997" width="9.85546875" style="8" bestFit="1" customWidth="1"/>
    <col min="1998" max="1998" width="9.140625" style="8" bestFit="1" customWidth="1"/>
    <col min="1999" max="1999" width="16" style="8" bestFit="1" customWidth="1"/>
    <col min="2000" max="2000" width="9" style="8" bestFit="1" customWidth="1"/>
    <col min="2001" max="2001" width="7.85546875" style="8" bestFit="1" customWidth="1"/>
    <col min="2002" max="2002" width="11.7109375" style="8" bestFit="1" customWidth="1"/>
    <col min="2003" max="2003" width="14.28515625" style="8" customWidth="1"/>
    <col min="2004" max="2004" width="11.7109375" style="8" bestFit="1" customWidth="1"/>
    <col min="2005" max="2005" width="14.140625" style="8" bestFit="1" customWidth="1"/>
    <col min="2006" max="2006" width="16.7109375" style="8" customWidth="1"/>
    <col min="2007" max="2007" width="16.5703125" style="8" customWidth="1"/>
    <col min="2008" max="2009" width="7.85546875" style="8" bestFit="1" customWidth="1"/>
    <col min="2010" max="2010" width="8" style="8" bestFit="1" customWidth="1"/>
    <col min="2011" max="2012" width="7.85546875" style="8" bestFit="1" customWidth="1"/>
    <col min="2013" max="2013" width="9.7109375" style="8" customWidth="1"/>
    <col min="2014" max="2014" width="12.85546875" style="8" customWidth="1"/>
    <col min="2015" max="2251" width="9.140625" style="8"/>
    <col min="2252" max="2252" width="9" style="8" bestFit="1" customWidth="1"/>
    <col min="2253" max="2253" width="9.85546875" style="8" bestFit="1" customWidth="1"/>
    <col min="2254" max="2254" width="9.140625" style="8" bestFit="1" customWidth="1"/>
    <col min="2255" max="2255" width="16" style="8" bestFit="1" customWidth="1"/>
    <col min="2256" max="2256" width="9" style="8" bestFit="1" customWidth="1"/>
    <col min="2257" max="2257" width="7.85546875" style="8" bestFit="1" customWidth="1"/>
    <col min="2258" max="2258" width="11.7109375" style="8" bestFit="1" customWidth="1"/>
    <col min="2259" max="2259" width="14.28515625" style="8" customWidth="1"/>
    <col min="2260" max="2260" width="11.7109375" style="8" bestFit="1" customWidth="1"/>
    <col min="2261" max="2261" width="14.140625" style="8" bestFit="1" customWidth="1"/>
    <col min="2262" max="2262" width="16.7109375" style="8" customWidth="1"/>
    <col min="2263" max="2263" width="16.5703125" style="8" customWidth="1"/>
    <col min="2264" max="2265" width="7.85546875" style="8" bestFit="1" customWidth="1"/>
    <col min="2266" max="2266" width="8" style="8" bestFit="1" customWidth="1"/>
    <col min="2267" max="2268" width="7.85546875" style="8" bestFit="1" customWidth="1"/>
    <col min="2269" max="2269" width="9.7109375" style="8" customWidth="1"/>
    <col min="2270" max="2270" width="12.85546875" style="8" customWidth="1"/>
    <col min="2271" max="2507" width="9.140625" style="8"/>
    <col min="2508" max="2508" width="9" style="8" bestFit="1" customWidth="1"/>
    <col min="2509" max="2509" width="9.85546875" style="8" bestFit="1" customWidth="1"/>
    <col min="2510" max="2510" width="9.140625" style="8" bestFit="1" customWidth="1"/>
    <col min="2511" max="2511" width="16" style="8" bestFit="1" customWidth="1"/>
    <col min="2512" max="2512" width="9" style="8" bestFit="1" customWidth="1"/>
    <col min="2513" max="2513" width="7.85546875" style="8" bestFit="1" customWidth="1"/>
    <col min="2514" max="2514" width="11.7109375" style="8" bestFit="1" customWidth="1"/>
    <col min="2515" max="2515" width="14.28515625" style="8" customWidth="1"/>
    <col min="2516" max="2516" width="11.7109375" style="8" bestFit="1" customWidth="1"/>
    <col min="2517" max="2517" width="14.140625" style="8" bestFit="1" customWidth="1"/>
    <col min="2518" max="2518" width="16.7109375" style="8" customWidth="1"/>
    <col min="2519" max="2519" width="16.5703125" style="8" customWidth="1"/>
    <col min="2520" max="2521" width="7.85546875" style="8" bestFit="1" customWidth="1"/>
    <col min="2522" max="2522" width="8" style="8" bestFit="1" customWidth="1"/>
    <col min="2523" max="2524" width="7.85546875" style="8" bestFit="1" customWidth="1"/>
    <col min="2525" max="2525" width="9.7109375" style="8" customWidth="1"/>
    <col min="2526" max="2526" width="12.85546875" style="8" customWidth="1"/>
    <col min="2527" max="2763" width="9.140625" style="8"/>
    <col min="2764" max="2764" width="9" style="8" bestFit="1" customWidth="1"/>
    <col min="2765" max="2765" width="9.85546875" style="8" bestFit="1" customWidth="1"/>
    <col min="2766" max="2766" width="9.140625" style="8" bestFit="1" customWidth="1"/>
    <col min="2767" max="2767" width="16" style="8" bestFit="1" customWidth="1"/>
    <col min="2768" max="2768" width="9" style="8" bestFit="1" customWidth="1"/>
    <col min="2769" max="2769" width="7.85546875" style="8" bestFit="1" customWidth="1"/>
    <col min="2770" max="2770" width="11.7109375" style="8" bestFit="1" customWidth="1"/>
    <col min="2771" max="2771" width="14.28515625" style="8" customWidth="1"/>
    <col min="2772" max="2772" width="11.7109375" style="8" bestFit="1" customWidth="1"/>
    <col min="2773" max="2773" width="14.140625" style="8" bestFit="1" customWidth="1"/>
    <col min="2774" max="2774" width="16.7109375" style="8" customWidth="1"/>
    <col min="2775" max="2775" width="16.5703125" style="8" customWidth="1"/>
    <col min="2776" max="2777" width="7.85546875" style="8" bestFit="1" customWidth="1"/>
    <col min="2778" max="2778" width="8" style="8" bestFit="1" customWidth="1"/>
    <col min="2779" max="2780" width="7.85546875" style="8" bestFit="1" customWidth="1"/>
    <col min="2781" max="2781" width="9.7109375" style="8" customWidth="1"/>
    <col min="2782" max="2782" width="12.85546875" style="8" customWidth="1"/>
    <col min="2783" max="3019" width="9.140625" style="8"/>
    <col min="3020" max="3020" width="9" style="8" bestFit="1" customWidth="1"/>
    <col min="3021" max="3021" width="9.85546875" style="8" bestFit="1" customWidth="1"/>
    <col min="3022" max="3022" width="9.140625" style="8" bestFit="1" customWidth="1"/>
    <col min="3023" max="3023" width="16" style="8" bestFit="1" customWidth="1"/>
    <col min="3024" max="3024" width="9" style="8" bestFit="1" customWidth="1"/>
    <col min="3025" max="3025" width="7.85546875" style="8" bestFit="1" customWidth="1"/>
    <col min="3026" max="3026" width="11.7109375" style="8" bestFit="1" customWidth="1"/>
    <col min="3027" max="3027" width="14.28515625" style="8" customWidth="1"/>
    <col min="3028" max="3028" width="11.7109375" style="8" bestFit="1" customWidth="1"/>
    <col min="3029" max="3029" width="14.140625" style="8" bestFit="1" customWidth="1"/>
    <col min="3030" max="3030" width="16.7109375" style="8" customWidth="1"/>
    <col min="3031" max="3031" width="16.5703125" style="8" customWidth="1"/>
    <col min="3032" max="3033" width="7.85546875" style="8" bestFit="1" customWidth="1"/>
    <col min="3034" max="3034" width="8" style="8" bestFit="1" customWidth="1"/>
    <col min="3035" max="3036" width="7.85546875" style="8" bestFit="1" customWidth="1"/>
    <col min="3037" max="3037" width="9.7109375" style="8" customWidth="1"/>
    <col min="3038" max="3038" width="12.85546875" style="8" customWidth="1"/>
    <col min="3039" max="3275" width="9.140625" style="8"/>
    <col min="3276" max="3276" width="9" style="8" bestFit="1" customWidth="1"/>
    <col min="3277" max="3277" width="9.85546875" style="8" bestFit="1" customWidth="1"/>
    <col min="3278" max="3278" width="9.140625" style="8" bestFit="1" customWidth="1"/>
    <col min="3279" max="3279" width="16" style="8" bestFit="1" customWidth="1"/>
    <col min="3280" max="3280" width="9" style="8" bestFit="1" customWidth="1"/>
    <col min="3281" max="3281" width="7.85546875" style="8" bestFit="1" customWidth="1"/>
    <col min="3282" max="3282" width="11.7109375" style="8" bestFit="1" customWidth="1"/>
    <col min="3283" max="3283" width="14.28515625" style="8" customWidth="1"/>
    <col min="3284" max="3284" width="11.7109375" style="8" bestFit="1" customWidth="1"/>
    <col min="3285" max="3285" width="14.140625" style="8" bestFit="1" customWidth="1"/>
    <col min="3286" max="3286" width="16.7109375" style="8" customWidth="1"/>
    <col min="3287" max="3287" width="16.5703125" style="8" customWidth="1"/>
    <col min="3288" max="3289" width="7.85546875" style="8" bestFit="1" customWidth="1"/>
    <col min="3290" max="3290" width="8" style="8" bestFit="1" customWidth="1"/>
    <col min="3291" max="3292" width="7.85546875" style="8" bestFit="1" customWidth="1"/>
    <col min="3293" max="3293" width="9.7109375" style="8" customWidth="1"/>
    <col min="3294" max="3294" width="12.85546875" style="8" customWidth="1"/>
    <col min="3295" max="3531" width="9.140625" style="8"/>
    <col min="3532" max="3532" width="9" style="8" bestFit="1" customWidth="1"/>
    <col min="3533" max="3533" width="9.85546875" style="8" bestFit="1" customWidth="1"/>
    <col min="3534" max="3534" width="9.140625" style="8" bestFit="1" customWidth="1"/>
    <col min="3535" max="3535" width="16" style="8" bestFit="1" customWidth="1"/>
    <col min="3536" max="3536" width="9" style="8" bestFit="1" customWidth="1"/>
    <col min="3537" max="3537" width="7.85546875" style="8" bestFit="1" customWidth="1"/>
    <col min="3538" max="3538" width="11.7109375" style="8" bestFit="1" customWidth="1"/>
    <col min="3539" max="3539" width="14.28515625" style="8" customWidth="1"/>
    <col min="3540" max="3540" width="11.7109375" style="8" bestFit="1" customWidth="1"/>
    <col min="3541" max="3541" width="14.140625" style="8" bestFit="1" customWidth="1"/>
    <col min="3542" max="3542" width="16.7109375" style="8" customWidth="1"/>
    <col min="3543" max="3543" width="16.5703125" style="8" customWidth="1"/>
    <col min="3544" max="3545" width="7.85546875" style="8" bestFit="1" customWidth="1"/>
    <col min="3546" max="3546" width="8" style="8" bestFit="1" customWidth="1"/>
    <col min="3547" max="3548" width="7.85546875" style="8" bestFit="1" customWidth="1"/>
    <col min="3549" max="3549" width="9.7109375" style="8" customWidth="1"/>
    <col min="3550" max="3550" width="12.85546875" style="8" customWidth="1"/>
    <col min="3551" max="3787" width="9.140625" style="8"/>
    <col min="3788" max="3788" width="9" style="8" bestFit="1" customWidth="1"/>
    <col min="3789" max="3789" width="9.85546875" style="8" bestFit="1" customWidth="1"/>
    <col min="3790" max="3790" width="9.140625" style="8" bestFit="1" customWidth="1"/>
    <col min="3791" max="3791" width="16" style="8" bestFit="1" customWidth="1"/>
    <col min="3792" max="3792" width="9" style="8" bestFit="1" customWidth="1"/>
    <col min="3793" max="3793" width="7.85546875" style="8" bestFit="1" customWidth="1"/>
    <col min="3794" max="3794" width="11.7109375" style="8" bestFit="1" customWidth="1"/>
    <col min="3795" max="3795" width="14.28515625" style="8" customWidth="1"/>
    <col min="3796" max="3796" width="11.7109375" style="8" bestFit="1" customWidth="1"/>
    <col min="3797" max="3797" width="14.140625" style="8" bestFit="1" customWidth="1"/>
    <col min="3798" max="3798" width="16.7109375" style="8" customWidth="1"/>
    <col min="3799" max="3799" width="16.5703125" style="8" customWidth="1"/>
    <col min="3800" max="3801" width="7.85546875" style="8" bestFit="1" customWidth="1"/>
    <col min="3802" max="3802" width="8" style="8" bestFit="1" customWidth="1"/>
    <col min="3803" max="3804" width="7.85546875" style="8" bestFit="1" customWidth="1"/>
    <col min="3805" max="3805" width="9.7109375" style="8" customWidth="1"/>
    <col min="3806" max="3806" width="12.85546875" style="8" customWidth="1"/>
    <col min="3807" max="4043" width="9.140625" style="8"/>
    <col min="4044" max="4044" width="9" style="8" bestFit="1" customWidth="1"/>
    <col min="4045" max="4045" width="9.85546875" style="8" bestFit="1" customWidth="1"/>
    <col min="4046" max="4046" width="9.140625" style="8" bestFit="1" customWidth="1"/>
    <col min="4047" max="4047" width="16" style="8" bestFit="1" customWidth="1"/>
    <col min="4048" max="4048" width="9" style="8" bestFit="1" customWidth="1"/>
    <col min="4049" max="4049" width="7.85546875" style="8" bestFit="1" customWidth="1"/>
    <col min="4050" max="4050" width="11.7109375" style="8" bestFit="1" customWidth="1"/>
    <col min="4051" max="4051" width="14.28515625" style="8" customWidth="1"/>
    <col min="4052" max="4052" width="11.7109375" style="8" bestFit="1" customWidth="1"/>
    <col min="4053" max="4053" width="14.140625" style="8" bestFit="1" customWidth="1"/>
    <col min="4054" max="4054" width="16.7109375" style="8" customWidth="1"/>
    <col min="4055" max="4055" width="16.5703125" style="8" customWidth="1"/>
    <col min="4056" max="4057" width="7.85546875" style="8" bestFit="1" customWidth="1"/>
    <col min="4058" max="4058" width="8" style="8" bestFit="1" customWidth="1"/>
    <col min="4059" max="4060" width="7.85546875" style="8" bestFit="1" customWidth="1"/>
    <col min="4061" max="4061" width="9.7109375" style="8" customWidth="1"/>
    <col min="4062" max="4062" width="12.85546875" style="8" customWidth="1"/>
    <col min="4063" max="4299" width="9.140625" style="8"/>
    <col min="4300" max="4300" width="9" style="8" bestFit="1" customWidth="1"/>
    <col min="4301" max="4301" width="9.85546875" style="8" bestFit="1" customWidth="1"/>
    <col min="4302" max="4302" width="9.140625" style="8" bestFit="1" customWidth="1"/>
    <col min="4303" max="4303" width="16" style="8" bestFit="1" customWidth="1"/>
    <col min="4304" max="4304" width="9" style="8" bestFit="1" customWidth="1"/>
    <col min="4305" max="4305" width="7.85546875" style="8" bestFit="1" customWidth="1"/>
    <col min="4306" max="4306" width="11.7109375" style="8" bestFit="1" customWidth="1"/>
    <col min="4307" max="4307" width="14.28515625" style="8" customWidth="1"/>
    <col min="4308" max="4308" width="11.7109375" style="8" bestFit="1" customWidth="1"/>
    <col min="4309" max="4309" width="14.140625" style="8" bestFit="1" customWidth="1"/>
    <col min="4310" max="4310" width="16.7109375" style="8" customWidth="1"/>
    <col min="4311" max="4311" width="16.5703125" style="8" customWidth="1"/>
    <col min="4312" max="4313" width="7.85546875" style="8" bestFit="1" customWidth="1"/>
    <col min="4314" max="4314" width="8" style="8" bestFit="1" customWidth="1"/>
    <col min="4315" max="4316" width="7.85546875" style="8" bestFit="1" customWidth="1"/>
    <col min="4317" max="4317" width="9.7109375" style="8" customWidth="1"/>
    <col min="4318" max="4318" width="12.85546875" style="8" customWidth="1"/>
    <col min="4319" max="4555" width="9.140625" style="8"/>
    <col min="4556" max="4556" width="9" style="8" bestFit="1" customWidth="1"/>
    <col min="4557" max="4557" width="9.85546875" style="8" bestFit="1" customWidth="1"/>
    <col min="4558" max="4558" width="9.140625" style="8" bestFit="1" customWidth="1"/>
    <col min="4559" max="4559" width="16" style="8" bestFit="1" customWidth="1"/>
    <col min="4560" max="4560" width="9" style="8" bestFit="1" customWidth="1"/>
    <col min="4561" max="4561" width="7.85546875" style="8" bestFit="1" customWidth="1"/>
    <col min="4562" max="4562" width="11.7109375" style="8" bestFit="1" customWidth="1"/>
    <col min="4563" max="4563" width="14.28515625" style="8" customWidth="1"/>
    <col min="4564" max="4564" width="11.7109375" style="8" bestFit="1" customWidth="1"/>
    <col min="4565" max="4565" width="14.140625" style="8" bestFit="1" customWidth="1"/>
    <col min="4566" max="4566" width="16.7109375" style="8" customWidth="1"/>
    <col min="4567" max="4567" width="16.5703125" style="8" customWidth="1"/>
    <col min="4568" max="4569" width="7.85546875" style="8" bestFit="1" customWidth="1"/>
    <col min="4570" max="4570" width="8" style="8" bestFit="1" customWidth="1"/>
    <col min="4571" max="4572" width="7.85546875" style="8" bestFit="1" customWidth="1"/>
    <col min="4573" max="4573" width="9.7109375" style="8" customWidth="1"/>
    <col min="4574" max="4574" width="12.85546875" style="8" customWidth="1"/>
    <col min="4575" max="4811" width="9.140625" style="8"/>
    <col min="4812" max="4812" width="9" style="8" bestFit="1" customWidth="1"/>
    <col min="4813" max="4813" width="9.85546875" style="8" bestFit="1" customWidth="1"/>
    <col min="4814" max="4814" width="9.140625" style="8" bestFit="1" customWidth="1"/>
    <col min="4815" max="4815" width="16" style="8" bestFit="1" customWidth="1"/>
    <col min="4816" max="4816" width="9" style="8" bestFit="1" customWidth="1"/>
    <col min="4817" max="4817" width="7.85546875" style="8" bestFit="1" customWidth="1"/>
    <col min="4818" max="4818" width="11.7109375" style="8" bestFit="1" customWidth="1"/>
    <col min="4819" max="4819" width="14.28515625" style="8" customWidth="1"/>
    <col min="4820" max="4820" width="11.7109375" style="8" bestFit="1" customWidth="1"/>
    <col min="4821" max="4821" width="14.140625" style="8" bestFit="1" customWidth="1"/>
    <col min="4822" max="4822" width="16.7109375" style="8" customWidth="1"/>
    <col min="4823" max="4823" width="16.5703125" style="8" customWidth="1"/>
    <col min="4824" max="4825" width="7.85546875" style="8" bestFit="1" customWidth="1"/>
    <col min="4826" max="4826" width="8" style="8" bestFit="1" customWidth="1"/>
    <col min="4827" max="4828" width="7.85546875" style="8" bestFit="1" customWidth="1"/>
    <col min="4829" max="4829" width="9.7109375" style="8" customWidth="1"/>
    <col min="4830" max="4830" width="12.85546875" style="8" customWidth="1"/>
    <col min="4831" max="5067" width="9.140625" style="8"/>
    <col min="5068" max="5068" width="9" style="8" bestFit="1" customWidth="1"/>
    <col min="5069" max="5069" width="9.85546875" style="8" bestFit="1" customWidth="1"/>
    <col min="5070" max="5070" width="9.140625" style="8" bestFit="1" customWidth="1"/>
    <col min="5071" max="5071" width="16" style="8" bestFit="1" customWidth="1"/>
    <col min="5072" max="5072" width="9" style="8" bestFit="1" customWidth="1"/>
    <col min="5073" max="5073" width="7.85546875" style="8" bestFit="1" customWidth="1"/>
    <col min="5074" max="5074" width="11.7109375" style="8" bestFit="1" customWidth="1"/>
    <col min="5075" max="5075" width="14.28515625" style="8" customWidth="1"/>
    <col min="5076" max="5076" width="11.7109375" style="8" bestFit="1" customWidth="1"/>
    <col min="5077" max="5077" width="14.140625" style="8" bestFit="1" customWidth="1"/>
    <col min="5078" max="5078" width="16.7109375" style="8" customWidth="1"/>
    <col min="5079" max="5079" width="16.5703125" style="8" customWidth="1"/>
    <col min="5080" max="5081" width="7.85546875" style="8" bestFit="1" customWidth="1"/>
    <col min="5082" max="5082" width="8" style="8" bestFit="1" customWidth="1"/>
    <col min="5083" max="5084" width="7.85546875" style="8" bestFit="1" customWidth="1"/>
    <col min="5085" max="5085" width="9.7109375" style="8" customWidth="1"/>
    <col min="5086" max="5086" width="12.85546875" style="8" customWidth="1"/>
    <col min="5087" max="5323" width="9.140625" style="8"/>
    <col min="5324" max="5324" width="9" style="8" bestFit="1" customWidth="1"/>
    <col min="5325" max="5325" width="9.85546875" style="8" bestFit="1" customWidth="1"/>
    <col min="5326" max="5326" width="9.140625" style="8" bestFit="1" customWidth="1"/>
    <col min="5327" max="5327" width="16" style="8" bestFit="1" customWidth="1"/>
    <col min="5328" max="5328" width="9" style="8" bestFit="1" customWidth="1"/>
    <col min="5329" max="5329" width="7.85546875" style="8" bestFit="1" customWidth="1"/>
    <col min="5330" max="5330" width="11.7109375" style="8" bestFit="1" customWidth="1"/>
    <col min="5331" max="5331" width="14.28515625" style="8" customWidth="1"/>
    <col min="5332" max="5332" width="11.7109375" style="8" bestFit="1" customWidth="1"/>
    <col min="5333" max="5333" width="14.140625" style="8" bestFit="1" customWidth="1"/>
    <col min="5334" max="5334" width="16.7109375" style="8" customWidth="1"/>
    <col min="5335" max="5335" width="16.5703125" style="8" customWidth="1"/>
    <col min="5336" max="5337" width="7.85546875" style="8" bestFit="1" customWidth="1"/>
    <col min="5338" max="5338" width="8" style="8" bestFit="1" customWidth="1"/>
    <col min="5339" max="5340" width="7.85546875" style="8" bestFit="1" customWidth="1"/>
    <col min="5341" max="5341" width="9.7109375" style="8" customWidth="1"/>
    <col min="5342" max="5342" width="12.85546875" style="8" customWidth="1"/>
    <col min="5343" max="5579" width="9.140625" style="8"/>
    <col min="5580" max="5580" width="9" style="8" bestFit="1" customWidth="1"/>
    <col min="5581" max="5581" width="9.85546875" style="8" bestFit="1" customWidth="1"/>
    <col min="5582" max="5582" width="9.140625" style="8" bestFit="1" customWidth="1"/>
    <col min="5583" max="5583" width="16" style="8" bestFit="1" customWidth="1"/>
    <col min="5584" max="5584" width="9" style="8" bestFit="1" customWidth="1"/>
    <col min="5585" max="5585" width="7.85546875" style="8" bestFit="1" customWidth="1"/>
    <col min="5586" max="5586" width="11.7109375" style="8" bestFit="1" customWidth="1"/>
    <col min="5587" max="5587" width="14.28515625" style="8" customWidth="1"/>
    <col min="5588" max="5588" width="11.7109375" style="8" bestFit="1" customWidth="1"/>
    <col min="5589" max="5589" width="14.140625" style="8" bestFit="1" customWidth="1"/>
    <col min="5590" max="5590" width="16.7109375" style="8" customWidth="1"/>
    <col min="5591" max="5591" width="16.5703125" style="8" customWidth="1"/>
    <col min="5592" max="5593" width="7.85546875" style="8" bestFit="1" customWidth="1"/>
    <col min="5594" max="5594" width="8" style="8" bestFit="1" customWidth="1"/>
    <col min="5595" max="5596" width="7.85546875" style="8" bestFit="1" customWidth="1"/>
    <col min="5597" max="5597" width="9.7109375" style="8" customWidth="1"/>
    <col min="5598" max="5598" width="12.85546875" style="8" customWidth="1"/>
    <col min="5599" max="5835" width="9.140625" style="8"/>
    <col min="5836" max="5836" width="9" style="8" bestFit="1" customWidth="1"/>
    <col min="5837" max="5837" width="9.85546875" style="8" bestFit="1" customWidth="1"/>
    <col min="5838" max="5838" width="9.140625" style="8" bestFit="1" customWidth="1"/>
    <col min="5839" max="5839" width="16" style="8" bestFit="1" customWidth="1"/>
    <col min="5840" max="5840" width="9" style="8" bestFit="1" customWidth="1"/>
    <col min="5841" max="5841" width="7.85546875" style="8" bestFit="1" customWidth="1"/>
    <col min="5842" max="5842" width="11.7109375" style="8" bestFit="1" customWidth="1"/>
    <col min="5843" max="5843" width="14.28515625" style="8" customWidth="1"/>
    <col min="5844" max="5844" width="11.7109375" style="8" bestFit="1" customWidth="1"/>
    <col min="5845" max="5845" width="14.140625" style="8" bestFit="1" customWidth="1"/>
    <col min="5846" max="5846" width="16.7109375" style="8" customWidth="1"/>
    <col min="5847" max="5847" width="16.5703125" style="8" customWidth="1"/>
    <col min="5848" max="5849" width="7.85546875" style="8" bestFit="1" customWidth="1"/>
    <col min="5850" max="5850" width="8" style="8" bestFit="1" customWidth="1"/>
    <col min="5851" max="5852" width="7.85546875" style="8" bestFit="1" customWidth="1"/>
    <col min="5853" max="5853" width="9.7109375" style="8" customWidth="1"/>
    <col min="5854" max="5854" width="12.85546875" style="8" customWidth="1"/>
    <col min="5855" max="6091" width="9.140625" style="8"/>
    <col min="6092" max="6092" width="9" style="8" bestFit="1" customWidth="1"/>
    <col min="6093" max="6093" width="9.85546875" style="8" bestFit="1" customWidth="1"/>
    <col min="6094" max="6094" width="9.140625" style="8" bestFit="1" customWidth="1"/>
    <col min="6095" max="6095" width="16" style="8" bestFit="1" customWidth="1"/>
    <col min="6096" max="6096" width="9" style="8" bestFit="1" customWidth="1"/>
    <col min="6097" max="6097" width="7.85546875" style="8" bestFit="1" customWidth="1"/>
    <col min="6098" max="6098" width="11.7109375" style="8" bestFit="1" customWidth="1"/>
    <col min="6099" max="6099" width="14.28515625" style="8" customWidth="1"/>
    <col min="6100" max="6100" width="11.7109375" style="8" bestFit="1" customWidth="1"/>
    <col min="6101" max="6101" width="14.140625" style="8" bestFit="1" customWidth="1"/>
    <col min="6102" max="6102" width="16.7109375" style="8" customWidth="1"/>
    <col min="6103" max="6103" width="16.5703125" style="8" customWidth="1"/>
    <col min="6104" max="6105" width="7.85546875" style="8" bestFit="1" customWidth="1"/>
    <col min="6106" max="6106" width="8" style="8" bestFit="1" customWidth="1"/>
    <col min="6107" max="6108" width="7.85546875" style="8" bestFit="1" customWidth="1"/>
    <col min="6109" max="6109" width="9.7109375" style="8" customWidth="1"/>
    <col min="6110" max="6110" width="12.85546875" style="8" customWidth="1"/>
    <col min="6111" max="6347" width="9.140625" style="8"/>
    <col min="6348" max="6348" width="9" style="8" bestFit="1" customWidth="1"/>
    <col min="6349" max="6349" width="9.85546875" style="8" bestFit="1" customWidth="1"/>
    <col min="6350" max="6350" width="9.140625" style="8" bestFit="1" customWidth="1"/>
    <col min="6351" max="6351" width="16" style="8" bestFit="1" customWidth="1"/>
    <col min="6352" max="6352" width="9" style="8" bestFit="1" customWidth="1"/>
    <col min="6353" max="6353" width="7.85546875" style="8" bestFit="1" customWidth="1"/>
    <col min="6354" max="6354" width="11.7109375" style="8" bestFit="1" customWidth="1"/>
    <col min="6355" max="6355" width="14.28515625" style="8" customWidth="1"/>
    <col min="6356" max="6356" width="11.7109375" style="8" bestFit="1" customWidth="1"/>
    <col min="6357" max="6357" width="14.140625" style="8" bestFit="1" customWidth="1"/>
    <col min="6358" max="6358" width="16.7109375" style="8" customWidth="1"/>
    <col min="6359" max="6359" width="16.5703125" style="8" customWidth="1"/>
    <col min="6360" max="6361" width="7.85546875" style="8" bestFit="1" customWidth="1"/>
    <col min="6362" max="6362" width="8" style="8" bestFit="1" customWidth="1"/>
    <col min="6363" max="6364" width="7.85546875" style="8" bestFit="1" customWidth="1"/>
    <col min="6365" max="6365" width="9.7109375" style="8" customWidth="1"/>
    <col min="6366" max="6366" width="12.85546875" style="8" customWidth="1"/>
    <col min="6367" max="6603" width="9.140625" style="8"/>
    <col min="6604" max="6604" width="9" style="8" bestFit="1" customWidth="1"/>
    <col min="6605" max="6605" width="9.85546875" style="8" bestFit="1" customWidth="1"/>
    <col min="6606" max="6606" width="9.140625" style="8" bestFit="1" customWidth="1"/>
    <col min="6607" max="6607" width="16" style="8" bestFit="1" customWidth="1"/>
    <col min="6608" max="6608" width="9" style="8" bestFit="1" customWidth="1"/>
    <col min="6609" max="6609" width="7.85546875" style="8" bestFit="1" customWidth="1"/>
    <col min="6610" max="6610" width="11.7109375" style="8" bestFit="1" customWidth="1"/>
    <col min="6611" max="6611" width="14.28515625" style="8" customWidth="1"/>
    <col min="6612" max="6612" width="11.7109375" style="8" bestFit="1" customWidth="1"/>
    <col min="6613" max="6613" width="14.140625" style="8" bestFit="1" customWidth="1"/>
    <col min="6614" max="6614" width="16.7109375" style="8" customWidth="1"/>
    <col min="6615" max="6615" width="16.5703125" style="8" customWidth="1"/>
    <col min="6616" max="6617" width="7.85546875" style="8" bestFit="1" customWidth="1"/>
    <col min="6618" max="6618" width="8" style="8" bestFit="1" customWidth="1"/>
    <col min="6619" max="6620" width="7.85546875" style="8" bestFit="1" customWidth="1"/>
    <col min="6621" max="6621" width="9.7109375" style="8" customWidth="1"/>
    <col min="6622" max="6622" width="12.85546875" style="8" customWidth="1"/>
    <col min="6623" max="6859" width="9.140625" style="8"/>
    <col min="6860" max="6860" width="9" style="8" bestFit="1" customWidth="1"/>
    <col min="6861" max="6861" width="9.85546875" style="8" bestFit="1" customWidth="1"/>
    <col min="6862" max="6862" width="9.140625" style="8" bestFit="1" customWidth="1"/>
    <col min="6863" max="6863" width="16" style="8" bestFit="1" customWidth="1"/>
    <col min="6864" max="6864" width="9" style="8" bestFit="1" customWidth="1"/>
    <col min="6865" max="6865" width="7.85546875" style="8" bestFit="1" customWidth="1"/>
    <col min="6866" max="6866" width="11.7109375" style="8" bestFit="1" customWidth="1"/>
    <col min="6867" max="6867" width="14.28515625" style="8" customWidth="1"/>
    <col min="6868" max="6868" width="11.7109375" style="8" bestFit="1" customWidth="1"/>
    <col min="6869" max="6869" width="14.140625" style="8" bestFit="1" customWidth="1"/>
    <col min="6870" max="6870" width="16.7109375" style="8" customWidth="1"/>
    <col min="6871" max="6871" width="16.5703125" style="8" customWidth="1"/>
    <col min="6872" max="6873" width="7.85546875" style="8" bestFit="1" customWidth="1"/>
    <col min="6874" max="6874" width="8" style="8" bestFit="1" customWidth="1"/>
    <col min="6875" max="6876" width="7.85546875" style="8" bestFit="1" customWidth="1"/>
    <col min="6877" max="6877" width="9.7109375" style="8" customWidth="1"/>
    <col min="6878" max="6878" width="12.85546875" style="8" customWidth="1"/>
    <col min="6879" max="7115" width="9.140625" style="8"/>
    <col min="7116" max="7116" width="9" style="8" bestFit="1" customWidth="1"/>
    <col min="7117" max="7117" width="9.85546875" style="8" bestFit="1" customWidth="1"/>
    <col min="7118" max="7118" width="9.140625" style="8" bestFit="1" customWidth="1"/>
    <col min="7119" max="7119" width="16" style="8" bestFit="1" customWidth="1"/>
    <col min="7120" max="7120" width="9" style="8" bestFit="1" customWidth="1"/>
    <col min="7121" max="7121" width="7.85546875" style="8" bestFit="1" customWidth="1"/>
    <col min="7122" max="7122" width="11.7109375" style="8" bestFit="1" customWidth="1"/>
    <col min="7123" max="7123" width="14.28515625" style="8" customWidth="1"/>
    <col min="7124" max="7124" width="11.7109375" style="8" bestFit="1" customWidth="1"/>
    <col min="7125" max="7125" width="14.140625" style="8" bestFit="1" customWidth="1"/>
    <col min="7126" max="7126" width="16.7109375" style="8" customWidth="1"/>
    <col min="7127" max="7127" width="16.5703125" style="8" customWidth="1"/>
    <col min="7128" max="7129" width="7.85546875" style="8" bestFit="1" customWidth="1"/>
    <col min="7130" max="7130" width="8" style="8" bestFit="1" customWidth="1"/>
    <col min="7131" max="7132" width="7.85546875" style="8" bestFit="1" customWidth="1"/>
    <col min="7133" max="7133" width="9.7109375" style="8" customWidth="1"/>
    <col min="7134" max="7134" width="12.85546875" style="8" customWidth="1"/>
    <col min="7135" max="7371" width="9.140625" style="8"/>
    <col min="7372" max="7372" width="9" style="8" bestFit="1" customWidth="1"/>
    <col min="7373" max="7373" width="9.85546875" style="8" bestFit="1" customWidth="1"/>
    <col min="7374" max="7374" width="9.140625" style="8" bestFit="1" customWidth="1"/>
    <col min="7375" max="7375" width="16" style="8" bestFit="1" customWidth="1"/>
    <col min="7376" max="7376" width="9" style="8" bestFit="1" customWidth="1"/>
    <col min="7377" max="7377" width="7.85546875" style="8" bestFit="1" customWidth="1"/>
    <col min="7378" max="7378" width="11.7109375" style="8" bestFit="1" customWidth="1"/>
    <col min="7379" max="7379" width="14.28515625" style="8" customWidth="1"/>
    <col min="7380" max="7380" width="11.7109375" style="8" bestFit="1" customWidth="1"/>
    <col min="7381" max="7381" width="14.140625" style="8" bestFit="1" customWidth="1"/>
    <col min="7382" max="7382" width="16.7109375" style="8" customWidth="1"/>
    <col min="7383" max="7383" width="16.5703125" style="8" customWidth="1"/>
    <col min="7384" max="7385" width="7.85546875" style="8" bestFit="1" customWidth="1"/>
    <col min="7386" max="7386" width="8" style="8" bestFit="1" customWidth="1"/>
    <col min="7387" max="7388" width="7.85546875" style="8" bestFit="1" customWidth="1"/>
    <col min="7389" max="7389" width="9.7109375" style="8" customWidth="1"/>
    <col min="7390" max="7390" width="12.85546875" style="8" customWidth="1"/>
    <col min="7391" max="7627" width="9.140625" style="8"/>
    <col min="7628" max="7628" width="9" style="8" bestFit="1" customWidth="1"/>
    <col min="7629" max="7629" width="9.85546875" style="8" bestFit="1" customWidth="1"/>
    <col min="7630" max="7630" width="9.140625" style="8" bestFit="1" customWidth="1"/>
    <col min="7631" max="7631" width="16" style="8" bestFit="1" customWidth="1"/>
    <col min="7632" max="7632" width="9" style="8" bestFit="1" customWidth="1"/>
    <col min="7633" max="7633" width="7.85546875" style="8" bestFit="1" customWidth="1"/>
    <col min="7634" max="7634" width="11.7109375" style="8" bestFit="1" customWidth="1"/>
    <col min="7635" max="7635" width="14.28515625" style="8" customWidth="1"/>
    <col min="7636" max="7636" width="11.7109375" style="8" bestFit="1" customWidth="1"/>
    <col min="7637" max="7637" width="14.140625" style="8" bestFit="1" customWidth="1"/>
    <col min="7638" max="7638" width="16.7109375" style="8" customWidth="1"/>
    <col min="7639" max="7639" width="16.5703125" style="8" customWidth="1"/>
    <col min="7640" max="7641" width="7.85546875" style="8" bestFit="1" customWidth="1"/>
    <col min="7642" max="7642" width="8" style="8" bestFit="1" customWidth="1"/>
    <col min="7643" max="7644" width="7.85546875" style="8" bestFit="1" customWidth="1"/>
    <col min="7645" max="7645" width="9.7109375" style="8" customWidth="1"/>
    <col min="7646" max="7646" width="12.85546875" style="8" customWidth="1"/>
    <col min="7647" max="7883" width="9.140625" style="8"/>
    <col min="7884" max="7884" width="9" style="8" bestFit="1" customWidth="1"/>
    <col min="7885" max="7885" width="9.85546875" style="8" bestFit="1" customWidth="1"/>
    <col min="7886" max="7886" width="9.140625" style="8" bestFit="1" customWidth="1"/>
    <col min="7887" max="7887" width="16" style="8" bestFit="1" customWidth="1"/>
    <col min="7888" max="7888" width="9" style="8" bestFit="1" customWidth="1"/>
    <col min="7889" max="7889" width="7.85546875" style="8" bestFit="1" customWidth="1"/>
    <col min="7890" max="7890" width="11.7109375" style="8" bestFit="1" customWidth="1"/>
    <col min="7891" max="7891" width="14.28515625" style="8" customWidth="1"/>
    <col min="7892" max="7892" width="11.7109375" style="8" bestFit="1" customWidth="1"/>
    <col min="7893" max="7893" width="14.140625" style="8" bestFit="1" customWidth="1"/>
    <col min="7894" max="7894" width="16.7109375" style="8" customWidth="1"/>
    <col min="7895" max="7895" width="16.5703125" style="8" customWidth="1"/>
    <col min="7896" max="7897" width="7.85546875" style="8" bestFit="1" customWidth="1"/>
    <col min="7898" max="7898" width="8" style="8" bestFit="1" customWidth="1"/>
    <col min="7899" max="7900" width="7.85546875" style="8" bestFit="1" customWidth="1"/>
    <col min="7901" max="7901" width="9.7109375" style="8" customWidth="1"/>
    <col min="7902" max="7902" width="12.85546875" style="8" customWidth="1"/>
    <col min="7903" max="8139" width="9.140625" style="8"/>
    <col min="8140" max="8140" width="9" style="8" bestFit="1" customWidth="1"/>
    <col min="8141" max="8141" width="9.85546875" style="8" bestFit="1" customWidth="1"/>
    <col min="8142" max="8142" width="9.140625" style="8" bestFit="1" customWidth="1"/>
    <col min="8143" max="8143" width="16" style="8" bestFit="1" customWidth="1"/>
    <col min="8144" max="8144" width="9" style="8" bestFit="1" customWidth="1"/>
    <col min="8145" max="8145" width="7.85546875" style="8" bestFit="1" customWidth="1"/>
    <col min="8146" max="8146" width="11.7109375" style="8" bestFit="1" customWidth="1"/>
    <col min="8147" max="8147" width="14.28515625" style="8" customWidth="1"/>
    <col min="8148" max="8148" width="11.7109375" style="8" bestFit="1" customWidth="1"/>
    <col min="8149" max="8149" width="14.140625" style="8" bestFit="1" customWidth="1"/>
    <col min="8150" max="8150" width="16.7109375" style="8" customWidth="1"/>
    <col min="8151" max="8151" width="16.5703125" style="8" customWidth="1"/>
    <col min="8152" max="8153" width="7.85546875" style="8" bestFit="1" customWidth="1"/>
    <col min="8154" max="8154" width="8" style="8" bestFit="1" customWidth="1"/>
    <col min="8155" max="8156" width="7.85546875" style="8" bestFit="1" customWidth="1"/>
    <col min="8157" max="8157" width="9.7109375" style="8" customWidth="1"/>
    <col min="8158" max="8158" width="12.85546875" style="8" customWidth="1"/>
    <col min="8159" max="8395" width="9.140625" style="8"/>
    <col min="8396" max="8396" width="9" style="8" bestFit="1" customWidth="1"/>
    <col min="8397" max="8397" width="9.85546875" style="8" bestFit="1" customWidth="1"/>
    <col min="8398" max="8398" width="9.140625" style="8" bestFit="1" customWidth="1"/>
    <col min="8399" max="8399" width="16" style="8" bestFit="1" customWidth="1"/>
    <col min="8400" max="8400" width="9" style="8" bestFit="1" customWidth="1"/>
    <col min="8401" max="8401" width="7.85546875" style="8" bestFit="1" customWidth="1"/>
    <col min="8402" max="8402" width="11.7109375" style="8" bestFit="1" customWidth="1"/>
    <col min="8403" max="8403" width="14.28515625" style="8" customWidth="1"/>
    <col min="8404" max="8404" width="11.7109375" style="8" bestFit="1" customWidth="1"/>
    <col min="8405" max="8405" width="14.140625" style="8" bestFit="1" customWidth="1"/>
    <col min="8406" max="8406" width="16.7109375" style="8" customWidth="1"/>
    <col min="8407" max="8407" width="16.5703125" style="8" customWidth="1"/>
    <col min="8408" max="8409" width="7.85546875" style="8" bestFit="1" customWidth="1"/>
    <col min="8410" max="8410" width="8" style="8" bestFit="1" customWidth="1"/>
    <col min="8411" max="8412" width="7.85546875" style="8" bestFit="1" customWidth="1"/>
    <col min="8413" max="8413" width="9.7109375" style="8" customWidth="1"/>
    <col min="8414" max="8414" width="12.85546875" style="8" customWidth="1"/>
    <col min="8415" max="8651" width="9.140625" style="8"/>
    <col min="8652" max="8652" width="9" style="8" bestFit="1" customWidth="1"/>
    <col min="8653" max="8653" width="9.85546875" style="8" bestFit="1" customWidth="1"/>
    <col min="8654" max="8654" width="9.140625" style="8" bestFit="1" customWidth="1"/>
    <col min="8655" max="8655" width="16" style="8" bestFit="1" customWidth="1"/>
    <col min="8656" max="8656" width="9" style="8" bestFit="1" customWidth="1"/>
    <col min="8657" max="8657" width="7.85546875" style="8" bestFit="1" customWidth="1"/>
    <col min="8658" max="8658" width="11.7109375" style="8" bestFit="1" customWidth="1"/>
    <col min="8659" max="8659" width="14.28515625" style="8" customWidth="1"/>
    <col min="8660" max="8660" width="11.7109375" style="8" bestFit="1" customWidth="1"/>
    <col min="8661" max="8661" width="14.140625" style="8" bestFit="1" customWidth="1"/>
    <col min="8662" max="8662" width="16.7109375" style="8" customWidth="1"/>
    <col min="8663" max="8663" width="16.5703125" style="8" customWidth="1"/>
    <col min="8664" max="8665" width="7.85546875" style="8" bestFit="1" customWidth="1"/>
    <col min="8666" max="8666" width="8" style="8" bestFit="1" customWidth="1"/>
    <col min="8667" max="8668" width="7.85546875" style="8" bestFit="1" customWidth="1"/>
    <col min="8669" max="8669" width="9.7109375" style="8" customWidth="1"/>
    <col min="8670" max="8670" width="12.85546875" style="8" customWidth="1"/>
    <col min="8671" max="8907" width="9.140625" style="8"/>
    <col min="8908" max="8908" width="9" style="8" bestFit="1" customWidth="1"/>
    <col min="8909" max="8909" width="9.85546875" style="8" bestFit="1" customWidth="1"/>
    <col min="8910" max="8910" width="9.140625" style="8" bestFit="1" customWidth="1"/>
    <col min="8911" max="8911" width="16" style="8" bestFit="1" customWidth="1"/>
    <col min="8912" max="8912" width="9" style="8" bestFit="1" customWidth="1"/>
    <col min="8913" max="8913" width="7.85546875" style="8" bestFit="1" customWidth="1"/>
    <col min="8914" max="8914" width="11.7109375" style="8" bestFit="1" customWidth="1"/>
    <col min="8915" max="8915" width="14.28515625" style="8" customWidth="1"/>
    <col min="8916" max="8916" width="11.7109375" style="8" bestFit="1" customWidth="1"/>
    <col min="8917" max="8917" width="14.140625" style="8" bestFit="1" customWidth="1"/>
    <col min="8918" max="8918" width="16.7109375" style="8" customWidth="1"/>
    <col min="8919" max="8919" width="16.5703125" style="8" customWidth="1"/>
    <col min="8920" max="8921" width="7.85546875" style="8" bestFit="1" customWidth="1"/>
    <col min="8922" max="8922" width="8" style="8" bestFit="1" customWidth="1"/>
    <col min="8923" max="8924" width="7.85546875" style="8" bestFit="1" customWidth="1"/>
    <col min="8925" max="8925" width="9.7109375" style="8" customWidth="1"/>
    <col min="8926" max="8926" width="12.85546875" style="8" customWidth="1"/>
    <col min="8927" max="9163" width="9.140625" style="8"/>
    <col min="9164" max="9164" width="9" style="8" bestFit="1" customWidth="1"/>
    <col min="9165" max="9165" width="9.85546875" style="8" bestFit="1" customWidth="1"/>
    <col min="9166" max="9166" width="9.140625" style="8" bestFit="1" customWidth="1"/>
    <col min="9167" max="9167" width="16" style="8" bestFit="1" customWidth="1"/>
    <col min="9168" max="9168" width="9" style="8" bestFit="1" customWidth="1"/>
    <col min="9169" max="9169" width="7.85546875" style="8" bestFit="1" customWidth="1"/>
    <col min="9170" max="9170" width="11.7109375" style="8" bestFit="1" customWidth="1"/>
    <col min="9171" max="9171" width="14.28515625" style="8" customWidth="1"/>
    <col min="9172" max="9172" width="11.7109375" style="8" bestFit="1" customWidth="1"/>
    <col min="9173" max="9173" width="14.140625" style="8" bestFit="1" customWidth="1"/>
    <col min="9174" max="9174" width="16.7109375" style="8" customWidth="1"/>
    <col min="9175" max="9175" width="16.5703125" style="8" customWidth="1"/>
    <col min="9176" max="9177" width="7.85546875" style="8" bestFit="1" customWidth="1"/>
    <col min="9178" max="9178" width="8" style="8" bestFit="1" customWidth="1"/>
    <col min="9179" max="9180" width="7.85546875" style="8" bestFit="1" customWidth="1"/>
    <col min="9181" max="9181" width="9.7109375" style="8" customWidth="1"/>
    <col min="9182" max="9182" width="12.85546875" style="8" customWidth="1"/>
    <col min="9183" max="9419" width="9.140625" style="8"/>
    <col min="9420" max="9420" width="9" style="8" bestFit="1" customWidth="1"/>
    <col min="9421" max="9421" width="9.85546875" style="8" bestFit="1" customWidth="1"/>
    <col min="9422" max="9422" width="9.140625" style="8" bestFit="1" customWidth="1"/>
    <col min="9423" max="9423" width="16" style="8" bestFit="1" customWidth="1"/>
    <col min="9424" max="9424" width="9" style="8" bestFit="1" customWidth="1"/>
    <col min="9425" max="9425" width="7.85546875" style="8" bestFit="1" customWidth="1"/>
    <col min="9426" max="9426" width="11.7109375" style="8" bestFit="1" customWidth="1"/>
    <col min="9427" max="9427" width="14.28515625" style="8" customWidth="1"/>
    <col min="9428" max="9428" width="11.7109375" style="8" bestFit="1" customWidth="1"/>
    <col min="9429" max="9429" width="14.140625" style="8" bestFit="1" customWidth="1"/>
    <col min="9430" max="9430" width="16.7109375" style="8" customWidth="1"/>
    <col min="9431" max="9431" width="16.5703125" style="8" customWidth="1"/>
    <col min="9432" max="9433" width="7.85546875" style="8" bestFit="1" customWidth="1"/>
    <col min="9434" max="9434" width="8" style="8" bestFit="1" customWidth="1"/>
    <col min="9435" max="9436" width="7.85546875" style="8" bestFit="1" customWidth="1"/>
    <col min="9437" max="9437" width="9.7109375" style="8" customWidth="1"/>
    <col min="9438" max="9438" width="12.85546875" style="8" customWidth="1"/>
    <col min="9439" max="9675" width="9.140625" style="8"/>
    <col min="9676" max="9676" width="9" style="8" bestFit="1" customWidth="1"/>
    <col min="9677" max="9677" width="9.85546875" style="8" bestFit="1" customWidth="1"/>
    <col min="9678" max="9678" width="9.140625" style="8" bestFit="1" customWidth="1"/>
    <col min="9679" max="9679" width="16" style="8" bestFit="1" customWidth="1"/>
    <col min="9680" max="9680" width="9" style="8" bestFit="1" customWidth="1"/>
    <col min="9681" max="9681" width="7.85546875" style="8" bestFit="1" customWidth="1"/>
    <col min="9682" max="9682" width="11.7109375" style="8" bestFit="1" customWidth="1"/>
    <col min="9683" max="9683" width="14.28515625" style="8" customWidth="1"/>
    <col min="9684" max="9684" width="11.7109375" style="8" bestFit="1" customWidth="1"/>
    <col min="9685" max="9685" width="14.140625" style="8" bestFit="1" customWidth="1"/>
    <col min="9686" max="9686" width="16.7109375" style="8" customWidth="1"/>
    <col min="9687" max="9687" width="16.5703125" style="8" customWidth="1"/>
    <col min="9688" max="9689" width="7.85546875" style="8" bestFit="1" customWidth="1"/>
    <col min="9690" max="9690" width="8" style="8" bestFit="1" customWidth="1"/>
    <col min="9691" max="9692" width="7.85546875" style="8" bestFit="1" customWidth="1"/>
    <col min="9693" max="9693" width="9.7109375" style="8" customWidth="1"/>
    <col min="9694" max="9694" width="12.85546875" style="8" customWidth="1"/>
    <col min="9695" max="9931" width="9.140625" style="8"/>
    <col min="9932" max="9932" width="9" style="8" bestFit="1" customWidth="1"/>
    <col min="9933" max="9933" width="9.85546875" style="8" bestFit="1" customWidth="1"/>
    <col min="9934" max="9934" width="9.140625" style="8" bestFit="1" customWidth="1"/>
    <col min="9935" max="9935" width="16" style="8" bestFit="1" customWidth="1"/>
    <col min="9936" max="9936" width="9" style="8" bestFit="1" customWidth="1"/>
    <col min="9937" max="9937" width="7.85546875" style="8" bestFit="1" customWidth="1"/>
    <col min="9938" max="9938" width="11.7109375" style="8" bestFit="1" customWidth="1"/>
    <col min="9939" max="9939" width="14.28515625" style="8" customWidth="1"/>
    <col min="9940" max="9940" width="11.7109375" style="8" bestFit="1" customWidth="1"/>
    <col min="9941" max="9941" width="14.140625" style="8" bestFit="1" customWidth="1"/>
    <col min="9942" max="9942" width="16.7109375" style="8" customWidth="1"/>
    <col min="9943" max="9943" width="16.5703125" style="8" customWidth="1"/>
    <col min="9944" max="9945" width="7.85546875" style="8" bestFit="1" customWidth="1"/>
    <col min="9946" max="9946" width="8" style="8" bestFit="1" customWidth="1"/>
    <col min="9947" max="9948" width="7.85546875" style="8" bestFit="1" customWidth="1"/>
    <col min="9949" max="9949" width="9.7109375" style="8" customWidth="1"/>
    <col min="9950" max="9950" width="12.85546875" style="8" customWidth="1"/>
    <col min="9951" max="10187" width="9.140625" style="8"/>
    <col min="10188" max="10188" width="9" style="8" bestFit="1" customWidth="1"/>
    <col min="10189" max="10189" width="9.85546875" style="8" bestFit="1" customWidth="1"/>
    <col min="10190" max="10190" width="9.140625" style="8" bestFit="1" customWidth="1"/>
    <col min="10191" max="10191" width="16" style="8" bestFit="1" customWidth="1"/>
    <col min="10192" max="10192" width="9" style="8" bestFit="1" customWidth="1"/>
    <col min="10193" max="10193" width="7.85546875" style="8" bestFit="1" customWidth="1"/>
    <col min="10194" max="10194" width="11.7109375" style="8" bestFit="1" customWidth="1"/>
    <col min="10195" max="10195" width="14.28515625" style="8" customWidth="1"/>
    <col min="10196" max="10196" width="11.7109375" style="8" bestFit="1" customWidth="1"/>
    <col min="10197" max="10197" width="14.140625" style="8" bestFit="1" customWidth="1"/>
    <col min="10198" max="10198" width="16.7109375" style="8" customWidth="1"/>
    <col min="10199" max="10199" width="16.5703125" style="8" customWidth="1"/>
    <col min="10200" max="10201" width="7.85546875" style="8" bestFit="1" customWidth="1"/>
    <col min="10202" max="10202" width="8" style="8" bestFit="1" customWidth="1"/>
    <col min="10203" max="10204" width="7.85546875" style="8" bestFit="1" customWidth="1"/>
    <col min="10205" max="10205" width="9.7109375" style="8" customWidth="1"/>
    <col min="10206" max="10206" width="12.85546875" style="8" customWidth="1"/>
    <col min="10207" max="10443" width="9.140625" style="8"/>
    <col min="10444" max="10444" width="9" style="8" bestFit="1" customWidth="1"/>
    <col min="10445" max="10445" width="9.85546875" style="8" bestFit="1" customWidth="1"/>
    <col min="10446" max="10446" width="9.140625" style="8" bestFit="1" customWidth="1"/>
    <col min="10447" max="10447" width="16" style="8" bestFit="1" customWidth="1"/>
    <col min="10448" max="10448" width="9" style="8" bestFit="1" customWidth="1"/>
    <col min="10449" max="10449" width="7.85546875" style="8" bestFit="1" customWidth="1"/>
    <col min="10450" max="10450" width="11.7109375" style="8" bestFit="1" customWidth="1"/>
    <col min="10451" max="10451" width="14.28515625" style="8" customWidth="1"/>
    <col min="10452" max="10452" width="11.7109375" style="8" bestFit="1" customWidth="1"/>
    <col min="10453" max="10453" width="14.140625" style="8" bestFit="1" customWidth="1"/>
    <col min="10454" max="10454" width="16.7109375" style="8" customWidth="1"/>
    <col min="10455" max="10455" width="16.5703125" style="8" customWidth="1"/>
    <col min="10456" max="10457" width="7.85546875" style="8" bestFit="1" customWidth="1"/>
    <col min="10458" max="10458" width="8" style="8" bestFit="1" customWidth="1"/>
    <col min="10459" max="10460" width="7.85546875" style="8" bestFit="1" customWidth="1"/>
    <col min="10461" max="10461" width="9.7109375" style="8" customWidth="1"/>
    <col min="10462" max="10462" width="12.85546875" style="8" customWidth="1"/>
    <col min="10463" max="10699" width="9.140625" style="8"/>
    <col min="10700" max="10700" width="9" style="8" bestFit="1" customWidth="1"/>
    <col min="10701" max="10701" width="9.85546875" style="8" bestFit="1" customWidth="1"/>
    <col min="10702" max="10702" width="9.140625" style="8" bestFit="1" customWidth="1"/>
    <col min="10703" max="10703" width="16" style="8" bestFit="1" customWidth="1"/>
    <col min="10704" max="10704" width="9" style="8" bestFit="1" customWidth="1"/>
    <col min="10705" max="10705" width="7.85546875" style="8" bestFit="1" customWidth="1"/>
    <col min="10706" max="10706" width="11.7109375" style="8" bestFit="1" customWidth="1"/>
    <col min="10707" max="10707" width="14.28515625" style="8" customWidth="1"/>
    <col min="10708" max="10708" width="11.7109375" style="8" bestFit="1" customWidth="1"/>
    <col min="10709" max="10709" width="14.140625" style="8" bestFit="1" customWidth="1"/>
    <col min="10710" max="10710" width="16.7109375" style="8" customWidth="1"/>
    <col min="10711" max="10711" width="16.5703125" style="8" customWidth="1"/>
    <col min="10712" max="10713" width="7.85546875" style="8" bestFit="1" customWidth="1"/>
    <col min="10714" max="10714" width="8" style="8" bestFit="1" customWidth="1"/>
    <col min="10715" max="10716" width="7.85546875" style="8" bestFit="1" customWidth="1"/>
    <col min="10717" max="10717" width="9.7109375" style="8" customWidth="1"/>
    <col min="10718" max="10718" width="12.85546875" style="8" customWidth="1"/>
    <col min="10719" max="10955" width="9.140625" style="8"/>
    <col min="10956" max="10956" width="9" style="8" bestFit="1" customWidth="1"/>
    <col min="10957" max="10957" width="9.85546875" style="8" bestFit="1" customWidth="1"/>
    <col min="10958" max="10958" width="9.140625" style="8" bestFit="1" customWidth="1"/>
    <col min="10959" max="10959" width="16" style="8" bestFit="1" customWidth="1"/>
    <col min="10960" max="10960" width="9" style="8" bestFit="1" customWidth="1"/>
    <col min="10961" max="10961" width="7.85546875" style="8" bestFit="1" customWidth="1"/>
    <col min="10962" max="10962" width="11.7109375" style="8" bestFit="1" customWidth="1"/>
    <col min="10963" max="10963" width="14.28515625" style="8" customWidth="1"/>
    <col min="10964" max="10964" width="11.7109375" style="8" bestFit="1" customWidth="1"/>
    <col min="10965" max="10965" width="14.140625" style="8" bestFit="1" customWidth="1"/>
    <col min="10966" max="10966" width="16.7109375" style="8" customWidth="1"/>
    <col min="10967" max="10967" width="16.5703125" style="8" customWidth="1"/>
    <col min="10968" max="10969" width="7.85546875" style="8" bestFit="1" customWidth="1"/>
    <col min="10970" max="10970" width="8" style="8" bestFit="1" customWidth="1"/>
    <col min="10971" max="10972" width="7.85546875" style="8" bestFit="1" customWidth="1"/>
    <col min="10973" max="10973" width="9.7109375" style="8" customWidth="1"/>
    <col min="10974" max="10974" width="12.85546875" style="8" customWidth="1"/>
    <col min="10975" max="11211" width="9.140625" style="8"/>
    <col min="11212" max="11212" width="9" style="8" bestFit="1" customWidth="1"/>
    <col min="11213" max="11213" width="9.85546875" style="8" bestFit="1" customWidth="1"/>
    <col min="11214" max="11214" width="9.140625" style="8" bestFit="1" customWidth="1"/>
    <col min="11215" max="11215" width="16" style="8" bestFit="1" customWidth="1"/>
    <col min="11216" max="11216" width="9" style="8" bestFit="1" customWidth="1"/>
    <col min="11217" max="11217" width="7.85546875" style="8" bestFit="1" customWidth="1"/>
    <col min="11218" max="11218" width="11.7109375" style="8" bestFit="1" customWidth="1"/>
    <col min="11219" max="11219" width="14.28515625" style="8" customWidth="1"/>
    <col min="11220" max="11220" width="11.7109375" style="8" bestFit="1" customWidth="1"/>
    <col min="11221" max="11221" width="14.140625" style="8" bestFit="1" customWidth="1"/>
    <col min="11222" max="11222" width="16.7109375" style="8" customWidth="1"/>
    <col min="11223" max="11223" width="16.5703125" style="8" customWidth="1"/>
    <col min="11224" max="11225" width="7.85546875" style="8" bestFit="1" customWidth="1"/>
    <col min="11226" max="11226" width="8" style="8" bestFit="1" customWidth="1"/>
    <col min="11227" max="11228" width="7.85546875" style="8" bestFit="1" customWidth="1"/>
    <col min="11229" max="11229" width="9.7109375" style="8" customWidth="1"/>
    <col min="11230" max="11230" width="12.85546875" style="8" customWidth="1"/>
    <col min="11231" max="11467" width="9.140625" style="8"/>
    <col min="11468" max="11468" width="9" style="8" bestFit="1" customWidth="1"/>
    <col min="11469" max="11469" width="9.85546875" style="8" bestFit="1" customWidth="1"/>
    <col min="11470" max="11470" width="9.140625" style="8" bestFit="1" customWidth="1"/>
    <col min="11471" max="11471" width="16" style="8" bestFit="1" customWidth="1"/>
    <col min="11472" max="11472" width="9" style="8" bestFit="1" customWidth="1"/>
    <col min="11473" max="11473" width="7.85546875" style="8" bestFit="1" customWidth="1"/>
    <col min="11474" max="11474" width="11.7109375" style="8" bestFit="1" customWidth="1"/>
    <col min="11475" max="11475" width="14.28515625" style="8" customWidth="1"/>
    <col min="11476" max="11476" width="11.7109375" style="8" bestFit="1" customWidth="1"/>
    <col min="11477" max="11477" width="14.140625" style="8" bestFit="1" customWidth="1"/>
    <col min="11478" max="11478" width="16.7109375" style="8" customWidth="1"/>
    <col min="11479" max="11479" width="16.5703125" style="8" customWidth="1"/>
    <col min="11480" max="11481" width="7.85546875" style="8" bestFit="1" customWidth="1"/>
    <col min="11482" max="11482" width="8" style="8" bestFit="1" customWidth="1"/>
    <col min="11483" max="11484" width="7.85546875" style="8" bestFit="1" customWidth="1"/>
    <col min="11485" max="11485" width="9.7109375" style="8" customWidth="1"/>
    <col min="11486" max="11486" width="12.85546875" style="8" customWidth="1"/>
    <col min="11487" max="11723" width="9.140625" style="8"/>
    <col min="11724" max="11724" width="9" style="8" bestFit="1" customWidth="1"/>
    <col min="11725" max="11725" width="9.85546875" style="8" bestFit="1" customWidth="1"/>
    <col min="11726" max="11726" width="9.140625" style="8" bestFit="1" customWidth="1"/>
    <col min="11727" max="11727" width="16" style="8" bestFit="1" customWidth="1"/>
    <col min="11728" max="11728" width="9" style="8" bestFit="1" customWidth="1"/>
    <col min="11729" max="11729" width="7.85546875" style="8" bestFit="1" customWidth="1"/>
    <col min="11730" max="11730" width="11.7109375" style="8" bestFit="1" customWidth="1"/>
    <col min="11731" max="11731" width="14.28515625" style="8" customWidth="1"/>
    <col min="11732" max="11732" width="11.7109375" style="8" bestFit="1" customWidth="1"/>
    <col min="11733" max="11733" width="14.140625" style="8" bestFit="1" customWidth="1"/>
    <col min="11734" max="11734" width="16.7109375" style="8" customWidth="1"/>
    <col min="11735" max="11735" width="16.5703125" style="8" customWidth="1"/>
    <col min="11736" max="11737" width="7.85546875" style="8" bestFit="1" customWidth="1"/>
    <col min="11738" max="11738" width="8" style="8" bestFit="1" customWidth="1"/>
    <col min="11739" max="11740" width="7.85546875" style="8" bestFit="1" customWidth="1"/>
    <col min="11741" max="11741" width="9.7109375" style="8" customWidth="1"/>
    <col min="11742" max="11742" width="12.85546875" style="8" customWidth="1"/>
    <col min="11743" max="11979" width="9.140625" style="8"/>
    <col min="11980" max="11980" width="9" style="8" bestFit="1" customWidth="1"/>
    <col min="11981" max="11981" width="9.85546875" style="8" bestFit="1" customWidth="1"/>
    <col min="11982" max="11982" width="9.140625" style="8" bestFit="1" customWidth="1"/>
    <col min="11983" max="11983" width="16" style="8" bestFit="1" customWidth="1"/>
    <col min="11984" max="11984" width="9" style="8" bestFit="1" customWidth="1"/>
    <col min="11985" max="11985" width="7.85546875" style="8" bestFit="1" customWidth="1"/>
    <col min="11986" max="11986" width="11.7109375" style="8" bestFit="1" customWidth="1"/>
    <col min="11987" max="11987" width="14.28515625" style="8" customWidth="1"/>
    <col min="11988" max="11988" width="11.7109375" style="8" bestFit="1" customWidth="1"/>
    <col min="11989" max="11989" width="14.140625" style="8" bestFit="1" customWidth="1"/>
    <col min="11990" max="11990" width="16.7109375" style="8" customWidth="1"/>
    <col min="11991" max="11991" width="16.5703125" style="8" customWidth="1"/>
    <col min="11992" max="11993" width="7.85546875" style="8" bestFit="1" customWidth="1"/>
    <col min="11994" max="11994" width="8" style="8" bestFit="1" customWidth="1"/>
    <col min="11995" max="11996" width="7.85546875" style="8" bestFit="1" customWidth="1"/>
    <col min="11997" max="11997" width="9.7109375" style="8" customWidth="1"/>
    <col min="11998" max="11998" width="12.85546875" style="8" customWidth="1"/>
    <col min="11999" max="12235" width="9.140625" style="8"/>
    <col min="12236" max="12236" width="9" style="8" bestFit="1" customWidth="1"/>
    <col min="12237" max="12237" width="9.85546875" style="8" bestFit="1" customWidth="1"/>
    <col min="12238" max="12238" width="9.140625" style="8" bestFit="1" customWidth="1"/>
    <col min="12239" max="12239" width="16" style="8" bestFit="1" customWidth="1"/>
    <col min="12240" max="12240" width="9" style="8" bestFit="1" customWidth="1"/>
    <col min="12241" max="12241" width="7.85546875" style="8" bestFit="1" customWidth="1"/>
    <col min="12242" max="12242" width="11.7109375" style="8" bestFit="1" customWidth="1"/>
    <col min="12243" max="12243" width="14.28515625" style="8" customWidth="1"/>
    <col min="12244" max="12244" width="11.7109375" style="8" bestFit="1" customWidth="1"/>
    <col min="12245" max="12245" width="14.140625" style="8" bestFit="1" customWidth="1"/>
    <col min="12246" max="12246" width="16.7109375" style="8" customWidth="1"/>
    <col min="12247" max="12247" width="16.5703125" style="8" customWidth="1"/>
    <col min="12248" max="12249" width="7.85546875" style="8" bestFit="1" customWidth="1"/>
    <col min="12250" max="12250" width="8" style="8" bestFit="1" customWidth="1"/>
    <col min="12251" max="12252" width="7.85546875" style="8" bestFit="1" customWidth="1"/>
    <col min="12253" max="12253" width="9.7109375" style="8" customWidth="1"/>
    <col min="12254" max="12254" width="12.85546875" style="8" customWidth="1"/>
    <col min="12255" max="12491" width="9.140625" style="8"/>
    <col min="12492" max="12492" width="9" style="8" bestFit="1" customWidth="1"/>
    <col min="12493" max="12493" width="9.85546875" style="8" bestFit="1" customWidth="1"/>
    <col min="12494" max="12494" width="9.140625" style="8" bestFit="1" customWidth="1"/>
    <col min="12495" max="12495" width="16" style="8" bestFit="1" customWidth="1"/>
    <col min="12496" max="12496" width="9" style="8" bestFit="1" customWidth="1"/>
    <col min="12497" max="12497" width="7.85546875" style="8" bestFit="1" customWidth="1"/>
    <col min="12498" max="12498" width="11.7109375" style="8" bestFit="1" customWidth="1"/>
    <col min="12499" max="12499" width="14.28515625" style="8" customWidth="1"/>
    <col min="12500" max="12500" width="11.7109375" style="8" bestFit="1" customWidth="1"/>
    <col min="12501" max="12501" width="14.140625" style="8" bestFit="1" customWidth="1"/>
    <col min="12502" max="12502" width="16.7109375" style="8" customWidth="1"/>
    <col min="12503" max="12503" width="16.5703125" style="8" customWidth="1"/>
    <col min="12504" max="12505" width="7.85546875" style="8" bestFit="1" customWidth="1"/>
    <col min="12506" max="12506" width="8" style="8" bestFit="1" customWidth="1"/>
    <col min="12507" max="12508" width="7.85546875" style="8" bestFit="1" customWidth="1"/>
    <col min="12509" max="12509" width="9.7109375" style="8" customWidth="1"/>
    <col min="12510" max="12510" width="12.85546875" style="8" customWidth="1"/>
    <col min="12511" max="12747" width="9.140625" style="8"/>
    <col min="12748" max="12748" width="9" style="8" bestFit="1" customWidth="1"/>
    <col min="12749" max="12749" width="9.85546875" style="8" bestFit="1" customWidth="1"/>
    <col min="12750" max="12750" width="9.140625" style="8" bestFit="1" customWidth="1"/>
    <col min="12751" max="12751" width="16" style="8" bestFit="1" customWidth="1"/>
    <col min="12752" max="12752" width="9" style="8" bestFit="1" customWidth="1"/>
    <col min="12753" max="12753" width="7.85546875" style="8" bestFit="1" customWidth="1"/>
    <col min="12754" max="12754" width="11.7109375" style="8" bestFit="1" customWidth="1"/>
    <col min="12755" max="12755" width="14.28515625" style="8" customWidth="1"/>
    <col min="12756" max="12756" width="11.7109375" style="8" bestFit="1" customWidth="1"/>
    <col min="12757" max="12757" width="14.140625" style="8" bestFit="1" customWidth="1"/>
    <col min="12758" max="12758" width="16.7109375" style="8" customWidth="1"/>
    <col min="12759" max="12759" width="16.5703125" style="8" customWidth="1"/>
    <col min="12760" max="12761" width="7.85546875" style="8" bestFit="1" customWidth="1"/>
    <col min="12762" max="12762" width="8" style="8" bestFit="1" customWidth="1"/>
    <col min="12763" max="12764" width="7.85546875" style="8" bestFit="1" customWidth="1"/>
    <col min="12765" max="12765" width="9.7109375" style="8" customWidth="1"/>
    <col min="12766" max="12766" width="12.85546875" style="8" customWidth="1"/>
    <col min="12767" max="13003" width="9.140625" style="8"/>
    <col min="13004" max="13004" width="9" style="8" bestFit="1" customWidth="1"/>
    <col min="13005" max="13005" width="9.85546875" style="8" bestFit="1" customWidth="1"/>
    <col min="13006" max="13006" width="9.140625" style="8" bestFit="1" customWidth="1"/>
    <col min="13007" max="13007" width="16" style="8" bestFit="1" customWidth="1"/>
    <col min="13008" max="13008" width="9" style="8" bestFit="1" customWidth="1"/>
    <col min="13009" max="13009" width="7.85546875" style="8" bestFit="1" customWidth="1"/>
    <col min="13010" max="13010" width="11.7109375" style="8" bestFit="1" customWidth="1"/>
    <col min="13011" max="13011" width="14.28515625" style="8" customWidth="1"/>
    <col min="13012" max="13012" width="11.7109375" style="8" bestFit="1" customWidth="1"/>
    <col min="13013" max="13013" width="14.140625" style="8" bestFit="1" customWidth="1"/>
    <col min="13014" max="13014" width="16.7109375" style="8" customWidth="1"/>
    <col min="13015" max="13015" width="16.5703125" style="8" customWidth="1"/>
    <col min="13016" max="13017" width="7.85546875" style="8" bestFit="1" customWidth="1"/>
    <col min="13018" max="13018" width="8" style="8" bestFit="1" customWidth="1"/>
    <col min="13019" max="13020" width="7.85546875" style="8" bestFit="1" customWidth="1"/>
    <col min="13021" max="13021" width="9.7109375" style="8" customWidth="1"/>
    <col min="13022" max="13022" width="12.85546875" style="8" customWidth="1"/>
    <col min="13023" max="13259" width="9.140625" style="8"/>
    <col min="13260" max="13260" width="9" style="8" bestFit="1" customWidth="1"/>
    <col min="13261" max="13261" width="9.85546875" style="8" bestFit="1" customWidth="1"/>
    <col min="13262" max="13262" width="9.140625" style="8" bestFit="1" customWidth="1"/>
    <col min="13263" max="13263" width="16" style="8" bestFit="1" customWidth="1"/>
    <col min="13264" max="13264" width="9" style="8" bestFit="1" customWidth="1"/>
    <col min="13265" max="13265" width="7.85546875" style="8" bestFit="1" customWidth="1"/>
    <col min="13266" max="13266" width="11.7109375" style="8" bestFit="1" customWidth="1"/>
    <col min="13267" max="13267" width="14.28515625" style="8" customWidth="1"/>
    <col min="13268" max="13268" width="11.7109375" style="8" bestFit="1" customWidth="1"/>
    <col min="13269" max="13269" width="14.140625" style="8" bestFit="1" customWidth="1"/>
    <col min="13270" max="13270" width="16.7109375" style="8" customWidth="1"/>
    <col min="13271" max="13271" width="16.5703125" style="8" customWidth="1"/>
    <col min="13272" max="13273" width="7.85546875" style="8" bestFit="1" customWidth="1"/>
    <col min="13274" max="13274" width="8" style="8" bestFit="1" customWidth="1"/>
    <col min="13275" max="13276" width="7.85546875" style="8" bestFit="1" customWidth="1"/>
    <col min="13277" max="13277" width="9.7109375" style="8" customWidth="1"/>
    <col min="13278" max="13278" width="12.85546875" style="8" customWidth="1"/>
    <col min="13279" max="13515" width="9.140625" style="8"/>
    <col min="13516" max="13516" width="9" style="8" bestFit="1" customWidth="1"/>
    <col min="13517" max="13517" width="9.85546875" style="8" bestFit="1" customWidth="1"/>
    <col min="13518" max="13518" width="9.140625" style="8" bestFit="1" customWidth="1"/>
    <col min="13519" max="13519" width="16" style="8" bestFit="1" customWidth="1"/>
    <col min="13520" max="13520" width="9" style="8" bestFit="1" customWidth="1"/>
    <col min="13521" max="13521" width="7.85546875" style="8" bestFit="1" customWidth="1"/>
    <col min="13522" max="13522" width="11.7109375" style="8" bestFit="1" customWidth="1"/>
    <col min="13523" max="13523" width="14.28515625" style="8" customWidth="1"/>
    <col min="13524" max="13524" width="11.7109375" style="8" bestFit="1" customWidth="1"/>
    <col min="13525" max="13525" width="14.140625" style="8" bestFit="1" customWidth="1"/>
    <col min="13526" max="13526" width="16.7109375" style="8" customWidth="1"/>
    <col min="13527" max="13527" width="16.5703125" style="8" customWidth="1"/>
    <col min="13528" max="13529" width="7.85546875" style="8" bestFit="1" customWidth="1"/>
    <col min="13530" max="13530" width="8" style="8" bestFit="1" customWidth="1"/>
    <col min="13531" max="13532" width="7.85546875" style="8" bestFit="1" customWidth="1"/>
    <col min="13533" max="13533" width="9.7109375" style="8" customWidth="1"/>
    <col min="13534" max="13534" width="12.85546875" style="8" customWidth="1"/>
    <col min="13535" max="13771" width="9.140625" style="8"/>
    <col min="13772" max="13772" width="9" style="8" bestFit="1" customWidth="1"/>
    <col min="13773" max="13773" width="9.85546875" style="8" bestFit="1" customWidth="1"/>
    <col min="13774" max="13774" width="9.140625" style="8" bestFit="1" customWidth="1"/>
    <col min="13775" max="13775" width="16" style="8" bestFit="1" customWidth="1"/>
    <col min="13776" max="13776" width="9" style="8" bestFit="1" customWidth="1"/>
    <col min="13777" max="13777" width="7.85546875" style="8" bestFit="1" customWidth="1"/>
    <col min="13778" max="13778" width="11.7109375" style="8" bestFit="1" customWidth="1"/>
    <col min="13779" max="13779" width="14.28515625" style="8" customWidth="1"/>
    <col min="13780" max="13780" width="11.7109375" style="8" bestFit="1" customWidth="1"/>
    <col min="13781" max="13781" width="14.140625" style="8" bestFit="1" customWidth="1"/>
    <col min="13782" max="13782" width="16.7109375" style="8" customWidth="1"/>
    <col min="13783" max="13783" width="16.5703125" style="8" customWidth="1"/>
    <col min="13784" max="13785" width="7.85546875" style="8" bestFit="1" customWidth="1"/>
    <col min="13786" max="13786" width="8" style="8" bestFit="1" customWidth="1"/>
    <col min="13787" max="13788" width="7.85546875" style="8" bestFit="1" customWidth="1"/>
    <col min="13789" max="13789" width="9.7109375" style="8" customWidth="1"/>
    <col min="13790" max="13790" width="12.85546875" style="8" customWidth="1"/>
    <col min="13791" max="14027" width="9.140625" style="8"/>
    <col min="14028" max="14028" width="9" style="8" bestFit="1" customWidth="1"/>
    <col min="14029" max="14029" width="9.85546875" style="8" bestFit="1" customWidth="1"/>
    <col min="14030" max="14030" width="9.140625" style="8" bestFit="1" customWidth="1"/>
    <col min="14031" max="14031" width="16" style="8" bestFit="1" customWidth="1"/>
    <col min="14032" max="14032" width="9" style="8" bestFit="1" customWidth="1"/>
    <col min="14033" max="14033" width="7.85546875" style="8" bestFit="1" customWidth="1"/>
    <col min="14034" max="14034" width="11.7109375" style="8" bestFit="1" customWidth="1"/>
    <col min="14035" max="14035" width="14.28515625" style="8" customWidth="1"/>
    <col min="14036" max="14036" width="11.7109375" style="8" bestFit="1" customWidth="1"/>
    <col min="14037" max="14037" width="14.140625" style="8" bestFit="1" customWidth="1"/>
    <col min="14038" max="14038" width="16.7109375" style="8" customWidth="1"/>
    <col min="14039" max="14039" width="16.5703125" style="8" customWidth="1"/>
    <col min="14040" max="14041" width="7.85546875" style="8" bestFit="1" customWidth="1"/>
    <col min="14042" max="14042" width="8" style="8" bestFit="1" customWidth="1"/>
    <col min="14043" max="14044" width="7.85546875" style="8" bestFit="1" customWidth="1"/>
    <col min="14045" max="14045" width="9.7109375" style="8" customWidth="1"/>
    <col min="14046" max="14046" width="12.85546875" style="8" customWidth="1"/>
    <col min="14047" max="14283" width="9.140625" style="8"/>
    <col min="14284" max="14284" width="9" style="8" bestFit="1" customWidth="1"/>
    <col min="14285" max="14285" width="9.85546875" style="8" bestFit="1" customWidth="1"/>
    <col min="14286" max="14286" width="9.140625" style="8" bestFit="1" customWidth="1"/>
    <col min="14287" max="14287" width="16" style="8" bestFit="1" customWidth="1"/>
    <col min="14288" max="14288" width="9" style="8" bestFit="1" customWidth="1"/>
    <col min="14289" max="14289" width="7.85546875" style="8" bestFit="1" customWidth="1"/>
    <col min="14290" max="14290" width="11.7109375" style="8" bestFit="1" customWidth="1"/>
    <col min="14291" max="14291" width="14.28515625" style="8" customWidth="1"/>
    <col min="14292" max="14292" width="11.7109375" style="8" bestFit="1" customWidth="1"/>
    <col min="14293" max="14293" width="14.140625" style="8" bestFit="1" customWidth="1"/>
    <col min="14294" max="14294" width="16.7109375" style="8" customWidth="1"/>
    <col min="14295" max="14295" width="16.5703125" style="8" customWidth="1"/>
    <col min="14296" max="14297" width="7.85546875" style="8" bestFit="1" customWidth="1"/>
    <col min="14298" max="14298" width="8" style="8" bestFit="1" customWidth="1"/>
    <col min="14299" max="14300" width="7.85546875" style="8" bestFit="1" customWidth="1"/>
    <col min="14301" max="14301" width="9.7109375" style="8" customWidth="1"/>
    <col min="14302" max="14302" width="12.85546875" style="8" customWidth="1"/>
    <col min="14303" max="14539" width="9.140625" style="8"/>
    <col min="14540" max="14540" width="9" style="8" bestFit="1" customWidth="1"/>
    <col min="14541" max="14541" width="9.85546875" style="8" bestFit="1" customWidth="1"/>
    <col min="14542" max="14542" width="9.140625" style="8" bestFit="1" customWidth="1"/>
    <col min="14543" max="14543" width="16" style="8" bestFit="1" customWidth="1"/>
    <col min="14544" max="14544" width="9" style="8" bestFit="1" customWidth="1"/>
    <col min="14545" max="14545" width="7.85546875" style="8" bestFit="1" customWidth="1"/>
    <col min="14546" max="14546" width="11.7109375" style="8" bestFit="1" customWidth="1"/>
    <col min="14547" max="14547" width="14.28515625" style="8" customWidth="1"/>
    <col min="14548" max="14548" width="11.7109375" style="8" bestFit="1" customWidth="1"/>
    <col min="14549" max="14549" width="14.140625" style="8" bestFit="1" customWidth="1"/>
    <col min="14550" max="14550" width="16.7109375" style="8" customWidth="1"/>
    <col min="14551" max="14551" width="16.5703125" style="8" customWidth="1"/>
    <col min="14552" max="14553" width="7.85546875" style="8" bestFit="1" customWidth="1"/>
    <col min="14554" max="14554" width="8" style="8" bestFit="1" customWidth="1"/>
    <col min="14555" max="14556" width="7.85546875" style="8" bestFit="1" customWidth="1"/>
    <col min="14557" max="14557" width="9.7109375" style="8" customWidth="1"/>
    <col min="14558" max="14558" width="12.85546875" style="8" customWidth="1"/>
    <col min="14559" max="14795" width="9.140625" style="8"/>
    <col min="14796" max="14796" width="9" style="8" bestFit="1" customWidth="1"/>
    <col min="14797" max="14797" width="9.85546875" style="8" bestFit="1" customWidth="1"/>
    <col min="14798" max="14798" width="9.140625" style="8" bestFit="1" customWidth="1"/>
    <col min="14799" max="14799" width="16" style="8" bestFit="1" customWidth="1"/>
    <col min="14800" max="14800" width="9" style="8" bestFit="1" customWidth="1"/>
    <col min="14801" max="14801" width="7.85546875" style="8" bestFit="1" customWidth="1"/>
    <col min="14802" max="14802" width="11.7109375" style="8" bestFit="1" customWidth="1"/>
    <col min="14803" max="14803" width="14.28515625" style="8" customWidth="1"/>
    <col min="14804" max="14804" width="11.7109375" style="8" bestFit="1" customWidth="1"/>
    <col min="14805" max="14805" width="14.140625" style="8" bestFit="1" customWidth="1"/>
    <col min="14806" max="14806" width="16.7109375" style="8" customWidth="1"/>
    <col min="14807" max="14807" width="16.5703125" style="8" customWidth="1"/>
    <col min="14808" max="14809" width="7.85546875" style="8" bestFit="1" customWidth="1"/>
    <col min="14810" max="14810" width="8" style="8" bestFit="1" customWidth="1"/>
    <col min="14811" max="14812" width="7.85546875" style="8" bestFit="1" customWidth="1"/>
    <col min="14813" max="14813" width="9.7109375" style="8" customWidth="1"/>
    <col min="14814" max="14814" width="12.85546875" style="8" customWidth="1"/>
    <col min="14815" max="15051" width="9.140625" style="8"/>
    <col min="15052" max="15052" width="9" style="8" bestFit="1" customWidth="1"/>
    <col min="15053" max="15053" width="9.85546875" style="8" bestFit="1" customWidth="1"/>
    <col min="15054" max="15054" width="9.140625" style="8" bestFit="1" customWidth="1"/>
    <col min="15055" max="15055" width="16" style="8" bestFit="1" customWidth="1"/>
    <col min="15056" max="15056" width="9" style="8" bestFit="1" customWidth="1"/>
    <col min="15057" max="15057" width="7.85546875" style="8" bestFit="1" customWidth="1"/>
    <col min="15058" max="15058" width="11.7109375" style="8" bestFit="1" customWidth="1"/>
    <col min="15059" max="15059" width="14.28515625" style="8" customWidth="1"/>
    <col min="15060" max="15060" width="11.7109375" style="8" bestFit="1" customWidth="1"/>
    <col min="15061" max="15061" width="14.140625" style="8" bestFit="1" customWidth="1"/>
    <col min="15062" max="15062" width="16.7109375" style="8" customWidth="1"/>
    <col min="15063" max="15063" width="16.5703125" style="8" customWidth="1"/>
    <col min="15064" max="15065" width="7.85546875" style="8" bestFit="1" customWidth="1"/>
    <col min="15066" max="15066" width="8" style="8" bestFit="1" customWidth="1"/>
    <col min="15067" max="15068" width="7.85546875" style="8" bestFit="1" customWidth="1"/>
    <col min="15069" max="15069" width="9.7109375" style="8" customWidth="1"/>
    <col min="15070" max="15070" width="12.85546875" style="8" customWidth="1"/>
    <col min="15071" max="15307" width="9.140625" style="8"/>
    <col min="15308" max="15308" width="9" style="8" bestFit="1" customWidth="1"/>
    <col min="15309" max="15309" width="9.85546875" style="8" bestFit="1" customWidth="1"/>
    <col min="15310" max="15310" width="9.140625" style="8" bestFit="1" customWidth="1"/>
    <col min="15311" max="15311" width="16" style="8" bestFit="1" customWidth="1"/>
    <col min="15312" max="15312" width="9" style="8" bestFit="1" customWidth="1"/>
    <col min="15313" max="15313" width="7.85546875" style="8" bestFit="1" customWidth="1"/>
    <col min="15314" max="15314" width="11.7109375" style="8" bestFit="1" customWidth="1"/>
    <col min="15315" max="15315" width="14.28515625" style="8" customWidth="1"/>
    <col min="15316" max="15316" width="11.7109375" style="8" bestFit="1" customWidth="1"/>
    <col min="15317" max="15317" width="14.140625" style="8" bestFit="1" customWidth="1"/>
    <col min="15318" max="15318" width="16.7109375" style="8" customWidth="1"/>
    <col min="15319" max="15319" width="16.5703125" style="8" customWidth="1"/>
    <col min="15320" max="15321" width="7.85546875" style="8" bestFit="1" customWidth="1"/>
    <col min="15322" max="15322" width="8" style="8" bestFit="1" customWidth="1"/>
    <col min="15323" max="15324" width="7.85546875" style="8" bestFit="1" customWidth="1"/>
    <col min="15325" max="15325" width="9.7109375" style="8" customWidth="1"/>
    <col min="15326" max="15326" width="12.85546875" style="8" customWidth="1"/>
    <col min="15327" max="15563" width="9.140625" style="8"/>
    <col min="15564" max="15564" width="9" style="8" bestFit="1" customWidth="1"/>
    <col min="15565" max="15565" width="9.85546875" style="8" bestFit="1" customWidth="1"/>
    <col min="15566" max="15566" width="9.140625" style="8" bestFit="1" customWidth="1"/>
    <col min="15567" max="15567" width="16" style="8" bestFit="1" customWidth="1"/>
    <col min="15568" max="15568" width="9" style="8" bestFit="1" customWidth="1"/>
    <col min="15569" max="15569" width="7.85546875" style="8" bestFit="1" customWidth="1"/>
    <col min="15570" max="15570" width="11.7109375" style="8" bestFit="1" customWidth="1"/>
    <col min="15571" max="15571" width="14.28515625" style="8" customWidth="1"/>
    <col min="15572" max="15572" width="11.7109375" style="8" bestFit="1" customWidth="1"/>
    <col min="15573" max="15573" width="14.140625" style="8" bestFit="1" customWidth="1"/>
    <col min="15574" max="15574" width="16.7109375" style="8" customWidth="1"/>
    <col min="15575" max="15575" width="16.5703125" style="8" customWidth="1"/>
    <col min="15576" max="15577" width="7.85546875" style="8" bestFit="1" customWidth="1"/>
    <col min="15578" max="15578" width="8" style="8" bestFit="1" customWidth="1"/>
    <col min="15579" max="15580" width="7.85546875" style="8" bestFit="1" customWidth="1"/>
    <col min="15581" max="15581" width="9.7109375" style="8" customWidth="1"/>
    <col min="15582" max="15582" width="12.85546875" style="8" customWidth="1"/>
    <col min="15583" max="15819" width="9.140625" style="8"/>
    <col min="15820" max="15820" width="9" style="8" bestFit="1" customWidth="1"/>
    <col min="15821" max="15821" width="9.85546875" style="8" bestFit="1" customWidth="1"/>
    <col min="15822" max="15822" width="9.140625" style="8" bestFit="1" customWidth="1"/>
    <col min="15823" max="15823" width="16" style="8" bestFit="1" customWidth="1"/>
    <col min="15824" max="15824" width="9" style="8" bestFit="1" customWidth="1"/>
    <col min="15825" max="15825" width="7.85546875" style="8" bestFit="1" customWidth="1"/>
    <col min="15826" max="15826" width="11.7109375" style="8" bestFit="1" customWidth="1"/>
    <col min="15827" max="15827" width="14.28515625" style="8" customWidth="1"/>
    <col min="15828" max="15828" width="11.7109375" style="8" bestFit="1" customWidth="1"/>
    <col min="15829" max="15829" width="14.140625" style="8" bestFit="1" customWidth="1"/>
    <col min="15830" max="15830" width="16.7109375" style="8" customWidth="1"/>
    <col min="15831" max="15831" width="16.5703125" style="8" customWidth="1"/>
    <col min="15832" max="15833" width="7.85546875" style="8" bestFit="1" customWidth="1"/>
    <col min="15834" max="15834" width="8" style="8" bestFit="1" customWidth="1"/>
    <col min="15835" max="15836" width="7.85546875" style="8" bestFit="1" customWidth="1"/>
    <col min="15837" max="15837" width="9.7109375" style="8" customWidth="1"/>
    <col min="15838" max="15838" width="12.85546875" style="8" customWidth="1"/>
    <col min="15839" max="16075" width="9.140625" style="8"/>
    <col min="16076" max="16076" width="9" style="8" bestFit="1" customWidth="1"/>
    <col min="16077" max="16077" width="9.85546875" style="8" bestFit="1" customWidth="1"/>
    <col min="16078" max="16078" width="9.140625" style="8" bestFit="1" customWidth="1"/>
    <col min="16079" max="16079" width="16" style="8" bestFit="1" customWidth="1"/>
    <col min="16080" max="16080" width="9" style="8" bestFit="1" customWidth="1"/>
    <col min="16081" max="16081" width="7.85546875" style="8" bestFit="1" customWidth="1"/>
    <col min="16082" max="16082" width="11.7109375" style="8" bestFit="1" customWidth="1"/>
    <col min="16083" max="16083" width="14.28515625" style="8" customWidth="1"/>
    <col min="16084" max="16084" width="11.7109375" style="8" bestFit="1" customWidth="1"/>
    <col min="16085" max="16085" width="14.140625" style="8" bestFit="1" customWidth="1"/>
    <col min="16086" max="16086" width="16.7109375" style="8" customWidth="1"/>
    <col min="16087" max="16087" width="16.5703125" style="8" customWidth="1"/>
    <col min="16088" max="16089" width="7.85546875" style="8" bestFit="1" customWidth="1"/>
    <col min="16090" max="16090" width="8" style="8" bestFit="1" customWidth="1"/>
    <col min="16091" max="16092" width="7.85546875" style="8" bestFit="1" customWidth="1"/>
    <col min="16093" max="16093" width="9.7109375" style="8" customWidth="1"/>
    <col min="16094" max="16094" width="12.85546875" style="8" customWidth="1"/>
    <col min="16095" max="16384" width="9.140625" style="8"/>
  </cols>
  <sheetData>
    <row r="1" spans="1:29" ht="11.25" customHeight="1">
      <c r="A1" s="179" t="s">
        <v>4</v>
      </c>
      <c r="B1" s="172" t="s">
        <v>2</v>
      </c>
      <c r="C1" s="172" t="s">
        <v>0</v>
      </c>
      <c r="D1" s="176" t="s">
        <v>1</v>
      </c>
      <c r="E1" s="177" t="s">
        <v>52</v>
      </c>
      <c r="F1" s="173" t="s">
        <v>21</v>
      </c>
      <c r="G1" s="173"/>
      <c r="H1" s="173"/>
      <c r="I1" s="165" t="s">
        <v>6</v>
      </c>
      <c r="J1" s="166"/>
      <c r="K1" s="166"/>
      <c r="L1" s="165" t="s">
        <v>7</v>
      </c>
      <c r="M1" s="166"/>
      <c r="N1" s="166"/>
      <c r="O1" s="167" t="s">
        <v>8</v>
      </c>
      <c r="P1" s="168"/>
      <c r="Q1" s="168"/>
      <c r="R1" s="164" t="s">
        <v>114</v>
      </c>
      <c r="S1" s="172" t="s">
        <v>117</v>
      </c>
      <c r="T1" s="172" t="s">
        <v>116</v>
      </c>
      <c r="U1" s="172">
        <v>3</v>
      </c>
      <c r="V1" s="172" t="s">
        <v>118</v>
      </c>
      <c r="W1" s="172" t="s">
        <v>119</v>
      </c>
      <c r="X1" s="172">
        <v>5</v>
      </c>
      <c r="Y1" s="172">
        <v>6</v>
      </c>
      <c r="Z1" s="172" t="s">
        <v>268</v>
      </c>
      <c r="AA1" s="172" t="s">
        <v>269</v>
      </c>
    </row>
    <row r="2" spans="1:29">
      <c r="A2" s="179"/>
      <c r="B2" s="172"/>
      <c r="C2" s="172"/>
      <c r="D2" s="176"/>
      <c r="E2" s="178"/>
      <c r="F2" s="2"/>
      <c r="G2" s="6" t="s">
        <v>11</v>
      </c>
      <c r="H2" s="7" t="s">
        <v>5</v>
      </c>
      <c r="I2" s="2"/>
      <c r="J2" s="6" t="s">
        <v>11</v>
      </c>
      <c r="K2" s="7" t="s">
        <v>5</v>
      </c>
      <c r="L2" s="2"/>
      <c r="M2" s="6" t="s">
        <v>11</v>
      </c>
      <c r="N2" s="7" t="s">
        <v>5</v>
      </c>
      <c r="O2" s="2"/>
      <c r="P2" s="6" t="s">
        <v>11</v>
      </c>
      <c r="Q2" s="7" t="s">
        <v>5</v>
      </c>
      <c r="R2" s="164"/>
      <c r="S2" s="172"/>
      <c r="T2" s="172"/>
      <c r="U2" s="172"/>
      <c r="V2" s="172"/>
      <c r="W2" s="172"/>
      <c r="X2" s="172"/>
      <c r="Y2" s="172"/>
      <c r="Z2" s="172"/>
      <c r="AA2" s="172"/>
    </row>
    <row r="3" spans="1:29">
      <c r="A3" s="105">
        <v>1998</v>
      </c>
      <c r="B3" s="21"/>
      <c r="C3" s="84" t="s">
        <v>28</v>
      </c>
      <c r="D3" s="17"/>
      <c r="E3" s="76"/>
      <c r="F3" s="17"/>
      <c r="G3" s="17">
        <v>6.31</v>
      </c>
      <c r="H3" s="17"/>
      <c r="I3" s="18">
        <f>D3*0.65%</f>
        <v>0</v>
      </c>
      <c r="J3" s="18"/>
      <c r="K3" s="18"/>
      <c r="L3" s="17"/>
      <c r="M3" s="17"/>
      <c r="N3" s="17"/>
      <c r="O3" s="18">
        <f>D3*0.125%</f>
        <v>0</v>
      </c>
      <c r="P3" s="18"/>
      <c r="Q3" s="18"/>
      <c r="R3" s="104" t="s">
        <v>110</v>
      </c>
      <c r="S3" s="117"/>
      <c r="T3" s="117"/>
      <c r="U3" s="117">
        <v>6.31</v>
      </c>
      <c r="V3" s="117"/>
      <c r="W3" s="117"/>
      <c r="X3" s="117"/>
      <c r="Y3" s="117"/>
      <c r="Z3" s="117">
        <v>1511.39</v>
      </c>
      <c r="AA3" s="117">
        <v>6595.25</v>
      </c>
      <c r="AB3" s="95">
        <v>1998</v>
      </c>
    </row>
    <row r="4" spans="1:29" s="96" customFormat="1">
      <c r="A4" s="105">
        <v>1998</v>
      </c>
      <c r="B4" s="21"/>
      <c r="C4" s="84" t="s">
        <v>28</v>
      </c>
      <c r="D4" s="97"/>
      <c r="E4" s="97"/>
      <c r="F4" s="97"/>
      <c r="G4" s="97"/>
      <c r="H4" s="97"/>
      <c r="I4" s="98">
        <f>D4*0.65%</f>
        <v>0</v>
      </c>
      <c r="J4" s="98"/>
      <c r="K4" s="98"/>
      <c r="L4" s="97">
        <v>283.27</v>
      </c>
      <c r="M4" s="97">
        <v>283.27</v>
      </c>
      <c r="N4" s="97">
        <v>283.27</v>
      </c>
      <c r="O4" s="98">
        <f>D4*0.125%</f>
        <v>0</v>
      </c>
      <c r="P4" s="98"/>
      <c r="Q4" s="98"/>
      <c r="R4" s="114" t="s">
        <v>109</v>
      </c>
      <c r="S4" s="117"/>
      <c r="T4" s="117">
        <v>283.27</v>
      </c>
      <c r="U4" s="117"/>
      <c r="V4" s="117"/>
      <c r="W4" s="117"/>
      <c r="X4" s="117"/>
      <c r="Y4" s="117"/>
      <c r="Z4" s="117">
        <v>436.1</v>
      </c>
      <c r="AA4" s="117">
        <v>1078.8900000000001</v>
      </c>
      <c r="AB4" s="95">
        <v>1999</v>
      </c>
      <c r="AC4" s="134"/>
    </row>
    <row r="5" spans="1:29" s="45" customFormat="1">
      <c r="A5" s="105">
        <v>1998</v>
      </c>
      <c r="B5" s="21"/>
      <c r="C5" s="84" t="s">
        <v>27</v>
      </c>
      <c r="D5" s="46"/>
      <c r="E5" s="76"/>
      <c r="F5" s="76"/>
      <c r="G5" s="46">
        <v>19.39</v>
      </c>
      <c r="H5" s="46"/>
      <c r="I5" s="77">
        <f t="shared" ref="I5" si="0">D5*0.65%</f>
        <v>0</v>
      </c>
      <c r="J5" s="47"/>
      <c r="K5" s="47"/>
      <c r="L5" s="76">
        <f t="shared" ref="L5:L9" si="1">D5*1.3%</f>
        <v>0</v>
      </c>
      <c r="M5" s="46"/>
      <c r="N5" s="46"/>
      <c r="O5" s="77">
        <f t="shared" ref="O5" si="2">D5*0.125%</f>
        <v>0</v>
      </c>
      <c r="P5" s="47"/>
      <c r="Q5" s="47"/>
      <c r="R5" s="104" t="s">
        <v>110</v>
      </c>
      <c r="S5" s="117"/>
      <c r="T5" s="117"/>
      <c r="U5" s="117">
        <v>19.39</v>
      </c>
      <c r="V5" s="117"/>
      <c r="W5" s="117"/>
      <c r="X5" s="117"/>
      <c r="Y5" s="117"/>
      <c r="Z5" s="117"/>
      <c r="AA5" s="117"/>
      <c r="AB5" s="95"/>
    </row>
    <row r="6" spans="1:29" s="134" customFormat="1">
      <c r="A6" s="105">
        <v>43</v>
      </c>
      <c r="B6" s="101">
        <v>36051</v>
      </c>
      <c r="C6" s="139" t="s">
        <v>64</v>
      </c>
      <c r="D6" s="138">
        <v>6312.48</v>
      </c>
      <c r="E6" s="137">
        <f t="shared" ref="E6" si="3">2.93+10.56+(D6-352.16)*1.2%</f>
        <v>85.013839999999988</v>
      </c>
      <c r="F6" s="137">
        <f t="shared" ref="F6" si="4">E6*9%</f>
        <v>7.6512455999999984</v>
      </c>
      <c r="G6" s="137">
        <v>62.19</v>
      </c>
      <c r="H6" s="137"/>
      <c r="I6" s="138"/>
      <c r="J6" s="138"/>
      <c r="K6" s="138"/>
      <c r="L6" s="137"/>
      <c r="M6" s="137"/>
      <c r="N6" s="137"/>
      <c r="O6" s="138"/>
      <c r="P6" s="138"/>
      <c r="Q6" s="138"/>
      <c r="R6" s="120" t="s">
        <v>104</v>
      </c>
      <c r="S6" s="117">
        <v>54.54</v>
      </c>
      <c r="T6" s="117"/>
      <c r="U6" s="117"/>
      <c r="V6" s="117"/>
      <c r="W6" s="117"/>
      <c r="X6" s="117"/>
      <c r="Y6" s="117"/>
      <c r="Z6" s="117"/>
      <c r="AA6" s="117"/>
      <c r="AB6" s="95"/>
    </row>
    <row r="7" spans="1:29" s="96" customFormat="1">
      <c r="A7" s="105">
        <v>1998</v>
      </c>
      <c r="B7" s="21"/>
      <c r="C7" s="84" t="s">
        <v>26</v>
      </c>
      <c r="D7" s="97"/>
      <c r="E7" s="97"/>
      <c r="F7" s="97"/>
      <c r="G7" s="109">
        <v>17.89</v>
      </c>
      <c r="H7" s="97"/>
      <c r="I7" s="20"/>
      <c r="J7" s="20"/>
      <c r="K7" s="20"/>
      <c r="L7" s="97"/>
      <c r="M7" s="97"/>
      <c r="N7" s="97"/>
      <c r="O7" s="98"/>
      <c r="P7" s="98"/>
      <c r="Q7" s="98"/>
      <c r="R7" s="104" t="s">
        <v>110</v>
      </c>
      <c r="S7" s="117"/>
      <c r="T7" s="117"/>
      <c r="U7" s="117">
        <v>17.89</v>
      </c>
      <c r="V7" s="117"/>
      <c r="W7" s="117"/>
      <c r="X7" s="117"/>
      <c r="Y7" s="117"/>
      <c r="Z7" s="117"/>
      <c r="AA7" s="117"/>
      <c r="AB7" s="95"/>
    </row>
    <row r="8" spans="1:29" s="107" customFormat="1">
      <c r="A8" s="105">
        <v>86</v>
      </c>
      <c r="B8" s="21">
        <v>36085</v>
      </c>
      <c r="C8" s="111" t="s">
        <v>25</v>
      </c>
      <c r="D8" s="108">
        <v>12362.18</v>
      </c>
      <c r="E8" s="108">
        <f t="shared" ref="E8" si="5">2.93+10.56+(D8-352.16)*1.2%</f>
        <v>157.61024</v>
      </c>
      <c r="F8" s="108">
        <f t="shared" ref="F8" si="6">E8*9%</f>
        <v>14.184921599999999</v>
      </c>
      <c r="G8" s="108">
        <v>141.86000000000001</v>
      </c>
      <c r="H8" s="108"/>
      <c r="I8" s="109">
        <f t="shared" ref="I8" si="7">D8*0.65%</f>
        <v>80.354170000000011</v>
      </c>
      <c r="J8" s="109">
        <v>102.46</v>
      </c>
      <c r="K8" s="109"/>
      <c r="L8" s="108"/>
      <c r="M8" s="108"/>
      <c r="N8" s="108"/>
      <c r="O8" s="109">
        <f t="shared" ref="O8" si="8">D8*0.125%</f>
        <v>15.452725000000001</v>
      </c>
      <c r="P8" s="109">
        <v>19.7</v>
      </c>
      <c r="Q8" s="109"/>
      <c r="R8" s="104" t="s">
        <v>200</v>
      </c>
      <c r="S8" s="118">
        <v>14.18</v>
      </c>
      <c r="T8" s="118">
        <v>95.81</v>
      </c>
      <c r="U8" s="117"/>
      <c r="V8" s="117">
        <v>127.68</v>
      </c>
      <c r="W8" s="117">
        <v>26.36</v>
      </c>
      <c r="X8" s="117"/>
      <c r="Y8" s="117"/>
      <c r="Z8" s="117"/>
      <c r="AA8" s="117"/>
      <c r="AB8" s="95"/>
    </row>
    <row r="9" spans="1:29" s="45" customFormat="1">
      <c r="A9" s="105">
        <v>1998</v>
      </c>
      <c r="B9" s="13"/>
      <c r="C9" s="15" t="s">
        <v>26</v>
      </c>
      <c r="D9" s="46"/>
      <c r="E9" s="76"/>
      <c r="F9" s="76">
        <v>615.58000000000004</v>
      </c>
      <c r="G9" s="46">
        <v>344.76</v>
      </c>
      <c r="H9" s="46">
        <v>746.45</v>
      </c>
      <c r="I9" s="20">
        <v>2127.5700000000002</v>
      </c>
      <c r="J9" s="20">
        <v>583.09</v>
      </c>
      <c r="K9" s="20">
        <v>2129.0300000000002</v>
      </c>
      <c r="L9" s="76">
        <f t="shared" si="1"/>
        <v>0</v>
      </c>
      <c r="M9" s="46"/>
      <c r="N9" s="46"/>
      <c r="O9" s="77">
        <v>409.15</v>
      </c>
      <c r="P9" s="47">
        <v>116.65</v>
      </c>
      <c r="Q9" s="47">
        <v>413.68</v>
      </c>
      <c r="R9" s="114" t="s">
        <v>109</v>
      </c>
      <c r="S9" s="117">
        <v>344.76</v>
      </c>
      <c r="T9" s="117">
        <f>J9+P9</f>
        <v>699.74</v>
      </c>
      <c r="U9" s="117"/>
      <c r="V9" s="117"/>
      <c r="W9" s="117"/>
      <c r="X9" s="117"/>
      <c r="Y9" s="117"/>
      <c r="Z9" s="117"/>
      <c r="AA9" s="117"/>
      <c r="AB9" s="95"/>
    </row>
    <row r="10" spans="1:29" s="96" customFormat="1">
      <c r="A10" s="105">
        <v>1998</v>
      </c>
      <c r="B10" s="13"/>
      <c r="C10" s="15" t="s">
        <v>16</v>
      </c>
      <c r="D10" s="97"/>
      <c r="E10" s="97"/>
      <c r="F10" s="97"/>
      <c r="G10" s="97">
        <v>15.82</v>
      </c>
      <c r="H10" s="97"/>
      <c r="I10" s="20"/>
      <c r="J10" s="20"/>
      <c r="K10" s="20"/>
      <c r="L10" s="97"/>
      <c r="M10" s="97"/>
      <c r="N10" s="97"/>
      <c r="O10" s="98"/>
      <c r="P10" s="98"/>
      <c r="Q10" s="98"/>
      <c r="R10" s="104" t="s">
        <v>110</v>
      </c>
      <c r="S10" s="117"/>
      <c r="T10" s="117"/>
      <c r="U10" s="117">
        <v>15.82</v>
      </c>
      <c r="V10" s="117"/>
      <c r="W10" s="117"/>
      <c r="X10" s="117"/>
      <c r="Y10" s="117"/>
      <c r="Z10" s="117"/>
      <c r="AA10" s="117"/>
      <c r="AB10" s="95"/>
    </row>
    <row r="11" spans="1:29" s="45" customFormat="1">
      <c r="A11" s="105">
        <v>1998</v>
      </c>
      <c r="B11" s="13"/>
      <c r="C11" s="15" t="s">
        <v>16</v>
      </c>
      <c r="D11" s="46"/>
      <c r="E11" s="76"/>
      <c r="F11" s="76">
        <v>150.68</v>
      </c>
      <c r="G11" s="46">
        <v>144.19999999999999</v>
      </c>
      <c r="H11" s="46">
        <v>150.62</v>
      </c>
      <c r="I11" s="77"/>
      <c r="J11" s="47"/>
      <c r="K11" s="47"/>
      <c r="L11" s="76"/>
      <c r="M11" s="46"/>
      <c r="N11" s="46"/>
      <c r="O11" s="77"/>
      <c r="P11" s="47"/>
      <c r="Q11" s="47"/>
      <c r="R11" s="114" t="s">
        <v>109</v>
      </c>
      <c r="S11" s="117">
        <v>144.19999999999999</v>
      </c>
      <c r="T11" s="117"/>
      <c r="U11" s="117"/>
      <c r="V11" s="117"/>
      <c r="W11" s="117"/>
      <c r="X11" s="117"/>
      <c r="Y11" s="117"/>
      <c r="Z11" s="117"/>
      <c r="AA11" s="117"/>
      <c r="AB11" s="95"/>
    </row>
    <row r="12" spans="1:29" s="95" customFormat="1">
      <c r="A12" s="105">
        <v>1998</v>
      </c>
      <c r="B12" s="101"/>
      <c r="C12" s="102" t="s">
        <v>17</v>
      </c>
      <c r="D12" s="109"/>
      <c r="E12" s="109"/>
      <c r="F12" s="109">
        <v>425.44</v>
      </c>
      <c r="G12" s="109">
        <v>441.18</v>
      </c>
      <c r="H12" s="109">
        <v>441.18</v>
      </c>
      <c r="I12" s="109"/>
      <c r="J12" s="109"/>
      <c r="K12" s="109"/>
      <c r="L12" s="109"/>
      <c r="M12" s="109"/>
      <c r="N12" s="109"/>
      <c r="O12" s="109">
        <v>326.33999999999997</v>
      </c>
      <c r="P12" s="109">
        <v>203.03</v>
      </c>
      <c r="Q12" s="109">
        <v>502.45</v>
      </c>
      <c r="R12" s="104" t="s">
        <v>200</v>
      </c>
      <c r="S12" s="118">
        <v>425.44</v>
      </c>
      <c r="T12" s="118">
        <v>203.03</v>
      </c>
      <c r="U12" s="118"/>
      <c r="V12" s="118">
        <v>15.74</v>
      </c>
      <c r="W12" s="118"/>
      <c r="X12" s="118"/>
      <c r="Y12" s="118"/>
      <c r="Z12" s="118"/>
      <c r="AA12" s="118"/>
    </row>
    <row r="13" spans="1:29" s="95" customFormat="1">
      <c r="A13" s="105">
        <v>1998</v>
      </c>
      <c r="B13" s="101"/>
      <c r="C13" s="102" t="s">
        <v>17</v>
      </c>
      <c r="D13" s="109"/>
      <c r="E13" s="109"/>
      <c r="F13" s="109"/>
      <c r="G13" s="109">
        <v>29.9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4" t="s">
        <v>110</v>
      </c>
      <c r="S13" s="118"/>
      <c r="T13" s="118"/>
      <c r="U13" s="118">
        <v>29.9</v>
      </c>
      <c r="V13" s="118"/>
      <c r="W13" s="118"/>
      <c r="X13" s="118"/>
      <c r="Y13" s="118"/>
      <c r="Z13" s="118"/>
      <c r="AA13" s="118"/>
    </row>
    <row r="14" spans="1:29" s="95" customFormat="1">
      <c r="A14" s="105">
        <v>159</v>
      </c>
      <c r="B14" s="101">
        <v>36132</v>
      </c>
      <c r="C14" s="139" t="s">
        <v>3</v>
      </c>
      <c r="D14" s="137">
        <v>660.31</v>
      </c>
      <c r="E14" s="137">
        <f t="shared" ref="E14" si="9">2.93+10.56+(D14-352.16)*1.2%</f>
        <v>17.187799999999999</v>
      </c>
      <c r="F14" s="137"/>
      <c r="G14" s="137"/>
      <c r="H14" s="137"/>
      <c r="I14" s="103"/>
      <c r="J14" s="103"/>
      <c r="K14" s="103"/>
      <c r="L14" s="137"/>
      <c r="M14" s="137"/>
      <c r="N14" s="137"/>
      <c r="O14" s="138">
        <f t="shared" ref="O14" si="10">D14*0.125%</f>
        <v>0.82538749999999994</v>
      </c>
      <c r="P14" s="138">
        <v>8.2799999999999994</v>
      </c>
      <c r="Q14" s="138"/>
      <c r="R14" s="120" t="s">
        <v>105</v>
      </c>
      <c r="S14" s="118"/>
      <c r="T14" s="118">
        <v>8.5500000000000007</v>
      </c>
      <c r="U14" s="118"/>
      <c r="V14" s="118"/>
      <c r="W14" s="118"/>
      <c r="X14" s="118"/>
      <c r="Y14" s="118"/>
      <c r="Z14" s="118"/>
      <c r="AA14" s="118"/>
    </row>
    <row r="15" spans="1:29" s="95" customFormat="1">
      <c r="A15" s="105">
        <v>223</v>
      </c>
      <c r="B15" s="101">
        <v>36159</v>
      </c>
      <c r="C15" s="102" t="s">
        <v>107</v>
      </c>
      <c r="D15" s="137">
        <v>880.41</v>
      </c>
      <c r="E15" s="137">
        <f t="shared" ref="E15" si="11">2.93+10.56+(D15-352.16)*1.2%</f>
        <v>19.829000000000001</v>
      </c>
      <c r="F15" s="137"/>
      <c r="G15" s="137"/>
      <c r="H15" s="137"/>
      <c r="I15" s="103"/>
      <c r="J15" s="103">
        <v>5.72</v>
      </c>
      <c r="K15" s="103"/>
      <c r="L15" s="137"/>
      <c r="M15" s="137"/>
      <c r="N15" s="137"/>
      <c r="O15" s="138"/>
      <c r="P15" s="138">
        <v>1.1000000000000001</v>
      </c>
      <c r="Q15" s="138"/>
      <c r="R15" s="120" t="s">
        <v>112</v>
      </c>
      <c r="S15" s="118"/>
      <c r="T15" s="118"/>
      <c r="U15" s="118"/>
      <c r="V15" s="118"/>
      <c r="W15" s="118">
        <v>6.83</v>
      </c>
      <c r="X15" s="118"/>
      <c r="Y15" s="118"/>
      <c r="Z15" s="118"/>
      <c r="AA15" s="118"/>
    </row>
    <row r="16" spans="1:29" s="95" customFormat="1">
      <c r="A16" s="105">
        <v>235</v>
      </c>
      <c r="B16" s="101">
        <v>36160</v>
      </c>
      <c r="C16" s="139" t="s">
        <v>3</v>
      </c>
      <c r="D16" s="138">
        <v>836.39</v>
      </c>
      <c r="E16" s="138">
        <f t="shared" ref="E16" si="12">2.93+10.56+(D16-352.16)*1.2%</f>
        <v>19.30076</v>
      </c>
      <c r="F16" s="138">
        <f t="shared" ref="F16" si="13">E16*9%</f>
        <v>1.7370684000000001</v>
      </c>
      <c r="G16" s="138">
        <v>9.8699999999999992</v>
      </c>
      <c r="H16" s="138"/>
      <c r="I16" s="103">
        <v>5.72</v>
      </c>
      <c r="J16" s="103">
        <v>54.37</v>
      </c>
      <c r="K16" s="103"/>
      <c r="L16" s="138"/>
      <c r="M16" s="138"/>
      <c r="N16" s="138"/>
      <c r="O16" s="138">
        <v>1.1000000000000001</v>
      </c>
      <c r="P16" s="138">
        <v>10.45</v>
      </c>
      <c r="Q16" s="138"/>
      <c r="R16" s="120" t="s">
        <v>108</v>
      </c>
      <c r="S16" s="118">
        <v>1.74</v>
      </c>
      <c r="T16" s="118">
        <v>6.82</v>
      </c>
      <c r="U16" s="118"/>
      <c r="V16" s="118">
        <v>8.1300000000000008</v>
      </c>
      <c r="W16" s="118">
        <v>58</v>
      </c>
      <c r="X16" s="118"/>
      <c r="Y16" s="118"/>
      <c r="Z16" s="118"/>
      <c r="AA16" s="118"/>
    </row>
    <row r="17" spans="1:28" s="96" customFormat="1">
      <c r="A17" s="105">
        <v>1999</v>
      </c>
      <c r="B17" s="101"/>
      <c r="C17" s="102" t="s">
        <v>24</v>
      </c>
      <c r="D17" s="109"/>
      <c r="E17" s="109"/>
      <c r="F17" s="109"/>
      <c r="G17" s="109">
        <v>10.36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4" t="s">
        <v>110</v>
      </c>
      <c r="S17" s="117"/>
      <c r="T17" s="117"/>
      <c r="U17" s="117">
        <v>10.36</v>
      </c>
      <c r="V17" s="117"/>
      <c r="W17" s="117"/>
      <c r="X17" s="117"/>
      <c r="Y17" s="117"/>
      <c r="Z17" s="117"/>
      <c r="AA17" s="117"/>
      <c r="AB17" s="95"/>
    </row>
    <row r="18" spans="1:28" s="95" customFormat="1">
      <c r="A18" s="105">
        <v>1999</v>
      </c>
      <c r="B18" s="101"/>
      <c r="C18" s="102" t="s">
        <v>23</v>
      </c>
      <c r="D18" s="109"/>
      <c r="E18" s="109"/>
      <c r="F18" s="109"/>
      <c r="G18" s="109">
        <v>10.86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4" t="s">
        <v>110</v>
      </c>
      <c r="S18" s="118"/>
      <c r="T18" s="118"/>
      <c r="U18" s="118">
        <v>10.86</v>
      </c>
      <c r="V18" s="118"/>
      <c r="W18" s="118"/>
      <c r="X18" s="118"/>
      <c r="Y18" s="118"/>
      <c r="Z18" s="118"/>
      <c r="AA18" s="118"/>
    </row>
    <row r="19" spans="1:28" s="95" customFormat="1">
      <c r="A19" s="105">
        <v>1999</v>
      </c>
      <c r="B19" s="101"/>
      <c r="C19" s="102" t="s">
        <v>22</v>
      </c>
      <c r="D19" s="109"/>
      <c r="E19" s="109"/>
      <c r="F19" s="109"/>
      <c r="G19" s="109">
        <v>17.36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4" t="s">
        <v>110</v>
      </c>
      <c r="S19" s="118"/>
      <c r="T19" s="118"/>
      <c r="U19" s="118">
        <v>17.36</v>
      </c>
      <c r="V19" s="118"/>
      <c r="W19" s="118"/>
      <c r="X19" s="118"/>
      <c r="Y19" s="118"/>
      <c r="Z19" s="118"/>
      <c r="AA19" s="118"/>
    </row>
    <row r="20" spans="1:28" s="95" customFormat="1">
      <c r="A20" s="105">
        <v>1999</v>
      </c>
      <c r="B20" s="101"/>
      <c r="C20" s="102" t="s">
        <v>15</v>
      </c>
      <c r="D20" s="109"/>
      <c r="E20" s="109"/>
      <c r="F20" s="109"/>
      <c r="G20" s="109">
        <v>24.36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4" t="s">
        <v>110</v>
      </c>
      <c r="S20" s="118"/>
      <c r="T20" s="118"/>
      <c r="U20" s="118">
        <v>24.36</v>
      </c>
      <c r="V20" s="118"/>
      <c r="W20" s="118"/>
      <c r="X20" s="118"/>
      <c r="Y20" s="118"/>
      <c r="Z20" s="118"/>
      <c r="AA20" s="118"/>
    </row>
    <row r="21" spans="1:28" s="95" customFormat="1">
      <c r="A21" s="105">
        <v>1999</v>
      </c>
      <c r="B21" s="101"/>
      <c r="C21" s="102" t="s">
        <v>15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>
        <v>57.32</v>
      </c>
      <c r="P21" s="109">
        <v>34.39</v>
      </c>
      <c r="Q21" s="109">
        <v>57.32</v>
      </c>
      <c r="R21" s="114" t="s">
        <v>109</v>
      </c>
      <c r="S21" s="118"/>
      <c r="T21" s="118">
        <v>34.39</v>
      </c>
      <c r="U21" s="118"/>
      <c r="V21" s="118"/>
      <c r="W21" s="118"/>
      <c r="X21" s="118"/>
      <c r="Y21" s="118"/>
      <c r="Z21" s="118"/>
      <c r="AA21" s="118"/>
    </row>
    <row r="22" spans="1:28" s="95" customFormat="1">
      <c r="A22" s="105">
        <v>1999</v>
      </c>
      <c r="B22" s="101"/>
      <c r="C22" s="102" t="s">
        <v>20</v>
      </c>
      <c r="D22" s="109"/>
      <c r="E22" s="109"/>
      <c r="F22" s="109"/>
      <c r="G22" s="109">
        <v>16.149999999999999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4" t="s">
        <v>110</v>
      </c>
      <c r="S22" s="118"/>
      <c r="T22" s="118"/>
      <c r="U22" s="118">
        <v>16.149999999999999</v>
      </c>
      <c r="V22" s="118"/>
      <c r="W22" s="118"/>
      <c r="X22" s="118"/>
      <c r="Y22" s="118"/>
      <c r="Z22" s="118"/>
      <c r="AA22" s="118"/>
    </row>
    <row r="23" spans="1:28" s="95" customFormat="1">
      <c r="A23" s="105">
        <v>381</v>
      </c>
      <c r="B23" s="101">
        <v>36283</v>
      </c>
      <c r="C23" s="139" t="s">
        <v>9</v>
      </c>
      <c r="D23" s="138">
        <v>1258.99</v>
      </c>
      <c r="E23" s="137">
        <f t="shared" ref="E23:E24" si="14">2.93+10.56+(D23-352.16)*1.2%</f>
        <v>24.371960000000001</v>
      </c>
      <c r="F23" s="137"/>
      <c r="G23" s="137"/>
      <c r="H23" s="137"/>
      <c r="I23" s="138"/>
      <c r="J23" s="138"/>
      <c r="K23" s="138"/>
      <c r="L23" s="137">
        <f t="shared" ref="L23:L24" si="15">D23*1.3%</f>
        <v>16.366870000000002</v>
      </c>
      <c r="M23" s="138">
        <v>1.64</v>
      </c>
      <c r="N23" s="138">
        <v>16.37</v>
      </c>
      <c r="O23" s="138"/>
      <c r="P23" s="138"/>
      <c r="Q23" s="138"/>
      <c r="R23" s="120" t="s">
        <v>112</v>
      </c>
      <c r="S23" s="117"/>
      <c r="T23" s="117">
        <v>1.64</v>
      </c>
      <c r="U23" s="118"/>
      <c r="V23" s="118"/>
      <c r="W23" s="118"/>
      <c r="X23" s="118"/>
      <c r="Y23" s="118"/>
      <c r="Z23" s="118"/>
      <c r="AA23" s="118"/>
    </row>
    <row r="24" spans="1:28" s="95" customFormat="1">
      <c r="A24" s="105">
        <v>382</v>
      </c>
      <c r="B24" s="101">
        <v>36284</v>
      </c>
      <c r="C24" s="139" t="s">
        <v>9</v>
      </c>
      <c r="D24" s="138">
        <v>3779.9</v>
      </c>
      <c r="E24" s="137">
        <f t="shared" si="14"/>
        <v>54.622880000000009</v>
      </c>
      <c r="F24" s="137"/>
      <c r="G24" s="137"/>
      <c r="H24" s="137"/>
      <c r="I24" s="138"/>
      <c r="J24" s="138"/>
      <c r="K24" s="138"/>
      <c r="L24" s="137">
        <f t="shared" si="15"/>
        <v>49.138700000000007</v>
      </c>
      <c r="M24" s="138">
        <v>4.92</v>
      </c>
      <c r="N24" s="138">
        <v>49.14</v>
      </c>
      <c r="O24" s="138"/>
      <c r="P24" s="138"/>
      <c r="Q24" s="138"/>
      <c r="R24" s="120" t="s">
        <v>112</v>
      </c>
      <c r="S24" s="117"/>
      <c r="T24" s="117">
        <v>4.92</v>
      </c>
      <c r="U24" s="118"/>
      <c r="V24" s="118"/>
      <c r="W24" s="118"/>
      <c r="X24" s="118"/>
      <c r="Y24" s="118"/>
      <c r="Z24" s="118"/>
      <c r="AA24" s="118"/>
    </row>
    <row r="25" spans="1:28" s="107" customFormat="1">
      <c r="A25" s="105">
        <v>388</v>
      </c>
      <c r="B25" s="101">
        <v>36286</v>
      </c>
      <c r="C25" s="82" t="s">
        <v>107</v>
      </c>
      <c r="D25" s="109">
        <v>1467.35</v>
      </c>
      <c r="E25" s="108">
        <f t="shared" ref="E25:E27" si="16">2.93+10.56+(D25-352.16)*1.2%</f>
        <v>26.872279999999996</v>
      </c>
      <c r="F25" s="108">
        <f t="shared" ref="F25" si="17">E25*9%</f>
        <v>2.4185051999999998</v>
      </c>
      <c r="G25" s="108">
        <v>7.18</v>
      </c>
      <c r="H25" s="109">
        <v>7.18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4" t="s">
        <v>112</v>
      </c>
      <c r="S25" s="117">
        <v>4.76</v>
      </c>
      <c r="T25" s="117"/>
      <c r="U25" s="117"/>
      <c r="V25" s="117"/>
      <c r="W25" s="117"/>
      <c r="X25" s="117"/>
      <c r="Y25" s="117"/>
      <c r="Z25" s="117"/>
      <c r="AA25" s="117"/>
      <c r="AB25" s="95"/>
    </row>
    <row r="26" spans="1:28" s="45" customFormat="1">
      <c r="A26" s="105">
        <v>407</v>
      </c>
      <c r="B26" s="101">
        <v>36288</v>
      </c>
      <c r="C26" s="82" t="s">
        <v>3</v>
      </c>
      <c r="D26" s="109">
        <v>9970.65</v>
      </c>
      <c r="E26" s="108">
        <f t="shared" si="16"/>
        <v>128.91188</v>
      </c>
      <c r="F26" s="108"/>
      <c r="G26" s="108"/>
      <c r="H26" s="109"/>
      <c r="I26" s="109"/>
      <c r="J26" s="109"/>
      <c r="K26" s="109"/>
      <c r="L26" s="108"/>
      <c r="M26" s="108"/>
      <c r="N26" s="108"/>
      <c r="O26" s="109">
        <f t="shared" ref="O26" si="18">D26*0.125%</f>
        <v>12.463312500000001</v>
      </c>
      <c r="P26" s="109">
        <v>16.2</v>
      </c>
      <c r="Q26" s="109">
        <v>16.2</v>
      </c>
      <c r="R26" s="104" t="s">
        <v>112</v>
      </c>
      <c r="S26" s="117"/>
      <c r="T26" s="117"/>
      <c r="U26" s="117"/>
      <c r="V26" s="117"/>
      <c r="W26" s="117">
        <v>3.74</v>
      </c>
      <c r="X26" s="117"/>
      <c r="Y26" s="117"/>
      <c r="Z26" s="117"/>
      <c r="AA26" s="117"/>
      <c r="AB26" s="95"/>
    </row>
    <row r="27" spans="1:28" s="134" customFormat="1">
      <c r="A27" s="105">
        <v>412</v>
      </c>
      <c r="B27" s="101">
        <v>36306</v>
      </c>
      <c r="C27" s="104" t="s">
        <v>9</v>
      </c>
      <c r="D27" s="137">
        <v>4448.42</v>
      </c>
      <c r="E27" s="137">
        <f t="shared" si="16"/>
        <v>62.645120000000006</v>
      </c>
      <c r="F27" s="137"/>
      <c r="G27" s="137"/>
      <c r="H27" s="137"/>
      <c r="I27" s="138"/>
      <c r="J27" s="138"/>
      <c r="K27" s="138"/>
      <c r="L27" s="137">
        <f t="shared" ref="L27" si="19">D27*1.3%</f>
        <v>57.829460000000005</v>
      </c>
      <c r="M27" s="138">
        <v>5.64</v>
      </c>
      <c r="N27" s="138">
        <v>57.83</v>
      </c>
      <c r="O27" s="138"/>
      <c r="P27" s="138"/>
      <c r="Q27" s="138"/>
      <c r="R27" s="120" t="s">
        <v>112</v>
      </c>
      <c r="S27" s="117"/>
      <c r="T27" s="117"/>
      <c r="U27" s="117"/>
      <c r="V27" s="117"/>
      <c r="W27" s="117">
        <v>5.64</v>
      </c>
      <c r="X27" s="117"/>
      <c r="Y27" s="117"/>
      <c r="Z27" s="117"/>
      <c r="AA27" s="117"/>
      <c r="AB27" s="95"/>
    </row>
    <row r="28" spans="1:28" s="107" customFormat="1">
      <c r="A28" s="105">
        <v>1998</v>
      </c>
      <c r="B28" s="21"/>
      <c r="C28" s="111" t="s">
        <v>27</v>
      </c>
      <c r="D28" s="108"/>
      <c r="E28" s="108"/>
      <c r="F28" s="108">
        <v>304.88</v>
      </c>
      <c r="G28" s="108">
        <v>360.92</v>
      </c>
      <c r="H28" s="108"/>
      <c r="I28" s="109">
        <f t="shared" ref="I28" si="20">D28*0.65%</f>
        <v>0</v>
      </c>
      <c r="J28" s="109"/>
      <c r="K28" s="109"/>
      <c r="L28" s="108">
        <f t="shared" ref="L28" si="21">D28*1.3%</f>
        <v>0</v>
      </c>
      <c r="M28" s="108"/>
      <c r="N28" s="108"/>
      <c r="O28" s="109">
        <v>96.39</v>
      </c>
      <c r="P28" s="109">
        <v>117.19</v>
      </c>
      <c r="Q28" s="109"/>
      <c r="R28" s="104" t="s">
        <v>112</v>
      </c>
      <c r="S28" s="117">
        <v>56.04</v>
      </c>
      <c r="T28" s="117"/>
      <c r="U28" s="117"/>
      <c r="V28" s="117"/>
      <c r="W28" s="117">
        <v>20.8</v>
      </c>
      <c r="X28" s="117"/>
      <c r="Y28" s="117"/>
      <c r="Z28" s="117"/>
      <c r="AA28" s="117"/>
      <c r="AB28" s="95"/>
    </row>
    <row r="29" spans="1:28" s="45" customFormat="1">
      <c r="A29" s="105">
        <v>903</v>
      </c>
      <c r="B29" s="101">
        <v>36608</v>
      </c>
      <c r="C29" s="104" t="s">
        <v>25</v>
      </c>
      <c r="D29" s="108">
        <v>23697.27</v>
      </c>
      <c r="E29" s="108">
        <f t="shared" ref="E29" si="22">2.93+10.56+(D29-352.16)*1.2%</f>
        <v>293.63132000000002</v>
      </c>
      <c r="F29" s="108">
        <f t="shared" ref="F29" si="23">E29*9%</f>
        <v>26.426818799999999</v>
      </c>
      <c r="G29" s="108">
        <v>37.369999999999997</v>
      </c>
      <c r="H29" s="108">
        <v>37.369999999999997</v>
      </c>
      <c r="I29" s="103">
        <f>D29*0.64%</f>
        <v>151.66252800000001</v>
      </c>
      <c r="J29" s="103">
        <v>265.08</v>
      </c>
      <c r="K29" s="103">
        <v>265.08</v>
      </c>
      <c r="L29" s="108"/>
      <c r="M29" s="108"/>
      <c r="N29" s="108"/>
      <c r="O29" s="109">
        <f>D29*0.125%</f>
        <v>29.6215875</v>
      </c>
      <c r="P29" s="109">
        <v>56.33</v>
      </c>
      <c r="Q29" s="109">
        <v>56.33</v>
      </c>
      <c r="R29" s="104" t="s">
        <v>200</v>
      </c>
      <c r="S29" s="117">
        <v>26.43</v>
      </c>
      <c r="T29" s="117">
        <f>I29+O29</f>
        <v>181.28411550000001</v>
      </c>
      <c r="U29" s="117"/>
      <c r="V29" s="117">
        <v>10.94</v>
      </c>
      <c r="W29" s="117">
        <v>140.13</v>
      </c>
      <c r="X29" s="117"/>
      <c r="Y29" s="117"/>
      <c r="Z29" s="117"/>
      <c r="AA29" s="117"/>
      <c r="AB29" s="95"/>
    </row>
    <row r="30" spans="1:28" s="45" customFormat="1">
      <c r="A30" s="105"/>
      <c r="B30" s="13"/>
      <c r="C30" s="15"/>
      <c r="D30" s="46"/>
      <c r="E30" s="76"/>
      <c r="F30" s="76"/>
      <c r="G30" s="46"/>
      <c r="H30" s="46"/>
      <c r="I30" s="77"/>
      <c r="J30" s="47"/>
      <c r="K30" s="47"/>
      <c r="L30" s="76"/>
      <c r="M30" s="46"/>
      <c r="N30" s="46"/>
      <c r="O30" s="77"/>
      <c r="P30" s="47"/>
      <c r="Q30" s="47"/>
      <c r="R30" s="104"/>
      <c r="S30" s="117"/>
      <c r="T30" s="117"/>
      <c r="U30" s="117"/>
      <c r="V30" s="117"/>
      <c r="W30" s="117"/>
      <c r="X30" s="117"/>
      <c r="Y30" s="117"/>
      <c r="Z30" s="117"/>
      <c r="AA30" s="117"/>
      <c r="AB30" s="95"/>
    </row>
    <row r="31" spans="1:28" s="45" customFormat="1">
      <c r="A31" s="105"/>
      <c r="B31" s="13"/>
      <c r="C31" s="15"/>
      <c r="D31" s="46"/>
      <c r="E31" s="76"/>
      <c r="F31" s="76"/>
      <c r="G31" s="46"/>
      <c r="H31" s="46"/>
      <c r="I31" s="77"/>
      <c r="J31" s="47"/>
      <c r="K31" s="47"/>
      <c r="L31" s="76"/>
      <c r="M31" s="46"/>
      <c r="N31" s="46"/>
      <c r="O31" s="77"/>
      <c r="P31" s="47"/>
      <c r="Q31" s="47"/>
      <c r="R31" s="104"/>
      <c r="S31" s="117"/>
      <c r="T31" s="117"/>
      <c r="U31" s="117"/>
      <c r="V31" s="117"/>
      <c r="W31" s="117"/>
      <c r="X31" s="117"/>
      <c r="Y31" s="117"/>
      <c r="Z31" s="117"/>
      <c r="AA31" s="117"/>
      <c r="AB31" s="95"/>
    </row>
    <row r="32" spans="1:28" s="45" customFormat="1">
      <c r="A32" s="105"/>
      <c r="B32" s="13"/>
      <c r="C32" s="15"/>
      <c r="D32" s="46"/>
      <c r="E32" s="76"/>
      <c r="F32" s="76"/>
      <c r="G32" s="46"/>
      <c r="H32" s="46"/>
      <c r="I32" s="77"/>
      <c r="J32" s="47"/>
      <c r="K32" s="47"/>
      <c r="L32" s="76"/>
      <c r="M32" s="46"/>
      <c r="N32" s="46"/>
      <c r="O32" s="77"/>
      <c r="P32" s="47"/>
      <c r="Q32" s="47"/>
      <c r="R32" s="104"/>
      <c r="S32" s="117"/>
      <c r="T32" s="117"/>
      <c r="U32" s="117"/>
      <c r="V32" s="117"/>
      <c r="W32" s="117"/>
      <c r="X32" s="117"/>
      <c r="Y32" s="117"/>
      <c r="Z32" s="117"/>
      <c r="AA32" s="117"/>
      <c r="AB32" s="95"/>
    </row>
    <row r="33" spans="1:28" s="45" customFormat="1">
      <c r="A33" s="105"/>
      <c r="B33" s="13"/>
      <c r="C33" s="15"/>
      <c r="D33" s="46"/>
      <c r="E33" s="76"/>
      <c r="F33" s="76"/>
      <c r="G33" s="46"/>
      <c r="H33" s="46"/>
      <c r="I33" s="77"/>
      <c r="J33" s="47"/>
      <c r="K33" s="47"/>
      <c r="L33" s="76"/>
      <c r="M33" s="46"/>
      <c r="N33" s="46"/>
      <c r="O33" s="77"/>
      <c r="P33" s="47"/>
      <c r="Q33" s="47"/>
      <c r="R33" s="104"/>
      <c r="S33" s="117"/>
      <c r="T33" s="117"/>
      <c r="U33" s="117"/>
      <c r="V33" s="117"/>
      <c r="W33" s="117"/>
      <c r="X33" s="117"/>
      <c r="Y33" s="117"/>
      <c r="Z33" s="117"/>
      <c r="AA33" s="117"/>
      <c r="AB33" s="95"/>
    </row>
    <row r="34" spans="1:28" s="45" customFormat="1">
      <c r="A34" s="69"/>
      <c r="B34" s="63">
        <v>38482</v>
      </c>
      <c r="C34" s="30"/>
      <c r="D34" s="31"/>
      <c r="E34" s="62" t="s">
        <v>33</v>
      </c>
      <c r="F34" s="162"/>
      <c r="G34" s="162"/>
      <c r="H34" s="163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146"/>
      <c r="T34" s="146"/>
      <c r="U34" s="146"/>
      <c r="V34" s="146"/>
      <c r="W34" s="146"/>
      <c r="X34" s="146"/>
      <c r="Y34" s="146"/>
      <c r="Z34" s="146"/>
      <c r="AA34" s="146"/>
      <c r="AB34" s="95"/>
    </row>
    <row r="35" spans="1:28" s="16" customFormat="1">
      <c r="A35" s="105"/>
      <c r="B35" s="13"/>
      <c r="C35" s="14"/>
      <c r="D35" s="59"/>
      <c r="E35" s="59"/>
      <c r="F35" s="59"/>
      <c r="G35" s="59"/>
      <c r="H35" s="59"/>
      <c r="I35" s="60"/>
      <c r="J35" s="60"/>
      <c r="K35" s="60"/>
      <c r="L35" s="59"/>
      <c r="M35" s="59"/>
      <c r="N35" s="59"/>
      <c r="O35" s="60"/>
      <c r="P35" s="60"/>
      <c r="Q35" s="60"/>
      <c r="R35" s="41"/>
      <c r="S35" s="117"/>
      <c r="T35" s="117"/>
      <c r="U35" s="117"/>
      <c r="V35" s="117"/>
      <c r="W35" s="117"/>
      <c r="X35" s="117"/>
      <c r="Y35" s="117"/>
      <c r="Z35" s="117"/>
      <c r="AA35" s="117"/>
      <c r="AB35" s="95"/>
    </row>
    <row r="36" spans="1:28" s="134" customFormat="1">
      <c r="A36" s="105">
        <v>6044</v>
      </c>
      <c r="B36" s="101">
        <v>38866</v>
      </c>
      <c r="C36" s="139" t="s">
        <v>35</v>
      </c>
      <c r="D36" s="137">
        <v>100086.66</v>
      </c>
      <c r="E36" s="137">
        <f t="shared" ref="E36" si="24">12+D36*1.2%</f>
        <v>1213.0399200000002</v>
      </c>
      <c r="F36" s="137">
        <f t="shared" ref="F36" si="25">E36*9%</f>
        <v>109.17359280000001</v>
      </c>
      <c r="G36" s="138"/>
      <c r="H36" s="137">
        <v>109.17</v>
      </c>
      <c r="I36" s="12"/>
      <c r="J36" s="12"/>
      <c r="K36" s="138"/>
      <c r="L36" s="138">
        <f t="shared" ref="L36" si="26">D36*1.3%</f>
        <v>1301.1265800000001</v>
      </c>
      <c r="M36" s="137">
        <v>500.43</v>
      </c>
      <c r="N36" s="137">
        <v>1301.1300000000001</v>
      </c>
      <c r="O36" s="138"/>
      <c r="P36" s="12"/>
      <c r="Q36" s="138"/>
      <c r="R36" s="104" t="s">
        <v>267</v>
      </c>
      <c r="S36" s="117"/>
      <c r="T36" s="117">
        <v>500.43</v>
      </c>
      <c r="U36" s="117"/>
      <c r="V36" s="117"/>
      <c r="W36" s="117"/>
      <c r="X36" s="117"/>
      <c r="Y36" s="117"/>
      <c r="Z36" s="117"/>
      <c r="AA36" s="117"/>
      <c r="AB36" s="95"/>
    </row>
    <row r="37" spans="1:28" s="134" customFormat="1">
      <c r="A37" s="105"/>
      <c r="B37" s="101"/>
      <c r="C37" s="139"/>
      <c r="D37" s="137"/>
      <c r="E37" s="137"/>
      <c r="F37" s="137"/>
      <c r="G37" s="137"/>
      <c r="H37" s="137"/>
      <c r="I37" s="48"/>
      <c r="J37" s="49"/>
      <c r="K37" s="49"/>
      <c r="L37" s="50"/>
      <c r="M37" s="50"/>
      <c r="N37" s="50"/>
      <c r="O37" s="49"/>
      <c r="P37" s="49"/>
      <c r="Q37" s="51"/>
      <c r="R37" s="104"/>
      <c r="S37" s="117"/>
      <c r="T37" s="117"/>
      <c r="U37" s="117"/>
      <c r="V37" s="117"/>
      <c r="W37" s="117"/>
      <c r="X37" s="117"/>
      <c r="Y37" s="117"/>
      <c r="Z37" s="117"/>
      <c r="AA37" s="117"/>
      <c r="AB37" s="95"/>
    </row>
    <row r="38" spans="1:28" s="16" customFormat="1">
      <c r="A38" s="69"/>
      <c r="B38" s="63">
        <v>39175</v>
      </c>
      <c r="C38" s="30"/>
      <c r="D38" s="31"/>
      <c r="E38" s="31"/>
      <c r="F38" s="31"/>
      <c r="G38" s="31"/>
      <c r="H38" s="31"/>
      <c r="I38" s="161" t="s">
        <v>43</v>
      </c>
      <c r="J38" s="162"/>
      <c r="K38" s="162"/>
      <c r="L38" s="162"/>
      <c r="M38" s="162"/>
      <c r="N38" s="162"/>
      <c r="O38" s="162"/>
      <c r="P38" s="162"/>
      <c r="Q38" s="163"/>
      <c r="R38" s="32"/>
      <c r="S38" s="146"/>
      <c r="T38" s="146"/>
      <c r="U38" s="146"/>
      <c r="V38" s="146"/>
      <c r="W38" s="146"/>
      <c r="X38" s="146"/>
      <c r="Y38" s="146"/>
      <c r="Z38" s="146"/>
      <c r="AA38" s="146"/>
      <c r="AB38" s="95"/>
    </row>
    <row r="39" spans="1:28" s="134" customFormat="1">
      <c r="A39" s="12">
        <v>6816</v>
      </c>
      <c r="B39" s="52">
        <v>39175</v>
      </c>
      <c r="C39" s="53" t="s">
        <v>25</v>
      </c>
      <c r="D39" s="90">
        <v>38970</v>
      </c>
      <c r="E39" s="137">
        <f t="shared" ref="E39:E40" si="27">12+D39*1.2%</f>
        <v>479.64</v>
      </c>
      <c r="F39" s="137">
        <f t="shared" ref="F39:F40" si="28">E39*9%</f>
        <v>43.1676</v>
      </c>
      <c r="G39" s="137"/>
      <c r="H39" s="137">
        <v>43.16</v>
      </c>
      <c r="I39" s="138">
        <v>253.30500000000004</v>
      </c>
      <c r="J39" s="138">
        <v>302.56</v>
      </c>
      <c r="K39" s="138">
        <v>253.3</v>
      </c>
      <c r="L39" s="137"/>
      <c r="M39" s="137"/>
      <c r="N39" s="137"/>
      <c r="O39" s="138">
        <v>48.712499999999999</v>
      </c>
      <c r="P39" s="138">
        <v>58.18</v>
      </c>
      <c r="Q39" s="138">
        <v>48.71</v>
      </c>
      <c r="R39" s="104" t="s">
        <v>193</v>
      </c>
      <c r="S39" s="117"/>
      <c r="T39" s="117">
        <v>302.01</v>
      </c>
      <c r="U39" s="117"/>
      <c r="V39" s="117"/>
      <c r="W39" s="117">
        <v>58.73</v>
      </c>
      <c r="X39" s="117"/>
      <c r="Y39" s="117"/>
      <c r="Z39" s="117"/>
      <c r="AA39" s="117"/>
      <c r="AB39" s="95"/>
    </row>
    <row r="40" spans="1:28" s="134" customFormat="1">
      <c r="A40" s="12">
        <v>6817</v>
      </c>
      <c r="B40" s="52">
        <v>39175</v>
      </c>
      <c r="C40" s="53" t="s">
        <v>3</v>
      </c>
      <c r="D40" s="90">
        <v>38970</v>
      </c>
      <c r="E40" s="137">
        <f t="shared" si="27"/>
        <v>479.64</v>
      </c>
      <c r="F40" s="137">
        <f t="shared" si="28"/>
        <v>43.1676</v>
      </c>
      <c r="G40" s="137"/>
      <c r="H40" s="137">
        <v>43.16</v>
      </c>
      <c r="I40" s="138">
        <v>253.30500000000004</v>
      </c>
      <c r="J40" s="138">
        <v>302.56</v>
      </c>
      <c r="K40" s="138">
        <v>253.3</v>
      </c>
      <c r="L40" s="137"/>
      <c r="M40" s="137"/>
      <c r="N40" s="137"/>
      <c r="O40" s="138">
        <v>48.712499999999999</v>
      </c>
      <c r="P40" s="138">
        <v>58.18</v>
      </c>
      <c r="Q40" s="138">
        <v>48.71</v>
      </c>
      <c r="R40" s="104" t="s">
        <v>193</v>
      </c>
      <c r="S40" s="117"/>
      <c r="T40" s="117">
        <v>302.01</v>
      </c>
      <c r="U40" s="117"/>
      <c r="V40" s="117"/>
      <c r="W40" s="117">
        <v>58.73</v>
      </c>
      <c r="X40" s="117"/>
      <c r="Y40" s="117"/>
      <c r="Z40" s="117"/>
      <c r="AA40" s="117"/>
      <c r="AB40" s="95"/>
    </row>
    <row r="41" spans="1:28" s="66" customFormat="1">
      <c r="A41" s="152">
        <v>6838</v>
      </c>
      <c r="B41" s="64">
        <v>39184</v>
      </c>
      <c r="C41" s="55" t="s">
        <v>25</v>
      </c>
      <c r="D41" s="54">
        <v>41722.589999999997</v>
      </c>
      <c r="E41" s="91"/>
      <c r="F41" s="91"/>
      <c r="G41" s="91"/>
      <c r="H41" s="91"/>
      <c r="I41" s="91">
        <v>271.2</v>
      </c>
      <c r="J41" s="91">
        <v>293.51</v>
      </c>
      <c r="K41" s="91">
        <v>271.19</v>
      </c>
      <c r="L41" s="91"/>
      <c r="M41" s="91"/>
      <c r="N41" s="91"/>
      <c r="O41" s="91">
        <v>52.15</v>
      </c>
      <c r="P41" s="91">
        <v>84.88</v>
      </c>
      <c r="Q41" s="91">
        <v>52.15</v>
      </c>
      <c r="R41" s="65" t="s">
        <v>193</v>
      </c>
      <c r="S41" s="123"/>
      <c r="T41" s="123">
        <v>323.33999999999997</v>
      </c>
      <c r="U41" s="123"/>
      <c r="V41" s="123"/>
      <c r="W41" s="123">
        <v>55.05</v>
      </c>
      <c r="X41" s="123"/>
      <c r="Y41" s="123"/>
      <c r="Z41" s="123"/>
      <c r="AA41" s="123"/>
      <c r="AB41" s="95"/>
    </row>
    <row r="42" spans="1:28" s="45" customFormat="1">
      <c r="A42" s="105">
        <v>7032</v>
      </c>
      <c r="B42" s="13">
        <v>39239</v>
      </c>
      <c r="C42" s="14" t="s">
        <v>3</v>
      </c>
      <c r="D42" s="46">
        <v>50776.88</v>
      </c>
      <c r="E42" s="46">
        <f t="shared" ref="E42" si="29">12+D42*1.2%</f>
        <v>621.32255999999995</v>
      </c>
      <c r="F42" s="46"/>
      <c r="G42" s="46"/>
      <c r="H42" s="46"/>
      <c r="I42" s="47">
        <f>D42*0.65%</f>
        <v>330.04972000000004</v>
      </c>
      <c r="J42" s="47">
        <v>396.04</v>
      </c>
      <c r="K42" s="47">
        <v>330.04</v>
      </c>
      <c r="L42" s="46"/>
      <c r="M42" s="46"/>
      <c r="N42" s="46"/>
      <c r="O42" s="47">
        <v>63.47</v>
      </c>
      <c r="P42" s="47">
        <v>76.16</v>
      </c>
      <c r="Q42" s="47">
        <v>63.47</v>
      </c>
      <c r="R42" s="104" t="s">
        <v>188</v>
      </c>
      <c r="S42" s="117"/>
      <c r="T42" s="117">
        <v>393.51</v>
      </c>
      <c r="U42" s="117"/>
      <c r="V42" s="117"/>
      <c r="W42" s="117">
        <v>78.69</v>
      </c>
      <c r="X42" s="117"/>
      <c r="Y42" s="117"/>
      <c r="Z42" s="117"/>
      <c r="AA42" s="117"/>
      <c r="AB42" s="95"/>
    </row>
    <row r="43" spans="1:28" s="45" customFormat="1">
      <c r="A43" s="69"/>
      <c r="B43" s="63">
        <v>39256</v>
      </c>
      <c r="C43" s="30"/>
      <c r="D43" s="31"/>
      <c r="E43" s="31"/>
      <c r="F43" s="31"/>
      <c r="G43" s="31"/>
      <c r="H43" s="31"/>
      <c r="I43" s="161" t="s">
        <v>43</v>
      </c>
      <c r="J43" s="162"/>
      <c r="K43" s="162"/>
      <c r="L43" s="162"/>
      <c r="M43" s="162"/>
      <c r="N43" s="162"/>
      <c r="O43" s="162"/>
      <c r="P43" s="162"/>
      <c r="Q43" s="163"/>
      <c r="R43" s="32"/>
      <c r="S43" s="146"/>
      <c r="T43" s="146"/>
      <c r="U43" s="146"/>
      <c r="V43" s="146"/>
      <c r="W43" s="146"/>
      <c r="X43" s="146"/>
      <c r="Y43" s="146"/>
      <c r="Z43" s="146"/>
      <c r="AA43" s="146"/>
      <c r="AB43" s="95"/>
    </row>
    <row r="44" spans="1:28" s="42" customFormat="1">
      <c r="A44" s="105">
        <v>7084</v>
      </c>
      <c r="B44" s="13">
        <v>39258</v>
      </c>
      <c r="C44" s="139" t="s">
        <v>48</v>
      </c>
      <c r="D44" s="43">
        <v>369</v>
      </c>
      <c r="E44" s="43"/>
      <c r="F44" s="43"/>
      <c r="G44" s="43"/>
      <c r="H44" s="43"/>
      <c r="I44" s="44">
        <v>2.39</v>
      </c>
      <c r="J44" s="44">
        <v>1.8</v>
      </c>
      <c r="K44" s="44">
        <v>2.39</v>
      </c>
      <c r="L44" s="46"/>
      <c r="M44" s="46"/>
      <c r="N44" s="46">
        <v>0.46</v>
      </c>
      <c r="O44" s="47">
        <v>0.37</v>
      </c>
      <c r="P44" s="47">
        <v>0.46</v>
      </c>
      <c r="Q44" s="47"/>
      <c r="R44" s="104" t="s">
        <v>109</v>
      </c>
      <c r="S44" s="117"/>
      <c r="T44" s="117">
        <v>2.17</v>
      </c>
      <c r="U44" s="117"/>
      <c r="V44" s="117"/>
      <c r="W44" s="117"/>
      <c r="X44" s="117"/>
      <c r="Y44" s="117"/>
      <c r="Z44" s="117"/>
      <c r="AA44" s="117"/>
      <c r="AB44" s="95"/>
    </row>
    <row r="45" spans="1:28" s="42" customFormat="1">
      <c r="A45" s="105">
        <v>7085</v>
      </c>
      <c r="B45" s="13">
        <v>39258</v>
      </c>
      <c r="C45" s="139" t="s">
        <v>189</v>
      </c>
      <c r="D45" s="43">
        <v>123</v>
      </c>
      <c r="E45" s="43"/>
      <c r="F45" s="43"/>
      <c r="G45" s="43"/>
      <c r="H45" s="43"/>
      <c r="I45" s="44">
        <v>0.79</v>
      </c>
      <c r="J45" s="44">
        <v>0.96</v>
      </c>
      <c r="K45" s="44">
        <v>0.79</v>
      </c>
      <c r="L45" s="46"/>
      <c r="M45" s="46"/>
      <c r="N45" s="46">
        <v>0.12</v>
      </c>
      <c r="O45" s="47">
        <v>0.18</v>
      </c>
      <c r="P45" s="47">
        <v>0.12</v>
      </c>
      <c r="Q45" s="47"/>
      <c r="R45" s="104" t="s">
        <v>188</v>
      </c>
      <c r="S45" s="117"/>
      <c r="T45" s="117">
        <v>0.91</v>
      </c>
      <c r="U45" s="117"/>
      <c r="V45" s="117"/>
      <c r="W45" s="117">
        <v>0.23</v>
      </c>
      <c r="X45" s="117"/>
      <c r="Y45" s="117"/>
      <c r="Z45" s="117"/>
      <c r="AA45" s="117"/>
      <c r="AB45" s="95"/>
    </row>
    <row r="46" spans="1:28" s="38" customFormat="1">
      <c r="A46" s="105">
        <v>7093</v>
      </c>
      <c r="B46" s="13">
        <v>39261</v>
      </c>
      <c r="C46" s="139" t="s">
        <v>190</v>
      </c>
      <c r="D46" s="39">
        <v>6687.24</v>
      </c>
      <c r="E46" s="39"/>
      <c r="F46" s="39"/>
      <c r="G46" s="39"/>
      <c r="H46" s="39"/>
      <c r="I46" s="40">
        <v>43.46</v>
      </c>
      <c r="J46" s="40">
        <v>43.47</v>
      </c>
      <c r="K46" s="40">
        <v>43.86</v>
      </c>
      <c r="L46" s="39"/>
      <c r="M46" s="39"/>
      <c r="N46" s="39">
        <v>8.35</v>
      </c>
      <c r="O46" s="40">
        <v>8.36</v>
      </c>
      <c r="P46" s="40">
        <v>8.35</v>
      </c>
      <c r="Q46" s="40"/>
      <c r="R46" s="114" t="s">
        <v>109</v>
      </c>
      <c r="S46" s="117"/>
      <c r="T46" s="117">
        <v>52.21</v>
      </c>
      <c r="U46" s="117"/>
      <c r="V46" s="117"/>
      <c r="W46" s="117"/>
      <c r="X46" s="117"/>
      <c r="Y46" s="117"/>
      <c r="Z46" s="117"/>
      <c r="AA46" s="117"/>
      <c r="AB46" s="95"/>
    </row>
    <row r="47" spans="1:28" s="38" customFormat="1">
      <c r="A47" s="105">
        <v>7095</v>
      </c>
      <c r="B47" s="13">
        <v>39261</v>
      </c>
      <c r="C47" s="139" t="s">
        <v>191</v>
      </c>
      <c r="D47" s="39">
        <v>1148.44</v>
      </c>
      <c r="E47" s="39"/>
      <c r="F47" s="39"/>
      <c r="G47" s="39"/>
      <c r="H47" s="39"/>
      <c r="I47" s="40">
        <v>7.46</v>
      </c>
      <c r="J47" s="40">
        <v>7.46</v>
      </c>
      <c r="K47" s="40">
        <v>7.46</v>
      </c>
      <c r="L47" s="39"/>
      <c r="M47" s="39"/>
      <c r="N47" s="39">
        <v>1.44</v>
      </c>
      <c r="O47" s="40">
        <v>1.44</v>
      </c>
      <c r="P47" s="40">
        <v>1.43</v>
      </c>
      <c r="Q47" s="40"/>
      <c r="R47" s="104" t="s">
        <v>109</v>
      </c>
      <c r="S47" s="117"/>
      <c r="T47" s="117">
        <v>8.9</v>
      </c>
      <c r="U47" s="117"/>
      <c r="V47" s="117"/>
      <c r="W47" s="117"/>
      <c r="X47" s="117"/>
      <c r="Y47" s="117"/>
      <c r="Z47" s="117"/>
      <c r="AA47" s="117"/>
      <c r="AB47" s="95"/>
    </row>
    <row r="48" spans="1:28" s="134" customFormat="1">
      <c r="A48" s="105">
        <v>7097</v>
      </c>
      <c r="B48" s="101">
        <v>39261</v>
      </c>
      <c r="C48" s="139" t="s">
        <v>189</v>
      </c>
      <c r="D48" s="137">
        <v>80.36</v>
      </c>
      <c r="E48" s="137"/>
      <c r="F48" s="137"/>
      <c r="G48" s="137"/>
      <c r="H48" s="137"/>
      <c r="I48" s="138">
        <v>0.52</v>
      </c>
      <c r="J48" s="138">
        <v>0.52</v>
      </c>
      <c r="K48" s="138">
        <v>0.52</v>
      </c>
      <c r="L48" s="137"/>
      <c r="M48" s="137"/>
      <c r="N48" s="137">
        <v>0.1</v>
      </c>
      <c r="O48" s="138">
        <v>0.1</v>
      </c>
      <c r="P48" s="138">
        <v>0.1</v>
      </c>
      <c r="Q48" s="138"/>
      <c r="R48" s="104" t="s">
        <v>109</v>
      </c>
      <c r="S48" s="117"/>
      <c r="T48" s="117">
        <v>1.1399999999999999</v>
      </c>
      <c r="U48" s="117"/>
      <c r="V48" s="117"/>
      <c r="W48" s="117"/>
      <c r="X48" s="117"/>
      <c r="Y48" s="117"/>
      <c r="Z48" s="117"/>
      <c r="AA48" s="117"/>
      <c r="AB48" s="95"/>
    </row>
    <row r="49" spans="1:28" s="134" customFormat="1">
      <c r="A49" s="105">
        <v>7098</v>
      </c>
      <c r="B49" s="101">
        <v>39261</v>
      </c>
      <c r="C49" s="139" t="s">
        <v>189</v>
      </c>
      <c r="D49" s="137">
        <v>114.8</v>
      </c>
      <c r="E49" s="137"/>
      <c r="F49" s="137"/>
      <c r="G49" s="137"/>
      <c r="H49" s="137"/>
      <c r="I49" s="138">
        <v>0.74</v>
      </c>
      <c r="J49" s="138">
        <v>0.75</v>
      </c>
      <c r="K49" s="138">
        <v>0.74</v>
      </c>
      <c r="L49" s="137"/>
      <c r="M49" s="137"/>
      <c r="N49" s="137">
        <v>0.14000000000000001</v>
      </c>
      <c r="O49" s="138">
        <v>0.14000000000000001</v>
      </c>
      <c r="P49" s="138">
        <v>0.14000000000000001</v>
      </c>
      <c r="Q49" s="138"/>
      <c r="R49" s="104" t="s">
        <v>109</v>
      </c>
      <c r="S49" s="117"/>
      <c r="T49" s="117">
        <v>0.89</v>
      </c>
      <c r="U49" s="117"/>
      <c r="V49" s="117"/>
      <c r="W49" s="117"/>
      <c r="X49" s="117"/>
      <c r="Y49" s="117"/>
      <c r="Z49" s="117"/>
      <c r="AA49" s="117"/>
      <c r="AB49" s="95"/>
    </row>
    <row r="50" spans="1:28" s="134" customFormat="1">
      <c r="A50" s="105">
        <v>7114</v>
      </c>
      <c r="B50" s="101">
        <v>39269</v>
      </c>
      <c r="C50" s="139" t="s">
        <v>42</v>
      </c>
      <c r="D50" s="137">
        <v>16500</v>
      </c>
      <c r="E50" s="137">
        <f t="shared" ref="E50:E51" si="30">12+D50*1.2%</f>
        <v>210</v>
      </c>
      <c r="F50" s="137">
        <f t="shared" ref="F50:F51" si="31">E50*9%</f>
        <v>18.899999999999999</v>
      </c>
      <c r="G50" s="137"/>
      <c r="H50" s="137">
        <v>18.899999999999999</v>
      </c>
      <c r="I50" s="138"/>
      <c r="J50" s="138"/>
      <c r="K50" s="138"/>
      <c r="L50" s="137">
        <v>214.5</v>
      </c>
      <c r="M50" s="137">
        <v>257.39999999999998</v>
      </c>
      <c r="N50" s="137">
        <v>214.5</v>
      </c>
      <c r="O50" s="138"/>
      <c r="P50" s="138"/>
      <c r="Q50" s="138"/>
      <c r="R50" s="104" t="s">
        <v>206</v>
      </c>
      <c r="S50" s="117"/>
      <c r="T50" s="117">
        <v>214.5</v>
      </c>
      <c r="U50" s="117"/>
      <c r="V50" s="117"/>
      <c r="W50" s="117">
        <v>42.9</v>
      </c>
      <c r="X50" s="117"/>
      <c r="Y50" s="117"/>
      <c r="Z50" s="117"/>
      <c r="AA50" s="117"/>
      <c r="AB50" s="95"/>
    </row>
    <row r="51" spans="1:28" s="134" customFormat="1">
      <c r="A51" s="105">
        <v>7115</v>
      </c>
      <c r="B51" s="101">
        <v>39269</v>
      </c>
      <c r="C51" s="139" t="s">
        <v>41</v>
      </c>
      <c r="D51" s="137">
        <v>16500</v>
      </c>
      <c r="E51" s="137">
        <f t="shared" si="30"/>
        <v>210</v>
      </c>
      <c r="F51" s="137">
        <f t="shared" si="31"/>
        <v>18.899999999999999</v>
      </c>
      <c r="G51" s="137"/>
      <c r="H51" s="137">
        <v>18.899999999999999</v>
      </c>
      <c r="I51" s="138"/>
      <c r="J51" s="138"/>
      <c r="K51" s="138"/>
      <c r="L51" s="137">
        <v>214.5</v>
      </c>
      <c r="M51" s="137">
        <v>257.39999999999998</v>
      </c>
      <c r="N51" s="137">
        <v>214.5</v>
      </c>
      <c r="O51" s="138"/>
      <c r="P51" s="138"/>
      <c r="Q51" s="138"/>
      <c r="R51" s="104" t="s">
        <v>207</v>
      </c>
      <c r="S51" s="117"/>
      <c r="T51" s="117">
        <v>214.5</v>
      </c>
      <c r="U51" s="117"/>
      <c r="V51" s="117"/>
      <c r="W51" s="117">
        <v>42.9</v>
      </c>
      <c r="X51" s="117"/>
      <c r="Y51" s="117"/>
      <c r="Z51" s="117"/>
      <c r="AA51" s="117"/>
      <c r="AB51" s="95"/>
    </row>
    <row r="52" spans="1:28" s="134" customFormat="1">
      <c r="A52" s="105">
        <v>7121</v>
      </c>
      <c r="B52" s="101">
        <v>39273</v>
      </c>
      <c r="C52" s="139" t="s">
        <v>30</v>
      </c>
      <c r="D52" s="137">
        <v>500</v>
      </c>
      <c r="E52" s="137"/>
      <c r="F52" s="137"/>
      <c r="G52" s="137"/>
      <c r="H52" s="137"/>
      <c r="I52" s="138"/>
      <c r="J52" s="138"/>
      <c r="K52" s="138"/>
      <c r="L52" s="137">
        <v>6.5</v>
      </c>
      <c r="M52" s="137">
        <v>6.5</v>
      </c>
      <c r="N52" s="137">
        <v>6.5</v>
      </c>
      <c r="O52" s="138"/>
      <c r="P52" s="138"/>
      <c r="Q52" s="138"/>
      <c r="R52" s="104" t="s">
        <v>109</v>
      </c>
      <c r="S52" s="117"/>
      <c r="T52" s="117">
        <v>6.5</v>
      </c>
      <c r="U52" s="117"/>
      <c r="V52" s="117"/>
      <c r="W52" s="117"/>
      <c r="X52" s="117"/>
      <c r="Y52" s="117"/>
      <c r="Z52" s="117"/>
      <c r="AA52" s="117"/>
      <c r="AB52" s="95"/>
    </row>
    <row r="53" spans="1:28" s="38" customFormat="1">
      <c r="A53" s="105">
        <v>7122</v>
      </c>
      <c r="B53" s="13">
        <v>39273</v>
      </c>
      <c r="C53" s="135" t="s">
        <v>30</v>
      </c>
      <c r="D53" s="39">
        <v>1000</v>
      </c>
      <c r="E53" s="39"/>
      <c r="F53" s="39"/>
      <c r="G53" s="39"/>
      <c r="H53" s="39"/>
      <c r="I53" s="40"/>
      <c r="J53" s="40"/>
      <c r="K53" s="40"/>
      <c r="L53" s="40">
        <v>13</v>
      </c>
      <c r="M53" s="40">
        <v>26</v>
      </c>
      <c r="N53" s="40">
        <v>13</v>
      </c>
      <c r="O53" s="40"/>
      <c r="P53" s="40"/>
      <c r="Q53" s="40"/>
      <c r="R53" s="104" t="s">
        <v>200</v>
      </c>
      <c r="S53" s="117"/>
      <c r="T53" s="117">
        <v>13</v>
      </c>
      <c r="U53" s="117"/>
      <c r="V53" s="117"/>
      <c r="W53" s="117">
        <v>13</v>
      </c>
      <c r="X53" s="117"/>
      <c r="Y53" s="117"/>
      <c r="Z53" s="117"/>
      <c r="AA53" s="117"/>
      <c r="AB53" s="95"/>
    </row>
    <row r="54" spans="1:28" s="134" customFormat="1">
      <c r="A54" s="105">
        <v>7123</v>
      </c>
      <c r="B54" s="101">
        <v>39273</v>
      </c>
      <c r="C54" s="135" t="s">
        <v>30</v>
      </c>
      <c r="D54" s="137">
        <v>2000</v>
      </c>
      <c r="E54" s="137"/>
      <c r="F54" s="137"/>
      <c r="G54" s="137"/>
      <c r="H54" s="137"/>
      <c r="I54" s="138"/>
      <c r="J54" s="138"/>
      <c r="K54" s="138"/>
      <c r="L54" s="138">
        <v>26</v>
      </c>
      <c r="M54" s="138">
        <v>26</v>
      </c>
      <c r="N54" s="138">
        <v>26</v>
      </c>
      <c r="O54" s="138"/>
      <c r="P54" s="138"/>
      <c r="Q54" s="138"/>
      <c r="R54" s="104" t="s">
        <v>109</v>
      </c>
      <c r="S54" s="117"/>
      <c r="T54" s="117">
        <v>26</v>
      </c>
      <c r="U54" s="117"/>
      <c r="V54" s="117"/>
      <c r="W54" s="117"/>
      <c r="X54" s="117"/>
      <c r="Y54" s="117"/>
      <c r="Z54" s="117"/>
      <c r="AA54" s="117"/>
      <c r="AB54" s="95"/>
    </row>
    <row r="55" spans="1:28" s="134" customFormat="1">
      <c r="A55" s="105">
        <v>7146</v>
      </c>
      <c r="B55" s="101">
        <v>39282</v>
      </c>
      <c r="C55" s="135" t="s">
        <v>202</v>
      </c>
      <c r="D55" s="137">
        <v>300</v>
      </c>
      <c r="E55" s="137"/>
      <c r="F55" s="137"/>
      <c r="G55" s="137"/>
      <c r="H55" s="137"/>
      <c r="I55" s="138"/>
      <c r="J55" s="138"/>
      <c r="K55" s="138"/>
      <c r="L55" s="138"/>
      <c r="M55" s="138"/>
      <c r="N55" s="138"/>
      <c r="O55" s="138">
        <v>3.9</v>
      </c>
      <c r="P55" s="138">
        <v>3.9</v>
      </c>
      <c r="Q55" s="138">
        <v>3.9</v>
      </c>
      <c r="R55" s="104" t="s">
        <v>109</v>
      </c>
      <c r="S55" s="117"/>
      <c r="T55" s="117">
        <v>3.9</v>
      </c>
      <c r="U55" s="117"/>
      <c r="V55" s="117"/>
      <c r="W55" s="117"/>
      <c r="X55" s="117"/>
      <c r="Y55" s="117"/>
      <c r="Z55" s="117"/>
      <c r="AA55" s="117"/>
      <c r="AB55" s="95"/>
    </row>
    <row r="56" spans="1:28" s="134" customFormat="1">
      <c r="A56" s="105">
        <v>7359</v>
      </c>
      <c r="B56" s="101">
        <v>39364</v>
      </c>
      <c r="C56" s="102" t="s">
        <v>48</v>
      </c>
      <c r="D56" s="137">
        <v>8555.0400000000009</v>
      </c>
      <c r="E56" s="137"/>
      <c r="F56" s="137"/>
      <c r="G56" s="137"/>
      <c r="H56" s="137"/>
      <c r="I56" s="138">
        <f>D56*0.65%</f>
        <v>55.607760000000013</v>
      </c>
      <c r="J56" s="12">
        <v>66.73</v>
      </c>
      <c r="K56" s="138"/>
      <c r="L56" s="138"/>
      <c r="M56" s="138"/>
      <c r="N56" s="138"/>
      <c r="O56" s="138">
        <f>D56*0.125%</f>
        <v>10.693800000000001</v>
      </c>
      <c r="P56" s="12">
        <v>12.84</v>
      </c>
      <c r="Q56" s="138"/>
      <c r="R56" s="104" t="s">
        <v>112</v>
      </c>
      <c r="S56" s="117"/>
      <c r="T56" s="117"/>
      <c r="U56" s="117"/>
      <c r="V56" s="117"/>
      <c r="W56" s="117">
        <v>13.27</v>
      </c>
      <c r="X56" s="117"/>
      <c r="Y56" s="117"/>
      <c r="Z56" s="117"/>
      <c r="AA56" s="117"/>
      <c r="AB56" s="95"/>
    </row>
    <row r="57" spans="1:28" s="134" customFormat="1">
      <c r="A57" s="105">
        <v>7360</v>
      </c>
      <c r="B57" s="101">
        <v>39364</v>
      </c>
      <c r="C57" s="102" t="s">
        <v>48</v>
      </c>
      <c r="D57" s="137">
        <v>12391.45</v>
      </c>
      <c r="E57" s="137"/>
      <c r="F57" s="137"/>
      <c r="G57" s="137"/>
      <c r="H57" s="137"/>
      <c r="I57" s="138">
        <f>D57*0.65%</f>
        <v>80.544425000000018</v>
      </c>
      <c r="J57" s="138">
        <v>98.2</v>
      </c>
      <c r="K57" s="138"/>
      <c r="L57" s="138"/>
      <c r="M57" s="138"/>
      <c r="N57" s="138"/>
      <c r="O57" s="138">
        <f>D57*0.125%</f>
        <v>15.4893125</v>
      </c>
      <c r="P57" s="138">
        <v>18.87</v>
      </c>
      <c r="Q57" s="138"/>
      <c r="R57" s="104" t="s">
        <v>112</v>
      </c>
      <c r="S57" s="117"/>
      <c r="T57" s="117"/>
      <c r="U57" s="117"/>
      <c r="V57" s="117"/>
      <c r="W57" s="117">
        <v>21.04</v>
      </c>
      <c r="X57" s="117"/>
      <c r="Y57" s="117"/>
      <c r="Z57" s="117"/>
      <c r="AA57" s="117"/>
      <c r="AB57" s="95"/>
    </row>
    <row r="58" spans="1:28" s="38" customFormat="1">
      <c r="A58" s="105">
        <v>2007</v>
      </c>
      <c r="B58" s="13"/>
      <c r="C58" s="102" t="s">
        <v>17</v>
      </c>
      <c r="D58" s="39"/>
      <c r="E58" s="39"/>
      <c r="F58" s="39">
        <v>275.58</v>
      </c>
      <c r="G58" s="39">
        <v>227.17</v>
      </c>
      <c r="H58" s="39">
        <v>272.42</v>
      </c>
      <c r="I58" s="40"/>
      <c r="J58" s="40"/>
      <c r="K58" s="40"/>
      <c r="L58" s="39"/>
      <c r="M58" s="39"/>
      <c r="N58" s="39"/>
      <c r="O58" s="40"/>
      <c r="P58" s="40"/>
      <c r="Q58" s="40"/>
      <c r="R58" s="104" t="s">
        <v>109</v>
      </c>
      <c r="S58" s="117">
        <v>227.17</v>
      </c>
      <c r="T58" s="117"/>
      <c r="U58" s="117"/>
      <c r="V58" s="117"/>
      <c r="W58" s="117"/>
      <c r="X58" s="117"/>
      <c r="Y58" s="117"/>
      <c r="Z58" s="117"/>
      <c r="AA58" s="117"/>
      <c r="AB58" s="95"/>
    </row>
    <row r="59" spans="1:28" s="34" customFormat="1">
      <c r="A59" s="105">
        <v>2008</v>
      </c>
      <c r="B59" s="101"/>
      <c r="C59" s="102" t="s">
        <v>24</v>
      </c>
      <c r="D59" s="137"/>
      <c r="E59" s="137"/>
      <c r="F59" s="137">
        <v>668.65</v>
      </c>
      <c r="G59" s="137">
        <v>557.23</v>
      </c>
      <c r="H59" s="137">
        <v>667.04</v>
      </c>
      <c r="I59" s="138"/>
      <c r="J59" s="138"/>
      <c r="K59" s="138"/>
      <c r="L59" s="137"/>
      <c r="M59" s="137"/>
      <c r="N59" s="137"/>
      <c r="O59" s="138"/>
      <c r="P59" s="138"/>
      <c r="Q59" s="138"/>
      <c r="R59" s="104" t="s">
        <v>109</v>
      </c>
      <c r="S59" s="117">
        <v>557.23</v>
      </c>
      <c r="T59" s="117"/>
      <c r="U59" s="117"/>
      <c r="V59" s="117"/>
      <c r="W59" s="117"/>
      <c r="X59" s="117"/>
      <c r="Y59" s="117"/>
      <c r="Z59" s="117"/>
      <c r="AA59" s="117"/>
      <c r="AB59" s="95"/>
    </row>
    <row r="60" spans="1:28" s="34" customFormat="1">
      <c r="A60" s="105">
        <v>7759</v>
      </c>
      <c r="B60" s="101">
        <v>39548</v>
      </c>
      <c r="C60" s="135" t="s">
        <v>12</v>
      </c>
      <c r="D60" s="137">
        <v>12500</v>
      </c>
      <c r="E60" s="137">
        <f>12+D60*1.2%</f>
        <v>162</v>
      </c>
      <c r="F60" s="137"/>
      <c r="G60" s="137"/>
      <c r="H60" s="137"/>
      <c r="I60" s="138"/>
      <c r="J60" s="138">
        <v>81.25</v>
      </c>
      <c r="K60" s="138"/>
      <c r="L60" s="138">
        <v>162.5</v>
      </c>
      <c r="M60" s="138"/>
      <c r="N60" s="138">
        <v>162.5</v>
      </c>
      <c r="O60" s="138"/>
      <c r="P60" s="138">
        <v>15.63</v>
      </c>
      <c r="Q60" s="138"/>
      <c r="R60" s="104" t="s">
        <v>184</v>
      </c>
      <c r="S60" s="117"/>
      <c r="T60" s="117"/>
      <c r="U60" s="117"/>
      <c r="V60" s="117"/>
      <c r="W60" s="117"/>
      <c r="X60" s="117"/>
      <c r="Y60" s="117">
        <v>96.88</v>
      </c>
      <c r="Z60" s="117"/>
      <c r="AA60" s="117"/>
      <c r="AB60" s="95"/>
    </row>
    <row r="61" spans="1:28" s="134" customFormat="1">
      <c r="A61" s="105">
        <v>2008</v>
      </c>
      <c r="B61" s="101"/>
      <c r="C61" s="102" t="s">
        <v>15</v>
      </c>
      <c r="D61" s="137"/>
      <c r="E61" s="137"/>
      <c r="F61" s="137">
        <v>464.78</v>
      </c>
      <c r="G61" s="137">
        <v>381.6</v>
      </c>
      <c r="H61" s="137">
        <v>467.39</v>
      </c>
      <c r="I61" s="138"/>
      <c r="J61" s="138"/>
      <c r="K61" s="138"/>
      <c r="L61" s="137"/>
      <c r="M61" s="137"/>
      <c r="N61" s="137"/>
      <c r="O61" s="138"/>
      <c r="P61" s="138"/>
      <c r="Q61" s="138"/>
      <c r="R61" s="114" t="s">
        <v>185</v>
      </c>
      <c r="S61" s="117">
        <v>381.6</v>
      </c>
      <c r="T61" s="117"/>
      <c r="U61" s="117"/>
      <c r="V61" s="117"/>
      <c r="W61" s="117"/>
      <c r="X61" s="117"/>
      <c r="Y61" s="117"/>
      <c r="Z61" s="117"/>
      <c r="AA61" s="117"/>
      <c r="AB61" s="95"/>
    </row>
    <row r="62" spans="1:28" s="34" customFormat="1">
      <c r="A62" s="105">
        <v>2008</v>
      </c>
      <c r="B62" s="13"/>
      <c r="C62" s="57" t="s">
        <v>20</v>
      </c>
      <c r="D62" s="39"/>
      <c r="E62" s="35"/>
      <c r="F62" s="35">
        <v>917.49</v>
      </c>
      <c r="G62" s="35">
        <v>758.11</v>
      </c>
      <c r="H62" s="35">
        <v>841.78</v>
      </c>
      <c r="I62" s="36"/>
      <c r="J62" s="36"/>
      <c r="K62" s="36"/>
      <c r="L62" s="39"/>
      <c r="M62" s="40"/>
      <c r="N62" s="40"/>
      <c r="O62" s="36"/>
      <c r="P62" s="36"/>
      <c r="Q62" s="36"/>
      <c r="R62" s="114" t="s">
        <v>109</v>
      </c>
      <c r="S62" s="117">
        <v>758.11</v>
      </c>
      <c r="T62" s="117"/>
      <c r="U62" s="117"/>
      <c r="V62" s="117"/>
      <c r="W62" s="117"/>
      <c r="X62" s="117"/>
      <c r="Y62" s="117"/>
      <c r="Z62" s="117"/>
      <c r="AA62" s="117"/>
      <c r="AB62" s="95"/>
    </row>
    <row r="63" spans="1:28" s="134" customFormat="1">
      <c r="A63" s="105">
        <v>7803</v>
      </c>
      <c r="B63" s="101"/>
      <c r="C63" s="33" t="s">
        <v>255</v>
      </c>
      <c r="D63" s="137"/>
      <c r="E63" s="137"/>
      <c r="F63" s="137"/>
      <c r="G63" s="137"/>
      <c r="H63" s="137"/>
      <c r="I63" s="138"/>
      <c r="J63" s="138"/>
      <c r="K63" s="138"/>
      <c r="L63" s="137"/>
      <c r="M63" s="138"/>
      <c r="N63" s="138"/>
      <c r="O63" s="138"/>
      <c r="P63" s="138"/>
      <c r="Q63" s="138"/>
      <c r="R63" s="114" t="s">
        <v>180</v>
      </c>
      <c r="S63" s="117"/>
      <c r="T63" s="117"/>
      <c r="U63" s="117"/>
      <c r="V63" s="117"/>
      <c r="W63" s="117"/>
      <c r="X63" s="117"/>
      <c r="Y63" s="117"/>
      <c r="Z63" s="117"/>
      <c r="AA63" s="117"/>
      <c r="AB63" s="95"/>
    </row>
    <row r="64" spans="1:28" s="134" customFormat="1">
      <c r="A64" s="105">
        <v>7804</v>
      </c>
      <c r="B64" s="101"/>
      <c r="C64" s="33" t="s">
        <v>256</v>
      </c>
      <c r="D64" s="137"/>
      <c r="E64" s="137"/>
      <c r="F64" s="137"/>
      <c r="G64" s="137"/>
      <c r="H64" s="137"/>
      <c r="I64" s="138"/>
      <c r="J64" s="138"/>
      <c r="K64" s="138"/>
      <c r="L64" s="137"/>
      <c r="M64" s="138"/>
      <c r="N64" s="138"/>
      <c r="O64" s="138"/>
      <c r="P64" s="138"/>
      <c r="Q64" s="138"/>
      <c r="R64" s="114" t="s">
        <v>180</v>
      </c>
      <c r="S64" s="117"/>
      <c r="T64" s="117"/>
      <c r="U64" s="117"/>
      <c r="V64" s="117"/>
      <c r="W64" s="117"/>
      <c r="X64" s="117"/>
      <c r="Y64" s="117"/>
      <c r="Z64" s="117"/>
      <c r="AA64" s="117"/>
      <c r="AB64" s="95"/>
    </row>
    <row r="65" spans="1:28" s="34" customFormat="1">
      <c r="A65" s="105">
        <v>7851</v>
      </c>
      <c r="B65" s="13">
        <v>39595</v>
      </c>
      <c r="C65" s="139" t="s">
        <v>183</v>
      </c>
      <c r="D65" s="35">
        <v>1000</v>
      </c>
      <c r="E65" s="137">
        <f t="shared" ref="E65" si="32">12+D65*1.2%</f>
        <v>24</v>
      </c>
      <c r="F65" s="35">
        <f>E65*9%</f>
        <v>2.16</v>
      </c>
      <c r="G65" s="35">
        <v>24.46</v>
      </c>
      <c r="H65" s="35"/>
      <c r="I65" s="36"/>
      <c r="J65" s="36"/>
      <c r="K65" s="36"/>
      <c r="L65" s="35"/>
      <c r="M65" s="35"/>
      <c r="N65" s="35"/>
      <c r="O65" s="36"/>
      <c r="P65" s="36"/>
      <c r="Q65" s="36"/>
      <c r="R65" s="114" t="s">
        <v>112</v>
      </c>
      <c r="S65" s="117">
        <v>22.3</v>
      </c>
      <c r="T65" s="117"/>
      <c r="U65" s="117"/>
      <c r="V65" s="117"/>
      <c r="W65" s="117"/>
      <c r="X65" s="117"/>
      <c r="Y65" s="117"/>
      <c r="Z65" s="117"/>
      <c r="AA65" s="117"/>
      <c r="AB65" s="95"/>
    </row>
    <row r="66" spans="1:28" s="34" customFormat="1">
      <c r="A66" s="105">
        <v>2008</v>
      </c>
      <c r="B66" s="101"/>
      <c r="C66" s="102" t="s">
        <v>29</v>
      </c>
      <c r="D66" s="137"/>
      <c r="E66" s="137"/>
      <c r="F66" s="138">
        <v>516.08000000000004</v>
      </c>
      <c r="G66" s="137">
        <v>426.49</v>
      </c>
      <c r="H66" s="137">
        <v>572.41999999999996</v>
      </c>
      <c r="I66" s="36"/>
      <c r="J66" s="36"/>
      <c r="K66" s="36"/>
      <c r="L66" s="35"/>
      <c r="M66" s="35"/>
      <c r="N66" s="35"/>
      <c r="O66" s="36"/>
      <c r="P66" s="36"/>
      <c r="Q66" s="36"/>
      <c r="R66" s="114" t="s">
        <v>109</v>
      </c>
      <c r="S66" s="117">
        <v>426.49</v>
      </c>
      <c r="T66" s="117"/>
      <c r="U66" s="117"/>
      <c r="V66" s="117"/>
      <c r="W66" s="117"/>
      <c r="X66" s="117"/>
      <c r="Y66" s="117"/>
      <c r="Z66" s="117"/>
      <c r="AA66" s="117"/>
      <c r="AB66" s="95"/>
    </row>
    <row r="67" spans="1:28" s="34" customFormat="1">
      <c r="A67" s="105">
        <v>7951</v>
      </c>
      <c r="B67" s="101">
        <v>39639</v>
      </c>
      <c r="C67" s="33" t="s">
        <v>39</v>
      </c>
      <c r="D67" s="137">
        <v>7475</v>
      </c>
      <c r="E67" s="137"/>
      <c r="F67" s="137">
        <v>9.15</v>
      </c>
      <c r="G67" s="137">
        <v>0.6</v>
      </c>
      <c r="H67" s="137">
        <v>9.15</v>
      </c>
      <c r="I67" s="138"/>
      <c r="J67" s="138">
        <v>87.84</v>
      </c>
      <c r="K67" s="138"/>
      <c r="L67" s="137">
        <v>97.18</v>
      </c>
      <c r="M67" s="138"/>
      <c r="N67" s="138">
        <v>97.17</v>
      </c>
      <c r="O67" s="138"/>
      <c r="P67" s="138">
        <v>9.34</v>
      </c>
      <c r="Q67" s="138"/>
      <c r="R67" s="114" t="s">
        <v>182</v>
      </c>
      <c r="S67" s="117"/>
      <c r="T67" s="117">
        <v>97.17</v>
      </c>
      <c r="U67" s="117"/>
      <c r="V67" s="117"/>
      <c r="W67" s="117"/>
      <c r="X67" s="117"/>
      <c r="Y67" s="117"/>
      <c r="Z67" s="117"/>
      <c r="AA67" s="117"/>
      <c r="AB67" s="95"/>
    </row>
    <row r="68" spans="1:28" s="16" customFormat="1">
      <c r="A68" s="105">
        <v>7952</v>
      </c>
      <c r="B68" s="101">
        <v>39639</v>
      </c>
      <c r="C68" s="139" t="s">
        <v>40</v>
      </c>
      <c r="D68" s="137">
        <v>6223.99</v>
      </c>
      <c r="E68" s="137"/>
      <c r="F68" s="137"/>
      <c r="G68" s="137"/>
      <c r="H68" s="137"/>
      <c r="I68" s="138"/>
      <c r="J68" s="138"/>
      <c r="K68" s="138"/>
      <c r="L68" s="137">
        <v>80.91</v>
      </c>
      <c r="M68" s="137">
        <v>80.91</v>
      </c>
      <c r="N68" s="137">
        <v>80.900000000000006</v>
      </c>
      <c r="O68" s="138"/>
      <c r="P68" s="138"/>
      <c r="Q68" s="138"/>
      <c r="R68" s="114" t="s">
        <v>109</v>
      </c>
      <c r="S68" s="117"/>
      <c r="T68" s="117">
        <v>80.91</v>
      </c>
      <c r="U68" s="117"/>
      <c r="V68" s="117"/>
      <c r="W68" s="117"/>
      <c r="X68" s="117"/>
      <c r="Y68" s="117"/>
      <c r="Z68" s="117"/>
      <c r="AA68" s="117"/>
      <c r="AB68" s="95"/>
    </row>
    <row r="69" spans="1:28" s="134" customFormat="1">
      <c r="A69" s="105">
        <v>2008</v>
      </c>
      <c r="B69" s="101"/>
      <c r="C69" s="102" t="s">
        <v>28</v>
      </c>
      <c r="D69" s="137"/>
      <c r="E69" s="137"/>
      <c r="F69" s="137">
        <v>1250.06</v>
      </c>
      <c r="G69" s="137">
        <v>1115.3699999999999</v>
      </c>
      <c r="H69" s="137">
        <v>1235.8800000000001</v>
      </c>
      <c r="I69" s="138"/>
      <c r="J69" s="138"/>
      <c r="K69" s="138"/>
      <c r="L69" s="137"/>
      <c r="M69" s="137"/>
      <c r="N69" s="137"/>
      <c r="O69" s="138"/>
      <c r="P69" s="138"/>
      <c r="Q69" s="138"/>
      <c r="R69" s="104" t="s">
        <v>109</v>
      </c>
      <c r="S69" s="117">
        <v>1115.3699999999999</v>
      </c>
      <c r="T69" s="117"/>
      <c r="U69" s="117"/>
      <c r="V69" s="117"/>
      <c r="W69" s="117"/>
      <c r="X69" s="117"/>
      <c r="Y69" s="117"/>
      <c r="Z69" s="117"/>
      <c r="AA69" s="117"/>
      <c r="AB69" s="95"/>
    </row>
    <row r="70" spans="1:28" s="134" customFormat="1">
      <c r="A70" s="105">
        <v>2008</v>
      </c>
      <c r="B70" s="101"/>
      <c r="C70" s="102" t="s">
        <v>27</v>
      </c>
      <c r="D70" s="137"/>
      <c r="E70" s="137"/>
      <c r="F70" s="137">
        <v>599.03</v>
      </c>
      <c r="G70" s="137">
        <v>357.58</v>
      </c>
      <c r="H70" s="137">
        <v>597.61</v>
      </c>
      <c r="I70" s="138"/>
      <c r="J70" s="138"/>
      <c r="K70" s="138"/>
      <c r="L70" s="137"/>
      <c r="M70" s="137"/>
      <c r="N70" s="137"/>
      <c r="O70" s="138"/>
      <c r="P70" s="138"/>
      <c r="Q70" s="138"/>
      <c r="R70" s="104" t="s">
        <v>109</v>
      </c>
      <c r="S70" s="117">
        <v>357.58</v>
      </c>
      <c r="T70" s="117"/>
      <c r="U70" s="117"/>
      <c r="V70" s="117"/>
      <c r="W70" s="117"/>
      <c r="X70" s="117"/>
      <c r="Y70" s="117"/>
      <c r="Z70" s="117"/>
      <c r="AA70" s="117"/>
      <c r="AB70" s="95"/>
    </row>
    <row r="71" spans="1:28" s="134" customFormat="1">
      <c r="A71" s="105">
        <v>8133</v>
      </c>
      <c r="B71" s="101">
        <v>39699</v>
      </c>
      <c r="C71" s="102" t="s">
        <v>3</v>
      </c>
      <c r="D71" s="137">
        <v>1508.26</v>
      </c>
      <c r="E71" s="137"/>
      <c r="F71" s="138"/>
      <c r="G71" s="137"/>
      <c r="H71" s="137"/>
      <c r="I71" s="137">
        <f>D71*0.65%</f>
        <v>9.8036900000000013</v>
      </c>
      <c r="J71" s="137">
        <v>10.19</v>
      </c>
      <c r="K71" s="137"/>
      <c r="L71" s="137"/>
      <c r="M71" s="137"/>
      <c r="N71" s="137"/>
      <c r="O71" s="138">
        <f>D71*0.125%</f>
        <v>1.8853249999999999</v>
      </c>
      <c r="P71" s="138">
        <v>1.96</v>
      </c>
      <c r="Q71" s="138"/>
      <c r="R71" s="104" t="s">
        <v>112</v>
      </c>
      <c r="S71" s="117"/>
      <c r="T71" s="117"/>
      <c r="U71" s="117"/>
      <c r="V71" s="117"/>
      <c r="W71" s="117">
        <v>1.0900000000000001</v>
      </c>
      <c r="X71" s="117"/>
      <c r="Y71" s="117"/>
      <c r="Z71" s="117"/>
      <c r="AA71" s="117"/>
      <c r="AB71" s="95"/>
    </row>
    <row r="72" spans="1:28" s="134" customFormat="1">
      <c r="A72" s="105">
        <v>8228</v>
      </c>
      <c r="B72" s="101">
        <v>39728</v>
      </c>
      <c r="C72" s="135" t="s">
        <v>12</v>
      </c>
      <c r="D72" s="137">
        <v>3000</v>
      </c>
      <c r="E72" s="137"/>
      <c r="F72" s="137"/>
      <c r="G72" s="137"/>
      <c r="H72" s="137"/>
      <c r="I72" s="138"/>
      <c r="J72" s="138">
        <v>19.5</v>
      </c>
      <c r="K72" s="138"/>
      <c r="L72" s="137"/>
      <c r="M72" s="138"/>
      <c r="N72" s="138">
        <v>39</v>
      </c>
      <c r="O72" s="138"/>
      <c r="P72" s="138">
        <v>3.75</v>
      </c>
      <c r="Q72" s="138"/>
      <c r="R72" s="104" t="s">
        <v>225</v>
      </c>
      <c r="S72" s="117"/>
      <c r="T72" s="117"/>
      <c r="U72" s="117"/>
      <c r="V72" s="117"/>
      <c r="W72" s="117"/>
      <c r="X72" s="117"/>
      <c r="Y72" s="117">
        <v>23.25</v>
      </c>
      <c r="Z72" s="117"/>
      <c r="AA72" s="117"/>
      <c r="AB72" s="95"/>
    </row>
    <row r="73" spans="1:28" s="134" customFormat="1">
      <c r="A73" s="105">
        <v>8246</v>
      </c>
      <c r="B73" s="101">
        <v>39737</v>
      </c>
      <c r="C73" s="139" t="s">
        <v>38</v>
      </c>
      <c r="D73" s="137">
        <v>70000</v>
      </c>
      <c r="E73" s="137">
        <f>12+D73*1.2%</f>
        <v>852</v>
      </c>
      <c r="F73" s="137">
        <f>E73*9%</f>
        <v>76.679999999999993</v>
      </c>
      <c r="G73" s="137"/>
      <c r="H73" s="137">
        <v>77.42</v>
      </c>
      <c r="I73" s="138"/>
      <c r="J73" s="138"/>
      <c r="K73" s="138"/>
      <c r="L73" s="137">
        <f>D73*1.3%</f>
        <v>910.00000000000011</v>
      </c>
      <c r="M73" s="137">
        <v>931.85</v>
      </c>
      <c r="N73" s="137">
        <v>910</v>
      </c>
      <c r="O73" s="138"/>
      <c r="P73" s="138"/>
      <c r="Q73" s="138"/>
      <c r="R73" s="104" t="s">
        <v>226</v>
      </c>
      <c r="S73" s="117">
        <v>0.74</v>
      </c>
      <c r="T73" s="117">
        <v>910</v>
      </c>
      <c r="U73" s="117"/>
      <c r="V73" s="117"/>
      <c r="W73" s="117">
        <v>21.85</v>
      </c>
      <c r="X73" s="117"/>
      <c r="Y73" s="117"/>
      <c r="Z73" s="117"/>
      <c r="AA73" s="117"/>
      <c r="AB73" s="95"/>
    </row>
    <row r="74" spans="1:28" s="134" customFormat="1">
      <c r="A74" s="105">
        <v>2008</v>
      </c>
      <c r="B74" s="101"/>
      <c r="C74" s="102" t="s">
        <v>26</v>
      </c>
      <c r="D74" s="137"/>
      <c r="E74" s="137"/>
      <c r="F74" s="137">
        <v>631.21</v>
      </c>
      <c r="G74" s="137">
        <v>614.20000000000005</v>
      </c>
      <c r="H74" s="137">
        <v>641.1</v>
      </c>
      <c r="I74" s="138"/>
      <c r="J74" s="138"/>
      <c r="K74" s="138"/>
      <c r="L74" s="137"/>
      <c r="M74" s="137"/>
      <c r="N74" s="137"/>
      <c r="O74" s="138"/>
      <c r="P74" s="138"/>
      <c r="Q74" s="138"/>
      <c r="R74" s="104" t="s">
        <v>109</v>
      </c>
      <c r="S74" s="117">
        <v>614.20000000000005</v>
      </c>
      <c r="T74" s="117"/>
      <c r="U74" s="117"/>
      <c r="V74" s="117"/>
      <c r="W74" s="117"/>
      <c r="X74" s="117"/>
      <c r="Y74" s="117"/>
      <c r="Z74" s="117"/>
      <c r="AA74" s="117"/>
      <c r="AB74" s="95"/>
    </row>
    <row r="75" spans="1:28" s="16" customFormat="1">
      <c r="A75" s="105">
        <v>8261</v>
      </c>
      <c r="B75" s="101">
        <v>39750</v>
      </c>
      <c r="C75" s="135" t="s">
        <v>37</v>
      </c>
      <c r="D75" s="17"/>
      <c r="E75" s="17"/>
      <c r="F75" s="17"/>
      <c r="G75" s="17"/>
      <c r="H75" s="17"/>
      <c r="I75" s="18"/>
      <c r="J75" s="18"/>
      <c r="K75" s="18"/>
      <c r="L75" s="17"/>
      <c r="M75" s="17"/>
      <c r="N75" s="17"/>
      <c r="O75" s="18"/>
      <c r="P75" s="18"/>
      <c r="Q75" s="18"/>
      <c r="R75" s="114" t="s">
        <v>180</v>
      </c>
      <c r="S75" s="117"/>
      <c r="T75" s="117"/>
      <c r="U75" s="117"/>
      <c r="V75" s="117"/>
      <c r="W75" s="117"/>
      <c r="X75" s="117"/>
      <c r="Y75" s="117"/>
      <c r="Z75" s="117"/>
      <c r="AA75" s="117"/>
      <c r="AB75" s="95"/>
    </row>
    <row r="76" spans="1:28" s="134" customFormat="1">
      <c r="A76" s="105">
        <v>2008</v>
      </c>
      <c r="B76" s="101"/>
      <c r="C76" s="102" t="s">
        <v>16</v>
      </c>
      <c r="D76" s="137"/>
      <c r="E76" s="137"/>
      <c r="F76" s="137">
        <v>985.59</v>
      </c>
      <c r="G76" s="137">
        <v>899.37</v>
      </c>
      <c r="H76" s="137">
        <v>990.93</v>
      </c>
      <c r="I76" s="138"/>
      <c r="J76" s="138"/>
      <c r="K76" s="138"/>
      <c r="L76" s="137"/>
      <c r="M76" s="137"/>
      <c r="N76" s="137"/>
      <c r="O76" s="138"/>
      <c r="P76" s="138"/>
      <c r="Q76" s="138"/>
      <c r="R76" s="104" t="s">
        <v>109</v>
      </c>
      <c r="S76" s="117">
        <v>899.37</v>
      </c>
      <c r="T76" s="117"/>
      <c r="U76" s="117"/>
      <c r="V76" s="117"/>
      <c r="W76" s="117"/>
      <c r="X76" s="117"/>
      <c r="Y76" s="117"/>
      <c r="Z76" s="117"/>
      <c r="AA76" s="117"/>
      <c r="AB76" s="95"/>
    </row>
    <row r="77" spans="1:28" s="134" customFormat="1">
      <c r="A77" s="105">
        <v>8285</v>
      </c>
      <c r="B77" s="101">
        <v>39757</v>
      </c>
      <c r="C77" s="102" t="s">
        <v>227</v>
      </c>
      <c r="D77" s="137">
        <v>6410.4</v>
      </c>
      <c r="E77" s="137"/>
      <c r="F77" s="137">
        <v>2.6</v>
      </c>
      <c r="G77" s="137">
        <v>3.81</v>
      </c>
      <c r="H77" s="137">
        <v>8</v>
      </c>
      <c r="I77" s="138"/>
      <c r="J77" s="138"/>
      <c r="K77" s="138"/>
      <c r="L77" s="137"/>
      <c r="M77" s="137"/>
      <c r="N77" s="137"/>
      <c r="O77" s="138"/>
      <c r="P77" s="138"/>
      <c r="Q77" s="138"/>
      <c r="R77" s="104" t="s">
        <v>229</v>
      </c>
      <c r="S77" s="117"/>
      <c r="T77" s="117"/>
      <c r="U77" s="117"/>
      <c r="V77" s="117">
        <v>1.21</v>
      </c>
      <c r="W77" s="117"/>
      <c r="X77" s="117"/>
      <c r="Y77" s="117"/>
      <c r="Z77" s="117"/>
      <c r="AA77" s="117"/>
      <c r="AB77" s="95"/>
    </row>
    <row r="78" spans="1:28" s="95" customFormat="1">
      <c r="A78" s="105">
        <v>8291</v>
      </c>
      <c r="B78" s="101">
        <v>39762</v>
      </c>
      <c r="C78" s="139" t="s">
        <v>181</v>
      </c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04" t="s">
        <v>180</v>
      </c>
      <c r="S78" s="118"/>
      <c r="T78" s="118"/>
      <c r="U78" s="118"/>
      <c r="V78" s="118"/>
      <c r="W78" s="118"/>
      <c r="X78" s="118"/>
      <c r="Y78" s="118"/>
      <c r="Z78" s="118"/>
      <c r="AA78" s="118"/>
    </row>
    <row r="79" spans="1:28" s="95" customFormat="1">
      <c r="A79" s="105">
        <v>8301</v>
      </c>
      <c r="B79" s="101">
        <v>39766</v>
      </c>
      <c r="C79" s="139" t="s">
        <v>3</v>
      </c>
      <c r="D79" s="138">
        <v>22809.599999999999</v>
      </c>
      <c r="E79" s="138"/>
      <c r="F79" s="138"/>
      <c r="G79" s="138"/>
      <c r="H79" s="138"/>
      <c r="I79" s="138">
        <v>148.26</v>
      </c>
      <c r="J79" s="138">
        <v>176.77</v>
      </c>
      <c r="K79" s="138"/>
      <c r="L79" s="138"/>
      <c r="M79" s="138"/>
      <c r="N79" s="138"/>
      <c r="O79" s="138">
        <v>28.51</v>
      </c>
      <c r="P79" s="138">
        <v>28.51</v>
      </c>
      <c r="Q79" s="138"/>
      <c r="R79" s="104" t="s">
        <v>112</v>
      </c>
      <c r="S79" s="118"/>
      <c r="T79" s="118"/>
      <c r="U79" s="118"/>
      <c r="V79" s="118"/>
      <c r="W79" s="118">
        <v>28.51</v>
      </c>
      <c r="X79" s="118"/>
      <c r="Y79" s="118"/>
      <c r="Z79" s="118"/>
      <c r="AA79" s="118"/>
    </row>
    <row r="80" spans="1:28" s="95" customFormat="1">
      <c r="A80" s="105">
        <v>8351</v>
      </c>
      <c r="B80" s="101">
        <v>39785</v>
      </c>
      <c r="C80" s="139" t="s">
        <v>230</v>
      </c>
      <c r="D80" s="138">
        <v>41665.72</v>
      </c>
      <c r="E80" s="138"/>
      <c r="F80" s="138"/>
      <c r="G80" s="138"/>
      <c r="H80" s="138"/>
      <c r="I80" s="138">
        <v>270.83</v>
      </c>
      <c r="J80" s="138">
        <v>282.04000000000002</v>
      </c>
      <c r="K80" s="138"/>
      <c r="L80" s="138"/>
      <c r="M80" s="138"/>
      <c r="N80" s="138"/>
      <c r="O80" s="138">
        <v>52.08</v>
      </c>
      <c r="P80" s="138">
        <v>54.24</v>
      </c>
      <c r="Q80" s="138"/>
      <c r="R80" s="104" t="s">
        <v>112</v>
      </c>
      <c r="S80" s="118"/>
      <c r="T80" s="118"/>
      <c r="U80" s="118"/>
      <c r="V80" s="118"/>
      <c r="W80" s="118">
        <v>13.37</v>
      </c>
      <c r="X80" s="118"/>
      <c r="Y80" s="118"/>
      <c r="Z80" s="118"/>
      <c r="AA80" s="118"/>
    </row>
    <row r="81" spans="1:28" s="134" customFormat="1">
      <c r="A81" s="105">
        <v>8389</v>
      </c>
      <c r="B81" s="101">
        <v>39801</v>
      </c>
      <c r="C81" s="139" t="s">
        <v>71</v>
      </c>
      <c r="D81" s="137"/>
      <c r="E81" s="137"/>
      <c r="F81" s="137"/>
      <c r="G81" s="137"/>
      <c r="H81" s="137"/>
      <c r="I81" s="138"/>
      <c r="J81" s="138"/>
      <c r="K81" s="138"/>
      <c r="L81" s="137"/>
      <c r="M81" s="137"/>
      <c r="N81" s="137"/>
      <c r="O81" s="138"/>
      <c r="P81" s="138"/>
      <c r="Q81" s="138"/>
      <c r="R81" s="104" t="s">
        <v>180</v>
      </c>
      <c r="S81" s="117"/>
      <c r="T81" s="117"/>
      <c r="U81" s="117"/>
      <c r="V81" s="117"/>
      <c r="W81" s="117"/>
      <c r="X81" s="117"/>
      <c r="Y81" s="117"/>
      <c r="Z81" s="117"/>
      <c r="AA81" s="117"/>
      <c r="AB81" s="95"/>
    </row>
    <row r="82" spans="1:28" s="134" customFormat="1">
      <c r="A82" s="105">
        <v>8390</v>
      </c>
      <c r="B82" s="101">
        <v>39802</v>
      </c>
      <c r="C82" s="139" t="s">
        <v>71</v>
      </c>
      <c r="D82" s="137"/>
      <c r="E82" s="137"/>
      <c r="F82" s="137"/>
      <c r="G82" s="137"/>
      <c r="H82" s="137"/>
      <c r="I82" s="138"/>
      <c r="J82" s="138"/>
      <c r="K82" s="138"/>
      <c r="L82" s="137"/>
      <c r="M82" s="137"/>
      <c r="N82" s="137"/>
      <c r="O82" s="138"/>
      <c r="P82" s="138"/>
      <c r="Q82" s="138"/>
      <c r="R82" s="104" t="s">
        <v>180</v>
      </c>
      <c r="S82" s="117"/>
      <c r="T82" s="117"/>
      <c r="U82" s="117"/>
      <c r="V82" s="117"/>
      <c r="W82" s="117"/>
      <c r="X82" s="117"/>
      <c r="Y82" s="117"/>
      <c r="Z82" s="117"/>
      <c r="AA82" s="117"/>
      <c r="AB82" s="95"/>
    </row>
    <row r="83" spans="1:28" s="134" customFormat="1">
      <c r="A83" s="105">
        <v>8392</v>
      </c>
      <c r="B83" s="101">
        <v>39804</v>
      </c>
      <c r="C83" s="102" t="s">
        <v>35</v>
      </c>
      <c r="D83" s="137"/>
      <c r="E83" s="137"/>
      <c r="F83" s="137"/>
      <c r="G83" s="137"/>
      <c r="H83" s="137"/>
      <c r="I83" s="138"/>
      <c r="J83" s="138"/>
      <c r="K83" s="138"/>
      <c r="L83" s="137"/>
      <c r="M83" s="137"/>
      <c r="N83" s="137"/>
      <c r="O83" s="138"/>
      <c r="P83" s="138"/>
      <c r="Q83" s="138"/>
      <c r="R83" s="104" t="s">
        <v>180</v>
      </c>
      <c r="S83" s="117"/>
      <c r="T83" s="117"/>
      <c r="U83" s="117"/>
      <c r="V83" s="117"/>
      <c r="W83" s="117"/>
      <c r="X83" s="117"/>
      <c r="Y83" s="117"/>
      <c r="Z83" s="117"/>
      <c r="AA83" s="117"/>
      <c r="AB83" s="95"/>
    </row>
    <row r="84" spans="1:28" s="134" customFormat="1">
      <c r="A84" s="105">
        <v>2008</v>
      </c>
      <c r="B84" s="101"/>
      <c r="C84" s="102" t="s">
        <v>17</v>
      </c>
      <c r="D84" s="138"/>
      <c r="E84" s="137"/>
      <c r="F84" s="137">
        <v>715.85</v>
      </c>
      <c r="G84" s="137">
        <v>631.29</v>
      </c>
      <c r="H84" s="137">
        <v>719.83</v>
      </c>
      <c r="I84" s="138"/>
      <c r="J84" s="138"/>
      <c r="K84" s="138"/>
      <c r="L84" s="137"/>
      <c r="M84" s="137"/>
      <c r="N84" s="137"/>
      <c r="O84" s="138"/>
      <c r="P84" s="138"/>
      <c r="Q84" s="138"/>
      <c r="R84" s="104" t="s">
        <v>109</v>
      </c>
      <c r="S84" s="117">
        <v>631.29</v>
      </c>
      <c r="T84" s="117"/>
      <c r="U84" s="117"/>
      <c r="V84" s="117"/>
      <c r="W84" s="117"/>
      <c r="X84" s="117"/>
      <c r="Y84" s="117"/>
      <c r="Z84" s="117"/>
      <c r="AA84" s="117"/>
      <c r="AB84" s="95"/>
    </row>
    <row r="85" spans="1:28" s="134" customFormat="1">
      <c r="A85" s="105">
        <v>2009</v>
      </c>
      <c r="B85" s="101"/>
      <c r="C85" s="111" t="s">
        <v>24</v>
      </c>
      <c r="D85" s="137"/>
      <c r="E85" s="137"/>
      <c r="F85" s="137">
        <v>390.35</v>
      </c>
      <c r="G85" s="137">
        <v>339.94</v>
      </c>
      <c r="H85" s="137">
        <v>391.38</v>
      </c>
      <c r="I85" s="138"/>
      <c r="J85" s="138"/>
      <c r="K85" s="138"/>
      <c r="L85" s="137"/>
      <c r="M85" s="137"/>
      <c r="N85" s="137"/>
      <c r="O85" s="138"/>
      <c r="P85" s="138"/>
      <c r="Q85" s="138"/>
      <c r="R85" s="104" t="s">
        <v>109</v>
      </c>
      <c r="S85" s="117">
        <v>339.94</v>
      </c>
      <c r="T85" s="117"/>
      <c r="U85" s="117"/>
      <c r="V85" s="117"/>
      <c r="W85" s="117"/>
      <c r="X85" s="117"/>
      <c r="Y85" s="117"/>
      <c r="Z85" s="117"/>
      <c r="AA85" s="117"/>
      <c r="AB85" s="95"/>
    </row>
    <row r="86" spans="1:28" s="16" customFormat="1">
      <c r="A86" s="105">
        <v>2009</v>
      </c>
      <c r="B86" s="13"/>
      <c r="C86" s="102" t="s">
        <v>23</v>
      </c>
      <c r="D86" s="17"/>
      <c r="E86" s="17"/>
      <c r="F86" s="17">
        <v>179.89</v>
      </c>
      <c r="G86" s="17">
        <v>367.03</v>
      </c>
      <c r="H86" s="17"/>
      <c r="I86" s="18"/>
      <c r="J86" s="18"/>
      <c r="K86" s="18"/>
      <c r="L86" s="17"/>
      <c r="M86" s="17"/>
      <c r="N86" s="17"/>
      <c r="O86" s="18"/>
      <c r="P86" s="18"/>
      <c r="Q86" s="18"/>
      <c r="R86" s="114" t="s">
        <v>112</v>
      </c>
      <c r="S86" s="117"/>
      <c r="T86" s="117"/>
      <c r="U86" s="117"/>
      <c r="V86" s="117">
        <v>187.14</v>
      </c>
      <c r="W86" s="117"/>
      <c r="X86" s="117"/>
      <c r="Y86" s="117"/>
      <c r="Z86" s="117"/>
      <c r="AA86" s="117"/>
      <c r="AB86" s="95"/>
    </row>
    <row r="87" spans="1:28" s="16" customFormat="1">
      <c r="A87" s="105">
        <v>2009</v>
      </c>
      <c r="B87" s="101"/>
      <c r="C87" s="102" t="s">
        <v>22</v>
      </c>
      <c r="D87" s="137"/>
      <c r="E87" s="137"/>
      <c r="F87" s="137">
        <v>482.75</v>
      </c>
      <c r="G87" s="137">
        <v>382.88</v>
      </c>
      <c r="H87" s="137">
        <v>498.41</v>
      </c>
      <c r="I87" s="18"/>
      <c r="J87" s="18"/>
      <c r="K87" s="18"/>
      <c r="L87" s="17"/>
      <c r="M87" s="17"/>
      <c r="N87" s="17"/>
      <c r="O87" s="18"/>
      <c r="P87" s="18"/>
      <c r="Q87" s="18"/>
      <c r="R87" s="114" t="s">
        <v>109</v>
      </c>
      <c r="S87" s="117">
        <v>382.88</v>
      </c>
      <c r="T87" s="117"/>
      <c r="U87" s="117"/>
      <c r="V87" s="117"/>
      <c r="W87" s="117"/>
      <c r="X87" s="117"/>
      <c r="Y87" s="117"/>
      <c r="Z87" s="117"/>
      <c r="AA87" s="117"/>
      <c r="AB87" s="95"/>
    </row>
    <row r="88" spans="1:28">
      <c r="A88" s="105">
        <v>8502</v>
      </c>
      <c r="B88" s="101">
        <v>39875</v>
      </c>
      <c r="C88" s="139" t="s">
        <v>179</v>
      </c>
      <c r="D88" s="137">
        <v>15000</v>
      </c>
      <c r="E88" s="137"/>
      <c r="F88" s="137"/>
      <c r="G88" s="137"/>
      <c r="H88" s="137"/>
      <c r="I88" s="12"/>
      <c r="J88" s="12"/>
      <c r="K88" s="138"/>
      <c r="L88" s="138"/>
      <c r="M88" s="138"/>
      <c r="N88" s="138"/>
      <c r="O88" s="138"/>
      <c r="P88" s="12"/>
      <c r="Q88" s="138"/>
      <c r="R88" s="104" t="s">
        <v>180</v>
      </c>
      <c r="S88" s="117"/>
      <c r="T88" s="117"/>
      <c r="U88" s="117"/>
      <c r="V88" s="117"/>
      <c r="W88" s="117"/>
      <c r="X88" s="117"/>
      <c r="Y88" s="117"/>
      <c r="Z88" s="117"/>
      <c r="AA88" s="117"/>
    </row>
    <row r="89" spans="1:28">
      <c r="A89" s="105">
        <v>2009</v>
      </c>
      <c r="B89" s="13"/>
      <c r="C89" s="102" t="s">
        <v>15</v>
      </c>
      <c r="D89" s="17"/>
      <c r="E89" s="17"/>
      <c r="F89" s="17">
        <v>397.58</v>
      </c>
      <c r="G89" s="17">
        <v>230.3</v>
      </c>
      <c r="H89" s="17">
        <v>400.48</v>
      </c>
      <c r="I89" s="18"/>
      <c r="J89" s="18"/>
      <c r="K89" s="18"/>
      <c r="L89" s="17"/>
      <c r="M89" s="18"/>
      <c r="N89" s="18"/>
      <c r="O89" s="18"/>
      <c r="P89" s="18"/>
      <c r="Q89" s="18"/>
      <c r="R89" s="114" t="s">
        <v>109</v>
      </c>
      <c r="S89" s="117">
        <v>230.3</v>
      </c>
      <c r="T89" s="117"/>
      <c r="U89" s="117"/>
      <c r="V89" s="117"/>
      <c r="W89" s="117"/>
      <c r="X89" s="117"/>
      <c r="Y89" s="117"/>
      <c r="Z89" s="117"/>
      <c r="AA89" s="117"/>
    </row>
    <row r="90" spans="1:28" s="16" customFormat="1">
      <c r="A90" s="105">
        <v>2009</v>
      </c>
      <c r="B90" s="101"/>
      <c r="C90" s="111" t="s">
        <v>20</v>
      </c>
      <c r="D90" s="137"/>
      <c r="E90" s="137"/>
      <c r="F90" s="137">
        <v>401.49</v>
      </c>
      <c r="G90" s="137">
        <v>338.36</v>
      </c>
      <c r="H90" s="137">
        <v>406.31</v>
      </c>
      <c r="I90" s="18"/>
      <c r="J90" s="18"/>
      <c r="K90" s="18"/>
      <c r="L90" s="17"/>
      <c r="M90" s="17"/>
      <c r="N90" s="17"/>
      <c r="O90" s="18"/>
      <c r="P90" s="18"/>
      <c r="Q90" s="18"/>
      <c r="R90" s="114" t="s">
        <v>109</v>
      </c>
      <c r="S90" s="117">
        <v>338.36</v>
      </c>
      <c r="T90" s="117"/>
      <c r="U90" s="117"/>
      <c r="V90" s="117"/>
      <c r="W90" s="117"/>
      <c r="X90" s="117"/>
      <c r="Y90" s="117"/>
      <c r="Z90" s="117"/>
      <c r="AA90" s="117"/>
      <c r="AB90" s="95"/>
    </row>
    <row r="91" spans="1:28" s="16" customFormat="1">
      <c r="A91" s="105">
        <v>2009</v>
      </c>
      <c r="B91" s="101"/>
      <c r="C91" s="111" t="s">
        <v>29</v>
      </c>
      <c r="D91" s="137"/>
      <c r="E91" s="137"/>
      <c r="F91" s="137">
        <v>153.76</v>
      </c>
      <c r="G91" s="137">
        <v>115.64</v>
      </c>
      <c r="H91" s="137">
        <v>156.08000000000001</v>
      </c>
      <c r="I91" s="18"/>
      <c r="J91" s="18"/>
      <c r="K91" s="18"/>
      <c r="L91" s="17"/>
      <c r="M91" s="17"/>
      <c r="N91" s="17"/>
      <c r="O91" s="18"/>
      <c r="P91" s="18"/>
      <c r="Q91" s="18"/>
      <c r="R91" s="114" t="s">
        <v>178</v>
      </c>
      <c r="S91" s="117">
        <v>115.64</v>
      </c>
      <c r="T91" s="117"/>
      <c r="U91" s="117"/>
      <c r="V91" s="117"/>
      <c r="W91" s="117"/>
      <c r="X91" s="117"/>
      <c r="Y91" s="117"/>
      <c r="Z91" s="117"/>
      <c r="AA91" s="117"/>
      <c r="AB91" s="95"/>
    </row>
    <row r="92" spans="1:28" s="16" customFormat="1">
      <c r="A92" s="105">
        <v>2009</v>
      </c>
      <c r="B92" s="101"/>
      <c r="C92" s="111" t="s">
        <v>18</v>
      </c>
      <c r="D92" s="137"/>
      <c r="E92" s="137"/>
      <c r="F92" s="137">
        <v>616.1</v>
      </c>
      <c r="G92" s="137">
        <v>366.7</v>
      </c>
      <c r="H92" s="137">
        <v>616.11</v>
      </c>
      <c r="I92" s="18"/>
      <c r="J92" s="18"/>
      <c r="K92" s="18"/>
      <c r="L92" s="17"/>
      <c r="M92" s="17"/>
      <c r="N92" s="17"/>
      <c r="O92" s="18"/>
      <c r="P92" s="18"/>
      <c r="Q92" s="18"/>
      <c r="R92" s="114" t="s">
        <v>169</v>
      </c>
      <c r="S92" s="117">
        <v>366.7</v>
      </c>
      <c r="T92" s="117"/>
      <c r="U92" s="117"/>
      <c r="V92" s="117"/>
      <c r="W92" s="117"/>
      <c r="X92" s="117"/>
      <c r="Y92" s="117"/>
      <c r="Z92" s="117"/>
      <c r="AA92" s="117"/>
      <c r="AB92" s="95"/>
    </row>
    <row r="93" spans="1:28">
      <c r="A93" s="105">
        <v>2009</v>
      </c>
      <c r="B93" s="101"/>
      <c r="C93" s="104" t="s">
        <v>18</v>
      </c>
      <c r="D93" s="137"/>
      <c r="E93" s="137"/>
      <c r="F93" s="137"/>
      <c r="G93" s="137"/>
      <c r="H93" s="137"/>
      <c r="I93" s="103"/>
      <c r="J93" s="103"/>
      <c r="K93" s="103"/>
      <c r="L93" s="137"/>
      <c r="M93" s="137"/>
      <c r="N93" s="137"/>
      <c r="O93" s="138"/>
      <c r="P93" s="138"/>
      <c r="Q93" s="138"/>
      <c r="R93" s="120" t="s">
        <v>177</v>
      </c>
      <c r="S93" s="117"/>
      <c r="T93" s="117"/>
      <c r="U93" s="117"/>
      <c r="V93" s="117">
        <v>2.4</v>
      </c>
      <c r="W93" s="117"/>
      <c r="X93" s="117"/>
      <c r="Y93" s="117"/>
      <c r="Z93" s="117"/>
      <c r="AA93" s="117"/>
    </row>
    <row r="94" spans="1:28">
      <c r="A94" s="74"/>
      <c r="B94" s="63">
        <v>40028</v>
      </c>
      <c r="C94" s="26"/>
      <c r="D94" s="24"/>
      <c r="E94" s="23" t="s">
        <v>51</v>
      </c>
      <c r="F94" s="24"/>
      <c r="G94" s="24"/>
      <c r="H94" s="24"/>
      <c r="I94" s="24"/>
      <c r="J94" s="24"/>
      <c r="K94" s="24"/>
      <c r="L94" s="24"/>
      <c r="M94" s="27"/>
      <c r="N94" s="24"/>
      <c r="O94" s="28"/>
      <c r="P94" s="24"/>
      <c r="Q94" s="24"/>
      <c r="R94" s="115"/>
      <c r="S94" s="143"/>
      <c r="T94" s="143"/>
      <c r="U94" s="143"/>
      <c r="V94" s="143"/>
      <c r="W94" s="143"/>
      <c r="X94" s="143"/>
      <c r="Y94" s="143"/>
      <c r="Z94" s="143"/>
      <c r="AA94" s="143"/>
    </row>
    <row r="95" spans="1:28">
      <c r="A95" s="140">
        <v>2009</v>
      </c>
      <c r="B95" s="52"/>
      <c r="C95" s="57" t="s">
        <v>28</v>
      </c>
      <c r="D95" s="108"/>
      <c r="E95" s="108"/>
      <c r="F95" s="17">
        <v>630.88</v>
      </c>
      <c r="G95" s="17">
        <v>585.99</v>
      </c>
      <c r="H95" s="17">
        <v>662.64</v>
      </c>
      <c r="I95" s="18"/>
      <c r="J95" s="18"/>
      <c r="K95" s="18"/>
      <c r="L95" s="17"/>
      <c r="M95" s="17"/>
      <c r="N95" s="17"/>
      <c r="O95" s="18"/>
      <c r="P95" s="18"/>
      <c r="Q95" s="18"/>
      <c r="R95" s="114" t="s">
        <v>109</v>
      </c>
      <c r="S95" s="117">
        <v>585.99</v>
      </c>
      <c r="T95" s="117"/>
      <c r="U95" s="117"/>
      <c r="V95" s="117"/>
      <c r="W95" s="117"/>
      <c r="X95" s="117"/>
      <c r="Y95" s="117"/>
      <c r="Z95" s="117"/>
      <c r="AA95" s="117"/>
    </row>
    <row r="96" spans="1:28">
      <c r="A96" s="105">
        <v>8866</v>
      </c>
      <c r="B96" s="101">
        <v>40043</v>
      </c>
      <c r="C96" s="102" t="s">
        <v>36</v>
      </c>
      <c r="D96" s="138">
        <v>50254.77</v>
      </c>
      <c r="E96" s="137"/>
      <c r="F96" s="138"/>
      <c r="G96" s="137"/>
      <c r="H96" s="137"/>
      <c r="I96" s="138">
        <v>388.56</v>
      </c>
      <c r="J96" s="138">
        <v>388.56</v>
      </c>
      <c r="K96" s="138"/>
      <c r="L96" s="137"/>
      <c r="M96" s="137"/>
      <c r="N96" s="137"/>
      <c r="O96" s="138">
        <v>74.72</v>
      </c>
      <c r="P96" s="138">
        <v>74.72</v>
      </c>
      <c r="Q96" s="138"/>
      <c r="R96" s="114" t="s">
        <v>175</v>
      </c>
      <c r="S96" s="117"/>
      <c r="T96" s="117"/>
      <c r="U96" s="117"/>
      <c r="V96" s="117"/>
      <c r="W96" s="117"/>
      <c r="X96" s="117"/>
      <c r="Y96" s="117"/>
      <c r="Z96" s="117"/>
      <c r="AA96" s="117"/>
    </row>
    <row r="97" spans="1:28">
      <c r="A97" s="140">
        <v>2009</v>
      </c>
      <c r="B97" s="9"/>
      <c r="C97" s="57" t="s">
        <v>27</v>
      </c>
      <c r="D97" s="137"/>
      <c r="E97" s="137"/>
      <c r="F97" s="138">
        <v>929.89</v>
      </c>
      <c r="G97" s="138">
        <v>537.55999999999995</v>
      </c>
      <c r="H97" s="137">
        <v>1040.44</v>
      </c>
      <c r="I97" s="18"/>
      <c r="J97" s="18"/>
      <c r="K97" s="18"/>
      <c r="L97" s="17"/>
      <c r="M97" s="17"/>
      <c r="N97" s="17"/>
      <c r="O97" s="18"/>
      <c r="P97" s="18"/>
      <c r="Q97" s="18"/>
      <c r="R97" s="104" t="s">
        <v>169</v>
      </c>
      <c r="S97" s="117">
        <v>537.55999999999995</v>
      </c>
      <c r="T97" s="117"/>
      <c r="U97" s="117"/>
      <c r="V97" s="117"/>
      <c r="W97" s="117"/>
      <c r="X97" s="117"/>
      <c r="Y97" s="117"/>
      <c r="Z97" s="117"/>
      <c r="AA97" s="117"/>
    </row>
    <row r="98" spans="1:28" s="134" customFormat="1">
      <c r="A98" s="154">
        <v>8959</v>
      </c>
      <c r="B98" s="21">
        <v>40074</v>
      </c>
      <c r="C98" s="57" t="s">
        <v>25</v>
      </c>
      <c r="D98" s="137"/>
      <c r="E98" s="137"/>
      <c r="F98" s="138"/>
      <c r="G98" s="138"/>
      <c r="H98" s="137"/>
      <c r="I98" s="138">
        <v>21.3</v>
      </c>
      <c r="J98" s="138">
        <v>42.6</v>
      </c>
      <c r="K98" s="138">
        <v>21.3</v>
      </c>
      <c r="L98" s="137"/>
      <c r="M98" s="137"/>
      <c r="N98" s="137"/>
      <c r="O98" s="138">
        <v>4.0999999999999996</v>
      </c>
      <c r="P98" s="138">
        <v>8.1999999999999993</v>
      </c>
      <c r="Q98" s="138">
        <v>4.0999999999999996</v>
      </c>
      <c r="R98" s="104"/>
      <c r="S98" s="117"/>
      <c r="T98" s="117"/>
      <c r="U98" s="117"/>
      <c r="V98" s="117"/>
      <c r="W98" s="117">
        <v>25.4</v>
      </c>
      <c r="X98" s="117"/>
      <c r="Y98" s="117"/>
      <c r="Z98" s="117"/>
      <c r="AA98" s="117"/>
      <c r="AB98" s="95"/>
    </row>
    <row r="99" spans="1:28">
      <c r="A99" s="105">
        <v>2009</v>
      </c>
      <c r="B99" s="101"/>
      <c r="C99" s="102" t="s">
        <v>26</v>
      </c>
      <c r="D99" s="138"/>
      <c r="E99" s="137"/>
      <c r="F99" s="137">
        <v>567.97</v>
      </c>
      <c r="G99" s="137">
        <v>431.03</v>
      </c>
      <c r="H99" s="137">
        <v>636.84</v>
      </c>
      <c r="I99" s="18"/>
      <c r="J99" s="18"/>
      <c r="K99" s="18"/>
      <c r="L99" s="17"/>
      <c r="M99" s="17"/>
      <c r="N99" s="17"/>
      <c r="O99" s="18"/>
      <c r="P99" s="18"/>
      <c r="Q99" s="18"/>
      <c r="R99" s="104" t="s">
        <v>169</v>
      </c>
      <c r="S99" s="117">
        <v>431.03</v>
      </c>
      <c r="T99" s="117"/>
      <c r="U99" s="117"/>
      <c r="V99" s="117"/>
      <c r="W99" s="117"/>
      <c r="X99" s="117"/>
      <c r="Y99" s="117"/>
      <c r="Z99" s="117"/>
      <c r="AA99" s="117"/>
    </row>
    <row r="100" spans="1:28" s="134" customFormat="1">
      <c r="A100" s="106">
        <v>9021</v>
      </c>
      <c r="B100" s="101"/>
      <c r="C100" s="102" t="s">
        <v>25</v>
      </c>
      <c r="D100" s="138">
        <v>6196</v>
      </c>
      <c r="E100" s="137"/>
      <c r="F100" s="137"/>
      <c r="G100" s="137"/>
      <c r="H100" s="137"/>
      <c r="I100" s="138">
        <v>40.270000000000003</v>
      </c>
      <c r="J100" s="138">
        <v>44.95</v>
      </c>
      <c r="K100" s="138"/>
      <c r="L100" s="137"/>
      <c r="M100" s="137"/>
      <c r="N100" s="137"/>
      <c r="O100" s="138">
        <v>7.75</v>
      </c>
      <c r="P100" s="138">
        <v>8.65</v>
      </c>
      <c r="Q100" s="138"/>
      <c r="R100" s="104" t="s">
        <v>112</v>
      </c>
      <c r="S100" s="117"/>
      <c r="T100" s="117"/>
      <c r="U100" s="117"/>
      <c r="V100" s="117"/>
      <c r="W100" s="117">
        <v>5.58</v>
      </c>
      <c r="X100" s="117"/>
      <c r="Y100" s="117"/>
      <c r="Z100" s="117"/>
      <c r="AA100" s="117"/>
      <c r="AB100" s="95"/>
    </row>
    <row r="101" spans="1:28" s="107" customFormat="1">
      <c r="A101" s="140">
        <v>2009</v>
      </c>
      <c r="B101" s="9"/>
      <c r="C101" s="57" t="s">
        <v>16</v>
      </c>
      <c r="D101" s="137"/>
      <c r="E101" s="137"/>
      <c r="F101" s="137">
        <v>859.23</v>
      </c>
      <c r="G101" s="137">
        <v>761.9</v>
      </c>
      <c r="H101" s="137">
        <v>893.08</v>
      </c>
      <c r="I101" s="138"/>
      <c r="J101" s="138"/>
      <c r="K101" s="138"/>
      <c r="L101" s="138"/>
      <c r="M101" s="138"/>
      <c r="N101" s="138"/>
      <c r="O101" s="138"/>
      <c r="P101" s="138"/>
      <c r="Q101" s="138"/>
      <c r="R101" s="104" t="s">
        <v>170</v>
      </c>
      <c r="S101" s="118">
        <v>761.9</v>
      </c>
      <c r="T101" s="118"/>
      <c r="U101" s="118"/>
      <c r="V101" s="118"/>
      <c r="W101" s="118"/>
      <c r="X101" s="118"/>
      <c r="Y101" s="118"/>
      <c r="Z101" s="118"/>
      <c r="AA101" s="118"/>
      <c r="AB101" s="95"/>
    </row>
    <row r="102" spans="1:28" s="134" customFormat="1">
      <c r="A102" s="140">
        <v>2009</v>
      </c>
      <c r="B102" s="9"/>
      <c r="C102" s="57" t="s">
        <v>17</v>
      </c>
      <c r="D102" s="137"/>
      <c r="E102" s="137"/>
      <c r="F102" s="137">
        <v>554.39</v>
      </c>
      <c r="G102" s="137">
        <v>506.24</v>
      </c>
      <c r="H102" s="137">
        <v>702.58</v>
      </c>
      <c r="I102" s="138"/>
      <c r="J102" s="138"/>
      <c r="K102" s="138"/>
      <c r="L102" s="138"/>
      <c r="M102" s="138"/>
      <c r="N102" s="138"/>
      <c r="O102" s="138"/>
      <c r="P102" s="138"/>
      <c r="Q102" s="138"/>
      <c r="R102" s="114" t="s">
        <v>166</v>
      </c>
      <c r="S102" s="118">
        <v>506.24</v>
      </c>
      <c r="T102" s="118"/>
      <c r="U102" s="118"/>
      <c r="V102" s="118"/>
      <c r="W102" s="118"/>
      <c r="X102" s="118"/>
      <c r="Y102" s="118"/>
      <c r="Z102" s="118"/>
      <c r="AA102" s="118"/>
      <c r="AB102" s="95"/>
    </row>
    <row r="103" spans="1:28" s="134" customFormat="1">
      <c r="A103" s="154">
        <v>9197</v>
      </c>
      <c r="B103" s="9">
        <v>40171</v>
      </c>
      <c r="C103" s="57" t="s">
        <v>25</v>
      </c>
      <c r="D103" s="137">
        <v>6090.8</v>
      </c>
      <c r="E103" s="137"/>
      <c r="F103" s="137"/>
      <c r="G103" s="137"/>
      <c r="H103" s="137"/>
      <c r="I103" s="138">
        <v>39.590000000000003</v>
      </c>
      <c r="J103" s="138">
        <v>178.13</v>
      </c>
      <c r="K103" s="138"/>
      <c r="L103" s="138"/>
      <c r="M103" s="138"/>
      <c r="N103" s="138"/>
      <c r="O103" s="138">
        <v>7.61</v>
      </c>
      <c r="P103" s="138">
        <v>34.25</v>
      </c>
      <c r="Q103" s="138"/>
      <c r="R103" s="114"/>
      <c r="S103" s="118"/>
      <c r="T103" s="118"/>
      <c r="U103" s="118"/>
      <c r="V103" s="118"/>
      <c r="W103" s="118"/>
      <c r="X103" s="118"/>
      <c r="Y103" s="118"/>
      <c r="Z103" s="118"/>
      <c r="AA103" s="118"/>
      <c r="AB103" s="95"/>
    </row>
    <row r="104" spans="1:28" s="134" customFormat="1">
      <c r="A104" s="105">
        <v>9395</v>
      </c>
      <c r="B104" s="9">
        <v>40290</v>
      </c>
      <c r="C104" s="33" t="s">
        <v>162</v>
      </c>
      <c r="D104" s="138">
        <v>16667</v>
      </c>
      <c r="E104" s="138">
        <v>20</v>
      </c>
      <c r="F104" s="138">
        <v>1</v>
      </c>
      <c r="G104" s="138"/>
      <c r="H104" s="138">
        <v>16.8</v>
      </c>
      <c r="I104" s="138"/>
      <c r="J104" s="138"/>
      <c r="K104" s="138"/>
      <c r="L104" s="138"/>
      <c r="M104" s="138"/>
      <c r="N104" s="138"/>
      <c r="O104" s="138"/>
      <c r="P104" s="138"/>
      <c r="Q104" s="138"/>
      <c r="R104" s="114" t="s">
        <v>165</v>
      </c>
      <c r="S104" s="118"/>
      <c r="T104" s="118"/>
      <c r="U104" s="118"/>
      <c r="V104" s="118">
        <v>15.8</v>
      </c>
      <c r="W104" s="118"/>
      <c r="X104" s="118"/>
      <c r="Y104" s="118"/>
      <c r="Z104" s="118"/>
      <c r="AA104" s="118"/>
      <c r="AB104" s="95"/>
    </row>
    <row r="105" spans="1:28" s="134" customFormat="1">
      <c r="A105" s="105">
        <v>9396</v>
      </c>
      <c r="B105" s="9">
        <v>40290</v>
      </c>
      <c r="C105" s="33" t="s">
        <v>162</v>
      </c>
      <c r="D105" s="138">
        <v>8334</v>
      </c>
      <c r="E105" s="138">
        <v>20</v>
      </c>
      <c r="F105" s="138">
        <v>1</v>
      </c>
      <c r="G105" s="138"/>
      <c r="H105" s="138">
        <v>9.3000000000000007</v>
      </c>
      <c r="I105" s="138"/>
      <c r="J105" s="138"/>
      <c r="K105" s="138"/>
      <c r="L105" s="138"/>
      <c r="M105" s="138"/>
      <c r="N105" s="138"/>
      <c r="O105" s="138"/>
      <c r="P105" s="138"/>
      <c r="Q105" s="138"/>
      <c r="R105" s="114" t="s">
        <v>165</v>
      </c>
      <c r="S105" s="118"/>
      <c r="T105" s="118"/>
      <c r="U105" s="118"/>
      <c r="V105" s="118">
        <v>8.3000000000000007</v>
      </c>
      <c r="W105" s="118"/>
      <c r="X105" s="118"/>
      <c r="Y105" s="118"/>
      <c r="Z105" s="118"/>
      <c r="AA105" s="118"/>
      <c r="AB105" s="95"/>
    </row>
    <row r="106" spans="1:28" s="134" customFormat="1">
      <c r="A106" s="105">
        <v>9414</v>
      </c>
      <c r="B106" s="9"/>
      <c r="C106" s="33" t="s">
        <v>189</v>
      </c>
      <c r="D106" s="138">
        <v>104069.59</v>
      </c>
      <c r="E106" s="138"/>
      <c r="F106" s="138"/>
      <c r="G106" s="138"/>
      <c r="H106" s="138"/>
      <c r="I106" s="138">
        <v>676.45</v>
      </c>
      <c r="J106" s="138">
        <v>683.75</v>
      </c>
      <c r="K106" s="138"/>
      <c r="L106" s="138"/>
      <c r="M106" s="138"/>
      <c r="N106" s="138"/>
      <c r="O106" s="138">
        <v>130.09</v>
      </c>
      <c r="P106" s="138">
        <v>131.49</v>
      </c>
      <c r="Q106" s="138"/>
      <c r="R106" s="114" t="s">
        <v>112</v>
      </c>
      <c r="S106" s="118"/>
      <c r="T106" s="118"/>
      <c r="U106" s="118"/>
      <c r="V106" s="118"/>
      <c r="W106" s="118">
        <v>8.6999999999999993</v>
      </c>
      <c r="X106" s="118"/>
      <c r="Y106" s="118"/>
      <c r="Z106" s="118"/>
      <c r="AA106" s="118"/>
      <c r="AB106" s="95"/>
    </row>
    <row r="107" spans="1:28" s="134" customFormat="1">
      <c r="A107" s="105">
        <v>9424</v>
      </c>
      <c r="B107" s="9"/>
      <c r="C107" s="33" t="s">
        <v>189</v>
      </c>
      <c r="D107" s="138">
        <v>1635.48</v>
      </c>
      <c r="E107" s="138"/>
      <c r="F107" s="138"/>
      <c r="G107" s="138"/>
      <c r="H107" s="138"/>
      <c r="I107" s="138">
        <v>10.63</v>
      </c>
      <c r="J107" s="138">
        <v>17.39</v>
      </c>
      <c r="K107" s="138"/>
      <c r="L107" s="138"/>
      <c r="M107" s="138"/>
      <c r="N107" s="138"/>
      <c r="O107" s="138"/>
      <c r="P107" s="138"/>
      <c r="Q107" s="138"/>
      <c r="R107" s="114" t="s">
        <v>112</v>
      </c>
      <c r="S107" s="118"/>
      <c r="T107" s="118"/>
      <c r="U107" s="118"/>
      <c r="V107" s="118"/>
      <c r="W107" s="118">
        <v>6.76</v>
      </c>
      <c r="X107" s="118"/>
      <c r="Y107" s="118"/>
      <c r="Z107" s="118"/>
      <c r="AA107" s="118"/>
      <c r="AB107" s="95"/>
    </row>
    <row r="108" spans="1:28" s="134" customFormat="1">
      <c r="A108" s="105">
        <v>9563</v>
      </c>
      <c r="B108" s="9">
        <v>40359</v>
      </c>
      <c r="C108" s="135" t="s">
        <v>30</v>
      </c>
      <c r="D108" s="137">
        <v>1600</v>
      </c>
      <c r="E108" s="137">
        <f>20+1000*1%</f>
        <v>30</v>
      </c>
      <c r="F108" s="137">
        <f>E108*9%</f>
        <v>2.6999999999999997</v>
      </c>
      <c r="G108" s="137"/>
      <c r="H108" s="137">
        <v>3.24</v>
      </c>
      <c r="I108" s="138"/>
      <c r="J108" s="138"/>
      <c r="K108" s="138"/>
      <c r="L108" s="137">
        <v>13</v>
      </c>
      <c r="M108" s="137">
        <v>13</v>
      </c>
      <c r="N108" s="137">
        <v>20.8</v>
      </c>
      <c r="O108" s="138"/>
      <c r="P108" s="138"/>
      <c r="Q108" s="138"/>
      <c r="R108" s="104" t="s">
        <v>164</v>
      </c>
      <c r="S108" s="117"/>
      <c r="T108" s="117"/>
      <c r="U108" s="118"/>
      <c r="V108" s="118"/>
      <c r="W108" s="118">
        <v>7.8</v>
      </c>
      <c r="X108" s="118"/>
      <c r="Y108" s="118"/>
      <c r="Z108" s="118"/>
      <c r="AA108" s="118"/>
      <c r="AB108" s="95"/>
    </row>
    <row r="109" spans="1:28" s="107" customFormat="1">
      <c r="A109" s="105">
        <v>2010</v>
      </c>
      <c r="B109" s="9"/>
      <c r="C109" s="57" t="s">
        <v>18</v>
      </c>
      <c r="D109" s="138"/>
      <c r="E109" s="138"/>
      <c r="F109" s="138">
        <v>334.93</v>
      </c>
      <c r="G109" s="138">
        <v>408.07</v>
      </c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04" t="s">
        <v>153</v>
      </c>
      <c r="S109" s="118"/>
      <c r="T109" s="118"/>
      <c r="U109" s="118"/>
      <c r="V109" s="118">
        <v>73.14</v>
      </c>
      <c r="W109" s="118"/>
      <c r="X109" s="118"/>
      <c r="Y109" s="118"/>
      <c r="Z109" s="118"/>
      <c r="AA109" s="118"/>
      <c r="AB109" s="95"/>
    </row>
    <row r="110" spans="1:28" s="134" customFormat="1">
      <c r="A110" s="105">
        <v>2010</v>
      </c>
      <c r="B110" s="9"/>
      <c r="C110" s="57" t="s">
        <v>28</v>
      </c>
      <c r="D110" s="138"/>
      <c r="E110" s="138"/>
      <c r="F110" s="138">
        <v>486.05</v>
      </c>
      <c r="G110" s="138">
        <v>595.75</v>
      </c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04" t="s">
        <v>153</v>
      </c>
      <c r="S110" s="118"/>
      <c r="T110" s="118"/>
      <c r="U110" s="118"/>
      <c r="V110" s="118">
        <v>109.7</v>
      </c>
      <c r="W110" s="118"/>
      <c r="X110" s="118"/>
      <c r="Y110" s="118"/>
      <c r="Z110" s="118"/>
      <c r="AA110" s="118"/>
      <c r="AB110" s="95"/>
    </row>
    <row r="111" spans="1:28" s="107" customFormat="1">
      <c r="A111" s="105">
        <v>2010</v>
      </c>
      <c r="B111" s="9"/>
      <c r="C111" s="57" t="s">
        <v>27</v>
      </c>
      <c r="D111" s="108"/>
      <c r="E111" s="108"/>
      <c r="F111" s="108">
        <v>409.24</v>
      </c>
      <c r="G111" s="108">
        <v>435.96</v>
      </c>
      <c r="H111" s="108"/>
      <c r="I111" s="109"/>
      <c r="J111" s="109"/>
      <c r="K111" s="108"/>
      <c r="L111" s="108"/>
      <c r="M111" s="108"/>
      <c r="N111" s="108"/>
      <c r="O111" s="109"/>
      <c r="P111" s="109"/>
      <c r="Q111" s="109"/>
      <c r="R111" s="104" t="s">
        <v>153</v>
      </c>
      <c r="S111" s="117"/>
      <c r="T111" s="117"/>
      <c r="U111" s="117"/>
      <c r="V111" s="117">
        <v>26.72</v>
      </c>
      <c r="W111" s="117"/>
      <c r="X111" s="117"/>
      <c r="Y111" s="117"/>
      <c r="Z111" s="117"/>
      <c r="AA111" s="118"/>
      <c r="AB111" s="95"/>
    </row>
    <row r="112" spans="1:28" s="107" customFormat="1">
      <c r="A112" s="105">
        <v>2010</v>
      </c>
      <c r="B112" s="9"/>
      <c r="C112" s="57" t="s">
        <v>26</v>
      </c>
      <c r="D112" s="138"/>
      <c r="E112" s="138"/>
      <c r="F112" s="138">
        <v>357.67</v>
      </c>
      <c r="G112" s="138">
        <v>392.05</v>
      </c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04" t="s">
        <v>152</v>
      </c>
      <c r="S112" s="118"/>
      <c r="T112" s="118"/>
      <c r="U112" s="118"/>
      <c r="V112" s="118">
        <v>34.380000000000003</v>
      </c>
      <c r="W112" s="118"/>
      <c r="X112" s="118"/>
      <c r="Y112" s="118"/>
      <c r="Z112" s="118"/>
      <c r="AA112" s="118"/>
      <c r="AB112" s="95"/>
    </row>
    <row r="113" spans="1:28">
      <c r="A113" s="105">
        <v>9742</v>
      </c>
      <c r="B113" s="9">
        <v>40455</v>
      </c>
      <c r="C113" s="57" t="s">
        <v>25</v>
      </c>
      <c r="D113" s="137">
        <v>2409.75</v>
      </c>
      <c r="E113" s="137"/>
      <c r="F113" s="137"/>
      <c r="G113" s="137"/>
      <c r="H113" s="137"/>
      <c r="I113" s="138">
        <v>15.66</v>
      </c>
      <c r="J113" s="138">
        <v>59.72</v>
      </c>
      <c r="K113" s="137">
        <v>15.66</v>
      </c>
      <c r="L113" s="137"/>
      <c r="M113" s="137"/>
      <c r="N113" s="137"/>
      <c r="O113" s="138">
        <f>D113*0.125%</f>
        <v>3.0121875</v>
      </c>
      <c r="P113" s="138">
        <v>11.48</v>
      </c>
      <c r="Q113" s="138">
        <v>3.01</v>
      </c>
      <c r="R113" s="114" t="s">
        <v>112</v>
      </c>
      <c r="S113" s="117"/>
      <c r="T113" s="117"/>
      <c r="U113" s="117"/>
      <c r="V113" s="117"/>
      <c r="W113" s="117">
        <v>18.670000000000002</v>
      </c>
      <c r="X113" s="117"/>
      <c r="Y113" s="117"/>
      <c r="Z113" s="117"/>
      <c r="AA113" s="118"/>
    </row>
    <row r="114" spans="1:28">
      <c r="A114" s="105">
        <v>9742</v>
      </c>
      <c r="B114" s="9">
        <v>40455</v>
      </c>
      <c r="C114" s="57" t="s">
        <v>25</v>
      </c>
      <c r="D114" s="137">
        <v>2409.75</v>
      </c>
      <c r="E114" s="137"/>
      <c r="F114" s="137"/>
      <c r="G114" s="137"/>
      <c r="H114" s="137"/>
      <c r="I114" s="138">
        <v>15.66</v>
      </c>
      <c r="J114" s="138">
        <v>59.72</v>
      </c>
      <c r="K114" s="137">
        <v>15.66</v>
      </c>
      <c r="L114" s="137"/>
      <c r="M114" s="137"/>
      <c r="N114" s="137"/>
      <c r="O114" s="138">
        <f>D114*0.125%</f>
        <v>3.0121875</v>
      </c>
      <c r="P114" s="138">
        <v>11.48</v>
      </c>
      <c r="Q114" s="138">
        <v>3.01</v>
      </c>
      <c r="R114" s="104" t="s">
        <v>259</v>
      </c>
      <c r="S114" s="117"/>
      <c r="T114" s="117"/>
      <c r="U114" s="117"/>
      <c r="V114" s="117"/>
      <c r="W114" s="117">
        <v>52.53</v>
      </c>
      <c r="X114" s="117"/>
      <c r="Y114" s="117"/>
      <c r="Z114" s="117"/>
      <c r="AA114" s="118"/>
    </row>
    <row r="115" spans="1:28">
      <c r="A115" s="105">
        <v>9743</v>
      </c>
      <c r="B115" s="9">
        <v>40455</v>
      </c>
      <c r="C115" s="57" t="s">
        <v>3</v>
      </c>
      <c r="D115" s="137">
        <v>4814.5600000000004</v>
      </c>
      <c r="E115" s="137"/>
      <c r="F115" s="137"/>
      <c r="G115" s="137"/>
      <c r="H115" s="137"/>
      <c r="I115" s="138">
        <v>31.29</v>
      </c>
      <c r="J115" s="138">
        <v>119.45</v>
      </c>
      <c r="K115" s="137">
        <v>31.33</v>
      </c>
      <c r="L115" s="137"/>
      <c r="M115" s="137"/>
      <c r="N115" s="137"/>
      <c r="O115" s="138">
        <f>D115*0.125%</f>
        <v>6.0182000000000002</v>
      </c>
      <c r="P115" s="138">
        <v>22.97</v>
      </c>
      <c r="Q115" s="138">
        <v>6.02</v>
      </c>
      <c r="R115" s="104" t="s">
        <v>112</v>
      </c>
      <c r="S115" s="117"/>
      <c r="T115" s="117"/>
      <c r="U115" s="117"/>
      <c r="V115" s="117"/>
      <c r="W115" s="117">
        <v>37.35</v>
      </c>
      <c r="X115" s="117"/>
      <c r="Y115" s="117"/>
      <c r="Z115" s="117"/>
      <c r="AA115" s="118"/>
    </row>
    <row r="116" spans="1:28">
      <c r="A116" s="105">
        <v>9743</v>
      </c>
      <c r="B116" s="9">
        <v>40455</v>
      </c>
      <c r="C116" s="57" t="s">
        <v>3</v>
      </c>
      <c r="D116" s="137">
        <v>4814.5600000000004</v>
      </c>
      <c r="E116" s="137"/>
      <c r="F116" s="137"/>
      <c r="G116" s="137"/>
      <c r="H116" s="137"/>
      <c r="I116" s="138">
        <v>31.29</v>
      </c>
      <c r="J116" s="138">
        <v>119.45</v>
      </c>
      <c r="K116" s="137"/>
      <c r="L116" s="137"/>
      <c r="M116" s="137"/>
      <c r="N116" s="137"/>
      <c r="O116" s="138">
        <f>D116*0.125%</f>
        <v>6.0182000000000002</v>
      </c>
      <c r="P116" s="138">
        <v>22.97</v>
      </c>
      <c r="Q116" s="138"/>
      <c r="R116" s="104" t="s">
        <v>260</v>
      </c>
      <c r="S116" s="117"/>
      <c r="T116" s="117"/>
      <c r="U116" s="117"/>
      <c r="V116" s="117"/>
      <c r="W116" s="117">
        <v>105.07</v>
      </c>
      <c r="X116" s="117"/>
      <c r="Y116" s="117"/>
      <c r="Z116" s="117"/>
      <c r="AA116" s="118"/>
    </row>
    <row r="117" spans="1:28">
      <c r="A117" s="105">
        <v>2010</v>
      </c>
      <c r="B117" s="9"/>
      <c r="C117" s="57" t="s">
        <v>16</v>
      </c>
      <c r="D117" s="137"/>
      <c r="E117" s="137"/>
      <c r="F117" s="137">
        <v>533.67999999999995</v>
      </c>
      <c r="G117" s="137">
        <v>647.42999999999995</v>
      </c>
      <c r="H117" s="137"/>
      <c r="I117" s="138"/>
      <c r="J117" s="138"/>
      <c r="K117" s="138"/>
      <c r="L117" s="137"/>
      <c r="M117" s="137"/>
      <c r="N117" s="137"/>
      <c r="O117" s="138"/>
      <c r="P117" s="138"/>
      <c r="Q117" s="138"/>
      <c r="R117" s="114" t="s">
        <v>111</v>
      </c>
      <c r="S117" s="117"/>
      <c r="T117" s="117"/>
      <c r="U117" s="117"/>
      <c r="V117" s="117"/>
      <c r="W117" s="117"/>
      <c r="X117" s="117"/>
      <c r="Y117" s="117"/>
      <c r="Z117" s="117"/>
      <c r="AA117" s="118"/>
    </row>
    <row r="118" spans="1:28" s="134" customFormat="1">
      <c r="A118" s="141">
        <v>9818</v>
      </c>
      <c r="B118" s="9">
        <v>40499</v>
      </c>
      <c r="C118" s="142" t="s">
        <v>151</v>
      </c>
      <c r="D118" s="138"/>
      <c r="E118" s="51">
        <v>80</v>
      </c>
      <c r="F118" s="138">
        <v>4</v>
      </c>
      <c r="G118" s="138">
        <v>160</v>
      </c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04" t="s">
        <v>112</v>
      </c>
      <c r="S118" s="117">
        <v>156</v>
      </c>
      <c r="T118" s="117"/>
      <c r="U118" s="117"/>
      <c r="V118" s="117"/>
      <c r="W118" s="117"/>
      <c r="X118" s="117"/>
      <c r="Y118" s="117"/>
      <c r="Z118" s="117"/>
      <c r="AA118" s="118"/>
      <c r="AB118" s="95"/>
    </row>
    <row r="119" spans="1:28" s="16" customFormat="1">
      <c r="A119" s="3">
        <v>9807</v>
      </c>
      <c r="B119" s="9">
        <v>40491</v>
      </c>
      <c r="C119" s="139" t="s">
        <v>64</v>
      </c>
      <c r="D119" s="18">
        <v>551.32000000000005</v>
      </c>
      <c r="E119" s="19">
        <f>20+D119*1%</f>
        <v>25.513200000000001</v>
      </c>
      <c r="F119" s="18">
        <f>E119*9%</f>
        <v>2.2961879999999999</v>
      </c>
      <c r="G119" s="17">
        <v>7.79</v>
      </c>
      <c r="H119" s="17"/>
      <c r="I119" s="18"/>
      <c r="J119" s="18"/>
      <c r="K119" s="18"/>
      <c r="L119" s="18"/>
      <c r="M119" s="18"/>
      <c r="N119" s="18"/>
      <c r="O119" s="18"/>
      <c r="P119" s="18"/>
      <c r="Q119" s="18"/>
      <c r="R119" s="114" t="s">
        <v>112</v>
      </c>
      <c r="S119" s="117">
        <v>5.49</v>
      </c>
      <c r="T119" s="117"/>
      <c r="U119" s="117"/>
      <c r="V119" s="117"/>
      <c r="W119" s="117"/>
      <c r="X119" s="117"/>
      <c r="Y119" s="117"/>
      <c r="Z119" s="117"/>
      <c r="AA119" s="118"/>
      <c r="AB119" s="95"/>
    </row>
    <row r="120" spans="1:28" s="16" customFormat="1">
      <c r="A120" s="105">
        <v>9876</v>
      </c>
      <c r="B120" s="9">
        <v>40533</v>
      </c>
      <c r="C120" s="139" t="s">
        <v>19</v>
      </c>
      <c r="D120" s="137">
        <v>74262.59</v>
      </c>
      <c r="E120" s="137"/>
      <c r="F120" s="137"/>
      <c r="G120" s="137"/>
      <c r="H120" s="137"/>
      <c r="I120" s="138">
        <v>482.71</v>
      </c>
      <c r="J120" s="138">
        <v>482.7</v>
      </c>
      <c r="K120" s="138">
        <v>482.7</v>
      </c>
      <c r="L120" s="137"/>
      <c r="M120" s="137"/>
      <c r="N120" s="137"/>
      <c r="O120" s="138">
        <v>92.83</v>
      </c>
      <c r="P120" s="138">
        <v>92.82</v>
      </c>
      <c r="Q120" s="138">
        <v>92.83</v>
      </c>
      <c r="R120" s="114" t="s">
        <v>109</v>
      </c>
      <c r="S120" s="117"/>
      <c r="T120" s="117">
        <v>575.52</v>
      </c>
      <c r="U120" s="117"/>
      <c r="V120" s="117"/>
      <c r="W120" s="117"/>
      <c r="X120" s="117"/>
      <c r="Y120" s="117"/>
      <c r="Z120" s="117"/>
      <c r="AA120" s="118"/>
      <c r="AB120" s="95"/>
    </row>
    <row r="121" spans="1:28" s="107" customFormat="1">
      <c r="A121" s="105">
        <v>9877</v>
      </c>
      <c r="B121" s="9">
        <v>40534</v>
      </c>
      <c r="C121" s="139" t="s">
        <v>19</v>
      </c>
      <c r="D121" s="137">
        <v>81883.789999999994</v>
      </c>
      <c r="E121" s="137"/>
      <c r="F121" s="137"/>
      <c r="G121" s="137"/>
      <c r="H121" s="137"/>
      <c r="I121" s="138">
        <v>532.24</v>
      </c>
      <c r="J121" s="138">
        <v>532.24</v>
      </c>
      <c r="K121" s="138">
        <v>532.24</v>
      </c>
      <c r="L121" s="137"/>
      <c r="M121" s="137"/>
      <c r="N121" s="137"/>
      <c r="O121" s="138">
        <v>102.35</v>
      </c>
      <c r="P121" s="138">
        <v>102.35</v>
      </c>
      <c r="Q121" s="138">
        <v>102.35</v>
      </c>
      <c r="R121" s="114" t="s">
        <v>109</v>
      </c>
      <c r="S121" s="117"/>
      <c r="T121" s="117">
        <v>634.59</v>
      </c>
      <c r="U121" s="117"/>
      <c r="V121" s="117"/>
      <c r="W121" s="117"/>
      <c r="X121" s="117"/>
      <c r="Y121" s="117"/>
      <c r="Z121" s="117"/>
      <c r="AA121" s="118"/>
      <c r="AB121" s="95"/>
    </row>
    <row r="122" spans="1:28" s="107" customFormat="1">
      <c r="A122" s="105">
        <v>9902</v>
      </c>
      <c r="B122" s="9">
        <v>40542</v>
      </c>
      <c r="C122" s="139" t="s">
        <v>25</v>
      </c>
      <c r="D122" s="108">
        <v>35094.589999999997</v>
      </c>
      <c r="E122" s="108"/>
      <c r="F122" s="109"/>
      <c r="G122" s="108"/>
      <c r="H122" s="108"/>
      <c r="I122" s="109">
        <f>D122*0.65%</f>
        <v>228.114835</v>
      </c>
      <c r="J122" s="109">
        <v>228.11</v>
      </c>
      <c r="K122" s="109">
        <v>228.11</v>
      </c>
      <c r="L122" s="108"/>
      <c r="M122" s="108"/>
      <c r="N122" s="108"/>
      <c r="O122" s="109">
        <v>43.87</v>
      </c>
      <c r="P122" s="109">
        <v>43.87</v>
      </c>
      <c r="Q122" s="109">
        <v>43.87</v>
      </c>
      <c r="R122" s="116" t="s">
        <v>150</v>
      </c>
      <c r="S122" s="117"/>
      <c r="T122" s="117">
        <v>271.98</v>
      </c>
      <c r="U122" s="117"/>
      <c r="V122" s="117"/>
      <c r="W122" s="117"/>
      <c r="X122" s="117"/>
      <c r="Y122" s="117"/>
      <c r="Z122" s="117"/>
      <c r="AA122" s="118"/>
      <c r="AB122" s="95"/>
    </row>
    <row r="123" spans="1:28" s="107" customFormat="1">
      <c r="A123" s="105">
        <v>2010</v>
      </c>
      <c r="B123" s="9"/>
      <c r="C123" s="102" t="s">
        <v>17</v>
      </c>
      <c r="D123" s="137"/>
      <c r="E123" s="137"/>
      <c r="F123" s="138">
        <v>1112.3599999999999</v>
      </c>
      <c r="G123" s="137">
        <v>1130.07</v>
      </c>
      <c r="H123" s="137">
        <v>1346.84</v>
      </c>
      <c r="I123" s="138"/>
      <c r="J123" s="138"/>
      <c r="K123" s="138"/>
      <c r="L123" s="137"/>
      <c r="M123" s="137"/>
      <c r="N123" s="137"/>
      <c r="O123" s="138"/>
      <c r="P123" s="138"/>
      <c r="Q123" s="138"/>
      <c r="R123" s="104" t="s">
        <v>149</v>
      </c>
      <c r="S123" s="117">
        <v>302.12</v>
      </c>
      <c r="T123" s="117"/>
      <c r="U123" s="117"/>
      <c r="V123" s="117"/>
      <c r="W123" s="117"/>
      <c r="X123" s="117"/>
      <c r="Y123" s="117"/>
      <c r="Z123" s="117"/>
      <c r="AA123" s="118"/>
      <c r="AB123" s="95"/>
    </row>
    <row r="124" spans="1:28" s="107" customFormat="1">
      <c r="A124" s="148">
        <v>9934</v>
      </c>
      <c r="B124" s="149">
        <v>40571</v>
      </c>
      <c r="C124" s="144" t="s">
        <v>19</v>
      </c>
      <c r="D124" s="128">
        <v>66565</v>
      </c>
      <c r="E124" s="150">
        <f>20+D124*1%</f>
        <v>685.65</v>
      </c>
      <c r="F124" s="128">
        <f t="shared" ref="F124" si="33">E124*9%</f>
        <v>61.708499999999994</v>
      </c>
      <c r="G124" s="128">
        <v>33.11</v>
      </c>
      <c r="H124" s="128">
        <v>61.71</v>
      </c>
      <c r="I124" s="128">
        <v>432.67</v>
      </c>
      <c r="J124" s="128">
        <v>347.25</v>
      </c>
      <c r="K124" s="128">
        <v>85.42</v>
      </c>
      <c r="L124" s="128"/>
      <c r="M124" s="128"/>
      <c r="N124" s="128"/>
      <c r="O124" s="128">
        <v>83.21</v>
      </c>
      <c r="P124" s="128">
        <v>66.78</v>
      </c>
      <c r="Q124" s="128">
        <v>83.21</v>
      </c>
      <c r="R124" s="151" t="s">
        <v>109</v>
      </c>
      <c r="S124" s="131"/>
      <c r="T124" s="131">
        <v>101.85</v>
      </c>
      <c r="U124" s="117"/>
      <c r="V124" s="117"/>
      <c r="W124" s="117"/>
      <c r="X124" s="117"/>
      <c r="Y124" s="117"/>
      <c r="Z124" s="117"/>
      <c r="AA124" s="118"/>
      <c r="AB124" s="95"/>
    </row>
    <row r="125" spans="1:28" s="107" customFormat="1">
      <c r="A125" s="105">
        <v>9945</v>
      </c>
      <c r="B125" s="9">
        <v>40581</v>
      </c>
      <c r="C125" s="82" t="s">
        <v>147</v>
      </c>
      <c r="D125" s="108">
        <v>10000</v>
      </c>
      <c r="E125" s="108">
        <f>20+D125*1%</f>
        <v>120</v>
      </c>
      <c r="F125" s="108">
        <f>E125*5%</f>
        <v>6</v>
      </c>
      <c r="G125" s="108">
        <v>8.68</v>
      </c>
      <c r="H125" s="108"/>
      <c r="I125" s="109"/>
      <c r="J125" s="109"/>
      <c r="K125" s="109"/>
      <c r="L125" s="109"/>
      <c r="M125" s="109"/>
      <c r="N125" s="109"/>
      <c r="O125" s="109"/>
      <c r="P125" s="109"/>
      <c r="Q125" s="109"/>
      <c r="R125" s="104" t="s">
        <v>148</v>
      </c>
      <c r="S125" s="117"/>
      <c r="T125" s="117"/>
      <c r="U125" s="117"/>
      <c r="V125" s="117">
        <v>2.68</v>
      </c>
      <c r="W125" s="117"/>
      <c r="X125" s="117"/>
      <c r="Y125" s="117"/>
      <c r="Z125" s="117"/>
      <c r="AA125" s="118"/>
      <c r="AB125" s="95"/>
    </row>
    <row r="126" spans="1:28" s="107" customFormat="1">
      <c r="A126" s="105">
        <v>10061</v>
      </c>
      <c r="B126" s="9">
        <v>40652</v>
      </c>
      <c r="C126" s="82" t="s">
        <v>19</v>
      </c>
      <c r="D126" s="108">
        <v>9523.7800000000007</v>
      </c>
      <c r="E126" s="108">
        <f>20+D126*1%</f>
        <v>115.23780000000001</v>
      </c>
      <c r="F126" s="109">
        <v>53.48</v>
      </c>
      <c r="G126" s="108">
        <v>53.48</v>
      </c>
      <c r="H126" s="108">
        <v>53.48</v>
      </c>
      <c r="I126" s="109">
        <v>61.9</v>
      </c>
      <c r="J126" s="109">
        <v>61.9</v>
      </c>
      <c r="K126" s="109">
        <v>388.56</v>
      </c>
      <c r="L126" s="108"/>
      <c r="M126" s="108"/>
      <c r="N126" s="108"/>
      <c r="O126" s="109">
        <v>10.4</v>
      </c>
      <c r="P126" s="109">
        <v>10.4</v>
      </c>
      <c r="Q126" s="109">
        <v>74.72</v>
      </c>
      <c r="R126" s="116" t="s">
        <v>143</v>
      </c>
      <c r="S126" s="117"/>
      <c r="T126" s="117"/>
      <c r="U126" s="117"/>
      <c r="V126" s="117"/>
      <c r="W126" s="117"/>
      <c r="X126" s="117"/>
      <c r="Y126" s="117"/>
      <c r="Z126" s="117"/>
      <c r="AA126" s="117"/>
      <c r="AB126" s="95"/>
    </row>
    <row r="127" spans="1:28" s="107" customFormat="1">
      <c r="A127" s="126">
        <v>10114</v>
      </c>
      <c r="B127" s="129">
        <v>40680</v>
      </c>
      <c r="C127" s="127" t="s">
        <v>139</v>
      </c>
      <c r="D127" s="128"/>
      <c r="E127" s="128"/>
      <c r="F127" s="128"/>
      <c r="G127" s="128">
        <v>49.18</v>
      </c>
      <c r="H127" s="128"/>
      <c r="I127" s="113"/>
      <c r="J127" s="113"/>
      <c r="K127" s="113"/>
      <c r="L127" s="128"/>
      <c r="M127" s="128"/>
      <c r="N127" s="128"/>
      <c r="O127" s="128"/>
      <c r="P127" s="128"/>
      <c r="Q127" s="128"/>
      <c r="R127" s="130" t="s">
        <v>140</v>
      </c>
      <c r="S127" s="131"/>
      <c r="T127" s="131"/>
      <c r="U127" s="131"/>
      <c r="V127" s="131"/>
      <c r="W127" s="131"/>
      <c r="X127" s="131"/>
      <c r="Y127" s="131"/>
      <c r="Z127" s="131"/>
      <c r="AA127" s="131"/>
      <c r="AB127" s="95"/>
    </row>
    <row r="128" spans="1:28" s="95" customFormat="1">
      <c r="A128" s="105">
        <v>2011</v>
      </c>
      <c r="B128" s="21"/>
      <c r="C128" s="102" t="s">
        <v>20</v>
      </c>
      <c r="D128" s="109"/>
      <c r="E128" s="109"/>
      <c r="F128" s="109">
        <v>315</v>
      </c>
      <c r="G128" s="109">
        <v>338.67</v>
      </c>
      <c r="H128" s="109">
        <v>380.67</v>
      </c>
      <c r="I128" s="103"/>
      <c r="J128" s="103"/>
      <c r="K128" s="103"/>
      <c r="L128" s="109"/>
      <c r="M128" s="109"/>
      <c r="N128" s="109"/>
      <c r="O128" s="109"/>
      <c r="P128" s="109"/>
      <c r="Q128" s="109"/>
      <c r="R128" s="120" t="s">
        <v>138</v>
      </c>
      <c r="S128" s="118"/>
      <c r="T128" s="118"/>
      <c r="U128" s="118"/>
      <c r="V128" s="118">
        <v>41.5</v>
      </c>
      <c r="W128" s="118"/>
      <c r="X128" s="118"/>
      <c r="Y128" s="118"/>
      <c r="Z128" s="118"/>
      <c r="AA128" s="118"/>
    </row>
    <row r="129" spans="1:28" s="107" customFormat="1">
      <c r="A129" s="105">
        <v>10104</v>
      </c>
      <c r="B129" s="21">
        <v>40675</v>
      </c>
      <c r="C129" s="82" t="s">
        <v>136</v>
      </c>
      <c r="D129" s="109"/>
      <c r="E129" s="109">
        <v>20</v>
      </c>
      <c r="F129" s="109">
        <v>1</v>
      </c>
      <c r="G129" s="109">
        <v>4</v>
      </c>
      <c r="H129" s="109"/>
      <c r="I129" s="103"/>
      <c r="J129" s="103"/>
      <c r="K129" s="103"/>
      <c r="L129" s="109"/>
      <c r="M129" s="109"/>
      <c r="N129" s="109"/>
      <c r="O129" s="109"/>
      <c r="P129" s="109"/>
      <c r="Q129" s="109"/>
      <c r="R129" s="120" t="s">
        <v>137</v>
      </c>
      <c r="S129" s="118"/>
      <c r="T129" s="118"/>
      <c r="U129" s="118"/>
      <c r="V129" s="118">
        <v>3</v>
      </c>
      <c r="W129" s="118"/>
      <c r="X129" s="118"/>
      <c r="Y129" s="118"/>
      <c r="Z129" s="118"/>
      <c r="AA129" s="118"/>
      <c r="AB129" s="95"/>
    </row>
    <row r="130" spans="1:28" s="107" customFormat="1">
      <c r="A130" s="105">
        <v>10288</v>
      </c>
      <c r="B130" s="21">
        <v>40774</v>
      </c>
      <c r="C130" s="82" t="s">
        <v>34</v>
      </c>
      <c r="D130" s="108"/>
      <c r="E130" s="108"/>
      <c r="F130" s="108">
        <v>1</v>
      </c>
      <c r="G130" s="108">
        <v>16.78</v>
      </c>
      <c r="H130" s="108"/>
      <c r="I130" s="103"/>
      <c r="J130" s="103"/>
      <c r="K130" s="103"/>
      <c r="L130" s="109"/>
      <c r="M130" s="109"/>
      <c r="N130" s="109"/>
      <c r="O130" s="109"/>
      <c r="P130" s="109"/>
      <c r="Q130" s="109"/>
      <c r="R130" s="120" t="s">
        <v>135</v>
      </c>
      <c r="S130" s="117"/>
      <c r="T130" s="117"/>
      <c r="U130" s="117"/>
      <c r="V130" s="117">
        <v>15.78</v>
      </c>
      <c r="W130" s="117"/>
      <c r="X130" s="117"/>
      <c r="Y130" s="117"/>
      <c r="Z130" s="117"/>
      <c r="AA130" s="118"/>
      <c r="AB130" s="95"/>
    </row>
    <row r="131" spans="1:28" s="107" customFormat="1">
      <c r="A131" s="105">
        <v>10363</v>
      </c>
      <c r="B131" s="21">
        <v>40806</v>
      </c>
      <c r="C131" s="102" t="s">
        <v>3</v>
      </c>
      <c r="D131" s="108">
        <v>7133.86</v>
      </c>
      <c r="E131" s="108">
        <f>20+D131*1%</f>
        <v>91.3386</v>
      </c>
      <c r="F131" s="108">
        <f>E131*9%</f>
        <v>8.2204739999999994</v>
      </c>
      <c r="G131" s="108">
        <v>18.850000000000001</v>
      </c>
      <c r="H131" s="108">
        <v>18.850000000000001</v>
      </c>
      <c r="I131" s="103"/>
      <c r="J131" s="103"/>
      <c r="K131" s="103"/>
      <c r="L131" s="109"/>
      <c r="M131" s="109"/>
      <c r="N131" s="109"/>
      <c r="O131" s="109"/>
      <c r="P131" s="109"/>
      <c r="Q131" s="109"/>
      <c r="R131" s="120" t="s">
        <v>134</v>
      </c>
      <c r="S131" s="117"/>
      <c r="T131" s="117"/>
      <c r="U131" s="117"/>
      <c r="V131" s="117">
        <v>10.63</v>
      </c>
      <c r="W131" s="117"/>
      <c r="X131" s="117"/>
      <c r="Y131" s="117"/>
      <c r="Z131" s="117"/>
      <c r="AA131" s="118"/>
      <c r="AB131" s="95"/>
    </row>
    <row r="132" spans="1:28" s="107" customFormat="1">
      <c r="A132" s="105">
        <v>2012</v>
      </c>
      <c r="B132" s="21"/>
      <c r="C132" s="102" t="s">
        <v>24</v>
      </c>
      <c r="D132" s="108"/>
      <c r="E132" s="108"/>
      <c r="F132" s="108">
        <v>68.349999999999994</v>
      </c>
      <c r="G132" s="108">
        <v>53.16</v>
      </c>
      <c r="H132" s="108">
        <v>62.17</v>
      </c>
      <c r="I132" s="103"/>
      <c r="J132" s="103"/>
      <c r="K132" s="103"/>
      <c r="L132" s="109"/>
      <c r="M132" s="109"/>
      <c r="N132" s="109"/>
      <c r="O132" s="109"/>
      <c r="P132" s="109"/>
      <c r="Q132" s="109"/>
      <c r="R132" s="120" t="s">
        <v>133</v>
      </c>
      <c r="S132" s="117"/>
      <c r="T132" s="117"/>
      <c r="U132" s="117"/>
      <c r="V132" s="117"/>
      <c r="W132" s="117"/>
      <c r="X132" s="117"/>
      <c r="Y132" s="117"/>
      <c r="Z132" s="117"/>
      <c r="AA132" s="118"/>
      <c r="AB132" s="95"/>
    </row>
    <row r="133" spans="1:28" s="107" customFormat="1">
      <c r="A133" s="105">
        <v>2012</v>
      </c>
      <c r="B133" s="21"/>
      <c r="C133" s="102" t="s">
        <v>23</v>
      </c>
      <c r="D133" s="108"/>
      <c r="E133" s="108"/>
      <c r="F133" s="108">
        <v>87.74</v>
      </c>
      <c r="G133" s="108">
        <v>75.739999999999995</v>
      </c>
      <c r="H133" s="108">
        <v>84.74</v>
      </c>
      <c r="I133" s="103"/>
      <c r="J133" s="103"/>
      <c r="K133" s="103"/>
      <c r="L133" s="109"/>
      <c r="M133" s="109"/>
      <c r="N133" s="109"/>
      <c r="O133" s="109"/>
      <c r="P133" s="109"/>
      <c r="Q133" s="109"/>
      <c r="R133" s="120" t="s">
        <v>133</v>
      </c>
      <c r="S133" s="117"/>
      <c r="T133" s="117"/>
      <c r="U133" s="117"/>
      <c r="V133" s="117"/>
      <c r="W133" s="117"/>
      <c r="X133" s="117"/>
      <c r="Y133" s="117"/>
      <c r="Z133" s="117"/>
      <c r="AA133" s="118"/>
      <c r="AB133" s="95"/>
    </row>
    <row r="134" spans="1:28" s="107" customFormat="1">
      <c r="A134" s="105">
        <v>2012</v>
      </c>
      <c r="B134" s="21"/>
      <c r="C134" s="102" t="s">
        <v>22</v>
      </c>
      <c r="D134" s="108"/>
      <c r="E134" s="108"/>
      <c r="F134" s="103">
        <v>216.48</v>
      </c>
      <c r="G134" s="103">
        <v>316.20999999999998</v>
      </c>
      <c r="H134" s="103">
        <v>243.48</v>
      </c>
      <c r="I134" s="103"/>
      <c r="J134" s="103"/>
      <c r="K134" s="103"/>
      <c r="L134" s="109"/>
      <c r="M134" s="109"/>
      <c r="N134" s="109"/>
      <c r="O134" s="109"/>
      <c r="P134" s="109"/>
      <c r="Q134" s="109"/>
      <c r="R134" s="120" t="s">
        <v>132</v>
      </c>
      <c r="S134" s="117"/>
      <c r="T134" s="117"/>
      <c r="U134" s="117"/>
      <c r="V134" s="117">
        <v>99.73</v>
      </c>
      <c r="W134" s="117"/>
      <c r="X134" s="117"/>
      <c r="Y134" s="117"/>
      <c r="Z134" s="117"/>
      <c r="AA134" s="118"/>
      <c r="AB134" s="95"/>
    </row>
    <row r="135" spans="1:28" s="107" customFormat="1">
      <c r="A135" s="105">
        <v>2012</v>
      </c>
      <c r="B135" s="21"/>
      <c r="C135" s="102" t="s">
        <v>15</v>
      </c>
      <c r="D135" s="108"/>
      <c r="E135" s="108"/>
      <c r="F135" s="103">
        <v>164.52</v>
      </c>
      <c r="G135" s="103">
        <v>152.19999999999999</v>
      </c>
      <c r="H135" s="103">
        <v>159.4</v>
      </c>
      <c r="I135" s="103"/>
      <c r="J135" s="103"/>
      <c r="K135" s="103"/>
      <c r="L135" s="109"/>
      <c r="M135" s="109"/>
      <c r="N135" s="109"/>
      <c r="O135" s="109"/>
      <c r="P135" s="109"/>
      <c r="Q135" s="109"/>
      <c r="R135" s="120" t="s">
        <v>123</v>
      </c>
      <c r="S135" s="117"/>
      <c r="T135" s="117"/>
      <c r="U135" s="117"/>
      <c r="V135" s="117"/>
      <c r="W135" s="117"/>
      <c r="X135" s="117"/>
      <c r="Y135" s="117"/>
      <c r="Z135" s="117"/>
      <c r="AA135" s="118"/>
      <c r="AB135" s="95"/>
    </row>
    <row r="136" spans="1:28" s="107" customFormat="1">
      <c r="A136" s="105">
        <v>2012</v>
      </c>
      <c r="B136" s="21"/>
      <c r="C136" s="102" t="s">
        <v>20</v>
      </c>
      <c r="D136" s="108"/>
      <c r="E136" s="108"/>
      <c r="F136" s="103">
        <v>177.12</v>
      </c>
      <c r="G136" s="103">
        <v>160.58000000000001</v>
      </c>
      <c r="H136" s="103">
        <v>176.78</v>
      </c>
      <c r="I136" s="103"/>
      <c r="J136" s="103"/>
      <c r="K136" s="103"/>
      <c r="L136" s="109"/>
      <c r="M136" s="109"/>
      <c r="N136" s="109"/>
      <c r="O136" s="109"/>
      <c r="P136" s="109"/>
      <c r="Q136" s="109"/>
      <c r="R136" s="120" t="s">
        <v>123</v>
      </c>
      <c r="S136" s="117"/>
      <c r="T136" s="117"/>
      <c r="U136" s="117"/>
      <c r="V136" s="117"/>
      <c r="W136" s="117"/>
      <c r="X136" s="117"/>
      <c r="Y136" s="117"/>
      <c r="Z136" s="117"/>
      <c r="AA136" s="118"/>
      <c r="AB136" s="95"/>
    </row>
    <row r="137" spans="1:28" s="107" customFormat="1">
      <c r="A137" s="3">
        <v>10601</v>
      </c>
      <c r="B137" s="9">
        <v>41053</v>
      </c>
      <c r="C137" s="82" t="s">
        <v>19</v>
      </c>
      <c r="D137" s="90">
        <v>35507</v>
      </c>
      <c r="E137" s="109"/>
      <c r="F137" s="109"/>
      <c r="G137" s="109"/>
      <c r="H137" s="109"/>
      <c r="I137" s="109">
        <v>230.8</v>
      </c>
      <c r="J137" s="109">
        <v>230.8</v>
      </c>
      <c r="K137" s="109">
        <v>230.8</v>
      </c>
      <c r="L137" s="109"/>
      <c r="M137" s="109"/>
      <c r="N137" s="109"/>
      <c r="O137" s="109">
        <v>44.38</v>
      </c>
      <c r="P137" s="109">
        <v>44.5</v>
      </c>
      <c r="Q137" s="109">
        <v>44.38</v>
      </c>
      <c r="R137" s="114" t="s">
        <v>109</v>
      </c>
      <c r="S137" s="117"/>
      <c r="T137" s="117">
        <v>275.18</v>
      </c>
      <c r="U137" s="117"/>
      <c r="V137" s="117"/>
      <c r="W137" s="117"/>
      <c r="X137" s="117"/>
      <c r="Y137" s="117"/>
      <c r="Z137" s="117"/>
      <c r="AA137" s="118"/>
      <c r="AB137" s="95"/>
    </row>
    <row r="138" spans="1:28" s="107" customFormat="1">
      <c r="A138" s="105">
        <v>2012</v>
      </c>
      <c r="B138" s="21"/>
      <c r="C138" s="102" t="s">
        <v>29</v>
      </c>
      <c r="D138" s="108"/>
      <c r="E138" s="108"/>
      <c r="F138" s="108">
        <v>89.38</v>
      </c>
      <c r="G138" s="108">
        <v>86</v>
      </c>
      <c r="H138" s="108">
        <v>86</v>
      </c>
      <c r="I138" s="103"/>
      <c r="J138" s="103"/>
      <c r="K138" s="103"/>
      <c r="L138" s="109"/>
      <c r="M138" s="109"/>
      <c r="N138" s="109"/>
      <c r="O138" s="109"/>
      <c r="P138" s="109"/>
      <c r="Q138" s="109"/>
      <c r="R138" s="120" t="s">
        <v>123</v>
      </c>
      <c r="S138" s="117"/>
      <c r="T138" s="117"/>
      <c r="U138" s="117"/>
      <c r="V138" s="117"/>
      <c r="W138" s="117"/>
      <c r="X138" s="117"/>
      <c r="Y138" s="117"/>
      <c r="Z138" s="117"/>
      <c r="AA138" s="118"/>
      <c r="AB138" s="95"/>
    </row>
    <row r="139" spans="1:28" s="107" customFormat="1">
      <c r="A139" s="105">
        <v>10697</v>
      </c>
      <c r="B139" s="21">
        <v>41128</v>
      </c>
      <c r="C139" s="82" t="s">
        <v>127</v>
      </c>
      <c r="D139" s="108">
        <v>11191.64</v>
      </c>
      <c r="E139" s="108">
        <f>20+6457.68*1%</f>
        <v>84.576800000000006</v>
      </c>
      <c r="F139" s="108">
        <f>E139*9%</f>
        <v>7.6119120000000002</v>
      </c>
      <c r="G139" s="108">
        <v>11.88</v>
      </c>
      <c r="H139" s="108">
        <v>11.88</v>
      </c>
      <c r="I139" s="103"/>
      <c r="J139" s="103"/>
      <c r="K139" s="103"/>
      <c r="L139" s="109"/>
      <c r="M139" s="109"/>
      <c r="N139" s="109"/>
      <c r="O139" s="109"/>
      <c r="P139" s="109"/>
      <c r="Q139" s="109"/>
      <c r="R139" s="120" t="s">
        <v>128</v>
      </c>
      <c r="S139" s="117"/>
      <c r="T139" s="117"/>
      <c r="U139" s="117"/>
      <c r="V139" s="117">
        <v>4.2699999999999996</v>
      </c>
      <c r="W139" s="117"/>
      <c r="X139" s="117"/>
      <c r="Y139" s="117"/>
      <c r="Z139" s="117"/>
      <c r="AA139" s="118"/>
      <c r="AB139" s="95"/>
    </row>
    <row r="140" spans="1:28" s="107" customFormat="1">
      <c r="A140" s="105">
        <v>2012</v>
      </c>
      <c r="B140" s="21"/>
      <c r="C140" s="102" t="s">
        <v>28</v>
      </c>
      <c r="D140" s="108"/>
      <c r="E140" s="108"/>
      <c r="F140" s="108">
        <v>412.15</v>
      </c>
      <c r="G140" s="108">
        <v>459</v>
      </c>
      <c r="H140" s="108">
        <v>459</v>
      </c>
      <c r="I140" s="103"/>
      <c r="J140" s="103"/>
      <c r="K140" s="103"/>
      <c r="L140" s="109"/>
      <c r="M140" s="109"/>
      <c r="N140" s="109"/>
      <c r="O140" s="109"/>
      <c r="P140" s="109"/>
      <c r="Q140" s="109"/>
      <c r="R140" s="120" t="s">
        <v>131</v>
      </c>
      <c r="S140" s="117"/>
      <c r="T140" s="117"/>
      <c r="U140" s="117"/>
      <c r="V140" s="117">
        <f>G140-F140</f>
        <v>46.850000000000023</v>
      </c>
      <c r="W140" s="117"/>
      <c r="X140" s="117"/>
      <c r="Y140" s="117"/>
      <c r="Z140" s="117"/>
      <c r="AA140" s="118"/>
      <c r="AB140" s="95"/>
    </row>
    <row r="141" spans="1:28" s="107" customFormat="1">
      <c r="A141" s="105">
        <v>2012</v>
      </c>
      <c r="B141" s="21"/>
      <c r="C141" s="102" t="s">
        <v>26</v>
      </c>
      <c r="D141" s="108"/>
      <c r="E141" s="108"/>
      <c r="F141" s="108">
        <v>137.77000000000001</v>
      </c>
      <c r="G141" s="108">
        <v>137.78</v>
      </c>
      <c r="H141" s="108">
        <v>137.78</v>
      </c>
      <c r="I141" s="103"/>
      <c r="J141" s="103"/>
      <c r="K141" s="103"/>
      <c r="L141" s="109"/>
      <c r="M141" s="109"/>
      <c r="N141" s="109"/>
      <c r="O141" s="109"/>
      <c r="P141" s="109"/>
      <c r="Q141" s="109"/>
      <c r="R141" s="120" t="s">
        <v>123</v>
      </c>
      <c r="S141" s="117"/>
      <c r="T141" s="117"/>
      <c r="U141" s="117"/>
      <c r="V141" s="117"/>
      <c r="W141" s="117"/>
      <c r="X141" s="117"/>
      <c r="Y141" s="117"/>
      <c r="Z141" s="117"/>
      <c r="AA141" s="118"/>
      <c r="AB141" s="95"/>
    </row>
    <row r="142" spans="1:28" s="107" customFormat="1">
      <c r="A142" s="105">
        <v>2012</v>
      </c>
      <c r="B142" s="21"/>
      <c r="C142" s="102" t="s">
        <v>16</v>
      </c>
      <c r="D142" s="108"/>
      <c r="E142" s="108"/>
      <c r="F142" s="108">
        <v>187.51</v>
      </c>
      <c r="G142" s="108">
        <v>209.45</v>
      </c>
      <c r="H142" s="108">
        <v>211.57</v>
      </c>
      <c r="I142" s="103"/>
      <c r="J142" s="103"/>
      <c r="K142" s="103"/>
      <c r="L142" s="109"/>
      <c r="M142" s="109"/>
      <c r="N142" s="109"/>
      <c r="O142" s="109"/>
      <c r="P142" s="109"/>
      <c r="Q142" s="109"/>
      <c r="R142" s="120" t="s">
        <v>123</v>
      </c>
      <c r="S142" s="117"/>
      <c r="T142" s="117"/>
      <c r="U142" s="117"/>
      <c r="V142" s="117"/>
      <c r="W142" s="117"/>
      <c r="X142" s="117"/>
      <c r="Y142" s="117"/>
      <c r="Z142" s="117"/>
      <c r="AA142" s="118"/>
      <c r="AB142" s="95"/>
    </row>
    <row r="143" spans="1:28" s="107" customFormat="1">
      <c r="A143" s="105">
        <v>10855</v>
      </c>
      <c r="B143" s="21">
        <v>41229</v>
      </c>
      <c r="C143" s="102" t="s">
        <v>64</v>
      </c>
      <c r="D143" s="108">
        <v>12318.8</v>
      </c>
      <c r="E143" s="108">
        <f>20+D143*1%</f>
        <v>143.18799999999999</v>
      </c>
      <c r="F143" s="109">
        <f t="shared" ref="F143:F145" si="34">E143*9%</f>
        <v>12.886919999999998</v>
      </c>
      <c r="G143" s="108">
        <v>28.8</v>
      </c>
      <c r="H143" s="108">
        <v>28.8</v>
      </c>
      <c r="I143" s="103"/>
      <c r="J143" s="103"/>
      <c r="K143" s="103"/>
      <c r="L143" s="109"/>
      <c r="M143" s="109"/>
      <c r="N143" s="109"/>
      <c r="O143" s="109"/>
      <c r="P143" s="109"/>
      <c r="Q143" s="109"/>
      <c r="R143" s="120" t="s">
        <v>124</v>
      </c>
      <c r="S143" s="117"/>
      <c r="T143" s="117"/>
      <c r="U143" s="117"/>
      <c r="V143" s="117">
        <v>24.06</v>
      </c>
      <c r="W143" s="117"/>
      <c r="X143" s="117"/>
      <c r="Y143" s="117"/>
      <c r="Z143" s="117"/>
      <c r="AA143" s="118"/>
      <c r="AB143" s="95"/>
    </row>
    <row r="144" spans="1:28" s="107" customFormat="1">
      <c r="A144" s="105">
        <v>10856</v>
      </c>
      <c r="B144" s="21">
        <v>41229</v>
      </c>
      <c r="C144" s="102" t="s">
        <v>64</v>
      </c>
      <c r="D144" s="108">
        <v>717.6</v>
      </c>
      <c r="E144" s="108">
        <f t="shared" ref="E144:E145" si="35">20+D144*1%</f>
        <v>27.176000000000002</v>
      </c>
      <c r="F144" s="109">
        <f t="shared" si="34"/>
        <v>2.44584</v>
      </c>
      <c r="G144" s="108">
        <v>5.89</v>
      </c>
      <c r="H144" s="108">
        <v>5.89</v>
      </c>
      <c r="I144" s="103"/>
      <c r="J144" s="103"/>
      <c r="K144" s="103"/>
      <c r="L144" s="109"/>
      <c r="M144" s="109"/>
      <c r="N144" s="109"/>
      <c r="O144" s="109"/>
      <c r="P144" s="109"/>
      <c r="Q144" s="109"/>
      <c r="R144" s="120" t="s">
        <v>125</v>
      </c>
      <c r="S144" s="117"/>
      <c r="T144" s="117"/>
      <c r="U144" s="117"/>
      <c r="V144" s="117">
        <v>8.1</v>
      </c>
      <c r="W144" s="117"/>
      <c r="X144" s="117"/>
      <c r="Y144" s="117"/>
      <c r="Z144" s="117"/>
      <c r="AA144" s="118"/>
      <c r="AB144" s="95"/>
    </row>
    <row r="145" spans="1:28" s="107" customFormat="1">
      <c r="A145" s="105">
        <v>10857</v>
      </c>
      <c r="B145" s="21">
        <v>41229</v>
      </c>
      <c r="C145" s="102" t="s">
        <v>64</v>
      </c>
      <c r="D145" s="108">
        <v>1457.28</v>
      </c>
      <c r="E145" s="108">
        <f t="shared" si="35"/>
        <v>34.572800000000001</v>
      </c>
      <c r="F145" s="109">
        <f t="shared" si="34"/>
        <v>3.1115520000000001</v>
      </c>
      <c r="G145" s="108">
        <v>11.21</v>
      </c>
      <c r="H145" s="108">
        <v>11.21</v>
      </c>
      <c r="I145" s="103"/>
      <c r="J145" s="103"/>
      <c r="K145" s="103"/>
      <c r="L145" s="109"/>
      <c r="M145" s="109"/>
      <c r="N145" s="109"/>
      <c r="O145" s="109"/>
      <c r="P145" s="109"/>
      <c r="Q145" s="109"/>
      <c r="R145" s="120" t="s">
        <v>126</v>
      </c>
      <c r="S145" s="117"/>
      <c r="T145" s="117"/>
      <c r="U145" s="117"/>
      <c r="V145" s="117">
        <v>1.8</v>
      </c>
      <c r="W145" s="117"/>
      <c r="X145" s="117"/>
      <c r="Y145" s="117"/>
      <c r="Z145" s="117"/>
      <c r="AA145" s="118"/>
      <c r="AB145" s="95"/>
    </row>
    <row r="146" spans="1:28" s="107" customFormat="1">
      <c r="A146" s="105">
        <v>10944</v>
      </c>
      <c r="B146" s="21">
        <v>41272</v>
      </c>
      <c r="C146" s="102" t="s">
        <v>25</v>
      </c>
      <c r="D146" s="108">
        <v>22608.77</v>
      </c>
      <c r="E146" s="108">
        <f>20+D146*1%</f>
        <v>246.08770000000001</v>
      </c>
      <c r="F146" s="109">
        <f t="shared" ref="F146" si="36">E146*9%</f>
        <v>22.147893</v>
      </c>
      <c r="G146" s="108">
        <v>23.95</v>
      </c>
      <c r="H146" s="108">
        <v>23.95</v>
      </c>
      <c r="I146" s="103"/>
      <c r="J146" s="103"/>
      <c r="K146" s="103"/>
      <c r="L146" s="109"/>
      <c r="M146" s="109"/>
      <c r="N146" s="109"/>
      <c r="O146" s="109"/>
      <c r="P146" s="109"/>
      <c r="Q146" s="109"/>
      <c r="R146" s="120" t="s">
        <v>129</v>
      </c>
      <c r="S146" s="117"/>
      <c r="T146" s="117"/>
      <c r="U146" s="117"/>
      <c r="V146" s="117">
        <v>1.8</v>
      </c>
      <c r="W146" s="117"/>
      <c r="X146" s="117"/>
      <c r="Y146" s="117"/>
      <c r="Z146" s="117"/>
      <c r="AA146" s="118"/>
      <c r="AB146" s="95"/>
    </row>
    <row r="147" spans="1:28" s="107" customFormat="1">
      <c r="A147" s="105">
        <v>2012</v>
      </c>
      <c r="B147" s="21"/>
      <c r="C147" s="102" t="s">
        <v>17</v>
      </c>
      <c r="D147" s="108"/>
      <c r="E147" s="108"/>
      <c r="F147" s="109"/>
      <c r="G147" s="109">
        <v>367.12</v>
      </c>
      <c r="H147" s="109"/>
      <c r="I147" s="103"/>
      <c r="J147" s="103"/>
      <c r="K147" s="103"/>
      <c r="L147" s="109"/>
      <c r="M147" s="109"/>
      <c r="N147" s="109"/>
      <c r="O147" s="109"/>
      <c r="P147" s="109"/>
      <c r="Q147" s="109"/>
      <c r="R147" s="120" t="s">
        <v>130</v>
      </c>
      <c r="S147" s="117"/>
      <c r="T147" s="117"/>
      <c r="U147" s="117"/>
      <c r="V147" s="118"/>
      <c r="W147" s="118"/>
      <c r="X147" s="118"/>
      <c r="Y147" s="118"/>
      <c r="Z147" s="118"/>
      <c r="AA147" s="118"/>
      <c r="AB147" s="95"/>
    </row>
    <row r="148" spans="1:28" s="107" customFormat="1">
      <c r="A148" s="105">
        <v>2013</v>
      </c>
      <c r="B148" s="101"/>
      <c r="C148" s="111" t="s">
        <v>23</v>
      </c>
      <c r="D148" s="108"/>
      <c r="E148" s="108"/>
      <c r="F148" s="108">
        <v>236.76</v>
      </c>
      <c r="G148" s="108">
        <v>244.65</v>
      </c>
      <c r="H148" s="108">
        <v>244.65</v>
      </c>
      <c r="I148" s="103"/>
      <c r="J148" s="103"/>
      <c r="K148" s="103"/>
      <c r="L148" s="108"/>
      <c r="M148" s="108"/>
      <c r="N148" s="108"/>
      <c r="O148" s="109"/>
      <c r="P148" s="109"/>
      <c r="Q148" s="109"/>
      <c r="R148" s="120" t="s">
        <v>122</v>
      </c>
      <c r="S148" s="117"/>
      <c r="T148" s="117"/>
      <c r="U148" s="117"/>
      <c r="V148" s="117">
        <v>7.89</v>
      </c>
      <c r="W148" s="117"/>
      <c r="X148" s="117"/>
      <c r="Y148" s="117"/>
      <c r="Z148" s="117"/>
      <c r="AA148" s="118"/>
      <c r="AB148" s="95"/>
    </row>
    <row r="149" spans="1:28" s="107" customFormat="1">
      <c r="A149" s="105">
        <v>2013</v>
      </c>
      <c r="B149" s="101"/>
      <c r="C149" s="111" t="s">
        <v>22</v>
      </c>
      <c r="D149" s="108"/>
      <c r="E149" s="108"/>
      <c r="F149" s="108">
        <v>277.73</v>
      </c>
      <c r="G149" s="109">
        <v>295</v>
      </c>
      <c r="H149" s="108">
        <v>295</v>
      </c>
      <c r="I149" s="103"/>
      <c r="J149" s="103"/>
      <c r="K149" s="103"/>
      <c r="L149" s="108"/>
      <c r="M149" s="108"/>
      <c r="N149" s="108"/>
      <c r="O149" s="109"/>
      <c r="P149" s="109"/>
      <c r="Q149" s="109"/>
      <c r="R149" s="120" t="s">
        <v>121</v>
      </c>
      <c r="S149" s="117"/>
      <c r="T149" s="117"/>
      <c r="U149" s="117"/>
      <c r="V149" s="117">
        <v>17.170000000000002</v>
      </c>
      <c r="W149" s="117"/>
      <c r="X149" s="117"/>
      <c r="Y149" s="117"/>
      <c r="Z149" s="117"/>
      <c r="AA149" s="118"/>
      <c r="AB149" s="95"/>
    </row>
    <row r="150" spans="1:28" s="134" customFormat="1">
      <c r="A150" s="105">
        <v>11075</v>
      </c>
      <c r="B150" s="9">
        <v>41372</v>
      </c>
      <c r="C150" s="102" t="s">
        <v>3</v>
      </c>
      <c r="D150" s="138">
        <v>42035.040000000001</v>
      </c>
      <c r="E150" s="137">
        <f>20+D150*1%</f>
        <v>440.35040000000004</v>
      </c>
      <c r="F150" s="137">
        <f>E150*9%</f>
        <v>39.631536000000004</v>
      </c>
      <c r="G150" s="138">
        <v>66.05</v>
      </c>
      <c r="H150" s="138">
        <v>66.05</v>
      </c>
      <c r="I150" s="138"/>
      <c r="J150" s="138"/>
      <c r="K150" s="138"/>
      <c r="L150" s="138"/>
      <c r="M150" s="138"/>
      <c r="N150" s="138"/>
      <c r="O150" s="138"/>
      <c r="P150" s="138"/>
      <c r="Q150" s="138"/>
      <c r="R150" s="104" t="s">
        <v>113</v>
      </c>
      <c r="S150" s="117"/>
      <c r="T150" s="117"/>
      <c r="U150" s="117"/>
      <c r="V150" s="118">
        <v>26.42</v>
      </c>
      <c r="W150" s="117"/>
      <c r="X150" s="117"/>
      <c r="Y150" s="117"/>
      <c r="Z150" s="117"/>
      <c r="AA150" s="118"/>
      <c r="AB150" s="95"/>
    </row>
    <row r="151" spans="1:28" s="16" customFormat="1">
      <c r="A151" s="105">
        <v>11136</v>
      </c>
      <c r="B151" s="9">
        <v>41407</v>
      </c>
      <c r="C151" s="102" t="s">
        <v>3</v>
      </c>
      <c r="D151" s="109">
        <v>6201.35</v>
      </c>
      <c r="E151" s="108"/>
      <c r="F151" s="108"/>
      <c r="G151" s="109"/>
      <c r="H151" s="109"/>
      <c r="I151" s="109">
        <v>40.31</v>
      </c>
      <c r="J151" s="109">
        <v>40.31</v>
      </c>
      <c r="K151" s="109">
        <v>40.31</v>
      </c>
      <c r="L151" s="109"/>
      <c r="M151" s="109"/>
      <c r="N151" s="109"/>
      <c r="O151" s="109">
        <v>7.75</v>
      </c>
      <c r="P151" s="109">
        <v>7.75</v>
      </c>
      <c r="Q151" s="109">
        <v>7.75</v>
      </c>
      <c r="R151" s="104" t="s">
        <v>109</v>
      </c>
      <c r="S151" s="117"/>
      <c r="T151" s="117">
        <v>48.06</v>
      </c>
      <c r="U151" s="117"/>
      <c r="V151" s="118">
        <v>26.42</v>
      </c>
      <c r="W151" s="118"/>
      <c r="X151" s="118"/>
      <c r="Y151" s="118"/>
      <c r="Z151" s="118"/>
      <c r="AA151" s="118"/>
      <c r="AB151" s="95"/>
    </row>
    <row r="152" spans="1:28">
      <c r="A152" s="169" t="s">
        <v>13</v>
      </c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1"/>
      <c r="S152" s="119">
        <f t="shared" ref="S152:AA152" si="37">SUM(S2:S151)</f>
        <v>12123.69</v>
      </c>
      <c r="T152" s="124">
        <f t="shared" si="37"/>
        <v>6880.6341155000018</v>
      </c>
      <c r="U152" s="119">
        <f t="shared" si="37"/>
        <v>168.4</v>
      </c>
      <c r="V152" s="119">
        <f t="shared" si="37"/>
        <v>959.37999999999977</v>
      </c>
      <c r="W152" s="124">
        <f t="shared" si="37"/>
        <v>978.72</v>
      </c>
      <c r="X152" s="119">
        <f t="shared" si="37"/>
        <v>0</v>
      </c>
      <c r="Y152" s="124">
        <f t="shared" si="37"/>
        <v>120.13</v>
      </c>
      <c r="Z152" s="158">
        <f t="shared" si="37"/>
        <v>1947.4900000000002</v>
      </c>
      <c r="AA152" s="124">
        <f t="shared" si="37"/>
        <v>7674.14</v>
      </c>
    </row>
    <row r="155" spans="1:28" s="107" customFormat="1">
      <c r="A155" s="4"/>
      <c r="Y155" s="134"/>
      <c r="Z155" s="134"/>
      <c r="AB155" s="95"/>
    </row>
    <row r="156" spans="1:28" s="107" customFormat="1">
      <c r="A156" s="4"/>
      <c r="Y156" s="134"/>
      <c r="Z156" s="134"/>
      <c r="AB156" s="95"/>
    </row>
    <row r="157" spans="1:28" s="107" customFormat="1">
      <c r="A157" s="4"/>
      <c r="M157" s="136"/>
      <c r="R157" s="56"/>
      <c r="Y157" s="134"/>
      <c r="Z157" s="134"/>
      <c r="AB157" s="95"/>
    </row>
    <row r="158" spans="1:28" s="107" customFormat="1">
      <c r="A158" s="182" t="s">
        <v>163</v>
      </c>
      <c r="B158" s="182"/>
      <c r="C158" s="182"/>
      <c r="D158" s="182"/>
      <c r="E158" s="182"/>
      <c r="F158" s="182"/>
      <c r="Y158" s="134"/>
      <c r="Z158" s="134"/>
      <c r="AB158" s="95"/>
    </row>
    <row r="159" spans="1:28" s="107" customFormat="1">
      <c r="A159" s="181" t="s">
        <v>176</v>
      </c>
      <c r="B159" s="181"/>
      <c r="C159" s="181"/>
      <c r="D159" s="181"/>
      <c r="Y159" s="134"/>
      <c r="Z159" s="134"/>
      <c r="AB159" s="95"/>
    </row>
    <row r="160" spans="1:28" s="107" customFormat="1">
      <c r="A160" s="4"/>
      <c r="Y160" s="134"/>
      <c r="Z160" s="134"/>
      <c r="AB160" s="95"/>
    </row>
    <row r="161" spans="1:28" s="107" customFormat="1">
      <c r="A161" s="4"/>
      <c r="Y161" s="134"/>
      <c r="Z161" s="134"/>
      <c r="AB161" s="95"/>
    </row>
    <row r="162" spans="1:28" s="107" customFormat="1">
      <c r="A162" s="4"/>
      <c r="Y162" s="134"/>
      <c r="Z162" s="134"/>
      <c r="AB162" s="95"/>
    </row>
    <row r="163" spans="1:28" s="107" customFormat="1">
      <c r="A163" s="4"/>
      <c r="Y163" s="134"/>
      <c r="Z163" s="134"/>
      <c r="AB163" s="95"/>
    </row>
    <row r="164" spans="1:28" s="107" customFormat="1">
      <c r="A164" s="4"/>
      <c r="Y164" s="134"/>
      <c r="Z164" s="134"/>
      <c r="AB164" s="95"/>
    </row>
    <row r="165" spans="1:28" s="107" customFormat="1">
      <c r="A165" s="3">
        <v>8514</v>
      </c>
      <c r="B165" s="9">
        <v>39549</v>
      </c>
      <c r="C165" s="139" t="s">
        <v>231</v>
      </c>
      <c r="D165" s="90">
        <v>110000</v>
      </c>
      <c r="E165" s="138"/>
      <c r="F165" s="138"/>
      <c r="G165" s="138"/>
      <c r="H165" s="138"/>
      <c r="I165" s="138">
        <v>11</v>
      </c>
      <c r="J165" s="138">
        <v>119.88</v>
      </c>
      <c r="K165" s="138"/>
      <c r="L165" s="138"/>
      <c r="M165" s="138"/>
      <c r="N165" s="138"/>
      <c r="O165" s="138"/>
      <c r="P165" s="138"/>
      <c r="Q165" s="138"/>
      <c r="R165" s="114" t="s">
        <v>112</v>
      </c>
      <c r="S165" s="117"/>
      <c r="T165" s="117"/>
      <c r="U165" s="117"/>
      <c r="V165" s="117">
        <v>108.88</v>
      </c>
      <c r="W165" s="117"/>
      <c r="X165" s="117"/>
      <c r="Y165" s="117"/>
      <c r="Z165" s="157"/>
      <c r="AB165" s="95"/>
    </row>
    <row r="166" spans="1:28" s="107" customFormat="1">
      <c r="A166" s="4"/>
      <c r="C166" s="180" t="s">
        <v>232</v>
      </c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Y166" s="134"/>
      <c r="Z166" s="134"/>
      <c r="AB166" s="95"/>
    </row>
    <row r="167" spans="1:28" s="107" customFormat="1">
      <c r="A167" s="4"/>
      <c r="Y167" s="134"/>
      <c r="Z167" s="134"/>
      <c r="AB167" s="95"/>
    </row>
    <row r="168" spans="1:28" s="107" customFormat="1">
      <c r="A168" s="4"/>
      <c r="Y168" s="134"/>
      <c r="Z168" s="134"/>
      <c r="AB168" s="95"/>
    </row>
    <row r="169" spans="1:28" s="107" customFormat="1">
      <c r="A169" s="4"/>
      <c r="Y169" s="134"/>
      <c r="Z169" s="134"/>
      <c r="AB169" s="95"/>
    </row>
    <row r="170" spans="1:28" s="107" customFormat="1">
      <c r="A170" s="4"/>
      <c r="Y170" s="134"/>
      <c r="Z170" s="134"/>
      <c r="AB170" s="95"/>
    </row>
    <row r="171" spans="1:28" s="107" customFormat="1">
      <c r="A171" s="4"/>
      <c r="Y171" s="134"/>
      <c r="Z171" s="134"/>
      <c r="AB171" s="95"/>
    </row>
    <row r="172" spans="1:28" s="107" customFormat="1">
      <c r="A172" s="4"/>
      <c r="Y172" s="134"/>
      <c r="Z172" s="134"/>
      <c r="AB172" s="95"/>
    </row>
    <row r="173" spans="1:28" s="107" customFormat="1">
      <c r="A173" s="4"/>
      <c r="Y173" s="134"/>
      <c r="Z173" s="134"/>
      <c r="AB173" s="95"/>
    </row>
    <row r="174" spans="1:28" s="107" customFormat="1">
      <c r="A174" s="4"/>
      <c r="Y174" s="134"/>
      <c r="Z174" s="134"/>
      <c r="AB174" s="95"/>
    </row>
    <row r="175" spans="1:28" s="107" customFormat="1">
      <c r="A175" s="4"/>
      <c r="Y175" s="134"/>
      <c r="Z175" s="134"/>
      <c r="AB175" s="95"/>
    </row>
    <row r="176" spans="1:28" s="107" customFormat="1">
      <c r="A176" s="4"/>
      <c r="Y176" s="134"/>
      <c r="Z176" s="134"/>
      <c r="AB176" s="95"/>
    </row>
    <row r="177" spans="1:28" s="107" customFormat="1">
      <c r="A177" s="4"/>
      <c r="Y177" s="134"/>
      <c r="Z177" s="134"/>
      <c r="AB177" s="95"/>
    </row>
    <row r="178" spans="1:28" s="107" customFormat="1">
      <c r="A178" s="4"/>
      <c r="Y178" s="134"/>
      <c r="Z178" s="134"/>
      <c r="AB178" s="95"/>
    </row>
    <row r="179" spans="1:28" s="107" customFormat="1">
      <c r="A179" s="4"/>
      <c r="Y179" s="134"/>
      <c r="Z179" s="134"/>
      <c r="AB179" s="95"/>
    </row>
    <row r="180" spans="1:28" s="107" customFormat="1">
      <c r="A180" s="4"/>
      <c r="Y180" s="134"/>
      <c r="Z180" s="134"/>
      <c r="AB180" s="95"/>
    </row>
    <row r="181" spans="1:28" s="107" customFormat="1">
      <c r="A181" s="4"/>
      <c r="Y181" s="134"/>
      <c r="Z181" s="134"/>
      <c r="AB181" s="95"/>
    </row>
    <row r="182" spans="1:28" s="107" customFormat="1">
      <c r="A182" s="4"/>
      <c r="Y182" s="134"/>
      <c r="Z182" s="134"/>
      <c r="AB182" s="95"/>
    </row>
    <row r="183" spans="1:28" s="107" customFormat="1">
      <c r="A183" s="4"/>
      <c r="Y183" s="134"/>
      <c r="Z183" s="134"/>
      <c r="AB183" s="95"/>
    </row>
    <row r="184" spans="1:28" s="107" customFormat="1">
      <c r="A184" s="4"/>
      <c r="Y184" s="134"/>
      <c r="Z184" s="134"/>
      <c r="AB184" s="95"/>
    </row>
    <row r="185" spans="1:28" s="107" customFormat="1">
      <c r="A185" s="4"/>
      <c r="Y185" s="134"/>
      <c r="Z185" s="134"/>
      <c r="AB185" s="95"/>
    </row>
    <row r="186" spans="1:28" s="107" customFormat="1">
      <c r="A186" s="4"/>
      <c r="Y186" s="134"/>
      <c r="Z186" s="134"/>
      <c r="AB186" s="95"/>
    </row>
    <row r="187" spans="1:28" s="107" customFormat="1">
      <c r="A187" s="4"/>
      <c r="Y187" s="134"/>
      <c r="Z187" s="134"/>
      <c r="AB187" s="95"/>
    </row>
    <row r="188" spans="1:28" s="107" customFormat="1">
      <c r="A188" s="4"/>
      <c r="Y188" s="134"/>
      <c r="Z188" s="134"/>
      <c r="AB188" s="95"/>
    </row>
    <row r="189" spans="1:28" s="107" customFormat="1">
      <c r="A189" s="4"/>
      <c r="Y189" s="134"/>
      <c r="Z189" s="134"/>
      <c r="AB189" s="95"/>
    </row>
    <row r="190" spans="1:28" s="107" customFormat="1">
      <c r="A190" s="4"/>
      <c r="Y190" s="134"/>
      <c r="Z190" s="134"/>
      <c r="AB190" s="95"/>
    </row>
    <row r="191" spans="1:28" s="107" customFormat="1">
      <c r="A191" s="4"/>
      <c r="Y191" s="134"/>
      <c r="Z191" s="134"/>
      <c r="AB191" s="95"/>
    </row>
    <row r="192" spans="1:28" s="107" customFormat="1">
      <c r="A192" s="4"/>
      <c r="Y192" s="134"/>
      <c r="Z192" s="134"/>
      <c r="AB192" s="95"/>
    </row>
    <row r="193" spans="1:28" s="107" customFormat="1">
      <c r="A193" s="4"/>
      <c r="Y193" s="134"/>
      <c r="Z193" s="134"/>
      <c r="AB193" s="95"/>
    </row>
    <row r="194" spans="1:28" s="107" customFormat="1">
      <c r="A194" s="4"/>
      <c r="Y194" s="134"/>
      <c r="Z194" s="134"/>
      <c r="AB194" s="95"/>
    </row>
    <row r="195" spans="1:28" s="107" customFormat="1">
      <c r="A195" s="4"/>
      <c r="Y195" s="134"/>
      <c r="Z195" s="134"/>
      <c r="AB195" s="95"/>
    </row>
    <row r="196" spans="1:28" s="107" customFormat="1">
      <c r="A196" s="4"/>
      <c r="Y196" s="134"/>
      <c r="Z196" s="134"/>
      <c r="AB196" s="95"/>
    </row>
    <row r="197" spans="1:28" s="107" customFormat="1">
      <c r="A197" s="4"/>
      <c r="Y197" s="134"/>
      <c r="Z197" s="134"/>
      <c r="AB197" s="95"/>
    </row>
    <row r="198" spans="1:28" s="107" customFormat="1">
      <c r="A198" s="4"/>
      <c r="Y198" s="134"/>
      <c r="Z198" s="134"/>
      <c r="AB198" s="95"/>
    </row>
    <row r="199" spans="1:28" s="107" customFormat="1">
      <c r="A199" s="4"/>
      <c r="Y199" s="134"/>
      <c r="Z199" s="134"/>
      <c r="AB199" s="95"/>
    </row>
    <row r="200" spans="1:28" s="107" customFormat="1">
      <c r="A200" s="4"/>
      <c r="Y200" s="134"/>
      <c r="Z200" s="134"/>
      <c r="AB200" s="95"/>
    </row>
    <row r="201" spans="1:28" s="107" customFormat="1">
      <c r="A201" s="4"/>
      <c r="Y201" s="134"/>
      <c r="Z201" s="134"/>
      <c r="AB201" s="95"/>
    </row>
    <row r="202" spans="1:28" s="107" customFormat="1">
      <c r="A202" s="4"/>
      <c r="Y202" s="134"/>
      <c r="Z202" s="134"/>
      <c r="AB202" s="95"/>
    </row>
    <row r="203" spans="1:28" s="107" customFormat="1">
      <c r="A203" s="4"/>
      <c r="Y203" s="134"/>
      <c r="Z203" s="134"/>
      <c r="AB203" s="95"/>
    </row>
    <row r="204" spans="1:28" s="107" customFormat="1">
      <c r="A204" s="4"/>
      <c r="Y204" s="134"/>
      <c r="Z204" s="134"/>
      <c r="AB204" s="95"/>
    </row>
    <row r="205" spans="1:28" s="107" customFormat="1">
      <c r="A205" s="4"/>
      <c r="Y205" s="134"/>
      <c r="Z205" s="134"/>
      <c r="AB205" s="95"/>
    </row>
    <row r="206" spans="1:28" s="107" customFormat="1">
      <c r="A206" s="4"/>
      <c r="Y206" s="134"/>
      <c r="Z206" s="134"/>
      <c r="AB206" s="95"/>
    </row>
    <row r="207" spans="1:28" s="107" customFormat="1">
      <c r="A207" s="4"/>
      <c r="Y207" s="134"/>
      <c r="Z207" s="134"/>
      <c r="AB207" s="95"/>
    </row>
    <row r="208" spans="1:28" s="107" customFormat="1">
      <c r="A208" s="4"/>
      <c r="Y208" s="134"/>
      <c r="Z208" s="134"/>
      <c r="AB208" s="95"/>
    </row>
    <row r="209" spans="1:28" s="107" customFormat="1">
      <c r="A209" s="4"/>
      <c r="Y209" s="134"/>
      <c r="Z209" s="134"/>
      <c r="AB209" s="95"/>
    </row>
    <row r="210" spans="1:28" s="107" customFormat="1">
      <c r="A210" s="4"/>
      <c r="Y210" s="134"/>
      <c r="Z210" s="134"/>
      <c r="AB210" s="95"/>
    </row>
    <row r="211" spans="1:28" s="107" customFormat="1">
      <c r="A211" s="4"/>
      <c r="Y211" s="134"/>
      <c r="Z211" s="134"/>
      <c r="AB211" s="95"/>
    </row>
    <row r="212" spans="1:28" s="107" customFormat="1">
      <c r="A212" s="4"/>
      <c r="Y212" s="134"/>
      <c r="Z212" s="134"/>
      <c r="AB212" s="95"/>
    </row>
    <row r="213" spans="1:28" s="107" customFormat="1">
      <c r="A213" s="4"/>
      <c r="Y213" s="134"/>
      <c r="Z213" s="134"/>
      <c r="AB213" s="95"/>
    </row>
    <row r="214" spans="1:28" s="107" customFormat="1">
      <c r="A214" s="4"/>
      <c r="Y214" s="134"/>
      <c r="Z214" s="134"/>
      <c r="AB214" s="95"/>
    </row>
    <row r="215" spans="1:28" s="107" customFormat="1">
      <c r="A215" s="4"/>
      <c r="Y215" s="134"/>
      <c r="Z215" s="134"/>
      <c r="AB215" s="95"/>
    </row>
    <row r="216" spans="1:28" s="107" customFormat="1">
      <c r="A216" s="4"/>
      <c r="Y216" s="134"/>
      <c r="Z216" s="134"/>
      <c r="AB216" s="95"/>
    </row>
    <row r="217" spans="1:28" s="107" customFormat="1">
      <c r="A217" s="4"/>
      <c r="Y217" s="134"/>
      <c r="Z217" s="134"/>
      <c r="AB217" s="95"/>
    </row>
    <row r="218" spans="1:28" s="107" customFormat="1">
      <c r="A218" s="4"/>
      <c r="Y218" s="134"/>
      <c r="Z218" s="134"/>
      <c r="AB218" s="95"/>
    </row>
    <row r="219" spans="1:28" s="107" customFormat="1">
      <c r="A219" s="4"/>
      <c r="Y219" s="134"/>
      <c r="Z219" s="134"/>
      <c r="AB219" s="95"/>
    </row>
    <row r="220" spans="1:28" s="107" customFormat="1">
      <c r="A220" s="4"/>
      <c r="Y220" s="134"/>
      <c r="Z220" s="134"/>
      <c r="AB220" s="95"/>
    </row>
    <row r="221" spans="1:28" s="107" customFormat="1">
      <c r="A221" s="4"/>
      <c r="Y221" s="134"/>
      <c r="Z221" s="134"/>
      <c r="AB221" s="95"/>
    </row>
    <row r="222" spans="1:28" s="107" customFormat="1">
      <c r="A222" s="4"/>
      <c r="Y222" s="134"/>
      <c r="Z222" s="134"/>
      <c r="AB222" s="95"/>
    </row>
    <row r="223" spans="1:28" s="107" customFormat="1">
      <c r="A223" s="4"/>
      <c r="Y223" s="134"/>
      <c r="Z223" s="134"/>
      <c r="AB223" s="95"/>
    </row>
    <row r="224" spans="1:28" s="107" customFormat="1">
      <c r="A224" s="4"/>
      <c r="Y224" s="134"/>
      <c r="Z224" s="134"/>
      <c r="AB224" s="95"/>
    </row>
    <row r="225" spans="1:28" s="107" customFormat="1">
      <c r="A225" s="4"/>
      <c r="Y225" s="134"/>
      <c r="Z225" s="134"/>
      <c r="AB225" s="95"/>
    </row>
    <row r="226" spans="1:28" s="107" customFormat="1">
      <c r="A226" s="4"/>
      <c r="Y226" s="134"/>
      <c r="Z226" s="134"/>
      <c r="AB226" s="95"/>
    </row>
    <row r="227" spans="1:28" s="107" customFormat="1">
      <c r="A227" s="4"/>
      <c r="Y227" s="134"/>
      <c r="Z227" s="134"/>
      <c r="AB227" s="95"/>
    </row>
    <row r="228" spans="1:28" s="107" customFormat="1">
      <c r="A228" s="4"/>
      <c r="Y228" s="134"/>
      <c r="Z228" s="134"/>
      <c r="AB228" s="95"/>
    </row>
    <row r="229" spans="1:28" s="107" customFormat="1">
      <c r="A229" s="4"/>
      <c r="Y229" s="134"/>
      <c r="Z229" s="134"/>
      <c r="AB229" s="95"/>
    </row>
    <row r="230" spans="1:28" s="107" customFormat="1">
      <c r="A230" s="4"/>
      <c r="Y230" s="134"/>
      <c r="Z230" s="134"/>
      <c r="AB230" s="95"/>
    </row>
    <row r="231" spans="1:28" s="107" customFormat="1">
      <c r="A231" s="4"/>
      <c r="Y231" s="134"/>
      <c r="Z231" s="134"/>
      <c r="AB231" s="95"/>
    </row>
    <row r="232" spans="1:28" s="107" customFormat="1">
      <c r="A232" s="4"/>
      <c r="Y232" s="134"/>
      <c r="Z232" s="134"/>
      <c r="AB232" s="95"/>
    </row>
    <row r="233" spans="1:28" s="107" customFormat="1">
      <c r="A233" s="4"/>
      <c r="Y233" s="134"/>
      <c r="Z233" s="134"/>
      <c r="AB233" s="95"/>
    </row>
    <row r="234" spans="1:28" s="107" customFormat="1">
      <c r="A234" s="4"/>
      <c r="Y234" s="134"/>
      <c r="Z234" s="134"/>
      <c r="AB234" s="95"/>
    </row>
    <row r="235" spans="1:28" s="107" customFormat="1">
      <c r="A235" s="4"/>
      <c r="Y235" s="134"/>
      <c r="Z235" s="134"/>
      <c r="AB235" s="95"/>
    </row>
    <row r="236" spans="1:28" s="107" customFormat="1">
      <c r="A236" s="4"/>
      <c r="Y236" s="134"/>
      <c r="Z236" s="134"/>
      <c r="AB236" s="95"/>
    </row>
    <row r="237" spans="1:28" s="107" customFormat="1">
      <c r="A237" s="4"/>
      <c r="Y237" s="134"/>
      <c r="Z237" s="134"/>
      <c r="AB237" s="95"/>
    </row>
    <row r="238" spans="1:28" s="107" customFormat="1">
      <c r="A238" s="4"/>
      <c r="Y238" s="134"/>
      <c r="Z238" s="134"/>
      <c r="AB238" s="95"/>
    </row>
    <row r="239" spans="1:28" s="107" customFormat="1">
      <c r="A239" s="4"/>
      <c r="Y239" s="134"/>
      <c r="Z239" s="134"/>
      <c r="AB239" s="95"/>
    </row>
    <row r="240" spans="1:28" s="107" customFormat="1">
      <c r="A240" s="4"/>
      <c r="Y240" s="134"/>
      <c r="Z240" s="134"/>
      <c r="AB240" s="95"/>
    </row>
    <row r="241" spans="1:28" s="107" customFormat="1">
      <c r="A241" s="4"/>
      <c r="Y241" s="134"/>
      <c r="Z241" s="134"/>
      <c r="AB241" s="95"/>
    </row>
    <row r="242" spans="1:28" s="107" customFormat="1">
      <c r="A242" s="4"/>
      <c r="Y242" s="134"/>
      <c r="Z242" s="134"/>
      <c r="AB242" s="95"/>
    </row>
    <row r="243" spans="1:28" s="107" customFormat="1">
      <c r="A243" s="4"/>
      <c r="Y243" s="134"/>
      <c r="Z243" s="134"/>
      <c r="AB243" s="95"/>
    </row>
    <row r="244" spans="1:28" s="107" customFormat="1">
      <c r="A244" s="4"/>
      <c r="Y244" s="134"/>
      <c r="Z244" s="134"/>
      <c r="AB244" s="95"/>
    </row>
    <row r="245" spans="1:28" s="107" customFormat="1">
      <c r="A245" s="4"/>
      <c r="Y245" s="134"/>
      <c r="Z245" s="134"/>
      <c r="AB245" s="95"/>
    </row>
    <row r="246" spans="1:28" s="107" customFormat="1">
      <c r="A246" s="4"/>
      <c r="Y246" s="134"/>
      <c r="Z246" s="134"/>
      <c r="AB246" s="95"/>
    </row>
    <row r="247" spans="1:28" s="107" customFormat="1">
      <c r="A247" s="4"/>
      <c r="Y247" s="134"/>
      <c r="Z247" s="134"/>
      <c r="AB247" s="95"/>
    </row>
    <row r="248" spans="1:28" s="107" customFormat="1">
      <c r="A248" s="4"/>
      <c r="Y248" s="134"/>
      <c r="Z248" s="134"/>
      <c r="AB248" s="95"/>
    </row>
    <row r="249" spans="1:28" s="107" customFormat="1">
      <c r="A249" s="4"/>
      <c r="Y249" s="134"/>
      <c r="Z249" s="134"/>
      <c r="AB249" s="95"/>
    </row>
    <row r="250" spans="1:28" s="107" customFormat="1">
      <c r="A250" s="4"/>
      <c r="Y250" s="134"/>
      <c r="Z250" s="134"/>
      <c r="AB250" s="95"/>
    </row>
    <row r="251" spans="1:28" s="107" customFormat="1">
      <c r="A251" s="4"/>
      <c r="Y251" s="134"/>
      <c r="Z251" s="134"/>
      <c r="AB251" s="95"/>
    </row>
    <row r="252" spans="1:28" s="107" customFormat="1">
      <c r="A252" s="4"/>
      <c r="Y252" s="134"/>
      <c r="Z252" s="134"/>
      <c r="AB252" s="95"/>
    </row>
    <row r="253" spans="1:28" s="107" customFormat="1">
      <c r="A253" s="4"/>
      <c r="Y253" s="134"/>
      <c r="Z253" s="134"/>
      <c r="AB253" s="95"/>
    </row>
    <row r="254" spans="1:28" s="107" customFormat="1">
      <c r="A254" s="4"/>
      <c r="Y254" s="134"/>
      <c r="Z254" s="134"/>
      <c r="AB254" s="95"/>
    </row>
    <row r="255" spans="1:28" s="107" customFormat="1">
      <c r="A255" s="4"/>
      <c r="Y255" s="134"/>
      <c r="Z255" s="134"/>
      <c r="AB255" s="95"/>
    </row>
    <row r="256" spans="1:28" s="107" customFormat="1">
      <c r="A256" s="4"/>
      <c r="Y256" s="134"/>
      <c r="Z256" s="134"/>
      <c r="AB256" s="95"/>
    </row>
    <row r="257" spans="1:28" s="107" customFormat="1">
      <c r="A257" s="4"/>
      <c r="Y257" s="134"/>
      <c r="Z257" s="134"/>
      <c r="AB257" s="95"/>
    </row>
    <row r="258" spans="1:28" s="107" customFormat="1">
      <c r="A258" s="4"/>
      <c r="Y258" s="134"/>
      <c r="Z258" s="134"/>
      <c r="AB258" s="95"/>
    </row>
    <row r="259" spans="1:28" s="107" customFormat="1">
      <c r="A259" s="4"/>
      <c r="Y259" s="134"/>
      <c r="Z259" s="134"/>
      <c r="AB259" s="95"/>
    </row>
    <row r="260" spans="1:28" s="107" customFormat="1">
      <c r="A260" s="4"/>
      <c r="Y260" s="134"/>
      <c r="Z260" s="134"/>
      <c r="AB260" s="95"/>
    </row>
    <row r="261" spans="1:28" s="107" customFormat="1">
      <c r="A261" s="4"/>
      <c r="Y261" s="134"/>
      <c r="Z261" s="134"/>
      <c r="AB261" s="95"/>
    </row>
    <row r="262" spans="1:28" s="107" customFormat="1">
      <c r="A262" s="4"/>
      <c r="Y262" s="134"/>
      <c r="Z262" s="134"/>
      <c r="AB262" s="95"/>
    </row>
    <row r="263" spans="1:28" s="107" customFormat="1">
      <c r="A263" s="4"/>
      <c r="Y263" s="134"/>
      <c r="Z263" s="134"/>
      <c r="AB263" s="95"/>
    </row>
    <row r="264" spans="1:28" s="107" customFormat="1">
      <c r="A264" s="4"/>
      <c r="Y264" s="134"/>
      <c r="Z264" s="134"/>
      <c r="AB264" s="95"/>
    </row>
    <row r="265" spans="1:28" s="107" customFormat="1">
      <c r="A265" s="4"/>
      <c r="Y265" s="134"/>
      <c r="Z265" s="134"/>
      <c r="AB265" s="95"/>
    </row>
    <row r="266" spans="1:28" s="107" customFormat="1">
      <c r="A266" s="4"/>
      <c r="Y266" s="134"/>
      <c r="Z266" s="134"/>
      <c r="AB266" s="95"/>
    </row>
    <row r="267" spans="1:28" s="107" customFormat="1">
      <c r="A267" s="4"/>
      <c r="Y267" s="134"/>
      <c r="Z267" s="134"/>
      <c r="AB267" s="95"/>
    </row>
    <row r="268" spans="1:28" s="107" customFormat="1">
      <c r="A268" s="4"/>
      <c r="Y268" s="134"/>
      <c r="Z268" s="134"/>
      <c r="AB268" s="95"/>
    </row>
    <row r="269" spans="1:28" s="107" customFormat="1">
      <c r="A269" s="4"/>
      <c r="Y269" s="134"/>
      <c r="Z269" s="134"/>
      <c r="AB269" s="95"/>
    </row>
    <row r="270" spans="1:28" s="107" customFormat="1">
      <c r="A270" s="4"/>
      <c r="Y270" s="134"/>
      <c r="Z270" s="134"/>
      <c r="AB270" s="95"/>
    </row>
    <row r="271" spans="1:28" s="107" customFormat="1">
      <c r="A271" s="4"/>
      <c r="Y271" s="134"/>
      <c r="Z271" s="134"/>
      <c r="AB271" s="95"/>
    </row>
    <row r="272" spans="1:28" s="107" customFormat="1">
      <c r="A272" s="4"/>
      <c r="Y272" s="134"/>
      <c r="Z272" s="134"/>
      <c r="AB272" s="95"/>
    </row>
    <row r="273" spans="1:28" s="107" customFormat="1">
      <c r="A273" s="4"/>
      <c r="Y273" s="134"/>
      <c r="Z273" s="134"/>
      <c r="AB273" s="95"/>
    </row>
    <row r="274" spans="1:28" s="107" customFormat="1">
      <c r="A274" s="4"/>
      <c r="Y274" s="134"/>
      <c r="Z274" s="134"/>
      <c r="AB274" s="95"/>
    </row>
    <row r="275" spans="1:28" s="107" customFormat="1">
      <c r="A275" s="4"/>
      <c r="Y275" s="134"/>
      <c r="Z275" s="134"/>
      <c r="AB275" s="95"/>
    </row>
    <row r="276" spans="1:28" s="107" customFormat="1">
      <c r="A276" s="4"/>
      <c r="Y276" s="134"/>
      <c r="Z276" s="134"/>
      <c r="AB276" s="95"/>
    </row>
    <row r="277" spans="1:28" s="107" customFormat="1">
      <c r="A277" s="4"/>
      <c r="Y277" s="134"/>
      <c r="Z277" s="134"/>
      <c r="AB277" s="95"/>
    </row>
    <row r="278" spans="1:28" s="107" customFormat="1">
      <c r="A278" s="4"/>
      <c r="Y278" s="134"/>
      <c r="Z278" s="134"/>
      <c r="AB278" s="95"/>
    </row>
    <row r="279" spans="1:28" s="107" customFormat="1">
      <c r="A279" s="4"/>
      <c r="Y279" s="134"/>
      <c r="Z279" s="134"/>
      <c r="AB279" s="95"/>
    </row>
    <row r="280" spans="1:28" s="107" customFormat="1">
      <c r="A280" s="4"/>
      <c r="Y280" s="134"/>
      <c r="Z280" s="134"/>
      <c r="AB280" s="95"/>
    </row>
    <row r="281" spans="1:28" s="107" customFormat="1">
      <c r="A281" s="4"/>
      <c r="Y281" s="134"/>
      <c r="Z281" s="134"/>
      <c r="AB281" s="95"/>
    </row>
    <row r="282" spans="1:28" s="107" customFormat="1">
      <c r="A282" s="4"/>
      <c r="Y282" s="134"/>
      <c r="Z282" s="134"/>
      <c r="AB282" s="95"/>
    </row>
    <row r="283" spans="1:28" s="107" customFormat="1">
      <c r="A283" s="4"/>
      <c r="Y283" s="134"/>
      <c r="Z283" s="134"/>
      <c r="AB283" s="95"/>
    </row>
    <row r="284" spans="1:28" s="107" customFormat="1">
      <c r="A284" s="4"/>
      <c r="Y284" s="134"/>
      <c r="Z284" s="134"/>
      <c r="AB284" s="95"/>
    </row>
    <row r="285" spans="1:28" s="107" customFormat="1">
      <c r="A285" s="4"/>
      <c r="Y285" s="134"/>
      <c r="Z285" s="134"/>
      <c r="AB285" s="95"/>
    </row>
    <row r="286" spans="1:28" s="107" customFormat="1">
      <c r="A286" s="4"/>
      <c r="Y286" s="134"/>
      <c r="Z286" s="134"/>
      <c r="AB286" s="95"/>
    </row>
    <row r="287" spans="1:28" s="107" customFormat="1">
      <c r="A287" s="4"/>
      <c r="Y287" s="134"/>
      <c r="Z287" s="134"/>
      <c r="AB287" s="95"/>
    </row>
    <row r="288" spans="1:28" s="107" customFormat="1">
      <c r="A288" s="4"/>
      <c r="Y288" s="134"/>
      <c r="Z288" s="134"/>
      <c r="AB288" s="95"/>
    </row>
    <row r="289" spans="1:28" s="107" customFormat="1">
      <c r="A289" s="4"/>
      <c r="Y289" s="134"/>
      <c r="Z289" s="134"/>
      <c r="AB289" s="95"/>
    </row>
    <row r="290" spans="1:28" s="107" customFormat="1">
      <c r="A290" s="4"/>
      <c r="Y290" s="134"/>
      <c r="Z290" s="134"/>
      <c r="AB290" s="95"/>
    </row>
    <row r="291" spans="1:28" s="107" customFormat="1">
      <c r="A291" s="4"/>
      <c r="Y291" s="134"/>
      <c r="Z291" s="134"/>
      <c r="AB291" s="95"/>
    </row>
    <row r="292" spans="1:28" s="107" customFormat="1">
      <c r="A292" s="4"/>
      <c r="Y292" s="134"/>
      <c r="Z292" s="134"/>
      <c r="AB292" s="95"/>
    </row>
    <row r="293" spans="1:28" s="107" customFormat="1">
      <c r="A293" s="4"/>
      <c r="Y293" s="134"/>
      <c r="Z293" s="134"/>
      <c r="AB293" s="95"/>
    </row>
    <row r="294" spans="1:28" s="107" customFormat="1">
      <c r="A294" s="4"/>
      <c r="Y294" s="134"/>
      <c r="Z294" s="134"/>
      <c r="AB294" s="95"/>
    </row>
    <row r="295" spans="1:28" s="107" customFormat="1">
      <c r="A295" s="4"/>
      <c r="Y295" s="134"/>
      <c r="Z295" s="134"/>
      <c r="AB295" s="95"/>
    </row>
    <row r="296" spans="1:28" s="107" customFormat="1">
      <c r="A296" s="4"/>
      <c r="Y296" s="134"/>
      <c r="Z296" s="134"/>
      <c r="AB296" s="95"/>
    </row>
    <row r="297" spans="1:28" s="107" customFormat="1">
      <c r="A297" s="4"/>
      <c r="Y297" s="134"/>
      <c r="Z297" s="134"/>
      <c r="AB297" s="95"/>
    </row>
    <row r="298" spans="1:28" s="107" customFormat="1">
      <c r="A298" s="4"/>
      <c r="Y298" s="134"/>
      <c r="Z298" s="134"/>
      <c r="AB298" s="95"/>
    </row>
    <row r="299" spans="1:28" s="107" customFormat="1">
      <c r="A299" s="4"/>
      <c r="Y299" s="134"/>
      <c r="Z299" s="134"/>
      <c r="AB299" s="95"/>
    </row>
    <row r="300" spans="1:28" s="107" customFormat="1">
      <c r="A300" s="4"/>
      <c r="Y300" s="134"/>
      <c r="Z300" s="134"/>
      <c r="AB300" s="95"/>
    </row>
    <row r="301" spans="1:28" s="107" customFormat="1">
      <c r="A301" s="4"/>
      <c r="Y301" s="134"/>
      <c r="Z301" s="134"/>
      <c r="AB301" s="95"/>
    </row>
    <row r="302" spans="1:28" s="107" customFormat="1">
      <c r="A302" s="4"/>
      <c r="Y302" s="134"/>
      <c r="Z302" s="134"/>
      <c r="AB302" s="95"/>
    </row>
    <row r="303" spans="1:28" s="107" customFormat="1">
      <c r="A303" s="4"/>
      <c r="Y303" s="134"/>
      <c r="Z303" s="134"/>
      <c r="AB303" s="95"/>
    </row>
    <row r="304" spans="1:28" s="107" customFormat="1">
      <c r="A304" s="4"/>
      <c r="Y304" s="134"/>
      <c r="Z304" s="134"/>
      <c r="AB304" s="95"/>
    </row>
    <row r="305" spans="1:28" s="107" customFormat="1">
      <c r="A305" s="4"/>
      <c r="Y305" s="134"/>
      <c r="Z305" s="134"/>
      <c r="AB305" s="95"/>
    </row>
    <row r="306" spans="1:28" s="107" customFormat="1">
      <c r="A306" s="4"/>
      <c r="Y306" s="134"/>
      <c r="Z306" s="134"/>
      <c r="AB306" s="95"/>
    </row>
    <row r="307" spans="1:28" s="107" customFormat="1">
      <c r="A307" s="4"/>
      <c r="Y307" s="134"/>
      <c r="Z307" s="134"/>
      <c r="AB307" s="95"/>
    </row>
    <row r="308" spans="1:28" s="107" customFormat="1">
      <c r="A308" s="4"/>
      <c r="Y308" s="134"/>
      <c r="Z308" s="134"/>
      <c r="AB308" s="95"/>
    </row>
    <row r="309" spans="1:28" s="107" customFormat="1">
      <c r="A309" s="4"/>
      <c r="Y309" s="134"/>
      <c r="Z309" s="134"/>
      <c r="AB309" s="95"/>
    </row>
    <row r="310" spans="1:28" s="107" customFormat="1">
      <c r="A310" s="4"/>
      <c r="Y310" s="134"/>
      <c r="Z310" s="134"/>
      <c r="AB310" s="95"/>
    </row>
    <row r="311" spans="1:28" s="107" customFormat="1">
      <c r="A311" s="4"/>
      <c r="Y311" s="134"/>
      <c r="Z311" s="134"/>
      <c r="AB311" s="95"/>
    </row>
    <row r="312" spans="1:28" s="107" customFormat="1">
      <c r="A312" s="4"/>
      <c r="Y312" s="134"/>
      <c r="Z312" s="134"/>
      <c r="AB312" s="95"/>
    </row>
    <row r="313" spans="1:28" s="107" customFormat="1">
      <c r="A313" s="4"/>
      <c r="Y313" s="134"/>
      <c r="Z313" s="134"/>
      <c r="AB313" s="95"/>
    </row>
    <row r="314" spans="1:28" s="107" customFormat="1">
      <c r="A314" s="4"/>
      <c r="Y314" s="134"/>
      <c r="Z314" s="134"/>
      <c r="AB314" s="95"/>
    </row>
    <row r="315" spans="1:28" s="107" customFormat="1">
      <c r="A315" s="4"/>
      <c r="Y315" s="134"/>
      <c r="Z315" s="134"/>
      <c r="AB315" s="95"/>
    </row>
    <row r="316" spans="1:28" s="107" customFormat="1">
      <c r="A316" s="4"/>
      <c r="Y316" s="134"/>
      <c r="Z316" s="134"/>
      <c r="AB316" s="95"/>
    </row>
    <row r="317" spans="1:28" s="107" customFormat="1">
      <c r="A317" s="4"/>
      <c r="Y317" s="134"/>
      <c r="Z317" s="134"/>
      <c r="AB317" s="95"/>
    </row>
    <row r="318" spans="1:28" s="107" customFormat="1">
      <c r="A318" s="4"/>
      <c r="Y318" s="134"/>
      <c r="Z318" s="134"/>
      <c r="AB318" s="95"/>
    </row>
    <row r="319" spans="1:28" s="107" customFormat="1">
      <c r="A319" s="4"/>
      <c r="Y319" s="134"/>
      <c r="Z319" s="134"/>
      <c r="AB319" s="95"/>
    </row>
    <row r="320" spans="1:28" s="107" customFormat="1">
      <c r="A320" s="4"/>
      <c r="Y320" s="134"/>
      <c r="Z320" s="134"/>
      <c r="AB320" s="95"/>
    </row>
    <row r="321" spans="1:28" s="107" customFormat="1">
      <c r="A321" s="4"/>
      <c r="Y321" s="134"/>
      <c r="Z321" s="134"/>
      <c r="AB321" s="95"/>
    </row>
    <row r="322" spans="1:28" s="107" customFormat="1">
      <c r="A322" s="4"/>
      <c r="Y322" s="134"/>
      <c r="Z322" s="134"/>
      <c r="AB322" s="95"/>
    </row>
    <row r="323" spans="1:28" s="107" customFormat="1">
      <c r="A323" s="4"/>
      <c r="Y323" s="134"/>
      <c r="Z323" s="134"/>
      <c r="AB323" s="95"/>
    </row>
    <row r="324" spans="1:28" s="107" customFormat="1">
      <c r="A324" s="4"/>
      <c r="Y324" s="134"/>
      <c r="Z324" s="134"/>
      <c r="AB324" s="95"/>
    </row>
    <row r="325" spans="1:28" s="107" customFormat="1">
      <c r="A325" s="4"/>
      <c r="Y325" s="134"/>
      <c r="Z325" s="134"/>
      <c r="AB325" s="95"/>
    </row>
    <row r="326" spans="1:28" s="107" customFormat="1">
      <c r="A326" s="4"/>
      <c r="Y326" s="134"/>
      <c r="Z326" s="134"/>
      <c r="AB326" s="95"/>
    </row>
    <row r="327" spans="1:28" s="107" customFormat="1">
      <c r="A327" s="4"/>
      <c r="Y327" s="134"/>
      <c r="Z327" s="134"/>
      <c r="AB327" s="95"/>
    </row>
    <row r="328" spans="1:28" s="107" customFormat="1">
      <c r="A328" s="4"/>
      <c r="Y328" s="134"/>
      <c r="Z328" s="134"/>
      <c r="AB328" s="95"/>
    </row>
    <row r="329" spans="1:28" s="107" customFormat="1">
      <c r="A329" s="4"/>
      <c r="Y329" s="134"/>
      <c r="Z329" s="134"/>
      <c r="AB329" s="95"/>
    </row>
    <row r="330" spans="1:28" s="107" customFormat="1">
      <c r="A330" s="4"/>
      <c r="Y330" s="134"/>
      <c r="Z330" s="134"/>
      <c r="AB330" s="95"/>
    </row>
    <row r="331" spans="1:28" s="107" customFormat="1">
      <c r="A331" s="4"/>
      <c r="Y331" s="134"/>
      <c r="Z331" s="134"/>
      <c r="AB331" s="95"/>
    </row>
    <row r="332" spans="1:28" s="107" customFormat="1">
      <c r="A332" s="4"/>
      <c r="Y332" s="134"/>
      <c r="Z332" s="134"/>
      <c r="AB332" s="95"/>
    </row>
    <row r="333" spans="1:28" s="107" customFormat="1">
      <c r="A333" s="4"/>
      <c r="Y333" s="134"/>
      <c r="Z333" s="134"/>
      <c r="AB333" s="95"/>
    </row>
    <row r="334" spans="1:28" s="107" customFormat="1">
      <c r="A334" s="4"/>
      <c r="Y334" s="134"/>
      <c r="Z334" s="134"/>
      <c r="AB334" s="95"/>
    </row>
    <row r="335" spans="1:28" s="107" customFormat="1">
      <c r="A335" s="4"/>
      <c r="Y335" s="134"/>
      <c r="Z335" s="134"/>
      <c r="AB335" s="95"/>
    </row>
    <row r="336" spans="1:28" s="107" customFormat="1">
      <c r="A336" s="4"/>
      <c r="Y336" s="134"/>
      <c r="Z336" s="134"/>
      <c r="AB336" s="95"/>
    </row>
    <row r="337" spans="1:28" s="107" customFormat="1">
      <c r="A337" s="4"/>
      <c r="Y337" s="134"/>
      <c r="Z337" s="134"/>
      <c r="AB337" s="95"/>
    </row>
    <row r="338" spans="1:28" s="107" customFormat="1">
      <c r="A338" s="4"/>
      <c r="Y338" s="134"/>
      <c r="Z338" s="134"/>
      <c r="AB338" s="95"/>
    </row>
    <row r="339" spans="1:28" s="107" customFormat="1">
      <c r="A339" s="4"/>
      <c r="Y339" s="134"/>
      <c r="Z339" s="134"/>
      <c r="AB339" s="95"/>
    </row>
    <row r="340" spans="1:28" s="107" customFormat="1">
      <c r="A340" s="4"/>
      <c r="Y340" s="134"/>
      <c r="Z340" s="134"/>
      <c r="AB340" s="95"/>
    </row>
    <row r="341" spans="1:28" s="107" customFormat="1">
      <c r="A341" s="4"/>
      <c r="Y341" s="134"/>
      <c r="Z341" s="134"/>
      <c r="AB341" s="95"/>
    </row>
    <row r="342" spans="1:28" s="107" customFormat="1">
      <c r="A342" s="4"/>
      <c r="Y342" s="134"/>
      <c r="Z342" s="134"/>
      <c r="AB342" s="95"/>
    </row>
    <row r="343" spans="1:28" s="107" customFormat="1">
      <c r="A343" s="4"/>
      <c r="Y343" s="134"/>
      <c r="Z343" s="134"/>
      <c r="AB343" s="95"/>
    </row>
    <row r="344" spans="1:28" s="107" customFormat="1">
      <c r="A344" s="4"/>
      <c r="Y344" s="134"/>
      <c r="Z344" s="134"/>
      <c r="AB344" s="95"/>
    </row>
    <row r="345" spans="1:28" s="107" customFormat="1">
      <c r="A345" s="4"/>
      <c r="Y345" s="134"/>
      <c r="Z345" s="134"/>
      <c r="AB345" s="95"/>
    </row>
    <row r="346" spans="1:28" s="107" customFormat="1">
      <c r="A346" s="4"/>
      <c r="Y346" s="134"/>
      <c r="Z346" s="134"/>
      <c r="AB346" s="95"/>
    </row>
    <row r="347" spans="1:28" s="107" customFormat="1">
      <c r="A347" s="4"/>
      <c r="Y347" s="134"/>
      <c r="Z347" s="134"/>
      <c r="AB347" s="95"/>
    </row>
    <row r="348" spans="1:28" s="107" customFormat="1">
      <c r="A348" s="4"/>
      <c r="Y348" s="134"/>
      <c r="Z348" s="134"/>
      <c r="AB348" s="95"/>
    </row>
  </sheetData>
  <mergeCells count="26">
    <mergeCell ref="A152:R152"/>
    <mergeCell ref="A1:A2"/>
    <mergeCell ref="B1:B2"/>
    <mergeCell ref="R1:R2"/>
    <mergeCell ref="C166:R166"/>
    <mergeCell ref="A159:D159"/>
    <mergeCell ref="A158:F158"/>
    <mergeCell ref="C1:C2"/>
    <mergeCell ref="D1:D2"/>
    <mergeCell ref="L1:N1"/>
    <mergeCell ref="O1:Q1"/>
    <mergeCell ref="I43:Q43"/>
    <mergeCell ref="F34:H34"/>
    <mergeCell ref="F1:H1"/>
    <mergeCell ref="V1:V2"/>
    <mergeCell ref="I38:Q38"/>
    <mergeCell ref="E1:E2"/>
    <mergeCell ref="I1:K1"/>
    <mergeCell ref="S1:S2"/>
    <mergeCell ref="AA1:AA2"/>
    <mergeCell ref="T1:T2"/>
    <mergeCell ref="W1:W2"/>
    <mergeCell ref="X1:X2"/>
    <mergeCell ref="U1:U2"/>
    <mergeCell ref="Y1:Y2"/>
    <mergeCell ref="Z1:Z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λαθη</vt:lpstr>
      <vt:lpstr>δολος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2019-07-25T19:29:10Z</dcterms:modified>
</cp:coreProperties>
</file>