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tabRatio="926"/>
  </bookViews>
  <sheets>
    <sheet name="το ΤΕΡΑΣ" sheetId="105" r:id="rId1"/>
    <sheet name="241β" sheetId="109" r:id="rId2"/>
    <sheet name="241γ" sheetId="61" r:id="rId3"/>
    <sheet name="241δ" sheetId="59" r:id="rId4"/>
    <sheet name="241θ1(α-β" sheetId="78" r:id="rId5"/>
    <sheet name="241θ2α-β-γ" sheetId="76" r:id="rId6"/>
    <sheet name="241θ3α" sheetId="74" r:id="rId7"/>
    <sheet name="241θ3β" sheetId="93" r:id="rId8"/>
    <sheet name="241θ9" sheetId="70" r:id="rId9"/>
    <sheet name="241ι1" sheetId="65" r:id="rId10"/>
    <sheet name="241ι21β" sheetId="42" r:id="rId11"/>
    <sheet name="241ι21γ" sheetId="44" r:id="rId12"/>
    <sheet name="241ι22α" sheetId="106" r:id="rId13"/>
    <sheet name="241ι23α" sheetId="63" r:id="rId14"/>
    <sheet name="241ι23β" sheetId="87" r:id="rId15"/>
    <sheet name="241ι23γ" sheetId="79" r:id="rId16"/>
    <sheet name="241ι23δ" sheetId="80" r:id="rId17"/>
    <sheet name="241ι23ζ" sheetId="94" r:id="rId18"/>
    <sheet name="241ι23θ" sheetId="88" r:id="rId19"/>
    <sheet name="241ι23ι" sheetId="89" r:id="rId20"/>
    <sheet name="241ι23κ" sheetId="86" r:id="rId21"/>
    <sheet name="241ι23λ" sheetId="85" r:id="rId22"/>
    <sheet name="241ι23μ" sheetId="90" r:id="rId23"/>
    <sheet name="241ι23ν" sheetId="91" r:id="rId24"/>
    <sheet name="241ι23ξ" sheetId="95" r:id="rId25"/>
    <sheet name="241ι23π" sheetId="101" r:id="rId26"/>
    <sheet name="241ι23ρ" sheetId="102" r:id="rId27"/>
    <sheet name="241ι23τ" sheetId="110" r:id="rId28"/>
    <sheet name="241ι23υ" sheetId="112" r:id="rId29"/>
    <sheet name="241ι24β" sheetId="69" r:id="rId30"/>
    <sheet name="241ι24β1-2" sheetId="108" r:id="rId31"/>
    <sheet name="241ι24γ" sheetId="67" r:id="rId32"/>
    <sheet name="241ι24δ" sheetId="68" r:id="rId33"/>
    <sheet name="241ι24ζ" sheetId="111" r:id="rId34"/>
    <sheet name="241κ" sheetId="92" r:id="rId35"/>
    <sheet name="241λ" sheetId="107" r:id="rId36"/>
    <sheet name="242β" sheetId="73" r:id="rId37"/>
    <sheet name="242δ" sheetId="43" r:id="rId38"/>
    <sheet name="243" sheetId="71" r:id="rId39"/>
    <sheet name="244α1" sheetId="98" r:id="rId40"/>
    <sheet name="244β1" sheetId="45" r:id="rId41"/>
    <sheet name="244β2" sheetId="41" r:id="rId42"/>
    <sheet name="244β3" sheetId="55" r:id="rId43"/>
    <sheet name="244δ1" sheetId="66" r:id="rId44"/>
    <sheet name="244δ2" sheetId="103" r:id="rId45"/>
    <sheet name="244δ3" sheetId="104" r:id="rId46"/>
    <sheet name="244ζ" sheetId="100" r:id="rId47"/>
  </sheets>
  <calcPr calcId="125725"/>
</workbook>
</file>

<file path=xl/calcChain.xml><?xml version="1.0" encoding="utf-8"?>
<calcChain xmlns="http://schemas.openxmlformats.org/spreadsheetml/2006/main">
  <c r="C24" i="105"/>
  <c r="B24"/>
  <c r="J10" i="92"/>
  <c r="J9"/>
  <c r="I10"/>
  <c r="I9"/>
  <c r="C23" i="105"/>
  <c r="B23"/>
  <c r="L12" i="111"/>
  <c r="L11"/>
  <c r="K11"/>
  <c r="K12"/>
  <c r="C19" i="105"/>
  <c r="B19"/>
  <c r="M11" i="112"/>
  <c r="L11"/>
  <c r="K9" i="110"/>
  <c r="C18" i="105"/>
  <c r="B18"/>
  <c r="L8" i="110"/>
  <c r="L7"/>
  <c r="L9" s="1"/>
  <c r="K8"/>
  <c r="K7"/>
  <c r="D14" i="105"/>
  <c r="B12"/>
  <c r="C8"/>
  <c r="Z73" i="76"/>
  <c r="Z70"/>
  <c r="X70"/>
  <c r="AB62"/>
  <c r="Y3" i="41"/>
  <c r="Y4"/>
  <c r="Y5"/>
  <c r="Y2"/>
  <c r="W7"/>
  <c r="W8"/>
  <c r="W9"/>
  <c r="W6"/>
  <c r="Q39"/>
  <c r="R39"/>
  <c r="S39"/>
  <c r="T39"/>
  <c r="Q38"/>
  <c r="R38"/>
  <c r="S38"/>
  <c r="T38"/>
  <c r="U38"/>
  <c r="V38"/>
  <c r="W38"/>
  <c r="X38"/>
  <c r="Y38"/>
  <c r="Z38"/>
  <c r="AA38"/>
  <c r="Q37"/>
  <c r="R37"/>
  <c r="S37"/>
  <c r="T37"/>
  <c r="U37"/>
  <c r="V37"/>
  <c r="W37"/>
  <c r="X37"/>
  <c r="Y37"/>
  <c r="Z37"/>
  <c r="AA37"/>
  <c r="Q36"/>
  <c r="R36"/>
  <c r="S36"/>
  <c r="T36"/>
  <c r="U36"/>
  <c r="V36"/>
  <c r="W36"/>
  <c r="X36"/>
  <c r="Y36"/>
  <c r="Z36"/>
  <c r="AA36"/>
  <c r="Q35"/>
  <c r="R35"/>
  <c r="S35"/>
  <c r="T35"/>
  <c r="U35"/>
  <c r="V35"/>
  <c r="W35"/>
  <c r="X35"/>
  <c r="Y35"/>
  <c r="Z35"/>
  <c r="AA35"/>
  <c r="Q34"/>
  <c r="R34"/>
  <c r="S34"/>
  <c r="T34"/>
  <c r="U34"/>
  <c r="V34"/>
  <c r="W34"/>
  <c r="X34"/>
  <c r="Y34"/>
  <c r="Z34"/>
  <c r="AA34"/>
  <c r="P34"/>
  <c r="P35"/>
  <c r="P36"/>
  <c r="P37"/>
  <c r="P38"/>
  <c r="P39"/>
  <c r="X33"/>
  <c r="Y33"/>
  <c r="Z33"/>
  <c r="AA33"/>
  <c r="P33"/>
  <c r="Q33"/>
  <c r="R33"/>
  <c r="S33"/>
  <c r="T33"/>
  <c r="U33"/>
  <c r="V33"/>
  <c r="W33"/>
  <c r="X32"/>
  <c r="Y32"/>
  <c r="Z32"/>
  <c r="AA32"/>
  <c r="W32"/>
  <c r="F45" i="45"/>
  <c r="F28" i="59"/>
  <c r="E15" i="80"/>
  <c r="B32" i="106"/>
  <c r="D12" i="105"/>
  <c r="G36" i="65"/>
  <c r="I36" s="1"/>
  <c r="E30"/>
  <c r="D10" i="105"/>
  <c r="U69" i="70"/>
  <c r="D5" i="105"/>
  <c r="AA59" i="70"/>
  <c r="Z59"/>
  <c r="AA55"/>
  <c r="Z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B55"/>
  <c r="J11" i="92" l="1"/>
  <c r="I11"/>
  <c r="K13" i="111"/>
  <c r="L13"/>
  <c r="M12" i="112"/>
  <c r="L12"/>
  <c r="H33" i="59"/>
  <c r="N118" i="61"/>
  <c r="E27" i="112"/>
  <c r="D27"/>
  <c r="C27"/>
  <c r="B27"/>
  <c r="E27" i="111"/>
  <c r="D27"/>
  <c r="C27"/>
  <c r="B27"/>
  <c r="E27" i="110"/>
  <c r="D27"/>
  <c r="C27"/>
  <c r="B27"/>
  <c r="I28" i="73"/>
  <c r="J28"/>
  <c r="F26"/>
  <c r="F2" i="4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L27"/>
  <c r="K26"/>
  <c r="K25"/>
  <c r="K24"/>
  <c r="K3"/>
  <c r="K2"/>
  <c r="S64" i="74"/>
  <c r="AK55"/>
  <c r="AI52"/>
  <c r="AK53" s="1"/>
  <c r="AJ52"/>
  <c r="AL52"/>
  <c r="AK52"/>
  <c r="E28" i="112" l="1"/>
  <c r="E28" i="111"/>
  <c r="D28" i="112"/>
  <c r="D28" i="111"/>
  <c r="D28" i="110"/>
  <c r="E28"/>
  <c r="K27" i="42"/>
  <c r="AL53" i="74"/>
  <c r="AL55" s="1"/>
  <c r="X61" i="78" l="1"/>
  <c r="B6" i="105" s="1"/>
  <c r="X59" i="78"/>
  <c r="X60"/>
  <c r="X58"/>
  <c r="AB58"/>
  <c r="AB60" s="1"/>
  <c r="AD46"/>
  <c r="AA59" s="1"/>
  <c r="AA58" l="1"/>
  <c r="AA60"/>
  <c r="D7" i="55"/>
  <c r="E7"/>
  <c r="F7"/>
  <c r="G7"/>
  <c r="H7"/>
  <c r="I7"/>
  <c r="J7"/>
  <c r="K7"/>
  <c r="L7"/>
  <c r="M7"/>
  <c r="C6"/>
  <c r="D6"/>
  <c r="E6"/>
  <c r="F6"/>
  <c r="G6"/>
  <c r="H6"/>
  <c r="I6"/>
  <c r="J6"/>
  <c r="K6"/>
  <c r="L6"/>
  <c r="M6"/>
  <c r="C5"/>
  <c r="D5"/>
  <c r="E5"/>
  <c r="F5"/>
  <c r="G5"/>
  <c r="H5"/>
  <c r="I5"/>
  <c r="J5"/>
  <c r="K5"/>
  <c r="L5"/>
  <c r="M5"/>
  <c r="C4"/>
  <c r="D4"/>
  <c r="E4"/>
  <c r="F4"/>
  <c r="G4"/>
  <c r="H4"/>
  <c r="I4"/>
  <c r="J4"/>
  <c r="K4"/>
  <c r="L4"/>
  <c r="M4"/>
  <c r="B4"/>
  <c r="B5"/>
  <c r="B6"/>
  <c r="B8"/>
  <c r="B9"/>
  <c r="C3"/>
  <c r="D3"/>
  <c r="E3"/>
  <c r="F3"/>
  <c r="G3"/>
  <c r="H3"/>
  <c r="I3"/>
  <c r="J3"/>
  <c r="K3"/>
  <c r="L3"/>
  <c r="M3"/>
  <c r="W38"/>
  <c r="X38"/>
  <c r="S38"/>
  <c r="T38"/>
  <c r="U38"/>
  <c r="V38"/>
  <c r="S37"/>
  <c r="C8" s="1"/>
  <c r="T37"/>
  <c r="D8" s="1"/>
  <c r="U37"/>
  <c r="E8" s="1"/>
  <c r="V37"/>
  <c r="F8" s="1"/>
  <c r="W37"/>
  <c r="G8" s="1"/>
  <c r="X37"/>
  <c r="H8" s="1"/>
  <c r="Y37"/>
  <c r="I8" s="1"/>
  <c r="Z37"/>
  <c r="J8" s="1"/>
  <c r="AA37"/>
  <c r="K8" s="1"/>
  <c r="AB37"/>
  <c r="L8" s="1"/>
  <c r="AC37"/>
  <c r="M8" s="1"/>
  <c r="S36"/>
  <c r="C7" s="1"/>
  <c r="T36"/>
  <c r="U36"/>
  <c r="V36"/>
  <c r="W36"/>
  <c r="X36"/>
  <c r="Y36"/>
  <c r="Z36"/>
  <c r="AA36"/>
  <c r="AB36"/>
  <c r="AC36"/>
  <c r="S35"/>
  <c r="T35"/>
  <c r="U35"/>
  <c r="V35"/>
  <c r="W35"/>
  <c r="X35"/>
  <c r="Y35"/>
  <c r="Z35"/>
  <c r="AA35"/>
  <c r="AB35"/>
  <c r="AC35"/>
  <c r="S34"/>
  <c r="T34"/>
  <c r="U34"/>
  <c r="V34"/>
  <c r="W34"/>
  <c r="X34"/>
  <c r="Y34"/>
  <c r="Z34"/>
  <c r="AA34"/>
  <c r="AB34"/>
  <c r="AC34"/>
  <c r="R38"/>
  <c r="R34"/>
  <c r="R35"/>
  <c r="R36"/>
  <c r="B7" s="1"/>
  <c r="R37"/>
  <c r="S33"/>
  <c r="T33"/>
  <c r="U33"/>
  <c r="V33"/>
  <c r="W33"/>
  <c r="X33"/>
  <c r="Y33"/>
  <c r="Z33"/>
  <c r="AA33"/>
  <c r="AB33"/>
  <c r="AC33"/>
  <c r="B3"/>
  <c r="J2"/>
  <c r="K2"/>
  <c r="L2"/>
  <c r="M2"/>
  <c r="I2"/>
  <c r="R33"/>
  <c r="R32"/>
  <c r="S32"/>
  <c r="T32"/>
  <c r="U32"/>
  <c r="V32"/>
  <c r="W32"/>
  <c r="X32"/>
  <c r="Z32"/>
  <c r="AA32"/>
  <c r="AB32"/>
  <c r="AC32"/>
  <c r="Y32"/>
  <c r="Z31"/>
  <c r="AA31"/>
  <c r="AB31"/>
  <c r="AC31"/>
  <c r="Y31"/>
  <c r="F9" i="41"/>
  <c r="U39"/>
  <c r="D8"/>
  <c r="E8"/>
  <c r="H8"/>
  <c r="I8"/>
  <c r="L8"/>
  <c r="M8"/>
  <c r="D7"/>
  <c r="E7"/>
  <c r="H7"/>
  <c r="I7"/>
  <c r="L7"/>
  <c r="M7"/>
  <c r="C9"/>
  <c r="D9"/>
  <c r="E9"/>
  <c r="C8"/>
  <c r="F8"/>
  <c r="G8"/>
  <c r="J8"/>
  <c r="K8"/>
  <c r="C7"/>
  <c r="F7"/>
  <c r="G7"/>
  <c r="J7"/>
  <c r="K7"/>
  <c r="C6"/>
  <c r="D6"/>
  <c r="E6"/>
  <c r="F6"/>
  <c r="G6"/>
  <c r="H6"/>
  <c r="I6"/>
  <c r="J6"/>
  <c r="K6"/>
  <c r="L6"/>
  <c r="M6"/>
  <c r="C5"/>
  <c r="D5"/>
  <c r="E5"/>
  <c r="F5"/>
  <c r="G5"/>
  <c r="H5"/>
  <c r="I5"/>
  <c r="J5"/>
  <c r="K5"/>
  <c r="L5"/>
  <c r="M5"/>
  <c r="B6"/>
  <c r="B7"/>
  <c r="B8"/>
  <c r="B9"/>
  <c r="B5"/>
  <c r="C4"/>
  <c r="D4"/>
  <c r="E4"/>
  <c r="F4"/>
  <c r="G4"/>
  <c r="H4"/>
  <c r="I4"/>
  <c r="J4"/>
  <c r="K4"/>
  <c r="L4"/>
  <c r="M4"/>
  <c r="B4"/>
  <c r="C3"/>
  <c r="D3"/>
  <c r="E3"/>
  <c r="F3"/>
  <c r="G3"/>
  <c r="H3"/>
  <c r="I3"/>
  <c r="J3"/>
  <c r="K3"/>
  <c r="L3"/>
  <c r="M3"/>
  <c r="B3"/>
  <c r="J2"/>
  <c r="K2"/>
  <c r="L2"/>
  <c r="M2"/>
  <c r="I2"/>
  <c r="C68" i="69"/>
  <c r="C27" i="63"/>
  <c r="D27"/>
  <c r="E27"/>
  <c r="B27"/>
  <c r="C29" i="106"/>
  <c r="C32" s="1"/>
  <c r="D29"/>
  <c r="E29"/>
  <c r="F29"/>
  <c r="G29"/>
  <c r="B29"/>
  <c r="E30" s="1"/>
  <c r="C28" i="65"/>
  <c r="D28"/>
  <c r="E28"/>
  <c r="F28"/>
  <c r="G28"/>
  <c r="H28"/>
  <c r="I28"/>
  <c r="B28"/>
  <c r="D27" i="100"/>
  <c r="E27"/>
  <c r="F27" i="104"/>
  <c r="E27"/>
  <c r="F27" i="103"/>
  <c r="E27"/>
  <c r="C26" i="85"/>
  <c r="J39" i="106"/>
  <c r="F27"/>
  <c r="C27"/>
  <c r="S69" i="70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X28"/>
  <c r="V28"/>
  <c r="Z16"/>
  <c r="D52"/>
  <c r="F52"/>
  <c r="H52"/>
  <c r="J52"/>
  <c r="L52"/>
  <c r="N52"/>
  <c r="P52"/>
  <c r="R52"/>
  <c r="T52"/>
  <c r="V52"/>
  <c r="X52"/>
  <c r="Y52"/>
  <c r="B52"/>
  <c r="AA52"/>
  <c r="D49"/>
  <c r="E49"/>
  <c r="AA49" s="1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B49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X42"/>
  <c r="B42"/>
  <c r="Z42" s="1"/>
  <c r="F38"/>
  <c r="G38"/>
  <c r="H38"/>
  <c r="J38"/>
  <c r="K38"/>
  <c r="L38"/>
  <c r="N38"/>
  <c r="O38"/>
  <c r="P38"/>
  <c r="R38"/>
  <c r="S38"/>
  <c r="T38"/>
  <c r="U38"/>
  <c r="V38"/>
  <c r="W38"/>
  <c r="X38"/>
  <c r="D38"/>
  <c r="D35"/>
  <c r="E35"/>
  <c r="F35"/>
  <c r="G35"/>
  <c r="H35"/>
  <c r="J35"/>
  <c r="K35"/>
  <c r="L35"/>
  <c r="M35"/>
  <c r="N35"/>
  <c r="P35"/>
  <c r="Q35"/>
  <c r="R35"/>
  <c r="S35"/>
  <c r="T35"/>
  <c r="V35"/>
  <c r="X35"/>
  <c r="B35"/>
  <c r="D31"/>
  <c r="F31"/>
  <c r="G31"/>
  <c r="H31"/>
  <c r="I31"/>
  <c r="J31"/>
  <c r="K31"/>
  <c r="L31"/>
  <c r="M31"/>
  <c r="N31"/>
  <c r="O31"/>
  <c r="P31"/>
  <c r="Q31"/>
  <c r="R31"/>
  <c r="T31"/>
  <c r="U31"/>
  <c r="V31"/>
  <c r="X31"/>
  <c r="B31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B19"/>
  <c r="Z13"/>
  <c r="AA19" l="1"/>
  <c r="AA61" i="78"/>
  <c r="D6" i="105" s="1"/>
  <c r="Z52" i="70"/>
  <c r="Z49"/>
  <c r="Z38"/>
  <c r="AA38"/>
  <c r="AA42"/>
  <c r="Z31"/>
  <c r="Z35"/>
  <c r="AA35"/>
  <c r="AA28"/>
  <c r="AA31"/>
  <c r="Z28"/>
  <c r="F27" i="59" l="1"/>
  <c r="G27"/>
  <c r="N8" i="61"/>
  <c r="C8"/>
  <c r="D8"/>
  <c r="E8"/>
  <c r="F8"/>
  <c r="G8"/>
  <c r="H8"/>
  <c r="I8"/>
  <c r="J8"/>
  <c r="K8"/>
  <c r="L8"/>
  <c r="M8"/>
  <c r="B8"/>
  <c r="C11"/>
  <c r="D11"/>
  <c r="E11"/>
  <c r="F11"/>
  <c r="G11"/>
  <c r="H11"/>
  <c r="I11"/>
  <c r="J11"/>
  <c r="K11"/>
  <c r="L11"/>
  <c r="M11"/>
  <c r="B11"/>
  <c r="N11" s="1"/>
  <c r="N14"/>
  <c r="N27"/>
  <c r="N38"/>
  <c r="N45"/>
  <c r="C53"/>
  <c r="D53"/>
  <c r="E53"/>
  <c r="F53"/>
  <c r="G53"/>
  <c r="H53"/>
  <c r="I53"/>
  <c r="J53"/>
  <c r="K53"/>
  <c r="L53"/>
  <c r="M53"/>
  <c r="B53"/>
  <c r="N53" s="1"/>
  <c r="N90"/>
  <c r="C82"/>
  <c r="D82"/>
  <c r="E82"/>
  <c r="F82"/>
  <c r="G82"/>
  <c r="H82"/>
  <c r="I82"/>
  <c r="J82"/>
  <c r="K82"/>
  <c r="L82"/>
  <c r="M82"/>
  <c r="B82"/>
  <c r="N82" s="1"/>
  <c r="C90"/>
  <c r="D90"/>
  <c r="E90"/>
  <c r="F90"/>
  <c r="G90"/>
  <c r="H90"/>
  <c r="I90"/>
  <c r="J90"/>
  <c r="K90"/>
  <c r="L90"/>
  <c r="M90"/>
  <c r="B90"/>
  <c r="C112"/>
  <c r="D112"/>
  <c r="E112"/>
  <c r="F112"/>
  <c r="G112"/>
  <c r="H112"/>
  <c r="I112"/>
  <c r="J112"/>
  <c r="K112"/>
  <c r="L112"/>
  <c r="M112"/>
  <c r="B112"/>
  <c r="C117"/>
  <c r="D117"/>
  <c r="E117"/>
  <c r="F117"/>
  <c r="G117"/>
  <c r="H117"/>
  <c r="I117"/>
  <c r="J117"/>
  <c r="K117"/>
  <c r="L117"/>
  <c r="M117"/>
  <c r="B117"/>
  <c r="N117" s="1"/>
  <c r="N96"/>
  <c r="C96"/>
  <c r="D96"/>
  <c r="E96"/>
  <c r="F96"/>
  <c r="G96"/>
  <c r="H96"/>
  <c r="I96"/>
  <c r="J96"/>
  <c r="K96"/>
  <c r="L96"/>
  <c r="M96"/>
  <c r="B96"/>
  <c r="C45"/>
  <c r="D45"/>
  <c r="E45"/>
  <c r="F45"/>
  <c r="G45"/>
  <c r="H45"/>
  <c r="I45"/>
  <c r="J45"/>
  <c r="K45"/>
  <c r="L45"/>
  <c r="M45"/>
  <c r="B45"/>
  <c r="C38"/>
  <c r="D38"/>
  <c r="E38"/>
  <c r="F38"/>
  <c r="G38"/>
  <c r="H38"/>
  <c r="I38"/>
  <c r="J38"/>
  <c r="K38"/>
  <c r="L38"/>
  <c r="M38"/>
  <c r="B38"/>
  <c r="E27"/>
  <c r="F27"/>
  <c r="G27"/>
  <c r="H27"/>
  <c r="I27"/>
  <c r="J27"/>
  <c r="K27"/>
  <c r="L27"/>
  <c r="M27"/>
  <c r="D27"/>
  <c r="D26" i="100" l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E26" i="104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3" i="10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"/>
  <c r="N35" i="55"/>
  <c r="N36"/>
  <c r="N37"/>
  <c r="V10" i="41"/>
  <c r="V11"/>
  <c r="V12"/>
  <c r="V13"/>
  <c r="V14"/>
  <c r="V15"/>
  <c r="V16"/>
  <c r="V17"/>
  <c r="V18"/>
  <c r="V19"/>
  <c r="V20"/>
  <c r="V21"/>
  <c r="V22"/>
  <c r="V23"/>
  <c r="V24"/>
  <c r="V25"/>
  <c r="F27" i="9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"/>
  <c r="O4" i="41" l="1"/>
  <c r="O5"/>
  <c r="O3"/>
  <c r="O4" i="55"/>
  <c r="P4" s="1"/>
  <c r="O5"/>
  <c r="P5" s="1"/>
  <c r="O3"/>
  <c r="P3" s="1"/>
  <c r="O2"/>
  <c r="P40" i="41"/>
  <c r="P41"/>
  <c r="P42"/>
  <c r="P43"/>
  <c r="P44"/>
  <c r="P45"/>
  <c r="P46"/>
  <c r="P47"/>
  <c r="P48"/>
  <c r="P49"/>
  <c r="P50"/>
  <c r="P51"/>
  <c r="P52"/>
  <c r="P53"/>
  <c r="P54"/>
  <c r="P55"/>
  <c r="O2"/>
  <c r="R30"/>
  <c r="C25" i="106"/>
  <c r="F26"/>
  <c r="C26"/>
  <c r="F27" i="108"/>
  <c r="G27"/>
  <c r="L47" i="109"/>
  <c r="L35"/>
  <c r="K47"/>
  <c r="J47"/>
  <c r="D47"/>
  <c r="F47" s="1"/>
  <c r="B47"/>
  <c r="L48" l="1"/>
  <c r="G44" i="65" l="1"/>
  <c r="G45"/>
  <c r="G46" s="1"/>
  <c r="G43"/>
  <c r="G37"/>
  <c r="G38"/>
  <c r="G39"/>
  <c r="G49" s="1"/>
  <c r="B11" i="105" s="1"/>
  <c r="I31" i="65"/>
  <c r="C30"/>
  <c r="D30"/>
  <c r="B30"/>
  <c r="C31" s="1"/>
  <c r="I37" l="1"/>
  <c r="I38"/>
  <c r="I39" l="1"/>
  <c r="I46" s="1"/>
  <c r="E31"/>
  <c r="I49" l="1"/>
  <c r="D11" i="105" s="1"/>
  <c r="Q64" i="74"/>
  <c r="AA43" i="93"/>
  <c r="Z43"/>
  <c r="B21" i="105"/>
  <c r="B9"/>
  <c r="Q74" i="93"/>
  <c r="Q73"/>
  <c r="Q72"/>
  <c r="Q71"/>
  <c r="Q70"/>
  <c r="Q69"/>
  <c r="Z21"/>
  <c r="AA25"/>
  <c r="Z25"/>
  <c r="AA24"/>
  <c r="Z24"/>
  <c r="AA23"/>
  <c r="Z23"/>
  <c r="AB33"/>
  <c r="AB31"/>
  <c r="AA3"/>
  <c r="AA4"/>
  <c r="AA5"/>
  <c r="AA6"/>
  <c r="AA7"/>
  <c r="AA8"/>
  <c r="AA9"/>
  <c r="AA10"/>
  <c r="Z3"/>
  <c r="Z4"/>
  <c r="Z5"/>
  <c r="Z6"/>
  <c r="AA34"/>
  <c r="Z34"/>
  <c r="AA33"/>
  <c r="Z33"/>
  <c r="AA32"/>
  <c r="Z32"/>
  <c r="AA35"/>
  <c r="Z35"/>
  <c r="AA31"/>
  <c r="Z31"/>
  <c r="B28" i="108"/>
  <c r="E37" l="1"/>
  <c r="E36"/>
  <c r="D28"/>
  <c r="Z42" i="93"/>
  <c r="AA29"/>
  <c r="Z29"/>
  <c r="Z22"/>
  <c r="AA27"/>
  <c r="Z27"/>
  <c r="Z30"/>
  <c r="AA30"/>
  <c r="F3" i="73"/>
  <c r="F4"/>
  <c r="F5"/>
  <c r="F6"/>
  <c r="F7"/>
  <c r="F8"/>
  <c r="F9"/>
  <c r="F10"/>
  <c r="F11"/>
  <c r="F12"/>
  <c r="F14"/>
  <c r="F15"/>
  <c r="F16"/>
  <c r="F17"/>
  <c r="F18"/>
  <c r="F19"/>
  <c r="F20"/>
  <c r="F21"/>
  <c r="F22"/>
  <c r="F23"/>
  <c r="F24"/>
  <c r="F25"/>
  <c r="F27"/>
  <c r="F2"/>
  <c r="C25" i="85"/>
  <c r="J45" i="44"/>
  <c r="H38"/>
  <c r="H44"/>
  <c r="H43"/>
  <c r="H42"/>
  <c r="H41"/>
  <c r="H35"/>
  <c r="H36"/>
  <c r="H37"/>
  <c r="H34"/>
  <c r="D27"/>
  <c r="B5" i="105"/>
  <c r="F33" i="59"/>
  <c r="Z41" i="93"/>
  <c r="Z45"/>
  <c r="E28" i="73"/>
  <c r="D28"/>
  <c r="B25" i="105"/>
  <c r="D43" i="107"/>
  <c r="F36"/>
  <c r="F37"/>
  <c r="F38"/>
  <c r="F39"/>
  <c r="F40"/>
  <c r="F35"/>
  <c r="C43"/>
  <c r="F36" i="68"/>
  <c r="B22" i="105" s="1"/>
  <c r="E76" i="69"/>
  <c r="E75"/>
  <c r="E77" s="1"/>
  <c r="B20" i="105" s="1"/>
  <c r="B27" i="94"/>
  <c r="D28" s="1"/>
  <c r="C27"/>
  <c r="D27"/>
  <c r="F33" i="63"/>
  <c r="B14" i="105" s="1"/>
  <c r="D28" i="63"/>
  <c r="B13" i="105"/>
  <c r="H39" i="106"/>
  <c r="G32"/>
  <c r="F25"/>
  <c r="F24"/>
  <c r="F23"/>
  <c r="F22"/>
  <c r="F21"/>
  <c r="F20"/>
  <c r="F19"/>
  <c r="F18"/>
  <c r="F17"/>
  <c r="F16"/>
  <c r="F15"/>
  <c r="C11"/>
  <c r="C14"/>
  <c r="C15"/>
  <c r="C16"/>
  <c r="C17"/>
  <c r="C18"/>
  <c r="C19"/>
  <c r="C20"/>
  <c r="C21"/>
  <c r="C22"/>
  <c r="C23"/>
  <c r="C24"/>
  <c r="C10"/>
  <c r="C12"/>
  <c r="C13"/>
  <c r="C9"/>
  <c r="C27" i="44"/>
  <c r="AB37" i="74"/>
  <c r="D37"/>
  <c r="F37"/>
  <c r="G37"/>
  <c r="H37"/>
  <c r="I37"/>
  <c r="J37"/>
  <c r="K37"/>
  <c r="L37"/>
  <c r="M37"/>
  <c r="N37"/>
  <c r="O37"/>
  <c r="P37"/>
  <c r="Q37"/>
  <c r="R37"/>
  <c r="S37"/>
  <c r="T37"/>
  <c r="V37"/>
  <c r="X37"/>
  <c r="B37"/>
  <c r="AA26" i="76"/>
  <c r="Z26"/>
  <c r="F37" i="108" l="1"/>
  <c r="F36"/>
  <c r="F32" i="106"/>
  <c r="E38" i="108"/>
  <c r="H45" i="44"/>
  <c r="H47" s="1"/>
  <c r="F43" i="107"/>
  <c r="Z43" i="70"/>
  <c r="Z26" i="93"/>
  <c r="Z40"/>
  <c r="Z39"/>
  <c r="Z38"/>
  <c r="Z37"/>
  <c r="Z36"/>
  <c r="Z28"/>
  <c r="C28" i="107"/>
  <c r="D28"/>
  <c r="E28"/>
  <c r="B28"/>
  <c r="G39" l="1"/>
  <c r="G35"/>
  <c r="G40"/>
  <c r="G36"/>
  <c r="G37"/>
  <c r="G38"/>
  <c r="E29"/>
  <c r="D29"/>
  <c r="AA37" i="74"/>
  <c r="E32" i="106"/>
  <c r="D32"/>
  <c r="G33" s="1"/>
  <c r="F30" l="1"/>
  <c r="F33"/>
  <c r="F38" i="108"/>
  <c r="C21" i="105" s="1"/>
  <c r="G43" i="107"/>
  <c r="C25" i="105" s="1"/>
  <c r="G30" i="106"/>
  <c r="C13" i="105" s="1"/>
  <c r="H35" i="85"/>
  <c r="H34"/>
  <c r="H34" i="80"/>
  <c r="B16" i="105" s="1"/>
  <c r="H34" i="79"/>
  <c r="S71" i="70"/>
  <c r="B10" i="105" s="1"/>
  <c r="Q60" i="93"/>
  <c r="X73" i="76"/>
  <c r="B7" i="105" s="1"/>
  <c r="C27" i="100"/>
  <c r="C7" i="69"/>
  <c r="C8"/>
  <c r="C9"/>
  <c r="C10" s="1"/>
  <c r="C11"/>
  <c r="C13"/>
  <c r="C14"/>
  <c r="C15"/>
  <c r="C16"/>
  <c r="C19"/>
  <c r="C27"/>
  <c r="C32"/>
  <c r="C36" s="1"/>
  <c r="C33"/>
  <c r="C42"/>
  <c r="C46"/>
  <c r="C49"/>
  <c r="C50"/>
  <c r="C63"/>
  <c r="C65"/>
  <c r="D6" i="9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E26" s="1"/>
  <c r="E27" s="1"/>
  <c r="D2"/>
  <c r="D3"/>
  <c r="D4"/>
  <c r="D5"/>
  <c r="H36" i="85" l="1"/>
  <c r="B17" i="105" s="1"/>
  <c r="B15"/>
  <c r="B8"/>
  <c r="B27" i="104"/>
  <c r="B27" i="103"/>
  <c r="AA28" i="78"/>
  <c r="AA29"/>
  <c r="AA30"/>
  <c r="AA31"/>
  <c r="AA32"/>
  <c r="AA25"/>
  <c r="AA26"/>
  <c r="AA27"/>
  <c r="AA23"/>
  <c r="AA24"/>
  <c r="AA33"/>
  <c r="AA34"/>
  <c r="AA36"/>
  <c r="AA38"/>
  <c r="AA40"/>
  <c r="AA41"/>
  <c r="E27" i="102"/>
  <c r="D27"/>
  <c r="C27"/>
  <c r="E28" s="1"/>
  <c r="B27"/>
  <c r="D28" s="1"/>
  <c r="B30" i="105" l="1"/>
  <c r="E27" i="101"/>
  <c r="D27"/>
  <c r="C27"/>
  <c r="B27"/>
  <c r="D28" s="1"/>
  <c r="E28" l="1"/>
  <c r="C27" i="98" l="1"/>
  <c r="B27" i="100" l="1"/>
  <c r="C3" i="85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C42" i="74"/>
  <c r="D42"/>
  <c r="F42"/>
  <c r="H42"/>
  <c r="J42"/>
  <c r="L42"/>
  <c r="M42"/>
  <c r="N42"/>
  <c r="O42"/>
  <c r="P42"/>
  <c r="Q42"/>
  <c r="R42"/>
  <c r="S42"/>
  <c r="T42"/>
  <c r="V42"/>
  <c r="X42"/>
  <c r="B42"/>
  <c r="T32"/>
  <c r="V32"/>
  <c r="X32"/>
  <c r="R32"/>
  <c r="C28" i="85" l="1"/>
  <c r="E29" s="1"/>
  <c r="N108" i="61"/>
  <c r="N109"/>
  <c r="N110"/>
  <c r="N111"/>
  <c r="N112"/>
  <c r="Z3" i="78"/>
  <c r="AB12" l="1"/>
  <c r="AB13"/>
  <c r="AB14"/>
  <c r="AB15"/>
  <c r="AB16"/>
  <c r="AB17"/>
  <c r="AB18"/>
  <c r="AB19"/>
  <c r="AA12"/>
  <c r="AA13"/>
  <c r="AA14"/>
  <c r="AA15"/>
  <c r="AA16"/>
  <c r="AA17"/>
  <c r="AA18"/>
  <c r="AA19"/>
  <c r="AA20"/>
  <c r="AA21"/>
  <c r="D27" i="98"/>
  <c r="B27"/>
  <c r="AA29" i="76"/>
  <c r="AA30"/>
  <c r="Z29"/>
  <c r="Z30"/>
  <c r="AB44" i="74" l="1"/>
  <c r="AB45"/>
  <c r="AA44"/>
  <c r="AB38" l="1"/>
  <c r="AB39"/>
  <c r="AB40"/>
  <c r="AB42"/>
  <c r="AB43"/>
  <c r="AB47"/>
  <c r="AB48"/>
  <c r="AA42"/>
  <c r="AA43"/>
  <c r="AA45"/>
  <c r="AA47"/>
  <c r="AA21" l="1"/>
  <c r="AA22"/>
  <c r="AA23"/>
  <c r="AA24"/>
  <c r="AA25"/>
  <c r="AA26"/>
  <c r="AA27"/>
  <c r="AA32"/>
  <c r="AA48"/>
  <c r="AA49"/>
  <c r="AA50"/>
  <c r="AA51"/>
  <c r="AA20"/>
  <c r="AA4" i="76" l="1"/>
  <c r="D56"/>
  <c r="E56"/>
  <c r="F56"/>
  <c r="H56"/>
  <c r="I56"/>
  <c r="J56"/>
  <c r="K56"/>
  <c r="L56"/>
  <c r="M56"/>
  <c r="N56"/>
  <c r="P56"/>
  <c r="R56"/>
  <c r="S56"/>
  <c r="T56"/>
  <c r="U56"/>
  <c r="V56"/>
  <c r="W56"/>
  <c r="X56"/>
  <c r="Y56"/>
  <c r="B56"/>
  <c r="P45"/>
  <c r="R45"/>
  <c r="T45"/>
  <c r="U45"/>
  <c r="AA45" s="1"/>
  <c r="V45"/>
  <c r="X45"/>
  <c r="N45"/>
  <c r="AA43"/>
  <c r="AA44"/>
  <c r="AA46"/>
  <c r="AA47"/>
  <c r="AA48"/>
  <c r="AC57"/>
  <c r="AA24"/>
  <c r="Z24"/>
  <c r="Z22"/>
  <c r="AA22"/>
  <c r="D20"/>
  <c r="E20"/>
  <c r="F20"/>
  <c r="H20"/>
  <c r="J20"/>
  <c r="K20"/>
  <c r="L20"/>
  <c r="N20"/>
  <c r="O20"/>
  <c r="P20"/>
  <c r="Q20"/>
  <c r="R20"/>
  <c r="S20"/>
  <c r="T20"/>
  <c r="V20"/>
  <c r="X20"/>
  <c r="B20"/>
  <c r="AA35"/>
  <c r="AA36"/>
  <c r="AA37"/>
  <c r="AA38"/>
  <c r="AA39"/>
  <c r="AA40"/>
  <c r="Z35"/>
  <c r="AA25"/>
  <c r="AA28"/>
  <c r="AA31"/>
  <c r="AA32"/>
  <c r="AA33"/>
  <c r="Z25"/>
  <c r="Z28"/>
  <c r="Z31"/>
  <c r="Z32"/>
  <c r="Z33"/>
  <c r="AA23"/>
  <c r="AA34"/>
  <c r="Z23"/>
  <c r="AA12"/>
  <c r="V12"/>
  <c r="Z12" s="1"/>
  <c r="AA21"/>
  <c r="Z21"/>
  <c r="AA7"/>
  <c r="Z7"/>
  <c r="Z34"/>
  <c r="C27" i="95"/>
  <c r="E27" i="94"/>
  <c r="E28" s="1"/>
  <c r="D15" i="68"/>
  <c r="Z45" i="76" l="1"/>
  <c r="AA20"/>
  <c r="Z20"/>
  <c r="N103" i="61" l="1"/>
  <c r="N104"/>
  <c r="N105"/>
  <c r="AB21" i="74"/>
  <c r="AB22"/>
  <c r="AB23"/>
  <c r="AB24"/>
  <c r="AB32"/>
  <c r="AE5"/>
  <c r="AA36" i="93"/>
  <c r="AA21"/>
  <c r="AB46"/>
  <c r="AA45"/>
  <c r="AA42"/>
  <c r="AA41"/>
  <c r="AA40"/>
  <c r="AA39"/>
  <c r="AA38"/>
  <c r="AA37"/>
  <c r="AA28"/>
  <c r="AA26"/>
  <c r="AA22"/>
  <c r="AA20"/>
  <c r="Z20"/>
  <c r="AA19"/>
  <c r="Z19"/>
  <c r="Z18"/>
  <c r="AA17"/>
  <c r="Z17"/>
  <c r="AA16"/>
  <c r="Z16"/>
  <c r="AA15"/>
  <c r="Z15"/>
  <c r="AA14"/>
  <c r="Z14"/>
  <c r="AA13"/>
  <c r="Z13"/>
  <c r="AA12"/>
  <c r="Z12"/>
  <c r="AA11"/>
  <c r="Z11"/>
  <c r="Z10"/>
  <c r="Z9"/>
  <c r="Z8"/>
  <c r="Z7"/>
  <c r="AC52" i="74"/>
  <c r="C27" i="92"/>
  <c r="B27"/>
  <c r="AB27" i="74"/>
  <c r="AB26"/>
  <c r="E27" i="91"/>
  <c r="D27"/>
  <c r="C27"/>
  <c r="B27"/>
  <c r="E27" i="90"/>
  <c r="D27"/>
  <c r="C27"/>
  <c r="B27"/>
  <c r="E27" i="89"/>
  <c r="D27"/>
  <c r="C27"/>
  <c r="E28" s="1"/>
  <c r="B27"/>
  <c r="D28" s="1"/>
  <c r="E27" i="88"/>
  <c r="D27"/>
  <c r="C27"/>
  <c r="E28" s="1"/>
  <c r="B27"/>
  <c r="D28" s="1"/>
  <c r="E27" i="87"/>
  <c r="D27"/>
  <c r="C27"/>
  <c r="E28" s="1"/>
  <c r="B27"/>
  <c r="D28" s="1"/>
  <c r="E27" i="86"/>
  <c r="D27"/>
  <c r="C27"/>
  <c r="E28" s="1"/>
  <c r="B27"/>
  <c r="D28" s="1"/>
  <c r="F28" i="85"/>
  <c r="E28"/>
  <c r="D28"/>
  <c r="B28"/>
  <c r="E28" i="90" l="1"/>
  <c r="J34" i="85"/>
  <c r="J36" s="1"/>
  <c r="C17" i="105" s="1"/>
  <c r="AA46" i="93"/>
  <c r="Z46"/>
  <c r="E28" i="91"/>
  <c r="D28"/>
  <c r="D28" i="90"/>
  <c r="F29" i="85"/>
  <c r="S72" i="93" l="1"/>
  <c r="S60"/>
  <c r="S70"/>
  <c r="S71"/>
  <c r="S73"/>
  <c r="S69"/>
  <c r="S74" l="1"/>
  <c r="C9" i="105" s="1"/>
  <c r="E28" i="63"/>
  <c r="H33" s="1"/>
  <c r="B28" i="79"/>
  <c r="C28"/>
  <c r="B28" i="80"/>
  <c r="C28"/>
  <c r="E28"/>
  <c r="D28"/>
  <c r="E28" i="79"/>
  <c r="D28"/>
  <c r="C61" i="43"/>
  <c r="C60"/>
  <c r="B61"/>
  <c r="C59"/>
  <c r="D68" i="69"/>
  <c r="F75" s="1"/>
  <c r="C66"/>
  <c r="C67"/>
  <c r="N5" i="61"/>
  <c r="AA3" i="70"/>
  <c r="AA4"/>
  <c r="AA5"/>
  <c r="AA6"/>
  <c r="Z3"/>
  <c r="Z4"/>
  <c r="Z5"/>
  <c r="Z6"/>
  <c r="AD5"/>
  <c r="E68" i="43"/>
  <c r="C16"/>
  <c r="AB20" i="78"/>
  <c r="AB21"/>
  <c r="AB22"/>
  <c r="AA22"/>
  <c r="AC46"/>
  <c r="AB45"/>
  <c r="AA45"/>
  <c r="AB44"/>
  <c r="AA44"/>
  <c r="AB43"/>
  <c r="AA43"/>
  <c r="AB42"/>
  <c r="AA42"/>
  <c r="AB41"/>
  <c r="AB40"/>
  <c r="AB38"/>
  <c r="AB36"/>
  <c r="AB34"/>
  <c r="AB33"/>
  <c r="AB11"/>
  <c r="AA11"/>
  <c r="AB10"/>
  <c r="AA10"/>
  <c r="AB9"/>
  <c r="AA9"/>
  <c r="AB8"/>
  <c r="AA8"/>
  <c r="AB7"/>
  <c r="AA7"/>
  <c r="AB6"/>
  <c r="Z6"/>
  <c r="AA6" s="1"/>
  <c r="AB5"/>
  <c r="Z5"/>
  <c r="AA5" s="1"/>
  <c r="AB4"/>
  <c r="Z4"/>
  <c r="AA4" s="1"/>
  <c r="AB3"/>
  <c r="AA3"/>
  <c r="F76" i="69" l="1"/>
  <c r="J34" i="80"/>
  <c r="C16" i="105" s="1"/>
  <c r="D29" i="79"/>
  <c r="E29" i="80"/>
  <c r="E29" i="79"/>
  <c r="J34" s="1"/>
  <c r="C15" i="105" s="1"/>
  <c r="D29" i="80"/>
  <c r="AB46" i="78"/>
  <c r="AA46"/>
  <c r="D14" i="68"/>
  <c r="AA5" i="76"/>
  <c r="AA6"/>
  <c r="Z5"/>
  <c r="Z6"/>
  <c r="AB57"/>
  <c r="AC58" s="1"/>
  <c r="F77" i="69" l="1"/>
  <c r="C20" i="105" s="1"/>
  <c r="AB47" i="78"/>
  <c r="AA49" i="76" l="1"/>
  <c r="AA42"/>
  <c r="AA41"/>
  <c r="Z4"/>
  <c r="AA57" l="1"/>
  <c r="Z57"/>
  <c r="C7" i="105" s="1"/>
  <c r="N32" i="61" l="1"/>
  <c r="N33"/>
  <c r="AB51" i="74"/>
  <c r="AB50"/>
  <c r="AB49"/>
  <c r="AB25"/>
  <c r="AB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Z6"/>
  <c r="AA6" s="1"/>
  <c r="AB5"/>
  <c r="Z5"/>
  <c r="AA5" s="1"/>
  <c r="AB4"/>
  <c r="Z4"/>
  <c r="AA4" s="1"/>
  <c r="AB3"/>
  <c r="Z3"/>
  <c r="AA3" s="1"/>
  <c r="B19" i="69"/>
  <c r="G28" i="73"/>
  <c r="J31" s="1"/>
  <c r="AB52" i="74" l="1"/>
  <c r="AA52"/>
  <c r="F28" i="73"/>
  <c r="I31" s="1"/>
  <c r="F68" i="43" l="1"/>
  <c r="B17"/>
  <c r="C18" l="1"/>
  <c r="B18"/>
  <c r="B19" s="1"/>
  <c r="H68"/>
  <c r="E28" i="68"/>
  <c r="B28" i="71"/>
  <c r="C28"/>
  <c r="AA8" i="70"/>
  <c r="AA9"/>
  <c r="AA20"/>
  <c r="AA21"/>
  <c r="AA22"/>
  <c r="AA32"/>
  <c r="AA44"/>
  <c r="AA45"/>
  <c r="AA46"/>
  <c r="AA58"/>
  <c r="AA7"/>
  <c r="Z8"/>
  <c r="Z9"/>
  <c r="Z17"/>
  <c r="Z19" s="1"/>
  <c r="Z20"/>
  <c r="Z21"/>
  <c r="Z22"/>
  <c r="AD25"/>
  <c r="AD33"/>
  <c r="Z44"/>
  <c r="Z45"/>
  <c r="Z46"/>
  <c r="Z58"/>
  <c r="Z7"/>
  <c r="F28" i="68"/>
  <c r="B28"/>
  <c r="D27" i="67"/>
  <c r="AD40" i="70" l="1"/>
  <c r="G36" i="68"/>
  <c r="C22" i="105" s="1"/>
  <c r="B20" i="43"/>
  <c r="C20"/>
  <c r="H69"/>
  <c r="U71" i="70" l="1"/>
  <c r="U73" s="1"/>
  <c r="B21" i="43"/>
  <c r="B22" s="1"/>
  <c r="B23" s="1"/>
  <c r="C21"/>
  <c r="G18" i="45"/>
  <c r="F18"/>
  <c r="B24" i="43" l="1"/>
  <c r="C24"/>
  <c r="B27" i="44"/>
  <c r="F24" i="42"/>
  <c r="F25"/>
  <c r="F26"/>
  <c r="C41" i="66"/>
  <c r="D41"/>
  <c r="N29" i="61"/>
  <c r="N30"/>
  <c r="N31"/>
  <c r="J37" i="44" l="1"/>
  <c r="J36"/>
  <c r="J34"/>
  <c r="J35"/>
  <c r="D28"/>
  <c r="B25" i="43"/>
  <c r="B26" s="1"/>
  <c r="C25"/>
  <c r="J38" i="44" l="1"/>
  <c r="J47" s="1"/>
  <c r="B27" i="43"/>
  <c r="C27"/>
  <c r="B28" l="1"/>
  <c r="C28"/>
  <c r="B29" l="1"/>
  <c r="C29"/>
  <c r="B30" l="1"/>
  <c r="B31" s="1"/>
  <c r="B32" s="1"/>
  <c r="C30"/>
  <c r="N106" i="61"/>
  <c r="N107"/>
  <c r="N122"/>
  <c r="N28"/>
  <c r="C27" i="59"/>
  <c r="D27"/>
  <c r="G28" s="1"/>
  <c r="B33" i="43" l="1"/>
  <c r="B34" s="1"/>
  <c r="B35" s="1"/>
  <c r="B36" s="1"/>
  <c r="C33"/>
  <c r="O123" i="61"/>
  <c r="N123"/>
  <c r="C30" i="105" l="1"/>
  <c r="B37" i="43"/>
  <c r="B38" s="1"/>
  <c r="C37"/>
  <c r="B39" l="1"/>
  <c r="C39"/>
  <c r="B40" l="1"/>
  <c r="C40"/>
  <c r="B41" l="1"/>
  <c r="B42" s="1"/>
  <c r="C41"/>
  <c r="G45" i="45"/>
  <c r="N34" i="55"/>
  <c r="N53"/>
  <c r="N52"/>
  <c r="N51"/>
  <c r="N50"/>
  <c r="N49"/>
  <c r="N48"/>
  <c r="N47"/>
  <c r="N46"/>
  <c r="N45"/>
  <c r="N44"/>
  <c r="N43"/>
  <c r="N42"/>
  <c r="N41"/>
  <c r="N40"/>
  <c r="N39"/>
  <c r="N38"/>
  <c r="N33"/>
  <c r="N32"/>
  <c r="N31"/>
  <c r="O25"/>
  <c r="P25" s="1"/>
  <c r="O24"/>
  <c r="P24" s="1"/>
  <c r="O23"/>
  <c r="P23" s="1"/>
  <c r="O22"/>
  <c r="P22" s="1"/>
  <c r="O21"/>
  <c r="P21" s="1"/>
  <c r="O20"/>
  <c r="P20" s="1"/>
  <c r="P19"/>
  <c r="O19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F9"/>
  <c r="E9"/>
  <c r="D9"/>
  <c r="C9"/>
  <c r="Q26"/>
  <c r="N54" i="41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Y26"/>
  <c r="W26"/>
  <c r="O25"/>
  <c r="P25" s="1"/>
  <c r="O24"/>
  <c r="P24" s="1"/>
  <c r="P23"/>
  <c r="O23"/>
  <c r="O22"/>
  <c r="P22" s="1"/>
  <c r="O21"/>
  <c r="P21" s="1"/>
  <c r="O20"/>
  <c r="P20" s="1"/>
  <c r="P19"/>
  <c r="O19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P5"/>
  <c r="X5" s="1"/>
  <c r="P4"/>
  <c r="X4" s="1"/>
  <c r="P3"/>
  <c r="X3" s="1"/>
  <c r="P2"/>
  <c r="X2" s="1"/>
  <c r="Y28" l="1"/>
  <c r="B43" i="43"/>
  <c r="B44" s="1"/>
  <c r="C43"/>
  <c r="O9" i="55"/>
  <c r="P9" s="1"/>
  <c r="O6"/>
  <c r="P6" s="1"/>
  <c r="O8"/>
  <c r="P8" s="1"/>
  <c r="O7"/>
  <c r="P7" s="1"/>
  <c r="P2"/>
  <c r="O9" i="41"/>
  <c r="P9" s="1"/>
  <c r="V9" s="1"/>
  <c r="O7"/>
  <c r="P7" s="1"/>
  <c r="V7" s="1"/>
  <c r="O6"/>
  <c r="P6" s="1"/>
  <c r="V6" s="1"/>
  <c r="O8"/>
  <c r="P8" s="1"/>
  <c r="V8" s="1"/>
  <c r="Q26"/>
  <c r="X26"/>
  <c r="V26" l="1"/>
  <c r="X28" s="1"/>
  <c r="O26" i="55"/>
  <c r="B45" i="43"/>
  <c r="C45"/>
  <c r="P26" i="55"/>
  <c r="P26" i="41"/>
  <c r="O26"/>
  <c r="B46" i="43" l="1"/>
  <c r="C46"/>
  <c r="B47" l="1"/>
  <c r="B48" s="1"/>
  <c r="B49" s="1"/>
  <c r="C47"/>
  <c r="B50" l="1"/>
  <c r="C50"/>
  <c r="B51" l="1"/>
  <c r="C51"/>
  <c r="B52" l="1"/>
  <c r="C52"/>
  <c r="B53" l="1"/>
  <c r="C53"/>
  <c r="B54" l="1"/>
  <c r="C54"/>
  <c r="B55" l="1"/>
  <c r="C55"/>
  <c r="C57" l="1"/>
  <c r="G10" i="45" l="1"/>
  <c r="F10"/>
  <c r="E10"/>
  <c r="C48" i="43" l="1"/>
  <c r="C56" s="1"/>
  <c r="G56" l="1"/>
  <c r="G58" s="1"/>
  <c r="G8" i="45" l="1"/>
  <c r="E6"/>
  <c r="F6" s="1"/>
  <c r="E7"/>
  <c r="F7"/>
  <c r="F5"/>
  <c r="E5"/>
  <c r="H45"/>
  <c r="E8"/>
  <c r="J3"/>
  <c r="E27" i="44"/>
  <c r="E28" l="1"/>
  <c r="F8" i="45"/>
  <c r="G27" i="42" l="1"/>
  <c r="L30" s="1"/>
  <c r="D30" i="105" l="1"/>
  <c r="D32" s="1"/>
  <c r="F27" i="42"/>
  <c r="K30" s="1"/>
  <c r="B57" i="43" l="1"/>
  <c r="C58" s="1"/>
  <c r="B58" l="1"/>
  <c r="B59" s="1"/>
  <c r="B60" s="1"/>
</calcChain>
</file>

<file path=xl/sharedStrings.xml><?xml version="1.0" encoding="utf-8"?>
<sst xmlns="http://schemas.openxmlformats.org/spreadsheetml/2006/main" count="1223" uniqueCount="509">
  <si>
    <t>5ος</t>
  </si>
  <si>
    <t>ΣΥΝΟΛΑ</t>
  </si>
  <si>
    <t>1ος</t>
  </si>
  <si>
    <t>2ος</t>
  </si>
  <si>
    <t>3ος</t>
  </si>
  <si>
    <t>4ος</t>
  </si>
  <si>
    <t>6ος</t>
  </si>
  <si>
    <t>7ος</t>
  </si>
  <si>
    <t>8ος</t>
  </si>
  <si>
    <t>9ος</t>
  </si>
  <si>
    <t>10ος</t>
  </si>
  <si>
    <t>11ος</t>
  </si>
  <si>
    <t>12ος</t>
  </si>
  <si>
    <t>zηλ-π.χ.-1</t>
  </si>
  <si>
    <t>επικαρπία</t>
  </si>
  <si>
    <t>εκκαθαριστικό - προκαταβολή</t>
  </si>
  <si>
    <t>φόρος</t>
  </si>
  <si>
    <t>κανονικό</t>
  </si>
  <si>
    <t>242β = λάθος δηλωθέν φορολογητέο ποσό</t>
  </si>
  <si>
    <t>κανονικά</t>
  </si>
  <si>
    <t>241ι21β = προκαταβολή φόρου για επόμενο έτος - ΔΙΑΦΟΡΑ</t>
  </si>
  <si>
    <t>ΣΥΝΟΛΟ</t>
  </si>
  <si>
    <t>συμβόλαιο</t>
  </si>
  <si>
    <t>βιβλΕσ</t>
  </si>
  <si>
    <t>διαφορά</t>
  </si>
  <si>
    <t>σε€</t>
  </si>
  <si>
    <t>ποσόΦορου</t>
  </si>
  <si>
    <t>ποσόΦόρου</t>
  </si>
  <si>
    <t>σύνολο</t>
  </si>
  <si>
    <t>7η σελίδα</t>
  </si>
  <si>
    <t>7η σελίδα βιβλΕσ -άθροισμα (έξοδα + αποσβέσεις)</t>
  </si>
  <si>
    <t>συν (+) 2 σε κάθε μέτρημα</t>
  </si>
  <si>
    <t>αναζήτηση</t>
  </si>
  <si>
    <t>120/9ος</t>
  </si>
  <si>
    <t>3αναλογ</t>
  </si>
  <si>
    <t>2κληρΑπ</t>
  </si>
  <si>
    <t>συμβόλαια = 2 σελίδες Μ.Ο. αύξηση κάθε μέτρημα</t>
  </si>
  <si>
    <t>244β1 = λάθος καταχώρηση βιβλία εσόδων λογιστή</t>
  </si>
  <si>
    <t>ρύθμιση</t>
  </si>
  <si>
    <t>1996-1998</t>
  </si>
  <si>
    <t>ποσό</t>
  </si>
  <si>
    <t>για έτη</t>
  </si>
  <si>
    <t>241γ = πρόστιμα</t>
  </si>
  <si>
    <t>185α-1 = νανάκια {2ος=50}</t>
  </si>
  <si>
    <t>185α-1 = νανάκια {2ος=100}</t>
  </si>
  <si>
    <t>241δ = περαίωση</t>
  </si>
  <si>
    <t>747 = 1]μη εμπρόθεσμη ενημέρωση βιβλίων {186€}, 2] ανακριβή ενημέρωση εσόδων = 2.922€ {2.923} , 3] όχι φορολ. δήλωση για 2014 {{{βιβλία = zηλ , γεμάτο κενά}</t>
  </si>
  <si>
    <t>15/1/2007 αντί 05/05/2006</t>
  </si>
  <si>
    <t>244δ1 = Ε1 - λογιστής ΜΗ καταχώρηση</t>
  </si>
  <si>
    <t>ΚΥΡΟΣ - γέννηση</t>
  </si>
  <si>
    <t>ΓΕΩΡΓΙΟΣ -γέννηση</t>
  </si>
  <si>
    <t>παρακρατήσεις 20% από Τ.Π.Υ.</t>
  </si>
  <si>
    <t>241ι24γ = ΔΟΛΟΣ = Ε1 - η δωρεάν παραχώρηση χώρου στον σύζυγο {= έσοδο}</t>
  </si>
  <si>
    <t>ποσό Ε1</t>
  </si>
  <si>
    <t>241ι24δ = ΔΟΛΟΣ = Ε1 - ιδιόχρηση</t>
  </si>
  <si>
    <t>μαζί με δωρεάν παρχ. Ζηλ</t>
  </si>
  <si>
    <t>πάει στο 241ι24δ</t>
  </si>
  <si>
    <t>και(+)Ζηλ</t>
  </si>
  <si>
    <t>241ι24β = ΔΟΛΟΣ = Ε1 - ΟΧΙ υπολογισμός της επιχειρηματικής ζημιάς του συζύγου</t>
  </si>
  <si>
    <t>ΌΧΙ καταχώρηση ζημιάς 2003</t>
  </si>
  <si>
    <t>ΌΧΙ καταχώρηση ζημιάς 2003-2004</t>
  </si>
  <si>
    <t>φορολογητέο = 8.570,5 //// φόρος = 0</t>
  </si>
  <si>
    <t>φορολογητέο = 7.167 //// φόρος = 0</t>
  </si>
  <si>
    <t>αναλώθηκε στο 2006</t>
  </si>
  <si>
    <t>αναλώθηκε στο 2007</t>
  </si>
  <si>
    <t>φορολογητέο = 3.472 //// φόρος = 0</t>
  </si>
  <si>
    <t>243α = Δ.Ο.Υ. - ΛΑΘΟΣ υπαλλήλου = ΦΜΥ …///… μία πληρωμή ΦΠΑ (2014 = 500€) , η ανόητη υπάλληλος , το καταχώρησε στον κωδικό για Φ.Μ.Υ</t>
  </si>
  <si>
    <t>βιβλίοΣυμβολαίων</t>
  </si>
  <si>
    <t>τόκοι δανείων</t>
  </si>
  <si>
    <t>τόκοι δανείων /// λείπουν &amp; έγγραφα τράπεζας</t>
  </si>
  <si>
    <t>241ι21γ = προκαταβολή φόρου για επόμενο έτος - ΧΡΗΣΗ</t>
  </si>
  <si>
    <t>386-19/03/2007 = επειθεώρηση εργασίας  = ΌΧΙ υπογραφή βιβλίο αδειών</t>
  </si>
  <si>
    <t>242δ = δάνειο ΤΕΜΠΜΕ</t>
  </si>
  <si>
    <t>**1** = ημερομηνία</t>
  </si>
  <si>
    <t>**2** = κεφάλαιο</t>
  </si>
  <si>
    <t>το μεγάλο μυστικό = ΌΧΙ ΑΝΑΚΕΦΑΛΑΙΟΠΟΙΗΣΗ ΤΟΚΩΝ</t>
  </si>
  <si>
    <t>**1**</t>
  </si>
  <si>
    <t>**2**</t>
  </si>
  <si>
    <t>**3**</t>
  </si>
  <si>
    <t>**4**</t>
  </si>
  <si>
    <t>**5**</t>
  </si>
  <si>
    <t>**6**</t>
  </si>
  <si>
    <t>**7**</t>
  </si>
  <si>
    <t>**8**</t>
  </si>
  <si>
    <t>το μεγαλύτερο μυστικό =  η πληρωμή πάει στο κεφάλαιο  ,  ΚΑΙ ΑΝ περισσεύει = ΠΑΛΙ στο κεφάλαιο</t>
  </si>
  <si>
    <t>το ΑΠΟΛΥΤΟ μυστικό = τόκος επί πληρωμένου κεφαλαίου , μένει ''παυλόπουλος'' μέχρι την αποπληρωμή του</t>
  </si>
  <si>
    <t>**4** = τόκος ακίνητος</t>
  </si>
  <si>
    <t>**5** = συσώρευση δεδουλευμένων τόκων</t>
  </si>
  <si>
    <t>**6** = πληρωμή</t>
  </si>
  <si>
    <t>**7** = υποχρέωση προς μεταφορά = **4** + **5**</t>
  </si>
  <si>
    <t>**8** = υποχρέωση = **2** + **7**</t>
  </si>
  <si>
    <t>2001 έως 2007</t>
  </si>
  <si>
    <t>1999 έως 2000</t>
  </si>
  <si>
    <t>εκπρόθεσμη πληρωμή περαίωσης</t>
  </si>
  <si>
    <t>ΌΧΙ καταχώρηση ζημιάς 2008</t>
  </si>
  <si>
    <t>ΌΧΙ καταχώρηση ζημιάς 2009</t>
  </si>
  <si>
    <t>εισόδημαΦΠ-80014-31/10/2007=??????????? /// 48δόσεις /// ΔΕΝ έχει συνημμένο τι ΣΚΑΤΑ πληρώνουμε = κεφάλαιο + τόκοι + προσαυξήσεις + μαλί της γριάς</t>
  </si>
  <si>
    <t>1,03=τοκοι</t>
  </si>
  <si>
    <t>0,55=τοκοι</t>
  </si>
  <si>
    <t>0,03=τόκοι</t>
  </si>
  <si>
    <t>2,03=τόκοι</t>
  </si>
  <si>
    <t>τόκοι</t>
  </si>
  <si>
    <t>2010-6ος = 16%</t>
  </si>
  <si>
    <t xml:space="preserve">241θ2α = ΔΟΛΟΣ = ύπαρξη ή ΟΧΙ ΦΠΑ …///… και αν ΝΑΙ , ύψος αυτού </t>
  </si>
  <si>
    <t>2016-6ος = 24%</t>
  </si>
  <si>
    <t>241θ2β = ΔΟΛΟΣ = πληρωμές ΦΠΑ</t>
  </si>
  <si>
    <t>241θ2α = ετήσιο</t>
  </si>
  <si>
    <t>2010-4'</t>
  </si>
  <si>
    <t>2010-3'</t>
  </si>
  <si>
    <t>πληρωμές</t>
  </si>
  <si>
    <t>ΝΑ επιστραφούν στους πολίτες</t>
  </si>
  <si>
    <t>2008 έως 2009</t>
  </si>
  <si>
    <t>φόρος ετήσιος</t>
  </si>
  <si>
    <t>πληρωμές ΑΛΦΑ 30/03/2010 = 2.374,72 &amp; 30/04/2010=2.390 ήταν μαζί με πληρωμές για 2017</t>
  </si>
  <si>
    <t>για 2007 /// να ΠΑΕΙ στις ρυθμίσεις /// 24δόσεις - α.α.=80009</t>
  </si>
  <si>
    <t>2008φόρος=80010-19/09/2008=??????????? /// 48δόσεις /// ΔΕΝ έχει συνημμένο τι ΣΚΑΤΑ πληρώνουμε = κεφάλαιο + τόκοι + προσαυξήσεις + μαλί της γριάς</t>
  </si>
  <si>
    <t>2009φόρος=80004-19/06/2010=??????????? /// 12δόσεις /// ΔΕΝ έχει συνημμένο τι ΣΚΑΤΑ πληρώνουμε = κεφάλαιο + τόκοι + προσαυξήσεις + μαλί της γριάς</t>
  </si>
  <si>
    <t>ΌΧΙ καταχώρηση ζημιάς 2008-2009</t>
  </si>
  <si>
    <t>αναλώθηκε στο 2010</t>
  </si>
  <si>
    <t>αναλώθηκε εν μέρει στο 2009</t>
  </si>
  <si>
    <t>φορολογητέο = 10.715,66 //// φόρος = 0</t>
  </si>
  <si>
    <t>φορολογητέο = 11.847,93 //// φόρος = 0</t>
  </si>
  <si>
    <t>παρακράτησηΤ.Π.Υ. = 4.200</t>
  </si>
  <si>
    <t xml:space="preserve">οι παρακρατήσεις Τ.Π.Υ. του zηλ για 2009=4.200 ΔΕΝ τις αφαιρεί από Τερζίδου ΑΛΛΑ τις περνάει ως προκαταβολή επόμενου έτουςτις </t>
  </si>
  <si>
    <t>4,34=τόκοι</t>
  </si>
  <si>
    <t>7,82=τόκοι</t>
  </si>
  <si>
    <t>20,80=τόκοι</t>
  </si>
  <si>
    <t>1,64=τόκοι</t>
  </si>
  <si>
    <t>1,79= τόκοι</t>
  </si>
  <si>
    <t>67,4 = τόκοι</t>
  </si>
  <si>
    <t>9,95 = τόκοι</t>
  </si>
  <si>
    <t>19,75 = τόκοι</t>
  </si>
  <si>
    <t>142,26 = τόκοι</t>
  </si>
  <si>
    <t>23,65 = τόκοι</t>
  </si>
  <si>
    <t>62,47 = τόκοι</t>
  </si>
  <si>
    <t>83,84 = τόκοι</t>
  </si>
  <si>
    <t>6,27 = τόκοι</t>
  </si>
  <si>
    <t>42,31 = τόκοι</t>
  </si>
  <si>
    <t>πλέον δεν αναλύει σε κεφάλασιο - τόκους</t>
  </si>
  <si>
    <t>30-06-2016 = ρύθμιση 9.600€ σε 12 δόσεις των 800</t>
  </si>
  <si>
    <t>**3** = δεδουλευμένοι τόκοι {κάθε εξάμηνο * (1,05% ΑΡΑ 0,09%*μήνες} , {υπερημερίας = έως 2,1%}</t>
  </si>
  <si>
    <t>το ΤΕΜΠΜΕ πλήρωνε τον υπόλοιπο τόκο έως = ;;;;;???????????????!!!!!!!!!!!!!!</t>
  </si>
  <si>
    <t xml:space="preserve">ακίνητοι 5 μήνες ΛΟΓΩ καταστροφών Θάσου </t>
  </si>
  <si>
    <t>εκπρόθεσμη πληρωμή ΦΜΥ 2000-8</t>
  </si>
  <si>
    <t>εκπρόθεσμη πληρωμή ΦΜΥ 2001-1</t>
  </si>
  <si>
    <t>εκπρόθεσμη πληρωμή ΦΜΥ 2004-12</t>
  </si>
  <si>
    <t>εκπρόθεσμη πληρωμή ΦΜΥ 1999-10</t>
  </si>
  <si>
    <t>αποΕ7</t>
  </si>
  <si>
    <t>εκπρόθεσμη πληρωμή ΦΜΥ 2008-12</t>
  </si>
  <si>
    <t>ΔΕΝ έχω πληρωμές</t>
  </si>
  <si>
    <t>εκπρόθεσμη πληρωμή ΦΜΥ {20010-2-6-8-4</t>
  </si>
  <si>
    <t>ε7=;;???</t>
  </si>
  <si>
    <t>οι παρακρατήσεις 20% Τ.Π.Υ. zηλ για 2009=4.200 , ΠΟΥ καταχωρηθήκαν ως προκαταβολή επόμενου έτους ,  ΔΕΝ καταχωρούνται στο ΝΈΟ εκκαθαριστικό</t>
  </si>
  <si>
    <t>φόρος ΠΟΥ κακώς αποδόθηκε</t>
  </si>
  <si>
    <t>υπόλοιπο παρακρατήσεων 20% του 2010</t>
  </si>
  <si>
    <t>φόρος ΠΟΥ κακώς αποδόθηκε το 2011</t>
  </si>
  <si>
    <t>προκαταβολή επόμενου έτους</t>
  </si>
  <si>
    <t>προκαταβολή επόμενου έτους 2011 ΔΕΝ υπολογίζεται</t>
  </si>
  <si>
    <t>φορολογητέο = 10.861,26 //// φόρος = 9,09</t>
  </si>
  <si>
    <t xml:space="preserve">οι παρακρατήσεις Τ.Π.Υ. του zηλ για 2014=940,80 ΔΕΝ τις αφαιρεί από Τερζίδου ΑΛΛΑ τις περνάει ως προκαταβολή επόμενου έτουςτις </t>
  </si>
  <si>
    <t>ζημιά 2008</t>
  </si>
  <si>
    <t>ζημιά 2006</t>
  </si>
  <si>
    <t>ΌΧΙ καταχώρηση ζημιάς 2004</t>
  </si>
  <si>
    <t>ΌΧΙ υπολογισμός ζημιάς 2013</t>
  </si>
  <si>
    <t>ΌΧΙ υπολογισμός ζημιάς 2014</t>
  </si>
  <si>
    <t>αναλώθηκε στο 2015</t>
  </si>
  <si>
    <t>φορολογητέο = 9.105,07 //// φόρος = 2.367 ΤΟΝ ΑΦΑΙΡΕΣΕ από προκαταβολή 20% Τ.Π.Υ. 2015 = 5.020,72</t>
  </si>
  <si>
    <t>ΌΧΙ υπολογισμός ζημιάς 2013-2014</t>
  </si>
  <si>
    <t>υπόλοιπο προκαταβολής Τ.Π.Υ. 2015 το ΣΥΜΨΗΦΙΖΕΙ με Τερζίδου</t>
  </si>
  <si>
    <t>αναλώθηκε εν μέρει στο 2015</t>
  </si>
  <si>
    <t>ΌΧΙ υπολογισμός ζημιάς 2016</t>
  </si>
  <si>
    <t>ζημιά 2017 = λάθη στο Ε1 {{ φορολογητέο = 3.185,19</t>
  </si>
  <si>
    <t xml:space="preserve">φορολογητέο = 2.700 //// φόρος ΠΟΥ συμψηφίζει με προκαταβολή 20% = 704= </t>
  </si>
  <si>
    <t>ΌΧΙ υπολογισμός ζημιάς 2018</t>
  </si>
  <si>
    <t>φόρος που κακώς αποδόθηκε {= ΌΧΙ υπολογισμός ζημιών παλιών ετών</t>
  </si>
  <si>
    <t>αναλώθηκε στο 2019</t>
  </si>
  <si>
    <t>αναλώθηκε εν μέρει στο 2019</t>
  </si>
  <si>
    <t>αναλώθηκε στο 2020</t>
  </si>
  <si>
    <t>παρακράτηση επόμενου έτους</t>
  </si>
  <si>
    <t>υπόλοιπο 2018</t>
  </si>
  <si>
    <t>ΌΧΙ υπολογισμός υπόλοιπου ζημιάς 2018</t>
  </si>
  <si>
    <t>σε 23 μήνες η ΑΑΔΕ προσθέτει 1.069,92</t>
  </si>
  <si>
    <t>αφαίρεση 6.368,18 (κεφάλαιο) + 1.069 (μαλί γριάς)</t>
  </si>
  <si>
    <t>κ.Τερζίδου</t>
  </si>
  <si>
    <t>zηλ</t>
  </si>
  <si>
    <t>241ι23δ = ΔΟΛΟΣ = εκκαθαριστικό - ποσό έδρας &amp; υποκαταστημάτων</t>
  </si>
  <si>
    <t>241ι23γ = ΔΟΛΟΣ = εκκαθαριστικό - ειδική εισφορά αλληλεγγύης</t>
  </si>
  <si>
    <t>zηλ = ζημιά</t>
  </si>
  <si>
    <t>241ι23κ = ΔΟΛΟΣ = εκκαθαριστικό - χαρτόσημο λόγω εκπρόθεσμου</t>
  </si>
  <si>
    <t>241ι23β = ΔΟΛΟΣ = εκκαθαριστικό - εκπρόθεσμο ΟΓΑ χαρτ/μου</t>
  </si>
  <si>
    <t>241ι23θ = ΔΟΛΟΣ = εκκαθαριστικό - τέλος χαρτοσήμου</t>
  </si>
  <si>
    <t>241ι23λ = ΔΟΛΟΣ = εκκαθαριστικό - ακίνητα … ή … ακίνητη περιουσία</t>
  </si>
  <si>
    <t>241ι23μ = ΔΟΛΟΣ = εκκαθαριστικό - αυτοτελή φορολογούμενα ποσά ΚΤΛ</t>
  </si>
  <si>
    <t>241ι23ν = ΔΟΛΟΣ = εκκαθαριστικό - μερίσματα - τόκοι - δικαιώματα</t>
  </si>
  <si>
    <t>έκτακτη οικονομική εισφορά φυσικών προσώπων &amp; σχολάζουσας κληρονομιάς</t>
  </si>
  <si>
    <t>ΦΑΠ-2013 {βγηκε 9ο - πληρώθηκε 11ο = 59ημέρες καθυστέρηση</t>
  </si>
  <si>
    <t>προκαταβολή 20% Τ.Π.Υ. = 96,00 ΤΟΝ ΑΦΑΙΡΕΙ από Τερζίδου</t>
  </si>
  <si>
    <t>8/9/2020 μπήκε στην ΑΑΔΕ με 6.368,18 ΑΡΑ έχουμε &amp; άλλες πληρωμές</t>
  </si>
  <si>
    <t>ΦΑΠ-2012 {βγηκε 2013-7ο - πληρώθηκε 9ο</t>
  </si>
  <si>
    <t>ΦΑΠ-2011 {βγηκε 2013-7ο - πληρώθηκε 9ο</t>
  </si>
  <si>
    <t>ΕΕΤΗΔΕ-2010 {βγηκε 2013-7ο - πληρώθηκε 11ο</t>
  </si>
  <si>
    <t>ΕΕΤΗΔΕ-2011 {βγηκε ;;;??? - πληρώθηκε 11ο</t>
  </si>
  <si>
    <t>241κ = ΔΟΛΟΣ = νταβατζιλίκι - έναρξης δραστηριοότητας</t>
  </si>
  <si>
    <t>7.500δρχ κατά την έναρξη δραστηριότητας</t>
  </si>
  <si>
    <t>στην αρχή τα είχαν στην ΔΕΗ</t>
  </si>
  <si>
    <t>ποσό έτους</t>
  </si>
  <si>
    <t>ΦΑΠ-2010 {βγηκε 26/07/13 - πληρώθηκε 11ο</t>
  </si>
  <si>
    <t>ΦΑΠ-2011 {βγηκε 2013-7ο - πληρώθηκε 2013-9ο</t>
  </si>
  <si>
    <t>ΦΑΠ-2012 {βγηκε 2013-9ο - πληρώθηκε 2013-11ο</t>
  </si>
  <si>
    <t>ΦΑΠ-2013 εκδόθηκε 16/9/2014</t>
  </si>
  <si>
    <t>ΦΑΠ-2010 {βγηκε 26/07/13 - πληρώθηκε 2013-9ο</t>
  </si>
  <si>
    <t>ΕΝΦΙΑ-2014 ταυτότητα 22/10/2015 = δόσεις των 227,75</t>
  </si>
  <si>
    <t>ΕΝΦΙΑ-2015 ταυτότητα 10/12/2016 = υπόλοιπο 737,70</t>
  </si>
  <si>
    <t>241θ3β2 = ΔΟΛΟΣ = ύπαρξη ή ΟΧΙ ΕΕΕΤΗΔΕ …///… και αν ΝΑΙ , ύψος αυτού</t>
  </si>
  <si>
    <t>241θ3α1 = ΔΟΛΟΣ = ύπαρξη ή ΟΧΙ ΕΝΦΙΑ …///… και αν ΝΑΙ , ύψος αυτού</t>
  </si>
  <si>
    <t>241θ3α2 = ΔΟΛΟΣ = ύπαρξη ή ΟΧΙ Εκτακτης Εισφοράς Κληρονομιάς …///… και αν ΝΑΙ , ύψος αυτού</t>
  </si>
  <si>
    <t>241θ3β1 = ΔΟΛΟΣ = ύπαρξη ή ΟΧΙ ΕΕΤΑ …///… και αν ΝΑΙ , ύψος αυτού</t>
  </si>
  <si>
    <t>241θ3α3 = ΔΟΛΟΣ = ύπαρξη ή ΟΧΙ  ….. ΦΜΑΠ …///… και αν ΝΑΙ , ύψος αυτού</t>
  </si>
  <si>
    <t>241θ3α4 = ΔΟΛΟΣ = ύπαρξη ή ΟΧΙ … ΕΤΑΚ …///… και αν ΝΑΙ , ύψος αυτού</t>
  </si>
  <si>
    <t>ΕΝΦΙΑ-2016</t>
  </si>
  <si>
    <t>ΕΝΦΙΑ-2017</t>
  </si>
  <si>
    <t>ΕΝΦΙΑ-2018</t>
  </si>
  <si>
    <t>ΕΝΦΙΑ-2019</t>
  </si>
  <si>
    <t>ΕΝΦΙΑ-2020</t>
  </si>
  <si>
    <t>ΕΝΦΙΑ-2021</t>
  </si>
  <si>
    <t>ΕΝΦΙΑ-2022</t>
  </si>
  <si>
    <t>ρύθμιση του 2011</t>
  </si>
  <si>
    <t>241θ9 = ΔΟΛΟΣ = ύπαρξη ή ΟΧΙ … Φ.Μ.Υ.  …///… και αν ΝΑΙ , ύψος αυτού</t>
  </si>
  <si>
    <t>από τα 4.676,96 φόρος zηλ αφαιρεί το 4.296,93 της τερζίδου /// ΓΙΑΤΙ ΔΕΝ το κάνει ΌΛΑ τα έτη με την ζημιά του συζήγου ;;;;;;;;;!!!!!!!!!!!!!!!!</t>
  </si>
  <si>
    <t>241ι23ζ = ΔΟΛΟΣ = εκκαθαριστικό - επιβάρυνση φόρου αποδ</t>
  </si>
  <si>
    <t xml:space="preserve">ποσό </t>
  </si>
  <si>
    <t>241ι23ξ = ΔΟΛΟΣ = εκκαθαριστικό -  μείωση επιστροφής φόρου</t>
  </si>
  <si>
    <t>για 2011</t>
  </si>
  <si>
    <t>για 2011-2-3-4</t>
  </si>
  <si>
    <t>για 2012-1-2-3-4</t>
  </si>
  <si>
    <t>για 2013-1-2-3</t>
  </si>
  <si>
    <t>για 2013-10'</t>
  </si>
  <si>
    <t>πρόστιμο εκπρόθεσμου 2011-2012</t>
  </si>
  <si>
    <t>ΑΑΔΕ</t>
  </si>
  <si>
    <t>ρύθμιση 2011</t>
  </si>
  <si>
    <t>για 2013-4'</t>
  </si>
  <si>
    <t>για 2012</t>
  </si>
  <si>
    <t>για 2013</t>
  </si>
  <si>
    <t>ρύθμιση 2014</t>
  </si>
  <si>
    <t>ΕΝΦΙΑ από πίνακας χρέη</t>
  </si>
  <si>
    <t>ΕΝΦΙΑ zηλ  από πίνακας χρέη</t>
  </si>
  <si>
    <t>πρόστιμο zηλ = εκπρόθεσμου 2011-2012</t>
  </si>
  <si>
    <t xml:space="preserve">ρύθμιση = από χρέη </t>
  </si>
  <si>
    <t>χρέη = κατασχέσεις δικαιωμάτων από συμβόλαια</t>
  </si>
  <si>
    <t>ρύθμιση 120 δόσεις ΜΕ κεφάλαιο = 127.368,13  ΚΑΙ προσαυξήσεις = 48.919,35</t>
  </si>
  <si>
    <t>αθηνά-Δ.Ο.Υ.</t>
  </si>
  <si>
    <t>241θ2α = zηλ</t>
  </si>
  <si>
    <t>241θ2γ = ΔΟΛΟΣ = ΦΠΑ - διαφορά</t>
  </si>
  <si>
    <t>πρόστιμο Κ.Β.Σ. οριστική βεβαίωση</t>
  </si>
  <si>
    <t>χρέη = Δ.Ο.Υ. - Ραλλού</t>
  </si>
  <si>
    <t>στον κουβα</t>
  </si>
  <si>
    <t>χρέη = φόρος Παλιά Δ.Ο.Υ. - Ραλλού</t>
  </si>
  <si>
    <t>χρέη = ρύθμιση 120 δόσεις 7/10/2019 ΜΕ κεφάλαιο = 127.368,13  ΚΑΙ προσαυξήσεις = 48.919,35</t>
  </si>
  <si>
    <t>ρύθμιση 72 δόσεις 30/09/2021ΜΕ κεφάλαιο = 44.035,63  ΚΑΙ προσαυξήσεις = 8.028,84</t>
  </si>
  <si>
    <t>ρύθμισηΒ' 72 δόσεις 03/11/2021ΜΕ κεφάλαιο = 156.223,62  ΚΑΙ προσαυξήσεις = 58.0617,16</t>
  </si>
  <si>
    <t>χρέη = ΦΠΑ - Ραλλού</t>
  </si>
  <si>
    <t>χρέη = φόρος-2019 - Ραλλού</t>
  </si>
  <si>
    <t>π-4575</t>
  </si>
  <si>
    <t xml:space="preserve">χρέη = ΕΕΤΗΔΕ-zηλ-2012 {βγηκε ????- πληρώθηκε 2014-?? </t>
  </si>
  <si>
    <t>χρέη</t>
  </si>
  <si>
    <t>χρέη = χαράτσι</t>
  </si>
  <si>
    <t>χρέη - ΕΝΦΙΑ</t>
  </si>
  <si>
    <t>χρέη = 2/2/2018 = ραλλουΡυθμιση24</t>
  </si>
  <si>
    <t>ΕΕΤΗΔΕ - hellas power</t>
  </si>
  <si>
    <t>ΕΕΤΗΔΕ-2011 {βγηκε 8/9/2014</t>
  </si>
  <si>
    <t>241θ3β3 = ΔΟΛΟΣ = ύπαρξη ή ΌΧΙ   ΤΑΠ …///… και αν ΝΑΙ , ύψος αυτού</t>
  </si>
  <si>
    <t>241θ3β4 = ΔΟΛΟΣ = ύπαρξη ή ΌΧΙ   … ειδικό τέλος ΑΠΕ …///… και αν ΝΑΙ , ύψος αυτού</t>
  </si>
  <si>
    <t>241θ3β5 = ΔΟΛΟΣ = ύπαρξη ή ΌΧΙ   … ΕΡΤ στην ΔΕΗ …///… και αν ΝΑΙ , ύψος αυτού</t>
  </si>
  <si>
    <t>χαράτσι 2011-2η δόση</t>
  </si>
  <si>
    <t>ποσό βιβλία</t>
  </si>
  <si>
    <t>προσμετρούνται στα έξοδα</t>
  </si>
  <si>
    <t>παρακρατήσεις 20% από Τ.Π.Υ. για 2011 = ΑΦΑΙΡΕΣΗ</t>
  </si>
  <si>
    <t>ΕΕΤΗΔΕ-2010 {βγηκε 2013-7ο - πληρώθηκε 2013-11ο</t>
  </si>
  <si>
    <t>για-2012</t>
  </si>
  <si>
    <t>για-2013</t>
  </si>
  <si>
    <t>ποσό εκκαθαριστικό</t>
  </si>
  <si>
    <t>241ι23π = ΔΟΛΟΣ = εκκαθαριστικό -  συμπληρωματικός φόρος</t>
  </si>
  <si>
    <t>241ι23ρ = ΔΟΛΟΣ = εκκαθαριστικό -  ΚΛΠ</t>
  </si>
  <si>
    <t>zηλ = έκτακτη εισφορά</t>
  </si>
  <si>
    <t>για2011</t>
  </si>
  <si>
    <t>για2010</t>
  </si>
  <si>
    <t>πρόστιμο για 2008 &amp; 2009 &amp; 2011</t>
  </si>
  <si>
    <t>ρύθμιση 44 δόσεις</t>
  </si>
  <si>
    <t>244ζ = Ε1 - λογιστής &amp; ΔΩΡΕΕΣ</t>
  </si>
  <si>
    <t>ρύθμιση 74 δόσεις</t>
  </si>
  <si>
    <t>ρύθμιση 100 δόσεις</t>
  </si>
  <si>
    <t>2014-φόρος</t>
  </si>
  <si>
    <t>ρύθμιση 24 δόσεις</t>
  </si>
  <si>
    <t>χρέη = ραλλουΡυθμιση24</t>
  </si>
  <si>
    <t>προσμετρούνται μειωτικά στο εισόδημα</t>
  </si>
  <si>
    <t>244δ2 = Ε1 -λογιστής &amp; ασφάλιστρα ζωής</t>
  </si>
  <si>
    <t>244δ3 = Ε1 - λογιστής &amp; ΤΟΚΟΙ ΔΑΝΕΊΩΝ</t>
  </si>
  <si>
    <t>εκκαθαριστικό</t>
  </si>
  <si>
    <t>ενσωματώνεται στον φόρο εισοδήματος</t>
  </si>
  <si>
    <t>επιχειρήσεις</t>
  </si>
  <si>
    <t>Μ.Ο.</t>
  </si>
  <si>
    <t>σύνολο 20ετίας</t>
  </si>
  <si>
    <t>1980 έως 2000</t>
  </si>
  <si>
    <t>Μ.Ο. -φόρου</t>
  </si>
  <si>
    <t>σύνολο 10ετίας</t>
  </si>
  <si>
    <t>241θ2α</t>
  </si>
  <si>
    <t>241θ3α</t>
  </si>
  <si>
    <t>241θ9</t>
  </si>
  <si>
    <t>241ι1</t>
  </si>
  <si>
    <t>241ι21γ</t>
  </si>
  <si>
    <t>241ι23γ</t>
  </si>
  <si>
    <t>241ι23δ</t>
  </si>
  <si>
    <t>241ι23λ</t>
  </si>
  <si>
    <t>επιστροφή στους ελλαδιστανούς πολίτες</t>
  </si>
  <si>
    <t>για 2014</t>
  </si>
  <si>
    <t>αυξάνουν το φορολογητέο</t>
  </si>
  <si>
    <t>για 2016</t>
  </si>
  <si>
    <t>241λ = ΔΟΛΟΣ = υποχρεωτική χρήση POS</t>
  </si>
  <si>
    <t>Zηλ</t>
  </si>
  <si>
    <t>χελώνες</t>
  </si>
  <si>
    <t>ζημία</t>
  </si>
  <si>
    <t>241ι22α = Ε3 - ''δπάνες ΜΗ εκπιπτώμενες'' = πρόστιμα ΚΛΠ μαλακίες {ενσωμάτωση στα έσοδα}</t>
  </si>
  <si>
    <t>241ι22α</t>
  </si>
  <si>
    <t>σύνολο 17ετίας</t>
  </si>
  <si>
    <t>241ι23α</t>
  </si>
  <si>
    <t>2000 έως 2020</t>
  </si>
  <si>
    <t xml:space="preserve">σπίτι πατρικό </t>
  </si>
  <si>
    <t>αθηνα</t>
  </si>
  <si>
    <t>30% του ενοικίου</t>
  </si>
  <si>
    <t>σύζηγοι</t>
  </si>
  <si>
    <t>2001-2021</t>
  </si>
  <si>
    <t>1980--2000</t>
  </si>
  <si>
    <t>241ι24β</t>
  </si>
  <si>
    <t>σύνολο 15ετίας</t>
  </si>
  <si>
    <t>241ι24δ</t>
  </si>
  <si>
    <t>νεκρό POS</t>
  </si>
  <si>
    <t>σύνολο 5ετίας</t>
  </si>
  <si>
    <t>εμπόριο</t>
  </si>
  <si>
    <t>τουρισμός</t>
  </si>
  <si>
    <t>εστιαση</t>
  </si>
  <si>
    <t>παρΥπ</t>
  </si>
  <si>
    <t>διαφοροι</t>
  </si>
  <si>
    <t>ΑΣ ΤΟΛΜΗΣΟΥΝ οι τράπεζες να δώσουν στοιχεία</t>
  </si>
  <si>
    <t>241λ</t>
  </si>
  <si>
    <t>λογαριασμός ΔΕΗ</t>
  </si>
  <si>
    <t>241δ</t>
  </si>
  <si>
    <t>241θ3β</t>
  </si>
  <si>
    <t>επιστημονες</t>
  </si>
  <si>
    <t>παρΥπηρ</t>
  </si>
  <si>
    <t>εργολαβικά</t>
  </si>
  <si>
    <t>zηλ-π.χ.-1 αδήλωτων</t>
  </si>
  <si>
    <t>;;??;;</t>
  </si>
  <si>
    <t>οι ΑΔΗΛΩΤΕΣ έχουν ενσωματωθεί στο εκκαθαριστικό οπότε παίρνουμ ΜΟΝΟ την ετήσια  χρήση</t>
  </si>
  <si>
    <t>υποχρεωτικά τιμολόγια</t>
  </si>
  <si>
    <t>καλό λογιστή</t>
  </si>
  <si>
    <t>χύμα αλλά ΑΓΑΠΕ</t>
  </si>
  <si>
    <t>φιλοσοφιμένες</t>
  </si>
  <si>
    <t>προσμετράται μειωτικά στο Ε1 - εκκαθαριστικό</t>
  </si>
  <si>
    <t>Ε1</t>
  </si>
  <si>
    <t>φόρος κύριος</t>
  </si>
  <si>
    <t>λογαριασμοι ΔΕΗ … ΟΛΟΙ</t>
  </si>
  <si>
    <t>και ΦΠΑ 6% εκτος 2021</t>
  </si>
  <si>
    <t>ΕΝΦΙΑ - κλπ = zηλ - γιαγιαδες</t>
  </si>
  <si>
    <t>ΔΕΗ - zηλ - γιαγιαδες</t>
  </si>
  <si>
    <t>ΔΕΗ - σπίτια -3 &amp; Δάφνη</t>
  </si>
  <si>
    <t>ΦΜΥ = zηλ</t>
  </si>
  <si>
    <t>βιβλία εξόδων &amp; κοντρολ από 1998 έως 2012</t>
  </si>
  <si>
    <t>βιβλία εξόδων &amp; κοντρολ από 2013 έως σήμερα</t>
  </si>
  <si>
    <t>&amp; zηλ</t>
  </si>
  <si>
    <t>ελλαδιστανοί</t>
  </si>
  <si>
    <t>λογαριασμός ΔΕΗ + ΕΕΤΑ</t>
  </si>
  <si>
    <t>λογαριασμός ΑegeaN</t>
  </si>
  <si>
    <t>μαμά</t>
  </si>
  <si>
    <t>ΌΧΙ καταχώρηση ζημιάς 2005</t>
  </si>
  <si>
    <t>ΌΧΙ καταχώρηση ζημιάς 2006</t>
  </si>
  <si>
    <t>ΌΧΙ καταχώρηση ζημιάς 2007</t>
  </si>
  <si>
    <t>ΌΧΙ καταχώρηση ζημιάς 2012</t>
  </si>
  <si>
    <t>ΌΧΙ καταχώρηση ζημιάς 2013</t>
  </si>
  <si>
    <t>ΌΧΙ καταχώρηση ζημιάς 2014</t>
  </si>
  <si>
    <t>ΌΧΙ καταχώρηση ζημιάς 2015</t>
  </si>
  <si>
    <t>φορολογητέο = 2.700 //// φόρος ΠΟΥ συμψηφίζει με προκαταβολή 20% = 704</t>
  </si>
  <si>
    <t>ΌΧΙ καταχώρηση ζημιάς 2016</t>
  </si>
  <si>
    <t>ΌΧΙ καταχώρηση ζημιάς 2018</t>
  </si>
  <si>
    <t>ΌΧΙ καταχώρηση ζημιάς 2019</t>
  </si>
  <si>
    <t>ΌΧΙ καταχώρηση ζημιάς 2020</t>
  </si>
  <si>
    <t>241ι24β1 = Ε1 - ΟΧΙ υπολογισμός της επιχειρηματικής ζημιάς στο επόμενο έτος</t>
  </si>
  <si>
    <t>241ι24β2 = Ε1 - ΟΧΙ υπολογισμός της επιχειρηματικής ζημιάς του zηλ στο επόμενο έτος</t>
  </si>
  <si>
    <t>ΕΕΤΗΔΕ ποσό έτους</t>
  </si>
  <si>
    <t>ΕΕΤΗΔΕ-2012</t>
  </si>
  <si>
    <t xml:space="preserve">ΕΕΤΗΔΕ-2012 </t>
  </si>
  <si>
    <t>επιχειρ-1</t>
  </si>
  <si>
    <t>επιχειρ-2</t>
  </si>
  <si>
    <t>επιχειρ-3</t>
  </si>
  <si>
    <t>νοικοκυριά</t>
  </si>
  <si>
    <t>διάφορα</t>
  </si>
  <si>
    <t>241ι24β(1-2)</t>
  </si>
  <si>
    <t>242δ = δάνειο ΤΕΜΠΜΕ =αρΣυμβ = 203-2009-0059-000</t>
  </si>
  <si>
    <t>αδήλωτες</t>
  </si>
  <si>
    <t>zηλ - αδήλωτες</t>
  </si>
  <si>
    <t>ΒΑΣΕΙ rochild</t>
  </si>
  <si>
    <t>ΒΑΣΕΙ ΤΑΝ</t>
  </si>
  <si>
    <t>ΜΕ επικαρπία βάσει ροτσιλντ</t>
  </si>
  <si>
    <t>241ι1β = ΔΟΛΟΣ = παρακράτηση φόρου 20% κατά την έκδοση τιμολογίου {= ΧΡΗΣΗ}</t>
  </si>
  <si>
    <t>241ι1γ = ΔΟΛΟΣ = παρακράτηση φόρου 20% κατά την έκδοση τιμολογίου {= ΛΙΓΟΤΕΡΑ δηλωμένες ή ΑΔΗΛΩΤΕΣ}</t>
  </si>
  <si>
    <t>ποσά στις 2023/09/04</t>
  </si>
  <si>
    <t>ΜΕ επικαρπία</t>
  </si>
  <si>
    <t>241-β1 = ΦΜΥ</t>
  </si>
  <si>
    <t>241-β2 = παρακράτηση 20% στο Τ.Π.Υ.</t>
  </si>
  <si>
    <t>καταλογισμός</t>
  </si>
  <si>
    <t>σωστό</t>
  </si>
  <si>
    <t>πληρωμή</t>
  </si>
  <si>
    <t>ημερομηνία</t>
  </si>
  <si>
    <t>παρατηρήσεις</t>
  </si>
  <si>
    <t>ποσό συμβολαίου</t>
  </si>
  <si>
    <t>αποδεκτό</t>
  </si>
  <si>
    <t>2011-1ο</t>
  </si>
  <si>
    <t>9966-15/02/2011</t>
  </si>
  <si>
    <t>πωλητής = η ΕΠΕ /// αγοραστής = φυσικό πρόσωπο</t>
  </si>
  <si>
    <t>2011-2ο</t>
  </si>
  <si>
    <t>10135-2/6/2011</t>
  </si>
  <si>
    <t>πωλητής = η ΑΕ /// αγοραστής = φυσικό πρόσωπο</t>
  </si>
  <si>
    <t>2011-3ο</t>
  </si>
  <si>
    <t>10222-25/07/2011</t>
  </si>
  <si>
    <t>πωλητής = ο ναός /// αγοραστής = φυσικό πρόσωπο</t>
  </si>
  <si>
    <t>2011-4ο</t>
  </si>
  <si>
    <t>είναι στα κατασχεμένα</t>
  </si>
  <si>
    <t>10449-30/11/2011</t>
  </si>
  <si>
    <t>δήμος Θάσου με ΑΕ = μίσθωση</t>
  </si>
  <si>
    <t>2011-5ο</t>
  </si>
  <si>
    <t>λογιστής = 629</t>
  </si>
  <si>
    <t>2011-6ο</t>
  </si>
  <si>
    <t>10690-01/08/2012</t>
  </si>
  <si>
    <t>2012-1ο</t>
  </si>
  <si>
    <t>2012-2ο</t>
  </si>
  <si>
    <t>τα 3 είναι κάτω από 300€</t>
  </si>
  <si>
    <t>2012-3ο</t>
  </si>
  <si>
    <t>2012-4ο</t>
  </si>
  <si>
    <t>λογιστής = 950</t>
  </si>
  <si>
    <t>2012-5ο</t>
  </si>
  <si>
    <t>2012-6ο</t>
  </si>
  <si>
    <t>σίγουρα έχουν πληρωθεί</t>
  </si>
  <si>
    <t>241β = έλεγχος 2013 ( + έλεγχος 2017 )</t>
  </si>
  <si>
    <t>μαμά = ΛΑΘΟΣ λογιστή στο ΙΚΑ</t>
  </si>
  <si>
    <t>ποσό έδρας = 650 = &amp; zηλ &amp; μαμά</t>
  </si>
  <si>
    <t>ιδιόχρηση</t>
  </si>
  <si>
    <t>1997 = που ΕΊΝΑΙ από δικηγόρος ;;???</t>
  </si>
  <si>
    <t>1998 = που ΕΊΝΑΙ από δικηγόρος ;;???</t>
  </si>
  <si>
    <t>241ι23α  = ΔΟΛΟΣ = εκκαθαριστικό - φόρος λόγω εκπρόθεσμου Ε3-Ε1</t>
  </si>
  <si>
    <t>ποσό φόρου</t>
  </si>
  <si>
    <t>244α1 = βιβλία εσόδων - λογιστής &amp; ΑΠΟΣΒΕΣΕΙΣ {αδήλωτες ή λιγότερες</t>
  </si>
  <si>
    <t xml:space="preserve">241θ1α = ΔΟΛΟΣ = φόρος εισοδήματος …///… και αν ΝΑΙ , ύψος αυτού </t>
  </si>
  <si>
    <t>241θ1β = ΔΟΛΟΣ = πληρωμές φόρου</t>
  </si>
  <si>
    <t>243β = ΟΑΕΔ [χαμένη επιδότηση</t>
  </si>
  <si>
    <t>243γ = zηλ-ΤΕΒΕ [διπλοΠληρωμή</t>
  </si>
  <si>
    <t>243α = ΛΑΘΗ υπαλλήλων</t>
  </si>
  <si>
    <t>243δ = ΌΧΙ υπογραφή εργαζομένου στο βιβλίο αδειών [πρόστιμο 2.000 από δ/νση εργασίας</t>
  </si>
  <si>
    <t>241ιΙ23ι = ΔΟΛΟΣ = εκκαθαριστικό - εισφορά ΟΓΑ στο χαρτόσημο</t>
  </si>
  <si>
    <t>για 2003-2005</t>
  </si>
  <si>
    <t>για 2006 έως 2009</t>
  </si>
  <si>
    <t>ζηλ-2013</t>
  </si>
  <si>
    <t>ζηλ2008</t>
  </si>
  <si>
    <t>ζηλ-2007</t>
  </si>
  <si>
    <t>ζηλ-2006</t>
  </si>
  <si>
    <t>ζηλ-2014</t>
  </si>
  <si>
    <t>ζηλ</t>
  </si>
  <si>
    <t>243ζ-258 = 2.000 πρόστιμο [απόλυση γιαγιάς {ενημέρωση ΟΑΕΔ αλλά όχι ΙΚΑ</t>
  </si>
  <si>
    <t>283θ = αντί να βάλουν ''φόρο κύριο'' 1.063.736 ΕΒΑΛΑΝ 10.637.360 , με συνέπεια αντί προκαταβολή 3.121,75 ΕΒΑΛΑΝ 31.217,49</t>
  </si>
  <si>
    <t>ΤΕΛΙΚΑ σωστά ζητάνε 4.942,18-1.820,43+2.718,19 = 5.839,95</t>
  </si>
  <si>
    <t>241θ1</t>
  </si>
  <si>
    <t>zηλ-π.χ.-1 = βάσει R</t>
  </si>
  <si>
    <t>φυσικά πρόσωπα</t>
  </si>
  <si>
    <t>δημόσιοι υπάλληλοι</t>
  </si>
  <si>
    <t>σύνολο 25ετίας</t>
  </si>
  <si>
    <t>σύνολο 12ετίας</t>
  </si>
  <si>
    <t>2000έως 2009</t>
  </si>
  <si>
    <t>επί*10</t>
  </si>
  <si>
    <t>επί*20</t>
  </si>
  <si>
    <t>από 241θ2(α-β-γ)</t>
  </si>
  <si>
    <t>αρνητικά</t>
  </si>
  <si>
    <t>ΤΕΡΖΙΔΟΥ</t>
  </si>
  <si>
    <t>ΦΑΠ</t>
  </si>
  <si>
    <t>ΕΝΦΙΑ</t>
  </si>
  <si>
    <t>241ι23τ = ΔΟΛΟΣ = εκκαθαριστικό - προσαύξηση φόρου αποδείξεων</t>
  </si>
  <si>
    <t>241ι24ζ = Ε1 = πιστωτική [[[ = ΔΑΠΑΝΕΣ ΠΕΡ Α ΠΑΡ 7 ΑΡΘ 15 ΚΦΕ</t>
  </si>
  <si>
    <t>241ι23υ = εκκαθαριστικό = προστιθέμενη διαφορά αντικειμενικών δαπανών</t>
  </si>
  <si>
    <t>εκπρόθεσμη υποβολή ΦΜΥ 2017/3ο</t>
  </si>
  <si>
    <t>επικ/πία</t>
  </si>
  <si>
    <t>επικαρπ</t>
  </si>
  <si>
    <t>zηλ-π.χ.-1 = βάσει Δ.Ο.Υ.</t>
  </si>
  <si>
    <t>απορροφούνται στο ΤΡΟΠΟΠΟΙΗΜΕΝΟ εκκαθαριστικό από κ. Τερζίδου</t>
  </si>
  <si>
    <t>zηλ για έτη</t>
  </si>
  <si>
    <t>πάει 241θ2 = ΦΠΑ</t>
  </si>
  <si>
    <t>244β2 = στις αναλογικές , ο λογιστής (αντιγράφει από βιβλίο συμβολαίων &amp;) καταχωρεί + 8,80€ [= πάγιο παγίων {πάγιο αναλογικής =10,56 (που ΔΕΝ το χρέωσε ΠΟΤΕ)}]</t>
  </si>
  <si>
    <t>244β3 = στις πάγιες , ο λογιστής (αντιγράφει από βιβλίο συμβολαίων &amp;) καταχωρεί 11,73€ αντί 8,80</t>
  </si>
  <si>
    <t>ποσό φόρου εκκαθαριστικό</t>
  </si>
  <si>
    <t>zηλ-π.χ.-1 = βάσει ROCHILD</t>
  </si>
  <si>
    <t>με επικαρπία βάσει Δ.Ο.Υ.</t>
  </si>
  <si>
    <t>241Ι23τ</t>
  </si>
  <si>
    <t>ελλαδιστανοί/ΑΓΑΠΕ</t>
  </si>
  <si>
    <t>ελλαδιστανοί/zηλ</t>
  </si>
  <si>
    <t>2021-2022</t>
  </si>
  <si>
    <t>σύνολο 2ετίας</t>
  </si>
  <si>
    <t>241ι23υ</t>
  </si>
  <si>
    <t>241ι24ζ</t>
  </si>
  <si>
    <t>2020 έως 2022</t>
  </si>
  <si>
    <t>ελλαδιστανοι</t>
  </si>
  <si>
    <t>1974 έως 2000</t>
  </si>
  <si>
    <t>2001 έως 2023</t>
  </si>
  <si>
    <t>241κ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</si>
</sst>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2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00B050"/>
      <name val="Arial"/>
      <family val="2"/>
      <charset val="161"/>
    </font>
    <font>
      <sz val="8"/>
      <name val="Arial"/>
      <family val="2"/>
      <charset val="161"/>
    </font>
    <font>
      <b/>
      <sz val="12"/>
      <color rgb="FF0070C0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18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2"/>
      <color rgb="FF00B050"/>
      <name val="Arial"/>
      <family val="2"/>
      <charset val="161"/>
    </font>
    <font>
      <sz val="18"/>
      <color theme="1"/>
      <name val="Arial"/>
      <family val="2"/>
      <charset val="161"/>
    </font>
    <font>
      <b/>
      <sz val="8"/>
      <color rgb="FF0070C0"/>
      <name val="Arial"/>
      <family val="2"/>
      <charset val="161"/>
    </font>
    <font>
      <sz val="8"/>
      <color rgb="FF00B050"/>
      <name val="Arial"/>
      <family val="2"/>
      <charset val="161"/>
    </font>
    <font>
      <sz val="20"/>
      <color rgb="FFFF0000"/>
      <name val="Arial"/>
      <family val="2"/>
      <charset val="161"/>
    </font>
    <font>
      <sz val="6"/>
      <color theme="1"/>
      <name val="Arial"/>
      <family val="2"/>
      <charset val="161"/>
    </font>
    <font>
      <sz val="7"/>
      <color theme="1"/>
      <name val="Arial"/>
      <family val="2"/>
      <charset val="161"/>
    </font>
    <font>
      <sz val="12"/>
      <color rgb="FF0070C0"/>
      <name val="Arial"/>
      <family val="2"/>
      <charset val="161"/>
    </font>
    <font>
      <b/>
      <sz val="12"/>
      <color theme="1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6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43" fontId="2" fillId="2" borderId="1" xfId="1" applyFont="1" applyFill="1" applyBorder="1"/>
    <xf numFmtId="43" fontId="2" fillId="0" borderId="0" xfId="0" applyNumberFormat="1" applyFont="1"/>
    <xf numFmtId="0" fontId="4" fillId="0" borderId="1" xfId="0" applyFont="1" applyBorder="1"/>
    <xf numFmtId="0" fontId="4" fillId="0" borderId="0" xfId="0" applyFont="1"/>
    <xf numFmtId="43" fontId="4" fillId="0" borderId="0" xfId="0" applyNumberFormat="1" applyFont="1"/>
    <xf numFmtId="43" fontId="4" fillId="0" borderId="0" xfId="1" applyFont="1"/>
    <xf numFmtId="0" fontId="4" fillId="0" borderId="5" xfId="0" applyFont="1" applyBorder="1"/>
    <xf numFmtId="0" fontId="0" fillId="0" borderId="0" xfId="0" applyFont="1"/>
    <xf numFmtId="0" fontId="2" fillId="0" borderId="5" xfId="0" applyFont="1" applyBorder="1"/>
    <xf numFmtId="0" fontId="6" fillId="0" borderId="0" xfId="0" applyFont="1" applyAlignment="1"/>
    <xf numFmtId="0" fontId="6" fillId="0" borderId="0" xfId="0" applyFont="1"/>
    <xf numFmtId="0" fontId="2" fillId="0" borderId="6" xfId="0" applyFont="1" applyBorder="1"/>
    <xf numFmtId="43" fontId="2" fillId="6" borderId="5" xfId="1" applyFont="1" applyFill="1" applyBorder="1"/>
    <xf numFmtId="43" fontId="2" fillId="0" borderId="5" xfId="1" applyFont="1" applyFill="1" applyBorder="1"/>
    <xf numFmtId="43" fontId="2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2" fillId="3" borderId="1" xfId="1" applyFont="1" applyFill="1" applyBorder="1"/>
    <xf numFmtId="43" fontId="2" fillId="2" borderId="5" xfId="1" applyFont="1" applyFill="1" applyBorder="1"/>
    <xf numFmtId="43" fontId="2" fillId="5" borderId="1" xfId="1" applyFont="1" applyFill="1" applyBorder="1"/>
    <xf numFmtId="43" fontId="2" fillId="0" borderId="0" xfId="1" applyFont="1"/>
    <xf numFmtId="0" fontId="4" fillId="0" borderId="0" xfId="0" applyFont="1" applyAlignment="1">
      <alignment horizontal="right"/>
    </xf>
    <xf numFmtId="43" fontId="2" fillId="6" borderId="1" xfId="1" applyFont="1" applyFill="1" applyBorder="1"/>
    <xf numFmtId="164" fontId="4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  <xf numFmtId="43" fontId="2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0" fillId="0" borderId="0" xfId="1" applyNumberFormat="1" applyFont="1" applyFill="1"/>
    <xf numFmtId="164" fontId="6" fillId="0" borderId="0" xfId="0" applyNumberFormat="1" applyFont="1"/>
    <xf numFmtId="43" fontId="2" fillId="11" borderId="1" xfId="1" applyFont="1" applyFill="1" applyBorder="1"/>
    <xf numFmtId="43" fontId="2" fillId="10" borderId="1" xfId="1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2" fillId="0" borderId="5" xfId="1" applyFont="1" applyBorder="1"/>
    <xf numFmtId="43" fontId="2" fillId="0" borderId="6" xfId="1" applyFont="1" applyBorder="1"/>
    <xf numFmtId="43" fontId="2" fillId="0" borderId="12" xfId="1" applyFont="1" applyBorder="1"/>
    <xf numFmtId="164" fontId="2" fillId="0" borderId="12" xfId="1" applyNumberFormat="1" applyFont="1" applyBorder="1"/>
    <xf numFmtId="164" fontId="2" fillId="0" borderId="6" xfId="1" applyNumberFormat="1" applyFont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/>
    <xf numFmtId="164" fontId="4" fillId="10" borderId="0" xfId="1" applyNumberFormat="1" applyFont="1" applyFill="1"/>
    <xf numFmtId="0" fontId="4" fillId="3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164" fontId="4" fillId="6" borderId="5" xfId="1" applyNumberFormat="1" applyFont="1" applyFill="1" applyBorder="1"/>
    <xf numFmtId="43" fontId="4" fillId="0" borderId="5" xfId="1" applyFont="1" applyFill="1" applyBorder="1"/>
    <xf numFmtId="43" fontId="4" fillId="0" borderId="1" xfId="1" applyFont="1" applyFill="1" applyBorder="1"/>
    <xf numFmtId="43" fontId="4" fillId="0" borderId="1" xfId="0" applyNumberFormat="1" applyFont="1" applyFill="1" applyBorder="1"/>
    <xf numFmtId="43" fontId="4" fillId="10" borderId="1" xfId="1" applyFont="1" applyFill="1" applyBorder="1"/>
    <xf numFmtId="164" fontId="4" fillId="6" borderId="0" xfId="1" applyNumberFormat="1" applyFont="1" applyFill="1"/>
    <xf numFmtId="43" fontId="4" fillId="0" borderId="1" xfId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43" fontId="4" fillId="6" borderId="1" xfId="1" applyFont="1" applyFill="1" applyBorder="1"/>
    <xf numFmtId="0" fontId="11" fillId="0" borderId="0" xfId="0" applyFont="1"/>
    <xf numFmtId="164" fontId="4" fillId="0" borderId="0" xfId="1" applyNumberFormat="1" applyFont="1" applyFill="1"/>
    <xf numFmtId="164" fontId="4" fillId="0" borderId="0" xfId="0" applyNumberFormat="1" applyFont="1"/>
    <xf numFmtId="43" fontId="4" fillId="0" borderId="1" xfId="0" applyNumberFormat="1" applyFont="1" applyBorder="1"/>
    <xf numFmtId="43" fontId="4" fillId="0" borderId="1" xfId="1" applyFont="1" applyBorder="1"/>
    <xf numFmtId="0" fontId="4" fillId="0" borderId="0" xfId="0" applyFont="1" applyFill="1" applyAlignment="1">
      <alignment horizontal="center"/>
    </xf>
    <xf numFmtId="0" fontId="11" fillId="0" borderId="14" xfId="0" applyFont="1" applyBorder="1" applyAlignment="1">
      <alignment textRotation="75" wrapText="1"/>
    </xf>
    <xf numFmtId="43" fontId="2" fillId="0" borderId="7" xfId="1" applyFont="1" applyBorder="1"/>
    <xf numFmtId="164" fontId="2" fillId="0" borderId="7" xfId="1" applyNumberFormat="1" applyFont="1" applyBorder="1"/>
    <xf numFmtId="164" fontId="2" fillId="0" borderId="5" xfId="1" applyNumberFormat="1" applyFont="1" applyFill="1" applyBorder="1"/>
    <xf numFmtId="0" fontId="8" fillId="0" borderId="0" xfId="0" applyFont="1"/>
    <xf numFmtId="0" fontId="2" fillId="0" borderId="0" xfId="0" applyFont="1" applyAlignment="1"/>
    <xf numFmtId="0" fontId="2" fillId="13" borderId="1" xfId="0" applyFont="1" applyFill="1" applyBorder="1" applyAlignment="1">
      <alignment horizontal="center" wrapText="1"/>
    </xf>
    <xf numFmtId="164" fontId="2" fillId="0" borderId="0" xfId="0" applyNumberFormat="1" applyFont="1"/>
    <xf numFmtId="43" fontId="2" fillId="4" borderId="1" xfId="1" applyFont="1" applyFill="1" applyBorder="1"/>
    <xf numFmtId="43" fontId="2" fillId="0" borderId="0" xfId="0" applyNumberFormat="1" applyFont="1" applyAlignment="1"/>
    <xf numFmtId="0" fontId="2" fillId="3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/>
    </xf>
    <xf numFmtId="164" fontId="2" fillId="0" borderId="0" xfId="1" applyNumberFormat="1" applyFont="1" applyFill="1"/>
    <xf numFmtId="14" fontId="2" fillId="0" borderId="0" xfId="0" applyNumberFormat="1" applyFont="1"/>
    <xf numFmtId="0" fontId="7" fillId="0" borderId="0" xfId="0" applyFont="1"/>
    <xf numFmtId="43" fontId="2" fillId="0" borderId="6" xfId="1" applyFont="1" applyFill="1" applyBorder="1"/>
    <xf numFmtId="43" fontId="2" fillId="0" borderId="12" xfId="1" applyFont="1" applyFill="1" applyBorder="1"/>
    <xf numFmtId="43" fontId="2" fillId="0" borderId="7" xfId="1" applyFont="1" applyFill="1" applyBorder="1"/>
    <xf numFmtId="43" fontId="12" fillId="0" borderId="6" xfId="1" applyFont="1" applyFill="1" applyBorder="1"/>
    <xf numFmtId="43" fontId="12" fillId="0" borderId="6" xfId="1" applyFont="1" applyBorder="1"/>
    <xf numFmtId="43" fontId="2" fillId="0" borderId="11" xfId="1" applyFont="1" applyBorder="1"/>
    <xf numFmtId="43" fontId="2" fillId="0" borderId="15" xfId="1" applyFont="1" applyBorder="1"/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7" fillId="0" borderId="5" xfId="1" applyFont="1" applyBorder="1"/>
    <xf numFmtId="0" fontId="2" fillId="10" borderId="15" xfId="0" applyFont="1" applyFill="1" applyBorder="1"/>
    <xf numFmtId="0" fontId="12" fillId="0" borderId="0" xfId="0" applyFont="1" applyAlignment="1">
      <alignment horizontal="center"/>
    </xf>
    <xf numFmtId="14" fontId="2" fillId="0" borderId="1" xfId="0" applyNumberFormat="1" applyFont="1" applyBorder="1"/>
    <xf numFmtId="43" fontId="6" fillId="0" borderId="0" xfId="1" applyFont="1" applyAlignment="1"/>
    <xf numFmtId="43" fontId="2" fillId="0" borderId="3" xfId="1" applyFont="1" applyFill="1" applyBorder="1"/>
    <xf numFmtId="0" fontId="2" fillId="10" borderId="1" xfId="0" applyFont="1" applyFill="1" applyBorder="1" applyAlignment="1">
      <alignment horizontal="center"/>
    </xf>
    <xf numFmtId="14" fontId="2" fillId="3" borderId="1" xfId="0" applyNumberFormat="1" applyFont="1" applyFill="1" applyBorder="1"/>
    <xf numFmtId="43" fontId="2" fillId="11" borderId="6" xfId="1" applyFont="1" applyFill="1" applyBorder="1"/>
    <xf numFmtId="43" fontId="2" fillId="0" borderId="16" xfId="1" applyFont="1" applyFill="1" applyBorder="1"/>
    <xf numFmtId="0" fontId="2" fillId="3" borderId="1" xfId="0" applyFont="1" applyFill="1" applyBorder="1" applyAlignment="1">
      <alignment horizontal="center" wrapText="1"/>
    </xf>
    <xf numFmtId="43" fontId="2" fillId="12" borderId="1" xfId="1" applyFont="1" applyFill="1" applyBorder="1"/>
    <xf numFmtId="0" fontId="2" fillId="3" borderId="1" xfId="0" applyFont="1" applyFill="1" applyBorder="1" applyAlignment="1">
      <alignment horizontal="center" wrapText="1"/>
    </xf>
    <xf numFmtId="43" fontId="7" fillId="0" borderId="0" xfId="1" applyFont="1" applyFill="1"/>
    <xf numFmtId="43" fontId="2" fillId="0" borderId="0" xfId="1" applyFont="1" applyFill="1"/>
    <xf numFmtId="43" fontId="2" fillId="0" borderId="0" xfId="1" applyFont="1" applyFill="1" applyBorder="1"/>
    <xf numFmtId="43" fontId="2" fillId="0" borderId="11" xfId="1" applyFont="1" applyFill="1" applyBorder="1"/>
    <xf numFmtId="43" fontId="2" fillId="0" borderId="10" xfId="1" applyFont="1" applyFill="1" applyBorder="1"/>
    <xf numFmtId="14" fontId="2" fillId="10" borderId="1" xfId="0" applyNumberFormat="1" applyFont="1" applyFill="1" applyBorder="1"/>
    <xf numFmtId="0" fontId="7" fillId="0" borderId="0" xfId="0" applyFont="1" applyFill="1"/>
    <xf numFmtId="43" fontId="2" fillId="6" borderId="6" xfId="1" applyFont="1" applyFill="1" applyBorder="1"/>
    <xf numFmtId="0" fontId="2" fillId="0" borderId="0" xfId="0" applyFont="1" applyFill="1"/>
    <xf numFmtId="0" fontId="2" fillId="12" borderId="0" xfId="0" applyFont="1" applyFill="1"/>
    <xf numFmtId="14" fontId="2" fillId="11" borderId="1" xfId="0" applyNumberFormat="1" applyFont="1" applyFill="1" applyBorder="1"/>
    <xf numFmtId="43" fontId="3" fillId="11" borderId="1" xfId="1" applyFont="1" applyFill="1" applyBorder="1"/>
    <xf numFmtId="0" fontId="2" fillId="0" borderId="24" xfId="0" applyFont="1" applyBorder="1"/>
    <xf numFmtId="0" fontId="2" fillId="0" borderId="22" xfId="0" applyFont="1" applyBorder="1"/>
    <xf numFmtId="43" fontId="2" fillId="0" borderId="12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164" fontId="2" fillId="0" borderId="24" xfId="1" applyNumberFormat="1" applyFont="1" applyFill="1" applyBorder="1"/>
    <xf numFmtId="164" fontId="2" fillId="0" borderId="23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164" fontId="2" fillId="0" borderId="22" xfId="1" applyNumberFormat="1" applyFont="1" applyFill="1" applyBorder="1"/>
    <xf numFmtId="0" fontId="7" fillId="0" borderId="0" xfId="0" applyFont="1" applyFill="1" applyBorder="1"/>
    <xf numFmtId="0" fontId="7" fillId="0" borderId="23" xfId="0" applyFont="1" applyFill="1" applyBorder="1"/>
    <xf numFmtId="43" fontId="2" fillId="11" borderId="5" xfId="1" applyFont="1" applyFill="1" applyBorder="1"/>
    <xf numFmtId="43" fontId="2" fillId="0" borderId="10" xfId="1" applyFont="1" applyBorder="1"/>
    <xf numFmtId="43" fontId="2" fillId="0" borderId="4" xfId="1" applyFont="1" applyBorder="1"/>
    <xf numFmtId="43" fontId="2" fillId="7" borderId="5" xfId="1" applyFont="1" applyFill="1" applyBorder="1"/>
    <xf numFmtId="0" fontId="7" fillId="0" borderId="0" xfId="0" applyFont="1" applyBorder="1"/>
    <xf numFmtId="0" fontId="2" fillId="0" borderId="22" xfId="0" applyFont="1" applyFill="1" applyBorder="1"/>
    <xf numFmtId="0" fontId="7" fillId="0" borderId="22" xfId="0" applyFont="1" applyBorder="1"/>
    <xf numFmtId="0" fontId="2" fillId="0" borderId="0" xfId="0" applyFont="1" applyFill="1" applyBorder="1"/>
    <xf numFmtId="0" fontId="7" fillId="0" borderId="24" xfId="0" applyFont="1" applyBorder="1"/>
    <xf numFmtId="0" fontId="7" fillId="10" borderId="0" xfId="0" applyFont="1" applyFill="1" applyBorder="1"/>
    <xf numFmtId="0" fontId="2" fillId="0" borderId="15" xfId="0" applyFont="1" applyBorder="1" applyAlignment="1">
      <alignment horizontal="center"/>
    </xf>
    <xf numFmtId="43" fontId="2" fillId="2" borderId="15" xfId="1" applyFont="1" applyFill="1" applyBorder="1"/>
    <xf numFmtId="0" fontId="7" fillId="0" borderId="25" xfId="0" applyFont="1" applyBorder="1"/>
    <xf numFmtId="43" fontId="2" fillId="2" borderId="11" xfId="1" applyFont="1" applyFill="1" applyBorder="1"/>
    <xf numFmtId="43" fontId="2" fillId="2" borderId="12" xfId="1" applyFont="1" applyFill="1" applyBorder="1"/>
    <xf numFmtId="43" fontId="2" fillId="2" borderId="6" xfId="1" applyFont="1" applyFill="1" applyBorder="1"/>
    <xf numFmtId="43" fontId="2" fillId="0" borderId="15" xfId="1" applyFont="1" applyFill="1" applyBorder="1"/>
    <xf numFmtId="0" fontId="7" fillId="0" borderId="23" xfId="0" applyFont="1" applyBorder="1"/>
    <xf numFmtId="43" fontId="2" fillId="2" borderId="7" xfId="1" applyFont="1" applyFill="1" applyBorder="1"/>
    <xf numFmtId="0" fontId="7" fillId="0" borderId="22" xfId="0" applyFont="1" applyFill="1" applyBorder="1"/>
    <xf numFmtId="0" fontId="2" fillId="0" borderId="23" xfId="0" applyFont="1" applyBorder="1"/>
    <xf numFmtId="0" fontId="15" fillId="0" borderId="22" xfId="0" applyFont="1" applyBorder="1"/>
    <xf numFmtId="0" fontId="15" fillId="0" borderId="0" xfId="0" applyFont="1" applyBorder="1"/>
    <xf numFmtId="0" fontId="2" fillId="0" borderId="25" xfId="0" applyFont="1" applyBorder="1"/>
    <xf numFmtId="43" fontId="2" fillId="7" borderId="10" xfId="1" applyFont="1" applyFill="1" applyBorder="1"/>
    <xf numFmtId="43" fontId="2" fillId="7" borderId="1" xfId="1" applyFont="1" applyFill="1" applyBorder="1"/>
    <xf numFmtId="43" fontId="12" fillId="0" borderId="1" xfId="1" applyFont="1" applyBorder="1"/>
    <xf numFmtId="43" fontId="2" fillId="2" borderId="4" xfId="1" applyFont="1" applyFill="1" applyBorder="1"/>
    <xf numFmtId="0" fontId="7" fillId="0" borderId="1" xfId="0" applyFont="1" applyBorder="1"/>
    <xf numFmtId="43" fontId="2" fillId="7" borderId="12" xfId="1" applyFont="1" applyFill="1" applyBorder="1"/>
    <xf numFmtId="43" fontId="8" fillId="0" borderId="1" xfId="1" applyFont="1" applyBorder="1"/>
    <xf numFmtId="43" fontId="8" fillId="0" borderId="1" xfId="1" applyFont="1" applyFill="1" applyBorder="1"/>
    <xf numFmtId="0" fontId="9" fillId="0" borderId="0" xfId="0" applyFont="1" applyAlignment="1"/>
    <xf numFmtId="164" fontId="7" fillId="0" borderId="0" xfId="1" applyNumberFormat="1" applyFont="1" applyFill="1"/>
    <xf numFmtId="0" fontId="2" fillId="3" borderId="4" xfId="0" applyFont="1" applyFill="1" applyBorder="1" applyAlignment="1">
      <alignment horizontal="center"/>
    </xf>
    <xf numFmtId="0" fontId="2" fillId="10" borderId="1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164" fontId="7" fillId="0" borderId="23" xfId="1" applyNumberFormat="1" applyFont="1" applyFill="1" applyBorder="1"/>
    <xf numFmtId="164" fontId="7" fillId="0" borderId="0" xfId="1" applyNumberFormat="1" applyFont="1" applyFill="1" applyBorder="1"/>
    <xf numFmtId="164" fontId="7" fillId="0" borderId="22" xfId="1" applyNumberFormat="1" applyFont="1" applyFill="1" applyBorder="1"/>
    <xf numFmtId="0" fontId="2" fillId="10" borderId="4" xfId="0" applyFont="1" applyFill="1" applyBorder="1" applyAlignment="1"/>
    <xf numFmtId="0" fontId="2" fillId="10" borderId="10" xfId="0" applyFont="1" applyFill="1" applyBorder="1" applyAlignment="1"/>
    <xf numFmtId="0" fontId="2" fillId="10" borderId="11" xfId="0" applyFont="1" applyFill="1" applyBorder="1" applyAlignment="1"/>
    <xf numFmtId="0" fontId="2" fillId="10" borderId="7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43" fontId="13" fillId="0" borderId="0" xfId="1" applyFont="1" applyFill="1"/>
    <xf numFmtId="43" fontId="8" fillId="0" borderId="0" xfId="1" applyFont="1" applyFill="1"/>
    <xf numFmtId="0" fontId="2" fillId="3" borderId="4" xfId="0" applyFont="1" applyFill="1" applyBorder="1"/>
    <xf numFmtId="43" fontId="13" fillId="4" borderId="0" xfId="1" applyFont="1" applyFill="1"/>
    <xf numFmtId="164" fontId="13" fillId="0" borderId="0" xfId="1" applyNumberFormat="1" applyFont="1" applyFill="1"/>
    <xf numFmtId="43" fontId="2" fillId="4" borderId="0" xfId="1" applyFont="1" applyFill="1"/>
    <xf numFmtId="0" fontId="2" fillId="10" borderId="5" xfId="0" applyFont="1" applyFill="1" applyBorder="1"/>
    <xf numFmtId="0" fontId="2" fillId="3" borderId="6" xfId="0" applyFont="1" applyFill="1" applyBorder="1"/>
    <xf numFmtId="0" fontId="2" fillId="10" borderId="6" xfId="0" applyFont="1" applyFill="1" applyBorder="1"/>
    <xf numFmtId="164" fontId="13" fillId="0" borderId="0" xfId="1" applyNumberFormat="1" applyFont="1" applyFill="1" applyBorder="1"/>
    <xf numFmtId="43" fontId="13" fillId="0" borderId="22" xfId="1" applyFont="1" applyFill="1" applyBorder="1"/>
    <xf numFmtId="0" fontId="2" fillId="10" borderId="6" xfId="0" applyFont="1" applyFill="1" applyBorder="1" applyAlignment="1"/>
    <xf numFmtId="164" fontId="13" fillId="0" borderId="22" xfId="1" applyNumberFormat="1" applyFont="1" applyFill="1" applyBorder="1"/>
    <xf numFmtId="0" fontId="2" fillId="10" borderId="10" xfId="0" applyFont="1" applyFill="1" applyBorder="1"/>
    <xf numFmtId="43" fontId="13" fillId="4" borderId="22" xfId="1" applyFont="1" applyFill="1" applyBorder="1"/>
    <xf numFmtId="0" fontId="2" fillId="10" borderId="7" xfId="0" applyFont="1" applyFill="1" applyBorder="1"/>
    <xf numFmtId="164" fontId="2" fillId="2" borderId="5" xfId="1" applyNumberFormat="1" applyFont="1" applyFill="1" applyBorder="1"/>
    <xf numFmtId="43" fontId="7" fillId="0" borderId="25" xfId="1" applyFont="1" applyFill="1" applyBorder="1"/>
    <xf numFmtId="0" fontId="5" fillId="0" borderId="0" xfId="0" applyFont="1" applyAlignment="1"/>
    <xf numFmtId="43" fontId="2" fillId="0" borderId="4" xfId="1" applyFont="1" applyFill="1" applyBorder="1"/>
    <xf numFmtId="43" fontId="7" fillId="0" borderId="22" xfId="1" applyFont="1" applyFill="1" applyBorder="1"/>
    <xf numFmtId="43" fontId="7" fillId="0" borderId="0" xfId="1" applyFont="1" applyFill="1" applyBorder="1"/>
    <xf numFmtId="43" fontId="7" fillId="0" borderId="23" xfId="1" applyFont="1" applyFill="1" applyBorder="1"/>
    <xf numFmtId="0" fontId="2" fillId="3" borderId="15" xfId="0" applyFont="1" applyFill="1" applyBorder="1"/>
    <xf numFmtId="43" fontId="2" fillId="7" borderId="4" xfId="1" applyFont="1" applyFill="1" applyBorder="1"/>
    <xf numFmtId="0" fontId="2" fillId="3" borderId="4" xfId="0" applyFont="1" applyFill="1" applyBorder="1" applyAlignment="1">
      <alignment horizontal="center"/>
    </xf>
    <xf numFmtId="43" fontId="2" fillId="4" borderId="5" xfId="1" applyFont="1" applyFill="1" applyBorder="1"/>
    <xf numFmtId="0" fontId="2" fillId="3" borderId="7" xfId="0" applyFont="1" applyFill="1" applyBorder="1"/>
    <xf numFmtId="43" fontId="7" fillId="5" borderId="22" xfId="1" applyFont="1" applyFill="1" applyBorder="1"/>
    <xf numFmtId="43" fontId="7" fillId="5" borderId="0" xfId="1" applyFont="1" applyFill="1" applyBorder="1"/>
    <xf numFmtId="43" fontId="2" fillId="11" borderId="11" xfId="1" applyFont="1" applyFill="1" applyBorder="1"/>
    <xf numFmtId="43" fontId="7" fillId="5" borderId="0" xfId="1" applyFont="1" applyFill="1"/>
    <xf numFmtId="43" fontId="7" fillId="14" borderId="25" xfId="1" applyFont="1" applyFill="1" applyBorder="1"/>
    <xf numFmtId="43" fontId="7" fillId="14" borderId="23" xfId="1" applyFont="1" applyFill="1" applyBorder="1"/>
    <xf numFmtId="43" fontId="2" fillId="10" borderId="6" xfId="1" applyFont="1" applyFill="1" applyBorder="1"/>
    <xf numFmtId="43" fontId="2" fillId="10" borderId="6" xfId="1" applyFont="1" applyFill="1" applyBorder="1" applyAlignment="1"/>
    <xf numFmtId="43" fontId="2" fillId="10" borderId="9" xfId="1" applyFont="1" applyFill="1" applyBorder="1" applyAlignment="1"/>
    <xf numFmtId="43" fontId="2" fillId="10" borderId="7" xfId="1" applyFont="1" applyFill="1" applyBorder="1"/>
    <xf numFmtId="43" fontId="7" fillId="10" borderId="22" xfId="1" applyFont="1" applyFill="1" applyBorder="1"/>
    <xf numFmtId="0" fontId="2" fillId="10" borderId="22" xfId="0" applyFont="1" applyFill="1" applyBorder="1"/>
    <xf numFmtId="43" fontId="2" fillId="3" borderId="6" xfId="1" applyFont="1" applyFill="1" applyBorder="1"/>
    <xf numFmtId="43" fontId="7" fillId="3" borderId="22" xfId="1" applyFont="1" applyFill="1" applyBorder="1"/>
    <xf numFmtId="0" fontId="2" fillId="3" borderId="22" xfId="0" applyFont="1" applyFill="1" applyBorder="1"/>
    <xf numFmtId="43" fontId="7" fillId="5" borderId="23" xfId="1" applyFont="1" applyFill="1" applyBorder="1"/>
    <xf numFmtId="43" fontId="7" fillId="14" borderId="0" xfId="1" applyFont="1" applyFill="1"/>
    <xf numFmtId="43" fontId="7" fillId="0" borderId="24" xfId="1" applyFont="1" applyFill="1" applyBorder="1"/>
    <xf numFmtId="0" fontId="2" fillId="10" borderId="4" xfId="0" applyFont="1" applyFill="1" applyBorder="1"/>
    <xf numFmtId="43" fontId="13" fillId="0" borderId="0" xfId="1" applyFont="1" applyFill="1" applyBorder="1"/>
    <xf numFmtId="43" fontId="13" fillId="4" borderId="0" xfId="1" applyFont="1" applyFill="1" applyBorder="1"/>
    <xf numFmtId="0" fontId="16" fillId="7" borderId="0" xfId="0" applyFont="1" applyFill="1"/>
    <xf numFmtId="0" fontId="2" fillId="7" borderId="0" xfId="0" applyFont="1" applyFill="1"/>
    <xf numFmtId="0" fontId="2" fillId="10" borderId="1" xfId="0" applyFont="1" applyFill="1" applyBorder="1" applyAlignment="1"/>
    <xf numFmtId="0" fontId="2" fillId="3" borderId="1" xfId="0" applyFont="1" applyFill="1" applyBorder="1" applyAlignment="1"/>
    <xf numFmtId="0" fontId="2" fillId="3" borderId="4" xfId="0" applyFont="1" applyFill="1" applyBorder="1" applyAlignment="1"/>
    <xf numFmtId="43" fontId="2" fillId="0" borderId="17" xfId="1" applyFont="1" applyFill="1" applyBorder="1"/>
    <xf numFmtId="164" fontId="17" fillId="10" borderId="22" xfId="1" applyNumberFormat="1" applyFont="1" applyFill="1" applyBorder="1"/>
    <xf numFmtId="43" fontId="13" fillId="0" borderId="24" xfId="1" applyFont="1" applyFill="1" applyBorder="1"/>
    <xf numFmtId="43" fontId="2" fillId="2" borderId="1" xfId="1" applyFont="1" applyFill="1" applyBorder="1" applyAlignment="1">
      <alignment horizontal="center"/>
    </xf>
    <xf numFmtId="43" fontId="7" fillId="0" borderId="1" xfId="1" applyFont="1" applyFill="1" applyBorder="1"/>
    <xf numFmtId="0" fontId="2" fillId="0" borderId="4" xfId="0" applyFont="1" applyBorder="1"/>
    <xf numFmtId="0" fontId="2" fillId="3" borderId="11" xfId="0" applyFont="1" applyFill="1" applyBorder="1" applyAlignment="1"/>
    <xf numFmtId="0" fontId="2" fillId="3" borderId="7" xfId="0" applyFont="1" applyFill="1" applyBorder="1" applyAlignment="1"/>
    <xf numFmtId="164" fontId="7" fillId="0" borderId="0" xfId="0" applyNumberFormat="1" applyFont="1"/>
    <xf numFmtId="164" fontId="7" fillId="0" borderId="0" xfId="1" applyNumberFormat="1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43" fontId="2" fillId="11" borderId="4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/>
    <xf numFmtId="0" fontId="20" fillId="0" borderId="0" xfId="0" applyFont="1"/>
    <xf numFmtId="0" fontId="2" fillId="0" borderId="0" xfId="0" applyFont="1" applyAlignment="1">
      <alignment horizontal="center"/>
    </xf>
    <xf numFmtId="43" fontId="7" fillId="0" borderId="1" xfId="1" applyFont="1" applyBorder="1"/>
    <xf numFmtId="43" fontId="2" fillId="3" borderId="5" xfId="1" applyFont="1" applyFill="1" applyBorder="1"/>
    <xf numFmtId="164" fontId="2" fillId="3" borderId="1" xfId="1" applyNumberFormat="1" applyFont="1" applyFill="1" applyBorder="1"/>
    <xf numFmtId="164" fontId="2" fillId="3" borderId="5" xfId="1" applyNumberFormat="1" applyFont="1" applyFill="1" applyBorder="1"/>
    <xf numFmtId="43" fontId="2" fillId="3" borderId="1" xfId="1" applyFont="1" applyFill="1" applyBorder="1" applyAlignment="1">
      <alignment horizontal="center"/>
    </xf>
    <xf numFmtId="43" fontId="2" fillId="3" borderId="3" xfId="1" applyFont="1" applyFill="1" applyBorder="1"/>
    <xf numFmtId="164" fontId="2" fillId="0" borderId="0" xfId="1" applyNumberFormat="1" applyFont="1" applyAlignment="1">
      <alignment horizontal="center"/>
    </xf>
    <xf numFmtId="43" fontId="13" fillId="0" borderId="1" xfId="1" applyFont="1" applyFill="1" applyBorder="1"/>
    <xf numFmtId="43" fontId="13" fillId="0" borderId="1" xfId="1" applyFont="1" applyBorder="1"/>
    <xf numFmtId="164" fontId="3" fillId="0" borderId="0" xfId="0" applyNumberFormat="1" applyFont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64" fontId="8" fillId="0" borderId="0" xfId="1" applyNumberFormat="1" applyFont="1"/>
    <xf numFmtId="0" fontId="20" fillId="0" borderId="0" xfId="0" applyFont="1" applyAlignment="1"/>
    <xf numFmtId="0" fontId="21" fillId="0" borderId="0" xfId="0" applyFont="1"/>
    <xf numFmtId="164" fontId="8" fillId="0" borderId="0" xfId="0" applyNumberFormat="1" applyFont="1"/>
    <xf numFmtId="0" fontId="22" fillId="0" borderId="0" xfId="0" applyFont="1"/>
    <xf numFmtId="0" fontId="22" fillId="10" borderId="0" xfId="0" applyFont="1" applyFill="1"/>
    <xf numFmtId="0" fontId="2" fillId="3" borderId="10" xfId="0" applyFont="1" applyFill="1" applyBorder="1"/>
    <xf numFmtId="43" fontId="7" fillId="7" borderId="1" xfId="1" applyFont="1" applyFill="1" applyBorder="1"/>
    <xf numFmtId="43" fontId="2" fillId="0" borderId="22" xfId="1" applyFont="1" applyFill="1" applyBorder="1"/>
    <xf numFmtId="0" fontId="2" fillId="0" borderId="0" xfId="0" applyFont="1" applyAlignment="1">
      <alignment horizontal="center"/>
    </xf>
    <xf numFmtId="43" fontId="2" fillId="6" borderId="4" xfId="1" applyFont="1" applyFill="1" applyBorder="1"/>
    <xf numFmtId="0" fontId="15" fillId="0" borderId="0" xfId="0" applyFont="1"/>
    <xf numFmtId="0" fontId="23" fillId="1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 wrapText="1"/>
    </xf>
    <xf numFmtId="0" fontId="2" fillId="10" borderId="5" xfId="0" applyFont="1" applyFill="1" applyBorder="1" applyAlignment="1"/>
    <xf numFmtId="43" fontId="2" fillId="10" borderId="10" xfId="1" applyFont="1" applyFill="1" applyBorder="1"/>
    <xf numFmtId="43" fontId="2" fillId="4" borderId="22" xfId="1" applyFont="1" applyFill="1" applyBorder="1"/>
    <xf numFmtId="0" fontId="2" fillId="0" borderId="0" xfId="0" applyFont="1" applyAlignment="1">
      <alignment horizontal="center"/>
    </xf>
    <xf numFmtId="43" fontId="2" fillId="10" borderId="4" xfId="1" applyFont="1" applyFill="1" applyBorder="1"/>
    <xf numFmtId="43" fontId="13" fillId="0" borderId="10" xfId="1" applyFont="1" applyFill="1" applyBorder="1"/>
    <xf numFmtId="0" fontId="2" fillId="3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15" borderId="1" xfId="1" applyFont="1" applyFill="1" applyBorder="1"/>
    <xf numFmtId="43" fontId="2" fillId="4" borderId="0" xfId="0" applyNumberFormat="1" applyFont="1" applyFill="1"/>
    <xf numFmtId="43" fontId="2" fillId="15" borderId="0" xfId="0" applyNumberFormat="1" applyFont="1" applyFill="1"/>
    <xf numFmtId="43" fontId="2" fillId="3" borderId="0" xfId="0" applyNumberFormat="1" applyFont="1" applyFill="1"/>
    <xf numFmtId="43" fontId="8" fillId="0" borderId="0" xfId="0" applyNumberFormat="1" applyFont="1"/>
    <xf numFmtId="43" fontId="8" fillId="0" borderId="0" xfId="0" applyNumberFormat="1" applyFont="1" applyAlignment="1"/>
    <xf numFmtId="0" fontId="2" fillId="1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4" fontId="2" fillId="0" borderId="1" xfId="1" applyNumberFormat="1" applyFont="1" applyBorder="1"/>
    <xf numFmtId="43" fontId="2" fillId="16" borderId="1" xfId="1" applyFont="1" applyFill="1" applyBorder="1"/>
    <xf numFmtId="43" fontId="2" fillId="16" borderId="4" xfId="1" applyFont="1" applyFill="1" applyBorder="1" applyAlignment="1">
      <alignment horizontal="center"/>
    </xf>
    <xf numFmtId="43" fontId="2" fillId="16" borderId="5" xfId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2" xfId="0" applyFont="1" applyBorder="1"/>
    <xf numFmtId="164" fontId="13" fillId="0" borderId="1" xfId="1" applyNumberFormat="1" applyFont="1" applyBorder="1"/>
    <xf numFmtId="164" fontId="13" fillId="0" borderId="1" xfId="1" applyNumberFormat="1" applyFont="1" applyFill="1" applyBorder="1"/>
    <xf numFmtId="164" fontId="2" fillId="6" borderId="1" xfId="1" applyNumberFormat="1" applyFont="1" applyFill="1" applyBorder="1"/>
    <xf numFmtId="164" fontId="2" fillId="0" borderId="6" xfId="1" applyNumberFormat="1" applyFont="1" applyFill="1" applyBorder="1"/>
    <xf numFmtId="164" fontId="2" fillId="7" borderId="5" xfId="1" applyNumberFormat="1" applyFont="1" applyFill="1" applyBorder="1"/>
    <xf numFmtId="164" fontId="2" fillId="7" borderId="1" xfId="1" applyNumberFormat="1" applyFont="1" applyFill="1" applyBorder="1"/>
    <xf numFmtId="164" fontId="2" fillId="0" borderId="12" xfId="1" applyNumberFormat="1" applyFont="1" applyFill="1" applyBorder="1"/>
    <xf numFmtId="164" fontId="2" fillId="0" borderId="7" xfId="1" applyNumberFormat="1" applyFont="1" applyFill="1" applyBorder="1"/>
    <xf numFmtId="164" fontId="2" fillId="2" borderId="6" xfId="1" applyNumberFormat="1" applyFont="1" applyFill="1" applyBorder="1"/>
    <xf numFmtId="164" fontId="2" fillId="2" borderId="15" xfId="1" applyNumberFormat="1" applyFont="1" applyFill="1" applyBorder="1"/>
    <xf numFmtId="164" fontId="2" fillId="0" borderId="15" xfId="1" applyNumberFormat="1" applyFont="1" applyBorder="1"/>
    <xf numFmtId="164" fontId="2" fillId="2" borderId="12" xfId="1" applyNumberFormat="1" applyFont="1" applyFill="1" applyBorder="1"/>
    <xf numFmtId="164" fontId="2" fillId="6" borderId="7" xfId="1" applyNumberFormat="1" applyFont="1" applyFill="1" applyBorder="1"/>
    <xf numFmtId="164" fontId="2" fillId="7" borderId="10" xfId="1" applyNumberFormat="1" applyFont="1" applyFill="1" applyBorder="1"/>
    <xf numFmtId="164" fontId="2" fillId="2" borderId="1" xfId="1" applyNumberFormat="1" applyFont="1" applyFill="1" applyBorder="1"/>
    <xf numFmtId="164" fontId="2" fillId="0" borderId="15" xfId="1" applyNumberFormat="1" applyFont="1" applyFill="1" applyBorder="1"/>
    <xf numFmtId="164" fontId="2" fillId="10" borderId="12" xfId="1" applyNumberFormat="1" applyFont="1" applyFill="1" applyBorder="1"/>
    <xf numFmtId="164" fontId="2" fillId="10" borderId="1" xfId="1" applyNumberFormat="1" applyFont="1" applyFill="1" applyBorder="1"/>
    <xf numFmtId="164" fontId="2" fillId="7" borderId="12" xfId="1" applyNumberFormat="1" applyFont="1" applyFill="1" applyBorder="1"/>
    <xf numFmtId="164" fontId="2" fillId="2" borderId="4" xfId="1" applyNumberFormat="1" applyFont="1" applyFill="1" applyBorder="1"/>
    <xf numFmtId="164" fontId="2" fillId="6" borderId="6" xfId="1" applyNumberFormat="1" applyFont="1" applyFill="1" applyBorder="1"/>
    <xf numFmtId="164" fontId="2" fillId="0" borderId="11" xfId="1" applyNumberFormat="1" applyFont="1" applyFill="1" applyBorder="1"/>
    <xf numFmtId="164" fontId="2" fillId="6" borderId="15" xfId="1" applyNumberFormat="1" applyFont="1" applyFill="1" applyBorder="1"/>
    <xf numFmtId="164" fontId="2" fillId="0" borderId="5" xfId="1" applyNumberFormat="1" applyFont="1" applyBorder="1"/>
    <xf numFmtId="43" fontId="2" fillId="0" borderId="0" xfId="0" applyNumberFormat="1" applyFont="1" applyFill="1"/>
    <xf numFmtId="43" fontId="4" fillId="6" borderId="0" xfId="1" applyFont="1" applyFill="1"/>
    <xf numFmtId="0" fontId="4" fillId="6" borderId="0" xfId="0" applyFont="1" applyFill="1"/>
    <xf numFmtId="43" fontId="4" fillId="10" borderId="0" xfId="1" applyFont="1" applyFill="1"/>
    <xf numFmtId="43" fontId="4" fillId="0" borderId="0" xfId="1" applyFont="1" applyFill="1"/>
    <xf numFmtId="43" fontId="4" fillId="6" borderId="5" xfId="1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43" fontId="4" fillId="10" borderId="1" xfId="0" applyNumberFormat="1" applyFont="1" applyFill="1" applyBorder="1"/>
    <xf numFmtId="164" fontId="4" fillId="0" borderId="5" xfId="0" applyNumberFormat="1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43" fontId="2" fillId="0" borderId="1" xfId="0" applyNumberFormat="1" applyFont="1" applyBorder="1"/>
    <xf numFmtId="0" fontId="2" fillId="4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ill="1"/>
    <xf numFmtId="164" fontId="2" fillId="0" borderId="10" xfId="1" applyNumberFormat="1" applyFont="1" applyFill="1" applyBorder="1"/>
    <xf numFmtId="43" fontId="2" fillId="10" borderId="6" xfId="1" applyFont="1" applyFill="1" applyBorder="1" applyAlignment="1">
      <alignment horizontal="center"/>
    </xf>
    <xf numFmtId="43" fontId="2" fillId="10" borderId="9" xfId="1" applyFont="1" applyFill="1" applyBorder="1"/>
    <xf numFmtId="164" fontId="2" fillId="0" borderId="22" xfId="1" applyNumberFormat="1" applyFont="1" applyBorder="1"/>
    <xf numFmtId="164" fontId="13" fillId="0" borderId="24" xfId="1" applyNumberFormat="1" applyFont="1" applyFill="1" applyBorder="1"/>
    <xf numFmtId="43" fontId="2" fillId="3" borderId="9" xfId="1" applyFont="1" applyFill="1" applyBorder="1"/>
    <xf numFmtId="0" fontId="2" fillId="4" borderId="1" xfId="0" applyFont="1" applyFill="1" applyBorder="1"/>
    <xf numFmtId="0" fontId="2" fillId="4" borderId="6" xfId="0" applyFont="1" applyFill="1" applyBorder="1"/>
    <xf numFmtId="0" fontId="2" fillId="7" borderId="1" xfId="0" applyFont="1" applyFill="1" applyBorder="1"/>
    <xf numFmtId="0" fontId="2" fillId="4" borderId="5" xfId="0" applyFont="1" applyFill="1" applyBorder="1"/>
    <xf numFmtId="0" fontId="2" fillId="7" borderId="6" xfId="0" applyFont="1" applyFill="1" applyBorder="1"/>
    <xf numFmtId="0" fontId="2" fillId="7" borderId="5" xfId="0" applyFont="1" applyFill="1" applyBorder="1"/>
    <xf numFmtId="0" fontId="13" fillId="0" borderId="0" xfId="0" applyFont="1"/>
    <xf numFmtId="0" fontId="13" fillId="0" borderId="22" xfId="0" applyFont="1" applyBorder="1"/>
    <xf numFmtId="164" fontId="2" fillId="0" borderId="0" xfId="0" applyNumberFormat="1" applyFont="1" applyFill="1"/>
    <xf numFmtId="43" fontId="2" fillId="12" borderId="5" xfId="1" applyFont="1" applyFill="1" applyBorder="1"/>
    <xf numFmtId="164" fontId="0" fillId="7" borderId="0" xfId="1" applyNumberFormat="1" applyFont="1" applyFill="1"/>
    <xf numFmtId="14" fontId="0" fillId="7" borderId="0" xfId="0" applyNumberFormat="1" applyFont="1" applyFill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15" xfId="0" applyFont="1" applyBorder="1" applyAlignment="1"/>
    <xf numFmtId="164" fontId="2" fillId="0" borderId="1" xfId="0" applyNumberFormat="1" applyFont="1" applyBorder="1"/>
    <xf numFmtId="164" fontId="2" fillId="7" borderId="0" xfId="0" applyNumberFormat="1" applyFont="1" applyFill="1"/>
    <xf numFmtId="43" fontId="4" fillId="2" borderId="1" xfId="1" applyFont="1" applyFill="1" applyBorder="1"/>
    <xf numFmtId="0" fontId="4" fillId="2" borderId="0" xfId="0" applyFont="1" applyFill="1"/>
    <xf numFmtId="43" fontId="4" fillId="2" borderId="0" xfId="1" applyFont="1" applyFill="1"/>
    <xf numFmtId="164" fontId="4" fillId="2" borderId="5" xfId="1" applyNumberFormat="1" applyFont="1" applyFill="1" applyBorder="1"/>
    <xf numFmtId="164" fontId="13" fillId="2" borderId="1" xfId="1" applyNumberFormat="1" applyFont="1" applyFill="1" applyBorder="1"/>
    <xf numFmtId="164" fontId="2" fillId="12" borderId="1" xfId="1" applyNumberFormat="1" applyFont="1" applyFill="1" applyBorder="1"/>
    <xf numFmtId="0" fontId="2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/>
    <xf numFmtId="164" fontId="8" fillId="0" borderId="0" xfId="1" applyNumberFormat="1" applyFont="1" applyFill="1"/>
    <xf numFmtId="164" fontId="20" fillId="0" borderId="0" xfId="1" applyNumberFormat="1" applyFont="1" applyFill="1"/>
    <xf numFmtId="0" fontId="2" fillId="0" borderId="1" xfId="0" applyFont="1" applyFill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43" fontId="8" fillId="0" borderId="0" xfId="1" applyFont="1"/>
    <xf numFmtId="0" fontId="25" fillId="0" borderId="0" xfId="0" applyFont="1"/>
    <xf numFmtId="14" fontId="0" fillId="0" borderId="0" xfId="0" applyNumberFormat="1" applyFont="1" applyFill="1"/>
    <xf numFmtId="43" fontId="6" fillId="0" borderId="0" xfId="0" applyNumberFormat="1" applyFont="1" applyAlignment="1"/>
    <xf numFmtId="164" fontId="6" fillId="0" borderId="0" xfId="0" applyNumberFormat="1" applyFont="1" applyAlignment="1"/>
    <xf numFmtId="43" fontId="13" fillId="2" borderId="1" xfId="1" applyFont="1" applyFill="1" applyBorder="1"/>
    <xf numFmtId="43" fontId="13" fillId="10" borderId="1" xfId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4" borderId="15" xfId="0" applyFont="1" applyFill="1" applyBorder="1"/>
    <xf numFmtId="164" fontId="2" fillId="6" borderId="5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11" borderId="6" xfId="1" applyNumberFormat="1" applyFont="1" applyFill="1" applyBorder="1"/>
    <xf numFmtId="164" fontId="2" fillId="11" borderId="5" xfId="1" applyNumberFormat="1" applyFont="1" applyFill="1" applyBorder="1"/>
    <xf numFmtId="164" fontId="2" fillId="11" borderId="1" xfId="1" applyNumberFormat="1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Alignment="1"/>
    <xf numFmtId="164" fontId="2" fillId="10" borderId="5" xfId="1" applyNumberFormat="1" applyFont="1" applyFill="1" applyBorder="1"/>
    <xf numFmtId="164" fontId="2" fillId="10" borderId="1" xfId="1" applyNumberFormat="1" applyFont="1" applyFill="1" applyBorder="1" applyAlignment="1">
      <alignment horizontal="center"/>
    </xf>
    <xf numFmtId="164" fontId="16" fillId="7" borderId="0" xfId="1" applyNumberFormat="1" applyFont="1" applyFill="1"/>
    <xf numFmtId="164" fontId="23" fillId="10" borderId="1" xfId="1" applyNumberFormat="1" applyFont="1" applyFill="1" applyBorder="1" applyAlignment="1">
      <alignment horizontal="center" wrapText="1"/>
    </xf>
    <xf numFmtId="164" fontId="23" fillId="13" borderId="1" xfId="1" applyNumberFormat="1" applyFont="1" applyFill="1" applyBorder="1" applyAlignment="1">
      <alignment horizontal="center" wrapText="1"/>
    </xf>
    <xf numFmtId="164" fontId="23" fillId="8" borderId="1" xfId="1" applyNumberFormat="1" applyFont="1" applyFill="1" applyBorder="1" applyAlignment="1">
      <alignment horizontal="center" wrapText="1"/>
    </xf>
    <xf numFmtId="0" fontId="0" fillId="0" borderId="0" xfId="0" applyFont="1" applyFill="1"/>
    <xf numFmtId="14" fontId="0" fillId="7" borderId="0" xfId="0" applyNumberFormat="1" applyFill="1"/>
    <xf numFmtId="164" fontId="0" fillId="12" borderId="0" xfId="1" applyNumberFormat="1" applyFont="1" applyFill="1"/>
    <xf numFmtId="164" fontId="2" fillId="7" borderId="0" xfId="1" applyNumberFormat="1" applyFont="1" applyFill="1"/>
    <xf numFmtId="43" fontId="2" fillId="7" borderId="0" xfId="1" applyFont="1" applyFill="1"/>
    <xf numFmtId="0" fontId="7" fillId="0" borderId="1" xfId="0" applyFont="1" applyFill="1" applyBorder="1"/>
    <xf numFmtId="0" fontId="6" fillId="0" borderId="0" xfId="0" applyFont="1" applyAlignment="1">
      <alignment horizontal="center"/>
    </xf>
    <xf numFmtId="43" fontId="2" fillId="7" borderId="6" xfId="1" applyFont="1" applyFill="1" applyBorder="1"/>
    <xf numFmtId="0" fontId="13" fillId="0" borderId="0" xfId="0" applyFont="1" applyAlignment="1"/>
    <xf numFmtId="0" fontId="2" fillId="3" borderId="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3" borderId="4" xfId="1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7" borderId="4" xfId="1" applyFont="1" applyFill="1" applyBorder="1" applyAlignment="1">
      <alignment horizontal="center"/>
    </xf>
    <xf numFmtId="43" fontId="2" fillId="7" borderId="10" xfId="1" applyFont="1" applyFill="1" applyBorder="1" applyAlignment="1">
      <alignment horizontal="center"/>
    </xf>
    <xf numFmtId="43" fontId="2" fillId="7" borderId="5" xfId="1" applyFont="1" applyFill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3" borderId="3" xfId="1" applyNumberFormat="1" applyFont="1" applyFill="1" applyBorder="1" applyAlignment="1">
      <alignment horizontal="center" wrapText="1"/>
    </xf>
    <xf numFmtId="164" fontId="2" fillId="7" borderId="2" xfId="1" applyNumberFormat="1" applyFont="1" applyFill="1" applyBorder="1" applyAlignment="1">
      <alignment horizontal="center" wrapText="1"/>
    </xf>
    <xf numFmtId="164" fontId="2" fillId="7" borderId="3" xfId="1" applyNumberFormat="1" applyFont="1" applyFill="1" applyBorder="1" applyAlignment="1">
      <alignment horizontal="center" wrapText="1"/>
    </xf>
    <xf numFmtId="164" fontId="2" fillId="4" borderId="2" xfId="1" applyNumberFormat="1" applyFont="1" applyFill="1" applyBorder="1" applyAlignment="1">
      <alignment horizontal="center" wrapText="1"/>
    </xf>
    <xf numFmtId="164" fontId="2" fillId="4" borderId="3" xfId="1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 textRotation="74" wrapText="1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43" fontId="2" fillId="10" borderId="8" xfId="1" applyFont="1" applyFill="1" applyBorder="1" applyAlignment="1">
      <alignment horizontal="right"/>
    </xf>
    <xf numFmtId="43" fontId="2" fillId="10" borderId="13" xfId="1" applyFont="1" applyFill="1" applyBorder="1" applyAlignment="1">
      <alignment horizontal="right"/>
    </xf>
    <xf numFmtId="43" fontId="2" fillId="10" borderId="9" xfId="1" applyFont="1" applyFill="1" applyBorder="1" applyAlignment="1">
      <alignment horizontal="right"/>
    </xf>
    <xf numFmtId="43" fontId="2" fillId="3" borderId="8" xfId="1" applyFont="1" applyFill="1" applyBorder="1" applyAlignment="1">
      <alignment horizontal="center"/>
    </xf>
    <xf numFmtId="43" fontId="2" fillId="3" borderId="13" xfId="1" applyFont="1" applyFill="1" applyBorder="1" applyAlignment="1">
      <alignment horizontal="center"/>
    </xf>
    <xf numFmtId="43" fontId="2" fillId="3" borderId="9" xfId="1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0" fillId="7" borderId="0" xfId="0" applyFill="1"/>
    <xf numFmtId="165" fontId="2" fillId="0" borderId="0" xfId="1" applyNumberFormat="1" applyFont="1"/>
    <xf numFmtId="164" fontId="13" fillId="0" borderId="0" xfId="1" applyNumberFormat="1" applyFont="1"/>
    <xf numFmtId="164" fontId="13" fillId="0" borderId="0" xfId="0" applyNumberFormat="1" applyFont="1"/>
    <xf numFmtId="164" fontId="26" fillId="0" borderId="0" xfId="1" applyNumberFormat="1" applyFont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00FFFF"/>
      <color rgb="FFFF00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3"/>
  <sheetViews>
    <sheetView tabSelected="1" workbookViewId="0">
      <selection activeCell="D39" sqref="D39"/>
    </sheetView>
  </sheetViews>
  <sheetFormatPr defaultRowHeight="15"/>
  <cols>
    <col min="1" max="1" width="11" style="11" bestFit="1" customWidth="1"/>
    <col min="2" max="2" width="17.5546875" style="11" bestFit="1" customWidth="1"/>
    <col min="3" max="3" width="23.33203125" style="11" bestFit="1" customWidth="1"/>
    <col min="4" max="4" width="26.109375" style="11" bestFit="1" customWidth="1"/>
    <col min="5" max="5" width="8.88671875" style="11"/>
    <col min="6" max="6" width="9.88671875" style="11" bestFit="1" customWidth="1"/>
    <col min="7" max="16384" width="8.88671875" style="11"/>
  </cols>
  <sheetData>
    <row r="3" spans="1:7" ht="15.75">
      <c r="B3" s="241" t="s">
        <v>40</v>
      </c>
      <c r="C3" s="412" t="s">
        <v>496</v>
      </c>
      <c r="D3" s="242" t="s">
        <v>401</v>
      </c>
    </row>
    <row r="5" spans="1:7">
      <c r="A5" t="s">
        <v>345</v>
      </c>
      <c r="B5" s="27">
        <f>'241δ'!F33</f>
        <v>4900000000</v>
      </c>
      <c r="C5" s="408"/>
      <c r="D5" s="362">
        <f>'241δ'!H33</f>
        <v>17285463330.591251</v>
      </c>
      <c r="F5" s="363">
        <v>45348</v>
      </c>
      <c r="G5" s="384" t="s">
        <v>469</v>
      </c>
    </row>
    <row r="6" spans="1:7">
      <c r="A6" s="345" t="s">
        <v>468</v>
      </c>
      <c r="B6" s="33">
        <f>'241θ1(α-β'!X61</f>
        <v>166625000000</v>
      </c>
      <c r="C6" s="408"/>
      <c r="D6" s="362">
        <f>'241θ1(α-β'!AA61</f>
        <v>470942683281.99792</v>
      </c>
      <c r="F6" s="363">
        <v>45324</v>
      </c>
      <c r="G6" s="384" t="s">
        <v>469</v>
      </c>
    </row>
    <row r="7" spans="1:7">
      <c r="A7" s="11" t="s">
        <v>305</v>
      </c>
      <c r="B7" s="33">
        <f>'241θ2α-β-γ'!X73</f>
        <v>61960000000</v>
      </c>
      <c r="C7" s="362">
        <f>'241θ2α-β-γ'!Z73</f>
        <v>678367043727.91284</v>
      </c>
      <c r="D7" s="408"/>
      <c r="F7" s="363">
        <v>45359</v>
      </c>
      <c r="G7" s="377" t="s">
        <v>488</v>
      </c>
    </row>
    <row r="8" spans="1:7">
      <c r="A8" t="s">
        <v>306</v>
      </c>
      <c r="B8" s="27">
        <f>'241θ3α'!Q64</f>
        <v>74070000000</v>
      </c>
      <c r="C8" s="33">
        <f>'241θ3α'!S64</f>
        <v>124264710477.55035</v>
      </c>
      <c r="D8" s="408"/>
      <c r="F8" s="385">
        <v>45281</v>
      </c>
      <c r="G8" s="377" t="s">
        <v>488</v>
      </c>
    </row>
    <row r="9" spans="1:7">
      <c r="A9" s="345" t="s">
        <v>346</v>
      </c>
      <c r="B9" s="33">
        <f>'241θ3β'!Q74</f>
        <v>251020000000</v>
      </c>
      <c r="C9" s="33">
        <f>'241θ3β'!S74</f>
        <v>390445779306.33728</v>
      </c>
      <c r="D9" s="408"/>
      <c r="F9" s="344">
        <v>45114</v>
      </c>
      <c r="G9" s="377" t="s">
        <v>488</v>
      </c>
    </row>
    <row r="10" spans="1:7">
      <c r="A10" s="345" t="s">
        <v>307</v>
      </c>
      <c r="B10" s="33">
        <f>'241θ9'!S71</f>
        <v>3777711111</v>
      </c>
      <c r="C10" s="408"/>
      <c r="D10" s="362">
        <f>'241θ9'!U73</f>
        <v>26930324154.754089</v>
      </c>
      <c r="E10" s="406"/>
      <c r="F10" s="363">
        <v>45351</v>
      </c>
      <c r="G10" s="384" t="s">
        <v>469</v>
      </c>
    </row>
    <row r="11" spans="1:7">
      <c r="A11" s="345" t="s">
        <v>308</v>
      </c>
      <c r="B11" s="362">
        <f>'241ι1'!G49</f>
        <v>11924072000</v>
      </c>
      <c r="C11" s="408"/>
      <c r="D11" s="362">
        <f>'241ι1'!I49</f>
        <v>156950652986.47287</v>
      </c>
      <c r="F11" s="363">
        <v>45351</v>
      </c>
      <c r="G11" s="384" t="s">
        <v>469</v>
      </c>
    </row>
    <row r="12" spans="1:7">
      <c r="A12" t="s">
        <v>309</v>
      </c>
      <c r="B12" s="362">
        <f>'241ι21γ'!H47</f>
        <v>40943020000</v>
      </c>
      <c r="C12" s="408"/>
      <c r="D12" s="362">
        <f>'241ι21γ'!J47</f>
        <v>18799113882.114151</v>
      </c>
      <c r="F12" s="363">
        <v>45352</v>
      </c>
      <c r="G12" s="384" t="s">
        <v>469</v>
      </c>
    </row>
    <row r="13" spans="1:7">
      <c r="A13" t="s">
        <v>322</v>
      </c>
      <c r="B13" s="33">
        <f>'241ι22α'!H39</f>
        <v>1999800000</v>
      </c>
      <c r="C13" s="362">
        <f>'241ι22α'!J39</f>
        <v>4666200000</v>
      </c>
      <c r="D13" s="408"/>
      <c r="E13" s="406"/>
      <c r="F13" s="363">
        <v>45352</v>
      </c>
      <c r="G13" s="377" t="s">
        <v>488</v>
      </c>
    </row>
    <row r="14" spans="1:7">
      <c r="A14" t="s">
        <v>324</v>
      </c>
      <c r="B14" s="33">
        <f>'241ι23α'!F33</f>
        <v>66600000</v>
      </c>
      <c r="C14" s="408"/>
      <c r="D14" s="362">
        <f>'241ι23α'!H33</f>
        <v>244925941.97257981</v>
      </c>
      <c r="E14" s="406"/>
      <c r="F14" s="363">
        <v>45352</v>
      </c>
      <c r="G14" s="384" t="s">
        <v>469</v>
      </c>
    </row>
    <row r="15" spans="1:7">
      <c r="A15" t="s">
        <v>310</v>
      </c>
      <c r="B15" s="33">
        <f>'241ι23γ'!H34</f>
        <v>2444400000</v>
      </c>
      <c r="C15" s="362">
        <f>'241ι23γ'!J34</f>
        <v>4466233467.7642126</v>
      </c>
      <c r="D15" s="408"/>
      <c r="E15" s="406"/>
      <c r="F15" s="363">
        <v>45352</v>
      </c>
      <c r="G15" s="377" t="s">
        <v>488</v>
      </c>
    </row>
    <row r="16" spans="1:7">
      <c r="A16" t="s">
        <v>311</v>
      </c>
      <c r="B16" s="33">
        <f>'241ι23δ'!H34</f>
        <v>8388888050</v>
      </c>
      <c r="C16" s="362">
        <f>'241ι23δ'!J34</f>
        <v>31371107974</v>
      </c>
      <c r="D16" s="408"/>
      <c r="E16" s="406"/>
      <c r="F16" s="363">
        <v>45352</v>
      </c>
      <c r="G16" s="377" t="s">
        <v>488</v>
      </c>
    </row>
    <row r="17" spans="1:7">
      <c r="A17" t="s">
        <v>312</v>
      </c>
      <c r="B17" s="33">
        <f>'241ι23λ'!H36</f>
        <v>21666000000</v>
      </c>
      <c r="C17" s="362">
        <f>'241ι23λ'!J36</f>
        <v>89956077994.973114</v>
      </c>
      <c r="D17" s="408"/>
      <c r="E17" s="406"/>
      <c r="F17" s="363">
        <v>45352</v>
      </c>
      <c r="G17" s="377" t="s">
        <v>488</v>
      </c>
    </row>
    <row r="18" spans="1:7" s="406" customFormat="1">
      <c r="A18" s="491" t="s">
        <v>497</v>
      </c>
      <c r="B18" s="362">
        <f>'241ι23τ'!K9</f>
        <v>1066200000</v>
      </c>
      <c r="C18" s="362">
        <f>'241ι23τ'!L9</f>
        <v>1686297773.5378752</v>
      </c>
      <c r="D18" s="408"/>
      <c r="F18" s="363">
        <v>45354</v>
      </c>
      <c r="G18" s="377" t="s">
        <v>488</v>
      </c>
    </row>
    <row r="19" spans="1:7" s="406" customFormat="1">
      <c r="A19" s="491" t="s">
        <v>502</v>
      </c>
      <c r="B19" s="362">
        <f>'241ι23υ'!L12</f>
        <v>3703332963</v>
      </c>
      <c r="C19" s="362">
        <f>'241ι23υ'!M12</f>
        <v>8320490953.5107002</v>
      </c>
      <c r="D19" s="408"/>
      <c r="F19" s="363">
        <v>45354</v>
      </c>
      <c r="G19" s="377" t="s">
        <v>488</v>
      </c>
    </row>
    <row r="20" spans="1:7">
      <c r="A20" t="s">
        <v>332</v>
      </c>
      <c r="B20" s="33">
        <f>'241ι24β'!E77</f>
        <v>5553300000</v>
      </c>
      <c r="C20" s="362">
        <f>'241ι24β'!F77</f>
        <v>29891193817.318237</v>
      </c>
      <c r="D20" s="408"/>
      <c r="E20" s="406"/>
      <c r="F20" s="363">
        <v>45354</v>
      </c>
      <c r="G20" s="377" t="s">
        <v>488</v>
      </c>
    </row>
    <row r="21" spans="1:7">
      <c r="A21" t="s">
        <v>395</v>
      </c>
      <c r="B21" s="33">
        <f>'241ι24β1-2'!E38</f>
        <v>15000000000</v>
      </c>
      <c r="C21" s="362">
        <f>'241ι24β1-2'!F38</f>
        <v>75807956688.430267</v>
      </c>
      <c r="D21" s="408"/>
      <c r="E21" s="406"/>
      <c r="F21" s="363">
        <v>45354</v>
      </c>
      <c r="G21" s="377" t="s">
        <v>488</v>
      </c>
    </row>
    <row r="22" spans="1:7">
      <c r="A22" t="s">
        <v>334</v>
      </c>
      <c r="B22" s="33">
        <f>'241ι24δ'!F36</f>
        <v>345332988</v>
      </c>
      <c r="C22" s="362">
        <f>'241ι24δ'!G36</f>
        <v>1196304226.5426199</v>
      </c>
      <c r="D22" s="408"/>
      <c r="E22" s="406"/>
      <c r="F22" s="363">
        <v>45354</v>
      </c>
      <c r="G22" s="377" t="s">
        <v>488</v>
      </c>
    </row>
    <row r="23" spans="1:7">
      <c r="A23" s="491" t="s">
        <v>503</v>
      </c>
      <c r="B23" s="362">
        <f>'241ι24ζ'!K13</f>
        <v>10614443383</v>
      </c>
      <c r="C23" s="362">
        <f>'241ι24ζ'!L13</f>
        <v>13068574689.826017</v>
      </c>
      <c r="D23" s="408"/>
      <c r="E23" s="406"/>
      <c r="F23" s="363">
        <v>45354</v>
      </c>
      <c r="G23" s="377" t="s">
        <v>488</v>
      </c>
    </row>
    <row r="24" spans="1:7">
      <c r="A24" s="491" t="s">
        <v>508</v>
      </c>
      <c r="B24" s="362">
        <f>'241κ'!I11</f>
        <v>219999978</v>
      </c>
      <c r="C24" s="362">
        <f>'241κ'!J11</f>
        <v>4036666263</v>
      </c>
      <c r="D24" s="408"/>
      <c r="E24" s="406"/>
      <c r="F24" s="363">
        <v>45354</v>
      </c>
      <c r="G24" s="377" t="s">
        <v>488</v>
      </c>
    </row>
    <row r="25" spans="1:7">
      <c r="A25" t="s">
        <v>343</v>
      </c>
      <c r="B25" s="33">
        <f>'241λ'!F43</f>
        <v>2656200000</v>
      </c>
      <c r="C25" s="362">
        <f>'241λ'!G43</f>
        <v>7056039846.6221294</v>
      </c>
      <c r="D25" s="408"/>
      <c r="E25" s="406"/>
      <c r="F25" s="363">
        <v>45354</v>
      </c>
      <c r="G25" s="377" t="s">
        <v>488</v>
      </c>
    </row>
    <row r="26" spans="1:7">
      <c r="B26" s="27"/>
      <c r="C26" s="27"/>
      <c r="D26" s="27"/>
    </row>
    <row r="27" spans="1:7">
      <c r="B27" s="27"/>
      <c r="C27" s="27"/>
      <c r="D27" s="27"/>
    </row>
    <row r="28" spans="1:7">
      <c r="B28" s="27"/>
      <c r="C28" s="27"/>
      <c r="D28" s="27"/>
    </row>
    <row r="29" spans="1:7">
      <c r="B29" s="27"/>
      <c r="C29" s="27"/>
      <c r="D29" s="27"/>
    </row>
    <row r="30" spans="1:7" ht="15.75">
      <c r="B30" s="495">
        <f>SUM(B5:B29)</f>
        <v>688944300473</v>
      </c>
      <c r="C30" s="495">
        <f t="shared" ref="C30:D30" si="0">SUM(C5:C29)</f>
        <v>1464600677207.3252</v>
      </c>
      <c r="D30" s="495">
        <f t="shared" si="0"/>
        <v>691153163577.90283</v>
      </c>
    </row>
    <row r="31" spans="1:7">
      <c r="B31" s="27"/>
      <c r="C31" s="27"/>
      <c r="D31" s="27"/>
    </row>
    <row r="32" spans="1:7" ht="15.75">
      <c r="B32" s="27"/>
      <c r="D32" s="34">
        <f>C30+D30</f>
        <v>2155753840785.228</v>
      </c>
    </row>
    <row r="33" spans="6:13" ht="23.25">
      <c r="F33" s="243" t="s">
        <v>313</v>
      </c>
      <c r="M33" s="407">
        <v>45354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pane ySplit="1" topLeftCell="A2" activePane="bottomLeft" state="frozen"/>
      <selection pane="bottomLeft" activeCell="M32" sqref="M32"/>
    </sheetView>
  </sheetViews>
  <sheetFormatPr defaultRowHeight="11.25"/>
  <cols>
    <col min="1" max="1" width="3.44140625" style="1" bestFit="1" customWidth="1"/>
    <col min="2" max="2" width="8" style="1" bestFit="1" customWidth="1"/>
    <col min="3" max="3" width="11.44140625" style="1" bestFit="1" customWidth="1"/>
    <col min="4" max="4" width="8" style="1" bestFit="1" customWidth="1"/>
    <col min="5" max="5" width="8.88671875" style="1"/>
    <col min="6" max="6" width="8" style="1" bestFit="1" customWidth="1"/>
    <col min="7" max="7" width="12.6640625" style="1" customWidth="1"/>
    <col min="8" max="8" width="8.88671875" style="1"/>
    <col min="9" max="9" width="17" style="1" bestFit="1" customWidth="1"/>
    <col min="10" max="10" width="8.88671875" style="1"/>
    <col min="11" max="11" width="15" style="1" customWidth="1"/>
    <col min="12" max="16384" width="8.88671875" style="1"/>
  </cols>
  <sheetData>
    <row r="1" spans="1:14" s="38" customFormat="1" ht="22.5">
      <c r="A1" s="37"/>
      <c r="B1" s="39" t="s">
        <v>40</v>
      </c>
      <c r="C1" s="39" t="s">
        <v>397</v>
      </c>
      <c r="D1" s="39" t="s">
        <v>13</v>
      </c>
      <c r="E1" s="39" t="s">
        <v>350</v>
      </c>
      <c r="F1" s="39" t="s">
        <v>184</v>
      </c>
      <c r="G1" s="39" t="s">
        <v>398</v>
      </c>
      <c r="H1" s="39" t="s">
        <v>13</v>
      </c>
      <c r="I1" s="39" t="s">
        <v>350</v>
      </c>
    </row>
    <row r="2" spans="1:14">
      <c r="A2" s="2">
        <v>1998</v>
      </c>
      <c r="B2" s="36"/>
      <c r="C2" s="36"/>
      <c r="D2" s="36"/>
      <c r="E2" s="36"/>
      <c r="F2" s="18"/>
      <c r="G2" s="4"/>
      <c r="H2" s="4"/>
      <c r="I2" s="4"/>
      <c r="K2" s="83" t="s">
        <v>445</v>
      </c>
      <c r="N2" s="83" t="s">
        <v>446</v>
      </c>
    </row>
    <row r="3" spans="1:14">
      <c r="A3" s="2">
        <v>1999</v>
      </c>
      <c r="B3" s="36"/>
      <c r="C3" s="36"/>
      <c r="D3" s="36"/>
      <c r="E3" s="36"/>
      <c r="F3" s="18"/>
      <c r="G3" s="4"/>
      <c r="H3" s="4"/>
      <c r="I3" s="4"/>
    </row>
    <row r="4" spans="1:14">
      <c r="A4" s="2">
        <v>2000</v>
      </c>
      <c r="B4" s="36"/>
      <c r="C4" s="36"/>
      <c r="D4" s="36"/>
      <c r="E4" s="36"/>
      <c r="F4" s="18"/>
      <c r="G4" s="4"/>
      <c r="H4" s="4"/>
      <c r="I4" s="4"/>
    </row>
    <row r="5" spans="1:14">
      <c r="A5" s="2">
        <v>2001</v>
      </c>
      <c r="B5" s="36"/>
      <c r="C5" s="36"/>
      <c r="D5" s="36"/>
      <c r="E5" s="36"/>
      <c r="F5" s="18"/>
      <c r="G5" s="4"/>
      <c r="H5" s="4"/>
      <c r="I5" s="4"/>
    </row>
    <row r="6" spans="1:14">
      <c r="A6" s="2">
        <v>2002</v>
      </c>
      <c r="B6" s="36"/>
      <c r="C6" s="36"/>
      <c r="D6" s="36"/>
      <c r="E6" s="36"/>
      <c r="F6" s="18"/>
      <c r="G6" s="4"/>
      <c r="H6" s="4"/>
      <c r="I6" s="4"/>
    </row>
    <row r="7" spans="1:14">
      <c r="A7" s="2">
        <v>2003</v>
      </c>
      <c r="B7" s="36"/>
      <c r="C7" s="36"/>
      <c r="D7" s="36"/>
      <c r="E7" s="36"/>
      <c r="F7" s="18"/>
      <c r="G7" s="18"/>
      <c r="H7" s="18"/>
      <c r="I7" s="18"/>
      <c r="J7" s="286" t="s">
        <v>184</v>
      </c>
      <c r="K7" s="473" t="s">
        <v>352</v>
      </c>
    </row>
    <row r="8" spans="1:14">
      <c r="A8" s="2">
        <v>2004</v>
      </c>
      <c r="B8" s="36"/>
      <c r="C8" s="36"/>
      <c r="D8" s="36"/>
      <c r="E8" s="36"/>
      <c r="F8" s="18"/>
      <c r="G8" s="36">
        <v>546</v>
      </c>
      <c r="H8" s="18">
        <v>64</v>
      </c>
      <c r="I8" s="18">
        <v>5133</v>
      </c>
      <c r="J8" s="293" t="s">
        <v>351</v>
      </c>
      <c r="K8" s="473"/>
    </row>
    <row r="9" spans="1:14">
      <c r="A9" s="2">
        <v>2005</v>
      </c>
      <c r="B9" s="18"/>
      <c r="C9" s="18">
        <v>2326.4499999999998</v>
      </c>
      <c r="D9" s="18">
        <v>280</v>
      </c>
      <c r="E9" s="18">
        <v>19573</v>
      </c>
      <c r="F9" s="18"/>
      <c r="G9" s="36">
        <v>3300</v>
      </c>
      <c r="H9" s="18">
        <v>397</v>
      </c>
      <c r="I9" s="18">
        <v>27763</v>
      </c>
      <c r="J9" s="293" t="s">
        <v>351</v>
      </c>
      <c r="K9" s="473"/>
    </row>
    <row r="10" spans="1:14">
      <c r="A10" s="2">
        <v>2006</v>
      </c>
      <c r="B10" s="18"/>
      <c r="C10" s="18">
        <v>1636.54</v>
      </c>
      <c r="D10" s="18">
        <v>207</v>
      </c>
      <c r="E10" s="18">
        <v>12276</v>
      </c>
      <c r="F10" s="18"/>
      <c r="G10" s="36">
        <v>3600</v>
      </c>
      <c r="H10" s="18">
        <v>456</v>
      </c>
      <c r="I10" s="18">
        <v>27004</v>
      </c>
      <c r="J10" s="293" t="s">
        <v>351</v>
      </c>
      <c r="K10" s="473"/>
    </row>
    <row r="11" spans="1:14">
      <c r="A11" s="2">
        <v>2007</v>
      </c>
      <c r="B11" s="18"/>
      <c r="C11" s="18"/>
      <c r="D11" s="18"/>
      <c r="E11" s="18"/>
      <c r="F11" s="18"/>
      <c r="G11" s="36">
        <v>5100</v>
      </c>
      <c r="H11" s="18">
        <v>564</v>
      </c>
      <c r="I11" s="18">
        <v>33944</v>
      </c>
      <c r="J11" s="293" t="s">
        <v>351</v>
      </c>
      <c r="K11" s="473"/>
    </row>
    <row r="12" spans="1:14">
      <c r="A12" s="2">
        <v>2008</v>
      </c>
      <c r="B12" s="18"/>
      <c r="C12" s="18"/>
      <c r="D12" s="18"/>
      <c r="E12" s="18"/>
      <c r="F12" s="3"/>
      <c r="G12" s="36">
        <v>2300</v>
      </c>
      <c r="H12" s="18">
        <v>209</v>
      </c>
      <c r="I12" s="18">
        <v>13821</v>
      </c>
      <c r="J12" s="293" t="s">
        <v>351</v>
      </c>
      <c r="K12" s="473"/>
    </row>
    <row r="13" spans="1:14">
      <c r="A13" s="2">
        <v>2009</v>
      </c>
      <c r="B13" s="18">
        <v>63.96</v>
      </c>
      <c r="C13" s="18"/>
      <c r="D13" s="18">
        <v>5.87</v>
      </c>
      <c r="E13" s="18"/>
      <c r="F13" s="3"/>
      <c r="G13" s="36">
        <v>3100</v>
      </c>
      <c r="H13" s="18">
        <v>284</v>
      </c>
      <c r="I13" s="18">
        <v>17074</v>
      </c>
      <c r="J13" s="293" t="s">
        <v>351</v>
      </c>
      <c r="K13" s="473"/>
    </row>
    <row r="14" spans="1:14">
      <c r="A14" s="2">
        <v>2010</v>
      </c>
      <c r="B14" s="18"/>
      <c r="C14" s="18"/>
      <c r="D14" s="18"/>
      <c r="E14" s="18"/>
      <c r="F14" s="3"/>
      <c r="G14" s="3">
        <v>4200</v>
      </c>
      <c r="H14" s="18">
        <v>387</v>
      </c>
      <c r="I14" s="18">
        <v>21184</v>
      </c>
      <c r="J14" s="113"/>
      <c r="K14" s="473"/>
    </row>
    <row r="15" spans="1:14">
      <c r="A15" s="2">
        <v>2011</v>
      </c>
      <c r="B15" s="18"/>
      <c r="C15" s="18">
        <v>1148.1199999999999</v>
      </c>
      <c r="D15" s="18">
        <v>100</v>
      </c>
      <c r="E15" s="18">
        <v>5304</v>
      </c>
      <c r="F15" s="3"/>
      <c r="G15" s="3">
        <v>5295.8</v>
      </c>
      <c r="H15" s="18">
        <v>463</v>
      </c>
      <c r="I15" s="18">
        <v>24466</v>
      </c>
      <c r="J15" s="113"/>
      <c r="K15" s="473"/>
    </row>
    <row r="16" spans="1:14">
      <c r="A16" s="2">
        <v>2012</v>
      </c>
      <c r="B16" s="18"/>
      <c r="C16" s="18">
        <v>571.02</v>
      </c>
      <c r="D16" s="18">
        <v>46</v>
      </c>
      <c r="E16" s="18">
        <v>2427</v>
      </c>
      <c r="F16" s="3"/>
      <c r="G16" s="3">
        <v>3277.4</v>
      </c>
      <c r="H16" s="18">
        <v>265</v>
      </c>
      <c r="I16" s="18">
        <v>13929</v>
      </c>
      <c r="J16" s="113"/>
      <c r="K16" s="473"/>
    </row>
    <row r="17" spans="1:11">
      <c r="A17" s="2">
        <v>2013</v>
      </c>
      <c r="B17" s="18"/>
      <c r="C17" s="18"/>
      <c r="D17" s="18"/>
      <c r="E17" s="258"/>
      <c r="F17" s="3"/>
      <c r="G17" s="3">
        <v>480</v>
      </c>
      <c r="H17" s="18">
        <v>36</v>
      </c>
      <c r="I17" s="18">
        <v>1888</v>
      </c>
      <c r="J17" s="113"/>
      <c r="K17" s="473"/>
    </row>
    <row r="18" spans="1:11">
      <c r="A18" s="2">
        <v>2014</v>
      </c>
      <c r="B18" s="3">
        <v>713.6</v>
      </c>
      <c r="C18" s="3"/>
      <c r="D18" s="18">
        <v>53</v>
      </c>
      <c r="E18" s="258"/>
      <c r="F18" s="3">
        <v>940.8</v>
      </c>
      <c r="G18" s="3"/>
      <c r="H18" s="18">
        <v>70</v>
      </c>
      <c r="I18" s="18"/>
      <c r="K18" s="473"/>
    </row>
    <row r="19" spans="1:11">
      <c r="A19" s="2">
        <v>2015</v>
      </c>
      <c r="B19" s="3"/>
      <c r="C19" s="3">
        <v>1334.27</v>
      </c>
      <c r="D19" s="18">
        <v>98</v>
      </c>
      <c r="E19" s="258">
        <v>4539</v>
      </c>
      <c r="F19" s="3">
        <v>5020.72</v>
      </c>
      <c r="G19" s="3"/>
      <c r="H19" s="18">
        <v>370</v>
      </c>
      <c r="I19" s="18"/>
      <c r="K19" s="473"/>
    </row>
    <row r="20" spans="1:11">
      <c r="A20" s="2">
        <v>2016</v>
      </c>
      <c r="B20" s="3">
        <v>953.89</v>
      </c>
      <c r="C20" s="3">
        <v>728.89</v>
      </c>
      <c r="D20" s="18">
        <v>121</v>
      </c>
      <c r="E20" s="258">
        <v>2309</v>
      </c>
      <c r="F20" s="3">
        <v>96</v>
      </c>
      <c r="G20" s="3"/>
      <c r="H20" s="18">
        <v>7</v>
      </c>
      <c r="I20" s="18"/>
      <c r="K20" s="473"/>
    </row>
    <row r="21" spans="1:11">
      <c r="A21" s="2">
        <v>2017</v>
      </c>
      <c r="B21" s="3">
        <v>3199.51</v>
      </c>
      <c r="C21" s="3">
        <v>1191.22</v>
      </c>
      <c r="D21" s="18">
        <v>317</v>
      </c>
      <c r="E21" s="258">
        <v>3519</v>
      </c>
      <c r="F21" s="3">
        <v>704</v>
      </c>
      <c r="G21" s="3"/>
      <c r="H21" s="18">
        <v>50</v>
      </c>
      <c r="I21" s="18"/>
      <c r="K21" s="473"/>
    </row>
    <row r="22" spans="1:11">
      <c r="A22" s="2">
        <v>2018</v>
      </c>
      <c r="B22" s="3">
        <v>1063.2</v>
      </c>
      <c r="C22" s="3"/>
      <c r="D22" s="18">
        <v>76</v>
      </c>
      <c r="E22" s="258"/>
      <c r="F22" s="3"/>
      <c r="G22" s="3"/>
      <c r="H22" s="18"/>
      <c r="I22" s="18"/>
      <c r="K22" s="473"/>
    </row>
    <row r="23" spans="1:11">
      <c r="A23" s="2">
        <v>2019</v>
      </c>
      <c r="B23" s="3"/>
      <c r="C23" s="3"/>
      <c r="D23" s="18"/>
      <c r="E23" s="258"/>
      <c r="F23" s="3">
        <v>500</v>
      </c>
      <c r="G23" s="3"/>
      <c r="H23" s="18">
        <v>36</v>
      </c>
      <c r="I23" s="18"/>
      <c r="K23" s="473"/>
    </row>
    <row r="24" spans="1:11">
      <c r="A24" s="2">
        <v>2020</v>
      </c>
      <c r="B24" s="3">
        <v>835.4</v>
      </c>
      <c r="C24" s="3">
        <v>735.4</v>
      </c>
      <c r="D24" s="18">
        <v>113</v>
      </c>
      <c r="E24" s="258">
        <v>1762</v>
      </c>
      <c r="F24" s="3"/>
      <c r="G24" s="3"/>
      <c r="H24" s="18"/>
      <c r="I24" s="18"/>
    </row>
    <row r="25" spans="1:11">
      <c r="A25" s="2">
        <v>2021</v>
      </c>
      <c r="B25" s="3">
        <v>462.6</v>
      </c>
      <c r="C25" s="3"/>
      <c r="D25" s="18">
        <v>36</v>
      </c>
      <c r="E25" s="258"/>
      <c r="F25" s="3"/>
      <c r="G25" s="3"/>
      <c r="H25" s="18"/>
      <c r="I25" s="18"/>
    </row>
    <row r="26" spans="1:11">
      <c r="A26" s="2">
        <v>2022</v>
      </c>
      <c r="B26" s="3">
        <v>2152.2199999999998</v>
      </c>
      <c r="C26" s="3">
        <v>463</v>
      </c>
      <c r="D26" s="18">
        <v>482</v>
      </c>
      <c r="E26" s="258"/>
      <c r="F26" s="3"/>
      <c r="G26" s="3"/>
      <c r="H26" s="18"/>
      <c r="I26" s="18"/>
    </row>
    <row r="27" spans="1:11">
      <c r="A27" s="2">
        <v>2023</v>
      </c>
      <c r="B27" s="3"/>
      <c r="C27" s="3"/>
      <c r="D27" s="18"/>
      <c r="E27" s="259"/>
      <c r="F27" s="3"/>
      <c r="G27" s="3"/>
      <c r="H27" s="3"/>
      <c r="I27" s="3"/>
    </row>
    <row r="28" spans="1:11">
      <c r="A28" s="2"/>
      <c r="B28" s="20">
        <f>SUM(B2:B27)</f>
        <v>9444.3799999999992</v>
      </c>
      <c r="C28" s="287">
        <f t="shared" ref="C28:I28" si="0">SUM(C2:C27)</f>
        <v>10134.91</v>
      </c>
      <c r="D28" s="76">
        <f t="shared" si="0"/>
        <v>1934.87</v>
      </c>
      <c r="E28" s="309">
        <f t="shared" si="0"/>
        <v>51709</v>
      </c>
      <c r="F28" s="20">
        <f t="shared" si="0"/>
        <v>7261.52</v>
      </c>
      <c r="G28" s="287">
        <f t="shared" si="0"/>
        <v>31199.200000000001</v>
      </c>
      <c r="H28" s="76">
        <f t="shared" si="0"/>
        <v>3658</v>
      </c>
      <c r="I28" s="309">
        <f t="shared" si="0"/>
        <v>186206</v>
      </c>
    </row>
    <row r="29" spans="1:11">
      <c r="E29" s="75"/>
      <c r="I29" s="83" t="s">
        <v>404</v>
      </c>
    </row>
    <row r="30" spans="1:11">
      <c r="B30" s="290">
        <f>B28+F28</f>
        <v>16705.900000000001</v>
      </c>
      <c r="C30" s="289">
        <f>C28+G28</f>
        <v>41334.11</v>
      </c>
      <c r="D30" s="288">
        <f>D28+H28</f>
        <v>5592.87</v>
      </c>
      <c r="E30" s="368">
        <f>E28+I28</f>
        <v>237915</v>
      </c>
      <c r="J30" s="5"/>
    </row>
    <row r="31" spans="1:11" ht="15.75">
      <c r="A31" s="13"/>
      <c r="B31" s="13"/>
      <c r="C31" s="292">
        <f>B30+C30</f>
        <v>58040.01</v>
      </c>
      <c r="D31" s="13"/>
      <c r="E31" s="291">
        <f>D30+E30</f>
        <v>243507.87</v>
      </c>
      <c r="I31" s="5">
        <f>B24+C24</f>
        <v>1570.8</v>
      </c>
      <c r="K31" s="13"/>
    </row>
    <row r="32" spans="1:11" ht="15">
      <c r="A32" s="195" t="s">
        <v>402</v>
      </c>
      <c r="C32" s="5"/>
      <c r="I32" s="384" t="s">
        <v>469</v>
      </c>
    </row>
    <row r="33" spans="1:10" ht="15">
      <c r="A33" s="195" t="s">
        <v>403</v>
      </c>
      <c r="C33" s="5"/>
      <c r="J33" s="377" t="s">
        <v>488</v>
      </c>
    </row>
    <row r="35" spans="1:10">
      <c r="B35" s="249" t="s">
        <v>299</v>
      </c>
      <c r="E35" s="286" t="s">
        <v>300</v>
      </c>
      <c r="G35" s="1" t="s">
        <v>301</v>
      </c>
      <c r="I35" s="1" t="s">
        <v>405</v>
      </c>
    </row>
    <row r="36" spans="1:10">
      <c r="B36" s="1" t="s">
        <v>347</v>
      </c>
      <c r="C36" s="28">
        <v>200000</v>
      </c>
      <c r="E36" s="28">
        <v>30000</v>
      </c>
      <c r="G36" s="28">
        <f>C36*E36</f>
        <v>6000000000</v>
      </c>
      <c r="I36" s="28">
        <f>E31*G36/C31</f>
        <v>25173104208.631252</v>
      </c>
    </row>
    <row r="37" spans="1:10">
      <c r="B37" s="1" t="s">
        <v>348</v>
      </c>
      <c r="C37" s="28">
        <v>55000</v>
      </c>
      <c r="E37" s="28">
        <v>33333</v>
      </c>
      <c r="G37" s="28">
        <f t="shared" ref="G37:G38" si="1">C37*E37</f>
        <v>1833315000</v>
      </c>
      <c r="I37" s="28">
        <f>D30*G37/B30</f>
        <v>613764745.63178277</v>
      </c>
    </row>
    <row r="38" spans="1:10">
      <c r="B38" s="1" t="s">
        <v>349</v>
      </c>
      <c r="C38" s="28">
        <v>111000</v>
      </c>
      <c r="E38" s="75">
        <v>9999</v>
      </c>
      <c r="G38" s="28">
        <f t="shared" si="1"/>
        <v>1109889000</v>
      </c>
      <c r="I38" s="28">
        <f>D30*G38/B30</f>
        <v>371573210.14910895</v>
      </c>
    </row>
    <row r="39" spans="1:10">
      <c r="C39" s="28"/>
      <c r="G39" s="239">
        <f>SUM(G36:G38)</f>
        <v>8943204000</v>
      </c>
      <c r="I39" s="239">
        <f>SUM(I36:I38)</f>
        <v>26158442164.412144</v>
      </c>
    </row>
    <row r="40" spans="1:10">
      <c r="C40" s="28"/>
    </row>
    <row r="41" spans="1:10">
      <c r="C41" s="28"/>
    </row>
    <row r="42" spans="1:10">
      <c r="C42" s="28"/>
      <c r="G42" s="1" t="s">
        <v>302</v>
      </c>
      <c r="I42" s="1" t="s">
        <v>405</v>
      </c>
    </row>
    <row r="43" spans="1:10">
      <c r="B43" s="1" t="s">
        <v>347</v>
      </c>
      <c r="C43" s="28">
        <v>200000</v>
      </c>
      <c r="E43" s="28">
        <v>9999</v>
      </c>
      <c r="G43" s="28">
        <f>C43*E43</f>
        <v>1999800000</v>
      </c>
      <c r="I43" s="28"/>
    </row>
    <row r="44" spans="1:10">
      <c r="B44" s="1" t="s">
        <v>348</v>
      </c>
      <c r="C44" s="28">
        <v>55000</v>
      </c>
      <c r="E44" s="28">
        <v>11111</v>
      </c>
      <c r="G44" s="28">
        <f t="shared" ref="G44:G45" si="2">C44*E44</f>
        <v>611105000</v>
      </c>
      <c r="I44" s="28"/>
    </row>
    <row r="45" spans="1:10">
      <c r="B45" s="1" t="s">
        <v>349</v>
      </c>
      <c r="C45" s="28">
        <v>111000</v>
      </c>
      <c r="E45" s="28">
        <v>3333</v>
      </c>
      <c r="G45" s="28">
        <f t="shared" si="2"/>
        <v>369963000</v>
      </c>
      <c r="I45" s="28"/>
    </row>
    <row r="46" spans="1:10">
      <c r="G46" s="239">
        <f>SUM(G43:G45)</f>
        <v>2980868000</v>
      </c>
      <c r="I46" s="239">
        <f>I39*5</f>
        <v>130792210822.06071</v>
      </c>
    </row>
    <row r="47" spans="1:10">
      <c r="D47" s="83" t="s">
        <v>399</v>
      </c>
      <c r="E47" s="72" t="s">
        <v>400</v>
      </c>
      <c r="H47" s="83" t="s">
        <v>399</v>
      </c>
      <c r="I47" s="72" t="s">
        <v>400</v>
      </c>
    </row>
    <row r="48" spans="1:10">
      <c r="I48" s="260"/>
    </row>
    <row r="49" spans="7:9" ht="15.75">
      <c r="G49" s="75">
        <f>G39+G46</f>
        <v>11924072000</v>
      </c>
      <c r="I49" s="34">
        <f>I39+I46</f>
        <v>156950652986.47287</v>
      </c>
    </row>
  </sheetData>
  <mergeCells count="1">
    <mergeCell ref="K7:K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B3" sqref="B3"/>
    </sheetView>
  </sheetViews>
  <sheetFormatPr defaultRowHeight="11.25"/>
  <cols>
    <col min="1" max="1" width="3.44140625" style="1" bestFit="1" customWidth="1"/>
    <col min="2" max="4" width="11.33203125" style="1" customWidth="1"/>
    <col min="5" max="5" width="10.5546875" style="1" customWidth="1"/>
    <col min="6" max="8" width="8.88671875" style="1"/>
    <col min="9" max="9" width="12.44140625" style="1" bestFit="1" customWidth="1"/>
    <col min="10" max="10" width="8.88671875" style="1"/>
    <col min="11" max="11" width="11.44140625" style="1" bestFit="1" customWidth="1"/>
    <col min="12" max="12" width="10" style="1" bestFit="1" customWidth="1"/>
    <col min="13" max="16384" width="8.88671875" style="1"/>
  </cols>
  <sheetData>
    <row r="1" spans="1:14" s="38" customFormat="1" ht="22.5">
      <c r="A1" s="37"/>
      <c r="B1" s="39" t="s">
        <v>16</v>
      </c>
      <c r="C1" s="39" t="s">
        <v>17</v>
      </c>
      <c r="D1" s="39" t="s">
        <v>15</v>
      </c>
      <c r="E1" s="39" t="s">
        <v>17</v>
      </c>
      <c r="F1" s="39" t="s">
        <v>24</v>
      </c>
      <c r="G1" s="39" t="s">
        <v>13</v>
      </c>
      <c r="I1" s="39" t="s">
        <v>15</v>
      </c>
      <c r="J1" s="39" t="s">
        <v>17</v>
      </c>
      <c r="K1" s="39" t="s">
        <v>24</v>
      </c>
      <c r="L1" s="39" t="s">
        <v>13</v>
      </c>
    </row>
    <row r="2" spans="1:14">
      <c r="A2" s="2">
        <v>1998</v>
      </c>
      <c r="B2" s="3">
        <v>1329.72</v>
      </c>
      <c r="C2" s="259">
        <v>0</v>
      </c>
      <c r="D2" s="3">
        <v>731.35</v>
      </c>
      <c r="E2" s="18">
        <v>0</v>
      </c>
      <c r="F2" s="3">
        <f t="shared" ref="F2:F23" si="0">D2-E2</f>
        <v>731.35</v>
      </c>
      <c r="G2" s="321"/>
      <c r="I2" s="3"/>
      <c r="J2" s="18"/>
      <c r="K2" s="18">
        <f>J2-I2</f>
        <v>0</v>
      </c>
      <c r="L2" s="31"/>
      <c r="N2" s="227"/>
    </row>
    <row r="3" spans="1:14">
      <c r="A3" s="2">
        <v>1999</v>
      </c>
      <c r="B3" s="3">
        <v>3427.46</v>
      </c>
      <c r="C3" s="3"/>
      <c r="D3" s="3">
        <v>1820.43</v>
      </c>
      <c r="E3" s="3">
        <v>0</v>
      </c>
      <c r="F3" s="3">
        <f t="shared" si="0"/>
        <v>1820.43</v>
      </c>
      <c r="G3" s="321"/>
      <c r="I3" s="3"/>
      <c r="J3" s="3"/>
      <c r="K3" s="18">
        <f t="shared" ref="K3" si="1">J3-I3</f>
        <v>0</v>
      </c>
      <c r="L3" s="31"/>
      <c r="N3" s="227"/>
    </row>
    <row r="4" spans="1:14">
      <c r="A4" s="2">
        <v>2000</v>
      </c>
      <c r="B4" s="3">
        <v>3121.8</v>
      </c>
      <c r="C4" s="3">
        <v>-1572.37</v>
      </c>
      <c r="D4" s="3">
        <v>2718.2</v>
      </c>
      <c r="E4" s="3">
        <v>0</v>
      </c>
      <c r="F4" s="3">
        <f t="shared" si="0"/>
        <v>2718.2</v>
      </c>
      <c r="G4" s="321"/>
      <c r="I4" s="3"/>
      <c r="J4" s="3"/>
      <c r="K4" s="3">
        <f t="shared" ref="K4:K22" si="2">I4-J4</f>
        <v>0</v>
      </c>
      <c r="L4" s="31"/>
      <c r="N4" s="227"/>
    </row>
    <row r="5" spans="1:14">
      <c r="A5" s="2">
        <v>2001</v>
      </c>
      <c r="B5" s="3">
        <v>5273.3</v>
      </c>
      <c r="C5" s="3">
        <v>2142.91</v>
      </c>
      <c r="D5" s="3">
        <v>2900.32</v>
      </c>
      <c r="E5" s="3">
        <v>1178.5999999999999</v>
      </c>
      <c r="F5" s="3">
        <f t="shared" si="0"/>
        <v>1721.7200000000003</v>
      </c>
      <c r="G5" s="321"/>
      <c r="I5" s="3"/>
      <c r="J5" s="3"/>
      <c r="K5" s="3">
        <f t="shared" si="2"/>
        <v>0</v>
      </c>
      <c r="L5" s="31"/>
      <c r="N5" s="227"/>
    </row>
    <row r="6" spans="1:14">
      <c r="A6" s="2">
        <v>2002</v>
      </c>
      <c r="B6" s="3"/>
      <c r="C6" s="3"/>
      <c r="D6" s="3"/>
      <c r="E6" s="3"/>
      <c r="F6" s="3">
        <f t="shared" si="0"/>
        <v>0</v>
      </c>
      <c r="G6" s="31"/>
      <c r="I6" s="3"/>
      <c r="J6" s="3"/>
      <c r="K6" s="3">
        <f t="shared" si="2"/>
        <v>0</v>
      </c>
      <c r="L6" s="31"/>
    </row>
    <row r="7" spans="1:14">
      <c r="A7" s="2">
        <v>2003</v>
      </c>
      <c r="B7" s="3"/>
      <c r="C7" s="3"/>
      <c r="D7" s="3"/>
      <c r="E7" s="3"/>
      <c r="F7" s="3">
        <f t="shared" si="0"/>
        <v>0</v>
      </c>
      <c r="G7" s="31"/>
      <c r="I7" s="3"/>
      <c r="J7" s="3"/>
      <c r="K7" s="3">
        <f t="shared" si="2"/>
        <v>0</v>
      </c>
      <c r="L7" s="31"/>
    </row>
    <row r="8" spans="1:14">
      <c r="A8" s="2">
        <v>2004</v>
      </c>
      <c r="B8" s="3"/>
      <c r="C8" s="3"/>
      <c r="D8" s="3"/>
      <c r="E8" s="3"/>
      <c r="F8" s="3">
        <f t="shared" si="0"/>
        <v>0</v>
      </c>
      <c r="G8" s="31"/>
      <c r="I8" s="3"/>
      <c r="J8" s="18"/>
      <c r="K8" s="3">
        <f t="shared" si="2"/>
        <v>0</v>
      </c>
      <c r="L8" s="31"/>
    </row>
    <row r="9" spans="1:14">
      <c r="A9" s="2">
        <v>2005</v>
      </c>
      <c r="B9" s="3"/>
      <c r="C9" s="3"/>
      <c r="D9" s="3"/>
      <c r="E9" s="3"/>
      <c r="F9" s="3">
        <f t="shared" si="0"/>
        <v>0</v>
      </c>
      <c r="G9" s="31"/>
      <c r="I9" s="3"/>
      <c r="J9" s="18"/>
      <c r="K9" s="3">
        <f t="shared" si="2"/>
        <v>0</v>
      </c>
      <c r="L9" s="31"/>
    </row>
    <row r="10" spans="1:14">
      <c r="A10" s="2">
        <v>2006</v>
      </c>
      <c r="B10" s="3">
        <v>10043.56</v>
      </c>
      <c r="C10" s="36">
        <v>5000</v>
      </c>
      <c r="D10" s="3">
        <v>5523.96</v>
      </c>
      <c r="E10" s="36">
        <v>2222</v>
      </c>
      <c r="F10" s="3">
        <f t="shared" si="0"/>
        <v>3301.96</v>
      </c>
      <c r="G10" s="31">
        <v>12581</v>
      </c>
      <c r="I10" s="3"/>
      <c r="J10" s="18"/>
      <c r="K10" s="3">
        <f t="shared" si="2"/>
        <v>0</v>
      </c>
      <c r="L10" s="31"/>
    </row>
    <row r="11" spans="1:14">
      <c r="A11" s="2">
        <v>2007</v>
      </c>
      <c r="B11" s="3">
        <v>31903.1</v>
      </c>
      <c r="C11" s="3">
        <v>30085.31</v>
      </c>
      <c r="D11" s="18">
        <v>17546.71</v>
      </c>
      <c r="E11" s="3">
        <v>16546.14</v>
      </c>
      <c r="F11" s="3">
        <f t="shared" si="0"/>
        <v>1000.5699999999997</v>
      </c>
      <c r="G11" s="31">
        <v>3383</v>
      </c>
      <c r="I11" s="18"/>
      <c r="J11" s="18"/>
      <c r="K11" s="3">
        <f t="shared" si="2"/>
        <v>0</v>
      </c>
      <c r="L11" s="31"/>
    </row>
    <row r="12" spans="1:14">
      <c r="A12" s="2">
        <v>2008</v>
      </c>
      <c r="B12" s="3">
        <v>21594.29</v>
      </c>
      <c r="C12" s="3">
        <v>19900</v>
      </c>
      <c r="D12" s="3">
        <v>11876.86</v>
      </c>
      <c r="E12" s="36">
        <v>10500</v>
      </c>
      <c r="F12" s="3">
        <f t="shared" si="0"/>
        <v>1376.8600000000006</v>
      </c>
      <c r="G12" s="31">
        <v>4191</v>
      </c>
      <c r="I12" s="3"/>
      <c r="J12" s="18"/>
      <c r="K12" s="3">
        <f t="shared" si="2"/>
        <v>0</v>
      </c>
      <c r="L12" s="31"/>
    </row>
    <row r="13" spans="1:14">
      <c r="A13" s="2">
        <v>2009</v>
      </c>
      <c r="B13" s="3">
        <v>53663</v>
      </c>
      <c r="C13" s="3">
        <v>53493</v>
      </c>
      <c r="D13" s="3">
        <v>11799</v>
      </c>
      <c r="E13" s="3">
        <v>11769</v>
      </c>
      <c r="F13" s="3">
        <f t="shared" si="0"/>
        <v>30</v>
      </c>
      <c r="G13" s="31">
        <v>84</v>
      </c>
      <c r="I13" s="3"/>
      <c r="J13" s="18"/>
      <c r="K13" s="3">
        <f t="shared" si="2"/>
        <v>0</v>
      </c>
      <c r="L13" s="31"/>
    </row>
    <row r="14" spans="1:14">
      <c r="A14" s="2">
        <v>2010</v>
      </c>
      <c r="B14" s="3">
        <v>71024</v>
      </c>
      <c r="C14" s="3">
        <v>70380</v>
      </c>
      <c r="D14" s="3">
        <v>18386.490000000002</v>
      </c>
      <c r="E14" s="3">
        <v>18219.29</v>
      </c>
      <c r="F14" s="3">
        <f t="shared" si="0"/>
        <v>167.20000000000073</v>
      </c>
      <c r="G14" s="31">
        <v>427</v>
      </c>
      <c r="I14" s="3"/>
      <c r="J14" s="18"/>
      <c r="K14" s="3">
        <f t="shared" si="2"/>
        <v>0</v>
      </c>
      <c r="L14" s="31"/>
    </row>
    <row r="15" spans="1:14">
      <c r="A15" s="2">
        <v>2011</v>
      </c>
      <c r="B15" s="3"/>
      <c r="C15" s="3"/>
      <c r="D15" s="3"/>
      <c r="E15" s="3"/>
      <c r="F15" s="3">
        <f t="shared" si="0"/>
        <v>0</v>
      </c>
      <c r="G15" s="31"/>
      <c r="I15" s="3"/>
      <c r="J15" s="18"/>
      <c r="K15" s="3">
        <f t="shared" si="2"/>
        <v>0</v>
      </c>
      <c r="L15" s="31"/>
    </row>
    <row r="16" spans="1:14">
      <c r="A16" s="2">
        <v>2012</v>
      </c>
      <c r="B16" s="3">
        <v>437.18</v>
      </c>
      <c r="C16" s="3">
        <v>257.2</v>
      </c>
      <c r="D16" s="3">
        <v>240.43</v>
      </c>
      <c r="E16" s="3">
        <v>34.200000000000003</v>
      </c>
      <c r="F16" s="3">
        <f t="shared" si="0"/>
        <v>206.23000000000002</v>
      </c>
      <c r="G16" s="31">
        <v>444</v>
      </c>
      <c r="I16" s="3"/>
      <c r="J16" s="3"/>
      <c r="K16" s="3">
        <f t="shared" si="2"/>
        <v>0</v>
      </c>
      <c r="L16" s="31"/>
    </row>
    <row r="17" spans="1:14">
      <c r="A17" s="2">
        <v>2013</v>
      </c>
      <c r="B17" s="3"/>
      <c r="C17" s="3"/>
      <c r="D17" s="3">
        <v>3792.42</v>
      </c>
      <c r="E17" s="3">
        <v>0</v>
      </c>
      <c r="F17" s="3">
        <f t="shared" si="0"/>
        <v>3792.42</v>
      </c>
      <c r="G17" s="31">
        <v>7548</v>
      </c>
      <c r="I17" s="3"/>
      <c r="J17" s="3"/>
      <c r="K17" s="3">
        <f t="shared" si="2"/>
        <v>0</v>
      </c>
      <c r="L17" s="31"/>
    </row>
    <row r="18" spans="1:14">
      <c r="A18" s="2">
        <v>2014</v>
      </c>
      <c r="B18" s="3"/>
      <c r="C18" s="3"/>
      <c r="D18" s="3">
        <v>2668.93</v>
      </c>
      <c r="E18" s="3">
        <v>0</v>
      </c>
      <c r="F18" s="3">
        <f t="shared" si="0"/>
        <v>2668.93</v>
      </c>
      <c r="G18" s="31">
        <v>4937</v>
      </c>
      <c r="I18" s="3"/>
      <c r="J18" s="3"/>
      <c r="K18" s="3">
        <f t="shared" si="2"/>
        <v>0</v>
      </c>
      <c r="L18" s="31"/>
    </row>
    <row r="19" spans="1:14">
      <c r="A19" s="2">
        <v>2015</v>
      </c>
      <c r="B19" s="3"/>
      <c r="C19" s="3"/>
      <c r="D19" s="3">
        <v>10998.53</v>
      </c>
      <c r="E19" s="3">
        <v>8167.21</v>
      </c>
      <c r="F19" s="3">
        <f t="shared" si="0"/>
        <v>2831.3200000000006</v>
      </c>
      <c r="G19" s="32">
        <v>4872</v>
      </c>
      <c r="I19" s="3"/>
      <c r="J19" s="3"/>
      <c r="K19" s="3">
        <f t="shared" si="2"/>
        <v>0</v>
      </c>
      <c r="L19" s="31"/>
    </row>
    <row r="20" spans="1:14">
      <c r="A20" s="2">
        <v>2016</v>
      </c>
      <c r="B20" s="3"/>
      <c r="C20" s="3"/>
      <c r="D20" s="3">
        <v>13027.05</v>
      </c>
      <c r="E20" s="3">
        <v>8110.17</v>
      </c>
      <c r="F20" s="3">
        <f t="shared" si="0"/>
        <v>4916.8799999999992</v>
      </c>
      <c r="G20" s="32">
        <v>7879</v>
      </c>
      <c r="I20" s="3"/>
      <c r="J20" s="3"/>
      <c r="K20" s="3">
        <f t="shared" si="2"/>
        <v>0</v>
      </c>
      <c r="L20" s="31"/>
    </row>
    <row r="21" spans="1:14">
      <c r="A21" s="2">
        <v>2017</v>
      </c>
      <c r="B21" s="3"/>
      <c r="C21" s="3"/>
      <c r="D21" s="3"/>
      <c r="E21" s="3"/>
      <c r="F21" s="3">
        <f t="shared" si="0"/>
        <v>0</v>
      </c>
      <c r="G21" s="32"/>
      <c r="I21" s="3"/>
      <c r="J21" s="3"/>
      <c r="K21" s="3">
        <f t="shared" si="2"/>
        <v>0</v>
      </c>
      <c r="L21" s="31"/>
    </row>
    <row r="22" spans="1:14">
      <c r="A22" s="2">
        <v>2018</v>
      </c>
      <c r="B22" s="3"/>
      <c r="C22" s="3"/>
      <c r="D22" s="3">
        <v>12108.65</v>
      </c>
      <c r="E22" s="3">
        <v>9379.5400000000009</v>
      </c>
      <c r="F22" s="3">
        <f t="shared" si="0"/>
        <v>2729.1099999999988</v>
      </c>
      <c r="G22" s="32">
        <v>3803</v>
      </c>
      <c r="I22" s="3"/>
      <c r="J22" s="3"/>
      <c r="K22" s="3">
        <f t="shared" si="2"/>
        <v>0</v>
      </c>
      <c r="L22" s="31"/>
    </row>
    <row r="23" spans="1:14">
      <c r="A23" s="2">
        <v>2019</v>
      </c>
      <c r="B23" s="3"/>
      <c r="C23" s="3"/>
      <c r="D23" s="3"/>
      <c r="E23" s="3"/>
      <c r="F23" s="3">
        <f t="shared" si="0"/>
        <v>0</v>
      </c>
      <c r="G23" s="32"/>
      <c r="I23" s="3">
        <v>631.63</v>
      </c>
      <c r="J23" s="3">
        <v>0</v>
      </c>
      <c r="K23" s="3">
        <f t="shared" ref="K23" si="3">I23-J23</f>
        <v>631.63</v>
      </c>
      <c r="L23" s="31">
        <v>821</v>
      </c>
    </row>
    <row r="24" spans="1:14">
      <c r="A24" s="2">
        <v>2020</v>
      </c>
      <c r="B24" s="3"/>
      <c r="C24" s="3"/>
      <c r="D24" s="3">
        <v>2367.71</v>
      </c>
      <c r="E24" s="3">
        <v>422.09</v>
      </c>
      <c r="F24" s="3">
        <f t="shared" ref="F24:F26" si="4">D24-E24</f>
        <v>1945.6200000000001</v>
      </c>
      <c r="G24" s="32">
        <v>2357</v>
      </c>
      <c r="I24" s="18">
        <v>128.72</v>
      </c>
      <c r="J24" s="3">
        <v>0</v>
      </c>
      <c r="K24" s="3">
        <f t="shared" ref="K24:K26" si="5">I24-J24</f>
        <v>128.72</v>
      </c>
      <c r="L24" s="31">
        <v>156</v>
      </c>
    </row>
    <row r="25" spans="1:14">
      <c r="A25" s="2">
        <v>2021</v>
      </c>
      <c r="B25" s="3"/>
      <c r="C25" s="3"/>
      <c r="D25" s="3">
        <v>8103.07</v>
      </c>
      <c r="E25" s="3">
        <v>6300.76</v>
      </c>
      <c r="F25" s="3">
        <f t="shared" si="4"/>
        <v>1802.3099999999995</v>
      </c>
      <c r="G25" s="32">
        <v>2037</v>
      </c>
      <c r="I25" s="3">
        <v>383.93</v>
      </c>
      <c r="J25" s="3">
        <v>0</v>
      </c>
      <c r="K25" s="3">
        <f t="shared" si="5"/>
        <v>383.93</v>
      </c>
      <c r="L25" s="31">
        <v>434</v>
      </c>
    </row>
    <row r="26" spans="1:14">
      <c r="A26" s="2">
        <v>2022</v>
      </c>
      <c r="B26" s="3"/>
      <c r="C26" s="3"/>
      <c r="D26" s="3">
        <v>8559.91</v>
      </c>
      <c r="E26" s="3">
        <v>5021.28</v>
      </c>
      <c r="F26" s="3">
        <f t="shared" si="4"/>
        <v>3538.63</v>
      </c>
      <c r="G26" s="32">
        <v>3708</v>
      </c>
      <c r="I26" s="3">
        <v>199</v>
      </c>
      <c r="J26" s="3">
        <v>0</v>
      </c>
      <c r="K26" s="3">
        <f t="shared" si="5"/>
        <v>199</v>
      </c>
      <c r="L26" s="32">
        <v>208</v>
      </c>
    </row>
    <row r="27" spans="1:14">
      <c r="A27" s="2"/>
      <c r="B27" s="3"/>
      <c r="C27" s="3"/>
      <c r="D27" s="3"/>
      <c r="E27" s="3"/>
      <c r="F27" s="3">
        <f>SUM(F2:F26)</f>
        <v>37299.74</v>
      </c>
      <c r="G27" s="32">
        <f>SUM(G2:G26)</f>
        <v>58251</v>
      </c>
      <c r="I27" s="3"/>
      <c r="J27" s="3"/>
      <c r="K27" s="3">
        <f>SUM(K2:K26)</f>
        <v>1343.28</v>
      </c>
      <c r="L27" s="32">
        <f>SUM(L2:L26)</f>
        <v>1619</v>
      </c>
    </row>
    <row r="28" spans="1:14">
      <c r="G28" s="5"/>
      <c r="L28" s="75"/>
    </row>
    <row r="29" spans="1:14">
      <c r="L29" s="75"/>
      <c r="N29" s="82">
        <v>45352</v>
      </c>
    </row>
    <row r="30" spans="1:14" ht="15.75">
      <c r="A30" s="432" t="s">
        <v>20</v>
      </c>
      <c r="B30" s="432"/>
      <c r="C30" s="432"/>
      <c r="D30" s="432"/>
      <c r="E30" s="432"/>
      <c r="F30" s="432"/>
      <c r="G30" s="432"/>
      <c r="H30" s="13"/>
      <c r="I30" s="13"/>
      <c r="J30" s="13"/>
      <c r="K30" s="386">
        <f>F27+K27</f>
        <v>38643.019999999997</v>
      </c>
      <c r="L30" s="387">
        <f>G27+L27</f>
        <v>59870</v>
      </c>
      <c r="M30" s="13"/>
      <c r="N30" s="384" t="s">
        <v>469</v>
      </c>
    </row>
    <row r="33" spans="3:3" ht="15">
      <c r="C33" s="11" t="s">
        <v>298</v>
      </c>
    </row>
  </sheetData>
  <mergeCells count="1">
    <mergeCell ref="A30:G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G3" sqref="G3:G5"/>
    </sheetView>
  </sheetViews>
  <sheetFormatPr defaultRowHeight="11.25"/>
  <cols>
    <col min="1" max="1" width="3.44140625" style="1" bestFit="1" customWidth="1"/>
    <col min="2" max="2" width="8.6640625" style="1" customWidth="1"/>
    <col min="3" max="3" width="8" style="1" bestFit="1" customWidth="1"/>
    <col min="4" max="4" width="8.6640625" style="1" bestFit="1" customWidth="1"/>
    <col min="5" max="5" width="8" style="1" bestFit="1" customWidth="1"/>
    <col min="6" max="6" width="8.88671875" style="1"/>
    <col min="7" max="7" width="5.21875" style="1" customWidth="1"/>
    <col min="8" max="8" width="11" style="1" bestFit="1" customWidth="1"/>
    <col min="9" max="9" width="11.6640625" style="1" bestFit="1" customWidth="1"/>
    <col min="10" max="10" width="11" style="1" bestFit="1" customWidth="1"/>
    <col min="11" max="11" width="11.6640625" style="1" bestFit="1" customWidth="1"/>
    <col min="12" max="16384" width="8.88671875" style="1"/>
  </cols>
  <sheetData>
    <row r="1" spans="1:7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3">
        <v>731.35</v>
      </c>
      <c r="C2" s="321">
        <v>1288</v>
      </c>
      <c r="D2" s="4"/>
      <c r="E2" s="4"/>
      <c r="G2" s="409"/>
    </row>
    <row r="3" spans="1:7">
      <c r="A3" s="2">
        <v>1999</v>
      </c>
      <c r="B3" s="3">
        <v>1820.43</v>
      </c>
      <c r="C3" s="321">
        <v>3898</v>
      </c>
      <c r="D3" s="4"/>
      <c r="E3" s="4"/>
      <c r="F3" s="5"/>
      <c r="G3" s="410"/>
    </row>
    <row r="4" spans="1:7">
      <c r="A4" s="2">
        <v>2000</v>
      </c>
      <c r="B4" s="3">
        <v>2718</v>
      </c>
      <c r="C4" s="321">
        <v>2126</v>
      </c>
      <c r="D4" s="4"/>
      <c r="E4" s="4"/>
      <c r="F4" s="5"/>
      <c r="G4" s="227"/>
    </row>
    <row r="5" spans="1:7">
      <c r="A5" s="2">
        <v>2001</v>
      </c>
      <c r="B5" s="3">
        <v>2900.32</v>
      </c>
      <c r="C5" s="321">
        <v>1890</v>
      </c>
      <c r="D5" s="4"/>
      <c r="E5" s="4"/>
      <c r="F5" s="5"/>
      <c r="G5" s="227"/>
    </row>
    <row r="6" spans="1:7">
      <c r="A6" s="2">
        <v>2002</v>
      </c>
      <c r="B6" s="3">
        <v>3215</v>
      </c>
      <c r="C6" s="321">
        <v>2022</v>
      </c>
      <c r="D6" s="4"/>
      <c r="E6" s="4"/>
      <c r="F6" s="5"/>
    </row>
    <row r="7" spans="1:7">
      <c r="A7" s="2">
        <v>2003</v>
      </c>
      <c r="B7" s="3">
        <v>8814.93</v>
      </c>
      <c r="C7" s="321">
        <v>4337</v>
      </c>
      <c r="D7" s="19" t="s">
        <v>320</v>
      </c>
      <c r="E7" s="4"/>
      <c r="F7" s="5"/>
    </row>
    <row r="8" spans="1:7">
      <c r="A8" s="2">
        <v>2004</v>
      </c>
      <c r="B8" s="4">
        <v>0</v>
      </c>
      <c r="C8" s="318"/>
      <c r="D8" s="19" t="s">
        <v>320</v>
      </c>
      <c r="E8" s="4"/>
      <c r="F8" s="5"/>
    </row>
    <row r="9" spans="1:7">
      <c r="A9" s="2">
        <v>2005</v>
      </c>
      <c r="B9" s="4">
        <v>0</v>
      </c>
      <c r="C9" s="318"/>
      <c r="D9" s="19" t="s">
        <v>320</v>
      </c>
      <c r="E9" s="4"/>
      <c r="F9" s="5"/>
    </row>
    <row r="10" spans="1:7">
      <c r="A10" s="2">
        <v>2006</v>
      </c>
      <c r="B10" s="3">
        <v>5523.96</v>
      </c>
      <c r="C10" s="32">
        <v>1757</v>
      </c>
      <c r="D10" s="4">
        <v>0</v>
      </c>
      <c r="E10" s="4"/>
      <c r="F10" s="5"/>
    </row>
    <row r="11" spans="1:7">
      <c r="A11" s="2">
        <v>2007</v>
      </c>
      <c r="B11" s="3">
        <v>17546.71</v>
      </c>
      <c r="C11" s="32">
        <v>5302</v>
      </c>
      <c r="D11" s="4">
        <v>0</v>
      </c>
      <c r="E11" s="4"/>
      <c r="F11" s="5"/>
    </row>
    <row r="12" spans="1:7">
      <c r="A12" s="2">
        <v>2008</v>
      </c>
      <c r="B12" s="3">
        <v>11876.86</v>
      </c>
      <c r="C12" s="32">
        <v>2500</v>
      </c>
      <c r="D12" s="29" t="s">
        <v>320</v>
      </c>
      <c r="E12" s="4"/>
      <c r="F12" s="5"/>
    </row>
    <row r="13" spans="1:7">
      <c r="A13" s="2">
        <v>2009</v>
      </c>
      <c r="B13" s="3">
        <v>6329.36</v>
      </c>
      <c r="C13" s="32">
        <v>1355</v>
      </c>
      <c r="D13" s="4">
        <v>0</v>
      </c>
      <c r="E13" s="4"/>
      <c r="F13" s="5"/>
    </row>
    <row r="14" spans="1:7">
      <c r="A14" s="2">
        <v>2010</v>
      </c>
      <c r="B14" s="3">
        <v>10058.75</v>
      </c>
      <c r="C14" s="32">
        <v>1988</v>
      </c>
      <c r="D14" s="4">
        <v>0</v>
      </c>
      <c r="E14" s="4"/>
      <c r="F14" s="5"/>
    </row>
    <row r="15" spans="1:7">
      <c r="A15" s="2">
        <v>2011</v>
      </c>
      <c r="B15" s="4">
        <v>0</v>
      </c>
      <c r="C15" s="318"/>
      <c r="D15" s="4">
        <v>0</v>
      </c>
      <c r="E15" s="4"/>
      <c r="F15" s="5"/>
    </row>
    <row r="16" spans="1:7">
      <c r="A16" s="2">
        <v>2012</v>
      </c>
      <c r="B16" s="3">
        <v>240.43</v>
      </c>
      <c r="C16" s="32">
        <v>32</v>
      </c>
      <c r="D16" s="4">
        <v>0</v>
      </c>
      <c r="E16" s="4"/>
      <c r="F16" s="5"/>
    </row>
    <row r="17" spans="1:9">
      <c r="A17" s="2">
        <v>2013</v>
      </c>
      <c r="B17" s="3">
        <v>3792.42</v>
      </c>
      <c r="C17" s="32">
        <v>439</v>
      </c>
      <c r="D17" s="29" t="s">
        <v>320</v>
      </c>
      <c r="E17" s="4"/>
      <c r="F17" s="5"/>
    </row>
    <row r="18" spans="1:9">
      <c r="A18" s="2">
        <v>2014</v>
      </c>
      <c r="B18" s="3">
        <v>2668.93</v>
      </c>
      <c r="C18" s="32">
        <v>287</v>
      </c>
      <c r="D18" s="29" t="s">
        <v>320</v>
      </c>
      <c r="E18" s="4"/>
      <c r="F18" s="5"/>
    </row>
    <row r="19" spans="1:9">
      <c r="A19" s="2">
        <v>2015</v>
      </c>
      <c r="B19" s="3">
        <v>10998.53</v>
      </c>
      <c r="C19" s="32">
        <v>1079</v>
      </c>
      <c r="D19" s="4">
        <v>0</v>
      </c>
      <c r="E19" s="4"/>
      <c r="F19" s="5"/>
    </row>
    <row r="20" spans="1:9">
      <c r="A20" s="2">
        <v>2016</v>
      </c>
      <c r="B20" s="3">
        <v>13027.05</v>
      </c>
      <c r="C20" s="32">
        <v>1167</v>
      </c>
      <c r="D20" s="29" t="s">
        <v>320</v>
      </c>
      <c r="E20" s="4"/>
      <c r="F20" s="5"/>
    </row>
    <row r="21" spans="1:9">
      <c r="A21" s="2">
        <v>2017</v>
      </c>
      <c r="B21" s="4">
        <v>0</v>
      </c>
      <c r="C21" s="318"/>
      <c r="D21" s="234">
        <v>0</v>
      </c>
      <c r="E21" s="4"/>
      <c r="F21" s="5"/>
    </row>
    <row r="22" spans="1:9">
      <c r="A22" s="2">
        <v>2018</v>
      </c>
      <c r="B22" s="3">
        <v>12108.65</v>
      </c>
      <c r="C22" s="32">
        <v>1486</v>
      </c>
      <c r="D22" s="29" t="s">
        <v>320</v>
      </c>
      <c r="E22" s="4"/>
      <c r="F22" s="5"/>
    </row>
    <row r="23" spans="1:9">
      <c r="A23" s="2">
        <v>2019</v>
      </c>
      <c r="B23" s="4"/>
      <c r="C23" s="318"/>
      <c r="D23" s="3">
        <v>631.63</v>
      </c>
      <c r="E23" s="31">
        <v>98</v>
      </c>
      <c r="F23" s="5"/>
    </row>
    <row r="24" spans="1:9">
      <c r="A24" s="2">
        <v>2020</v>
      </c>
      <c r="B24" s="3">
        <v>2367.71</v>
      </c>
      <c r="C24" s="31">
        <v>346</v>
      </c>
      <c r="D24" s="18">
        <v>128.72</v>
      </c>
      <c r="E24" s="31">
        <v>19</v>
      </c>
      <c r="F24" s="5"/>
    </row>
    <row r="25" spans="1:9">
      <c r="A25" s="2">
        <v>2021</v>
      </c>
      <c r="B25" s="3">
        <v>8103.07</v>
      </c>
      <c r="C25" s="31">
        <v>656</v>
      </c>
      <c r="D25" s="3">
        <v>383.93</v>
      </c>
      <c r="E25" s="31">
        <v>31</v>
      </c>
      <c r="F25" s="5"/>
    </row>
    <row r="26" spans="1:9">
      <c r="A26" s="2">
        <v>2022</v>
      </c>
      <c r="B26" s="3">
        <v>8559.91</v>
      </c>
      <c r="C26" s="31"/>
      <c r="D26" s="18">
        <v>199.56</v>
      </c>
      <c r="E26" s="31"/>
      <c r="F26" s="5"/>
    </row>
    <row r="27" spans="1:9">
      <c r="A27" s="2"/>
      <c r="B27" s="3">
        <f>SUM(B2:B26)</f>
        <v>133402.37</v>
      </c>
      <c r="C27" s="32">
        <f>SUM(C2:C26)</f>
        <v>33955</v>
      </c>
      <c r="D27" s="3">
        <f>SUM(D2:D26)</f>
        <v>1343.84</v>
      </c>
      <c r="E27" s="32">
        <f>SUM(E2:E26)</f>
        <v>148</v>
      </c>
    </row>
    <row r="28" spans="1:9" ht="15">
      <c r="D28" s="5">
        <f>B27+D27</f>
        <v>134746.21</v>
      </c>
      <c r="E28" s="5">
        <f>C27+E27</f>
        <v>34103</v>
      </c>
      <c r="F28" s="82">
        <v>45352</v>
      </c>
      <c r="H28" s="384" t="s">
        <v>469</v>
      </c>
    </row>
    <row r="30" spans="1:9" ht="15.75" customHeight="1">
      <c r="A30" s="474" t="s">
        <v>70</v>
      </c>
      <c r="B30" s="474"/>
      <c r="C30" s="474"/>
      <c r="D30" s="474"/>
      <c r="E30" s="474"/>
      <c r="F30" s="474"/>
      <c r="G30" s="474"/>
      <c r="H30" s="474"/>
      <c r="I30" s="474"/>
    </row>
    <row r="33" spans="2:11">
      <c r="D33" s="249" t="s">
        <v>299</v>
      </c>
      <c r="E33" s="249"/>
      <c r="F33" s="261" t="s">
        <v>300</v>
      </c>
      <c r="G33" s="249"/>
      <c r="H33" s="249" t="s">
        <v>301</v>
      </c>
      <c r="I33" s="249"/>
      <c r="J33" s="262" t="s">
        <v>14</v>
      </c>
    </row>
    <row r="34" spans="2:11">
      <c r="B34" s="1" t="s">
        <v>353</v>
      </c>
      <c r="D34" s="108">
        <v>80000</v>
      </c>
      <c r="F34" s="28">
        <v>222000</v>
      </c>
      <c r="H34" s="28">
        <f>D34*F34</f>
        <v>17760000000</v>
      </c>
      <c r="J34" s="75">
        <f>C27*H34/B27</f>
        <v>4520465416.0192204</v>
      </c>
    </row>
    <row r="35" spans="2:11">
      <c r="B35" s="1" t="s">
        <v>354</v>
      </c>
      <c r="D35" s="108">
        <v>250000</v>
      </c>
      <c r="F35" s="28">
        <v>1111</v>
      </c>
      <c r="H35" s="28">
        <f t="shared" ref="H35:H37" si="0">D35*F35</f>
        <v>277750000</v>
      </c>
      <c r="J35" s="75">
        <f>C27*H35/B27</f>
        <v>70695904.802890688</v>
      </c>
    </row>
    <row r="36" spans="2:11">
      <c r="B36" s="1" t="s">
        <v>355</v>
      </c>
      <c r="D36" s="108">
        <v>20000</v>
      </c>
      <c r="F36" s="28">
        <v>123000</v>
      </c>
      <c r="H36" s="28">
        <f t="shared" si="0"/>
        <v>2460000000</v>
      </c>
      <c r="J36" s="75">
        <f>C27*H36/B27</f>
        <v>626145547.48914886</v>
      </c>
    </row>
    <row r="37" spans="2:11">
      <c r="B37" s="1" t="s">
        <v>356</v>
      </c>
      <c r="D37" s="108">
        <v>250000</v>
      </c>
      <c r="F37" s="28">
        <v>1111</v>
      </c>
      <c r="H37" s="28">
        <f t="shared" si="0"/>
        <v>277750000</v>
      </c>
      <c r="J37" s="75">
        <f>C27*H37/B27</f>
        <v>70695904.802890688</v>
      </c>
    </row>
    <row r="38" spans="2:11">
      <c r="D38" s="115"/>
      <c r="H38" s="239">
        <f>SUM(H34:H37)</f>
        <v>20775500000</v>
      </c>
      <c r="J38" s="239">
        <f>SUM(J34:J37)</f>
        <v>5288002773.114151</v>
      </c>
    </row>
    <row r="39" spans="2:11">
      <c r="D39" s="115"/>
      <c r="J39" s="75"/>
    </row>
    <row r="40" spans="2:11">
      <c r="D40" s="115"/>
      <c r="H40" s="249" t="s">
        <v>302</v>
      </c>
      <c r="J40" s="75"/>
    </row>
    <row r="41" spans="2:11">
      <c r="B41" s="1" t="s">
        <v>353</v>
      </c>
      <c r="D41" s="108">
        <v>30000</v>
      </c>
      <c r="F41" s="28">
        <v>77777</v>
      </c>
      <c r="H41" s="28">
        <f>D41*F41</f>
        <v>2333310000</v>
      </c>
      <c r="I41" s="28"/>
      <c r="J41" s="75">
        <v>2222222222</v>
      </c>
      <c r="K41" s="28"/>
    </row>
    <row r="42" spans="2:11">
      <c r="B42" s="1" t="s">
        <v>354</v>
      </c>
      <c r="D42" s="108">
        <v>70000</v>
      </c>
      <c r="F42" s="28">
        <v>333</v>
      </c>
      <c r="H42" s="28">
        <f t="shared" ref="H42:H44" si="1">D42*F42</f>
        <v>23310000</v>
      </c>
      <c r="I42" s="28"/>
      <c r="J42" s="75">
        <v>77777777</v>
      </c>
      <c r="K42" s="28"/>
    </row>
    <row r="43" spans="2:11">
      <c r="B43" s="1" t="s">
        <v>355</v>
      </c>
      <c r="D43" s="108">
        <v>400000</v>
      </c>
      <c r="F43" s="28">
        <v>44444</v>
      </c>
      <c r="H43" s="28">
        <f t="shared" si="1"/>
        <v>17777600000</v>
      </c>
      <c r="I43" s="75"/>
      <c r="J43" s="75">
        <v>11111111111</v>
      </c>
      <c r="K43" s="75"/>
    </row>
    <row r="44" spans="2:11">
      <c r="B44" s="1" t="s">
        <v>356</v>
      </c>
      <c r="D44" s="108">
        <v>100000</v>
      </c>
      <c r="F44" s="28">
        <v>333</v>
      </c>
      <c r="H44" s="28">
        <f t="shared" si="1"/>
        <v>33300000</v>
      </c>
      <c r="J44" s="75">
        <v>99999999</v>
      </c>
    </row>
    <row r="45" spans="2:11">
      <c r="H45" s="240">
        <f>SUM(H41:H44)</f>
        <v>20167520000</v>
      </c>
      <c r="J45" s="239">
        <f>SUM(J41:J44)</f>
        <v>13511111109</v>
      </c>
      <c r="K45" s="239"/>
    </row>
    <row r="46" spans="2:11">
      <c r="J46" s="75"/>
    </row>
    <row r="47" spans="2:11">
      <c r="H47" s="263">
        <f>H38+H45</f>
        <v>40943020000</v>
      </c>
      <c r="J47" s="263">
        <f>J38+J45</f>
        <v>18799113882.114151</v>
      </c>
    </row>
  </sheetData>
  <mergeCells count="1">
    <mergeCell ref="A30:I3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pane ySplit="1" topLeftCell="A2" activePane="bottomLeft" state="frozen"/>
      <selection pane="bottomLeft" activeCell="E30" sqref="E30"/>
    </sheetView>
  </sheetViews>
  <sheetFormatPr defaultRowHeight="11.25"/>
  <cols>
    <col min="1" max="1" width="3.44140625" style="1" bestFit="1" customWidth="1"/>
    <col min="2" max="6" width="8.109375" style="1" customWidth="1"/>
    <col min="7" max="7" width="11.109375" style="1" customWidth="1"/>
    <col min="8" max="8" width="11" style="1" bestFit="1" customWidth="1"/>
    <col min="9" max="9" width="12.44140625" style="1" bestFit="1" customWidth="1"/>
    <col min="10" max="10" width="11" style="1" bestFit="1" customWidth="1"/>
    <col min="11" max="11" width="8.6640625" style="1" customWidth="1"/>
    <col min="12" max="16384" width="8.88671875" style="1"/>
  </cols>
  <sheetData>
    <row r="1" spans="1:9" s="38" customFormat="1">
      <c r="A1" s="37"/>
      <c r="B1" s="39" t="s">
        <v>40</v>
      </c>
      <c r="C1" s="39" t="s">
        <v>16</v>
      </c>
      <c r="D1" s="39" t="s">
        <v>13</v>
      </c>
      <c r="E1" s="39" t="s">
        <v>184</v>
      </c>
      <c r="F1" s="39" t="s">
        <v>16</v>
      </c>
      <c r="G1" s="39" t="s">
        <v>13</v>
      </c>
    </row>
    <row r="2" spans="1:9">
      <c r="A2" s="2">
        <v>1998</v>
      </c>
      <c r="B2" s="18"/>
      <c r="C2" s="18"/>
      <c r="D2" s="18"/>
      <c r="E2" s="4"/>
      <c r="F2" s="4"/>
      <c r="G2" s="4"/>
      <c r="I2" s="28"/>
    </row>
    <row r="3" spans="1:9">
      <c r="A3" s="2">
        <v>1999</v>
      </c>
      <c r="B3" s="18"/>
      <c r="C3" s="18"/>
      <c r="D3" s="18"/>
      <c r="E3" s="4"/>
      <c r="F3" s="4"/>
      <c r="G3" s="4"/>
      <c r="I3" s="23"/>
    </row>
    <row r="4" spans="1:9">
      <c r="A4" s="2">
        <v>2000</v>
      </c>
      <c r="B4" s="18"/>
      <c r="C4" s="18"/>
      <c r="D4" s="18"/>
      <c r="E4" s="4"/>
      <c r="F4" s="4"/>
      <c r="G4" s="4"/>
    </row>
    <row r="5" spans="1:9">
      <c r="A5" s="2">
        <v>2001</v>
      </c>
      <c r="B5" s="18"/>
      <c r="C5" s="18"/>
      <c r="D5" s="18"/>
      <c r="E5" s="4"/>
      <c r="F5" s="4"/>
      <c r="G5" s="4"/>
    </row>
    <row r="6" spans="1:9">
      <c r="A6" s="2">
        <v>2002</v>
      </c>
      <c r="B6" s="18"/>
      <c r="C6" s="18"/>
      <c r="D6" s="18"/>
      <c r="E6" s="4"/>
      <c r="F6" s="4"/>
      <c r="G6" s="4"/>
    </row>
    <row r="7" spans="1:9">
      <c r="A7" s="2">
        <v>2003</v>
      </c>
      <c r="B7" s="18"/>
      <c r="C7" s="18"/>
      <c r="D7" s="18"/>
      <c r="E7" s="18"/>
      <c r="F7" s="18"/>
      <c r="G7" s="31"/>
    </row>
    <row r="8" spans="1:9">
      <c r="A8" s="2">
        <v>2004</v>
      </c>
      <c r="B8" s="18"/>
      <c r="C8" s="18"/>
      <c r="D8" s="31"/>
      <c r="E8" s="18"/>
      <c r="F8" s="18"/>
      <c r="G8" s="31"/>
    </row>
    <row r="9" spans="1:9">
      <c r="A9" s="2">
        <v>2005</v>
      </c>
      <c r="B9" s="18">
        <v>775.5</v>
      </c>
      <c r="C9" s="18">
        <f>B9*30%</f>
        <v>232.64999999999998</v>
      </c>
      <c r="D9" s="31">
        <v>1944</v>
      </c>
      <c r="E9" s="18"/>
      <c r="F9" s="18"/>
      <c r="G9" s="31"/>
      <c r="H9" s="82"/>
    </row>
    <row r="10" spans="1:9">
      <c r="A10" s="2">
        <v>2006</v>
      </c>
      <c r="B10" s="3">
        <v>342.07</v>
      </c>
      <c r="C10" s="18">
        <f t="shared" ref="C10:C27" si="0">B10*30%</f>
        <v>102.621</v>
      </c>
      <c r="D10" s="32">
        <v>779</v>
      </c>
      <c r="E10" s="3"/>
      <c r="F10" s="3"/>
      <c r="G10" s="32"/>
    </row>
    <row r="11" spans="1:9">
      <c r="A11" s="2">
        <v>2007</v>
      </c>
      <c r="B11" s="3"/>
      <c r="C11" s="18">
        <f>B11*30%</f>
        <v>0</v>
      </c>
      <c r="D11" s="32"/>
      <c r="E11" s="3"/>
      <c r="F11" s="3"/>
      <c r="G11" s="32"/>
    </row>
    <row r="12" spans="1:9">
      <c r="A12" s="2">
        <v>2008</v>
      </c>
      <c r="B12" s="3">
        <v>1000</v>
      </c>
      <c r="C12" s="18">
        <f t="shared" si="0"/>
        <v>300</v>
      </c>
      <c r="D12" s="32">
        <v>1824</v>
      </c>
      <c r="E12" s="3"/>
      <c r="F12" s="3"/>
      <c r="G12" s="32"/>
      <c r="I12" s="23"/>
    </row>
    <row r="13" spans="1:9">
      <c r="A13" s="2">
        <v>2009</v>
      </c>
      <c r="B13" s="3"/>
      <c r="C13" s="18">
        <f t="shared" si="0"/>
        <v>0</v>
      </c>
      <c r="D13" s="32"/>
      <c r="E13" s="3"/>
      <c r="F13" s="3"/>
      <c r="G13" s="32"/>
    </row>
    <row r="14" spans="1:9">
      <c r="A14" s="2">
        <v>2010</v>
      </c>
      <c r="B14" s="3"/>
      <c r="C14" s="18">
        <f t="shared" si="0"/>
        <v>0</v>
      </c>
      <c r="D14" s="32"/>
      <c r="E14" s="3"/>
      <c r="F14" s="3"/>
      <c r="G14" s="32"/>
    </row>
    <row r="15" spans="1:9">
      <c r="A15" s="2">
        <v>2011</v>
      </c>
      <c r="B15" s="3"/>
      <c r="C15" s="18">
        <f t="shared" si="0"/>
        <v>0</v>
      </c>
      <c r="D15" s="32"/>
      <c r="E15" s="3">
        <v>1753.79</v>
      </c>
      <c r="F15" s="18">
        <f t="shared" ref="F15:F26" si="1">E15*30%</f>
        <v>526.13699999999994</v>
      </c>
      <c r="G15" s="32">
        <v>2425</v>
      </c>
    </row>
    <row r="16" spans="1:9">
      <c r="A16" s="2">
        <v>2012</v>
      </c>
      <c r="B16" s="3"/>
      <c r="C16" s="18">
        <f t="shared" si="0"/>
        <v>0</v>
      </c>
      <c r="D16" s="32"/>
      <c r="E16" s="3"/>
      <c r="F16" s="18">
        <f t="shared" si="1"/>
        <v>0</v>
      </c>
      <c r="G16" s="32"/>
    </row>
    <row r="17" spans="1:13">
      <c r="A17" s="2">
        <v>2013</v>
      </c>
      <c r="B17" s="3"/>
      <c r="C17" s="18">
        <f t="shared" si="0"/>
        <v>0</v>
      </c>
      <c r="D17" s="32"/>
      <c r="E17" s="3"/>
      <c r="F17" s="18">
        <f t="shared" si="1"/>
        <v>0</v>
      </c>
      <c r="G17" s="32"/>
    </row>
    <row r="18" spans="1:13">
      <c r="A18" s="2">
        <v>2014</v>
      </c>
      <c r="B18" s="3"/>
      <c r="C18" s="18">
        <f t="shared" si="0"/>
        <v>0</v>
      </c>
      <c r="D18" s="32"/>
      <c r="E18" s="3">
        <v>780.21</v>
      </c>
      <c r="F18" s="18">
        <f t="shared" si="1"/>
        <v>234.06299999999999</v>
      </c>
      <c r="G18" s="32">
        <v>856</v>
      </c>
    </row>
    <row r="19" spans="1:13">
      <c r="A19" s="2">
        <v>2015</v>
      </c>
      <c r="B19" s="3"/>
      <c r="C19" s="18">
        <f t="shared" si="0"/>
        <v>0</v>
      </c>
      <c r="D19" s="32"/>
      <c r="E19" s="3"/>
      <c r="F19" s="18">
        <f t="shared" si="1"/>
        <v>0</v>
      </c>
      <c r="G19" s="32"/>
      <c r="K19" s="23"/>
      <c r="L19" s="23"/>
    </row>
    <row r="20" spans="1:13">
      <c r="A20" s="2">
        <v>2016</v>
      </c>
      <c r="B20" s="3"/>
      <c r="C20" s="18">
        <f t="shared" si="0"/>
        <v>0</v>
      </c>
      <c r="D20" s="32"/>
      <c r="E20" s="3">
        <v>1750.43</v>
      </c>
      <c r="F20" s="18">
        <f t="shared" si="1"/>
        <v>525.12900000000002</v>
      </c>
      <c r="G20" s="32">
        <v>1664</v>
      </c>
      <c r="K20" s="23"/>
      <c r="L20" s="23"/>
    </row>
    <row r="21" spans="1:13">
      <c r="A21" s="2">
        <v>2017</v>
      </c>
      <c r="B21" s="3"/>
      <c r="C21" s="18">
        <f t="shared" si="0"/>
        <v>0</v>
      </c>
      <c r="D21" s="32"/>
      <c r="E21" s="3">
        <v>510.1</v>
      </c>
      <c r="F21" s="18">
        <f t="shared" si="1"/>
        <v>153.03</v>
      </c>
      <c r="G21" s="32">
        <v>452</v>
      </c>
      <c r="K21" s="23"/>
      <c r="L21" s="23"/>
      <c r="M21" s="5"/>
    </row>
    <row r="22" spans="1:13">
      <c r="A22" s="2">
        <v>2018</v>
      </c>
      <c r="B22" s="3"/>
      <c r="C22" s="18">
        <f t="shared" si="0"/>
        <v>0</v>
      </c>
      <c r="D22" s="32"/>
      <c r="E22" s="3">
        <v>2015.4</v>
      </c>
      <c r="F22" s="18">
        <f t="shared" si="1"/>
        <v>604.62</v>
      </c>
      <c r="G22" s="32">
        <v>1667</v>
      </c>
    </row>
    <row r="23" spans="1:13">
      <c r="A23" s="2">
        <v>2019</v>
      </c>
      <c r="B23" s="3"/>
      <c r="C23" s="18">
        <f t="shared" si="0"/>
        <v>0</v>
      </c>
      <c r="D23" s="32"/>
      <c r="E23" s="3"/>
      <c r="F23" s="18">
        <f t="shared" si="1"/>
        <v>0</v>
      </c>
      <c r="G23" s="32"/>
      <c r="L23" s="5"/>
    </row>
    <row r="24" spans="1:13">
      <c r="A24" s="2">
        <v>2020</v>
      </c>
      <c r="B24" s="3"/>
      <c r="C24" s="18">
        <f t="shared" si="0"/>
        <v>0</v>
      </c>
      <c r="D24" s="32"/>
      <c r="E24" s="3"/>
      <c r="F24" s="18">
        <f t="shared" si="1"/>
        <v>0</v>
      </c>
      <c r="G24" s="32"/>
      <c r="L24" s="5"/>
    </row>
    <row r="25" spans="1:13">
      <c r="A25" s="475">
        <v>2021</v>
      </c>
      <c r="B25" s="235">
        <v>3136.51</v>
      </c>
      <c r="C25" s="18">
        <f>B25*30%</f>
        <v>940.95299999999997</v>
      </c>
      <c r="D25" s="31">
        <v>2102</v>
      </c>
      <c r="E25" s="251">
        <v>198.56</v>
      </c>
      <c r="F25" s="18">
        <f t="shared" si="1"/>
        <v>59.567999999999998</v>
      </c>
      <c r="G25" s="31">
        <v>133</v>
      </c>
      <c r="H25" s="113" t="s">
        <v>442</v>
      </c>
      <c r="J25" s="83" t="s">
        <v>444</v>
      </c>
    </row>
    <row r="26" spans="1:13">
      <c r="A26" s="476"/>
      <c r="B26" s="235">
        <v>650</v>
      </c>
      <c r="C26" s="18">
        <f t="shared" si="0"/>
        <v>195</v>
      </c>
      <c r="D26" s="31">
        <v>436</v>
      </c>
      <c r="E26" s="251">
        <v>650</v>
      </c>
      <c r="F26" s="18">
        <f t="shared" si="1"/>
        <v>195</v>
      </c>
      <c r="G26" s="31">
        <v>436</v>
      </c>
      <c r="H26" s="115"/>
      <c r="I26" s="83" t="s">
        <v>443</v>
      </c>
    </row>
    <row r="27" spans="1:13">
      <c r="A27" s="2">
        <v>2022</v>
      </c>
      <c r="B27" s="251">
        <v>650</v>
      </c>
      <c r="C27" s="18">
        <f t="shared" si="0"/>
        <v>195</v>
      </c>
      <c r="D27" s="32">
        <v>406</v>
      </c>
      <c r="E27" s="251">
        <v>650</v>
      </c>
      <c r="F27" s="18">
        <f>E27*9%</f>
        <v>58.5</v>
      </c>
      <c r="G27" s="32">
        <v>406</v>
      </c>
      <c r="I27" s="83" t="s">
        <v>443</v>
      </c>
    </row>
    <row r="28" spans="1:13">
      <c r="A28" s="2">
        <v>2023</v>
      </c>
      <c r="B28" s="3"/>
      <c r="C28" s="18"/>
      <c r="D28" s="32"/>
      <c r="E28" s="3"/>
      <c r="F28" s="18"/>
      <c r="G28" s="32"/>
    </row>
    <row r="29" spans="1:13">
      <c r="A29" s="2"/>
      <c r="B29" s="3">
        <f>SUM(B2:B27)</f>
        <v>6554.08</v>
      </c>
      <c r="C29" s="3">
        <f t="shared" ref="C29:G29" si="2">SUM(C2:C27)</f>
        <v>1966.2239999999999</v>
      </c>
      <c r="D29" s="32">
        <f t="shared" si="2"/>
        <v>7491</v>
      </c>
      <c r="E29" s="3">
        <f t="shared" si="2"/>
        <v>8308.4900000000016</v>
      </c>
      <c r="F29" s="3">
        <f t="shared" si="2"/>
        <v>2356.047</v>
      </c>
      <c r="G29" s="32">
        <f t="shared" si="2"/>
        <v>8039</v>
      </c>
    </row>
    <row r="30" spans="1:13">
      <c r="B30" s="5"/>
      <c r="C30" s="5"/>
      <c r="D30" s="75"/>
      <c r="E30" s="5">
        <f>B29+E29</f>
        <v>14862.570000000002</v>
      </c>
      <c r="F30" s="5">
        <f>C29+F29</f>
        <v>4322.2709999999997</v>
      </c>
      <c r="G30" s="75">
        <f>D29+G29</f>
        <v>15530</v>
      </c>
    </row>
    <row r="31" spans="1:13">
      <c r="B31" s="5"/>
      <c r="C31" s="5"/>
      <c r="D31" s="75"/>
      <c r="E31" s="5"/>
      <c r="F31" s="5"/>
      <c r="G31" s="75"/>
    </row>
    <row r="32" spans="1:13" ht="15">
      <c r="B32" s="5">
        <f>B29-B25-B26</f>
        <v>2767.5699999999997</v>
      </c>
      <c r="C32" s="328">
        <f>C29-C25-C26</f>
        <v>830.27099999999996</v>
      </c>
      <c r="D32" s="360">
        <f t="shared" ref="D32:G32" si="3">D29-D25-D26</f>
        <v>4953</v>
      </c>
      <c r="E32" s="328">
        <f t="shared" si="3"/>
        <v>7459.9300000000012</v>
      </c>
      <c r="F32" s="328">
        <f t="shared" si="3"/>
        <v>2101.4789999999998</v>
      </c>
      <c r="G32" s="75">
        <f t="shared" si="3"/>
        <v>7470</v>
      </c>
      <c r="I32" s="82">
        <v>45352</v>
      </c>
      <c r="K32" s="384" t="s">
        <v>488</v>
      </c>
    </row>
    <row r="33" spans="1:14">
      <c r="B33" s="5"/>
      <c r="C33" s="5"/>
      <c r="E33" s="5"/>
      <c r="F33" s="5">
        <f>C32+F32</f>
        <v>2931.75</v>
      </c>
      <c r="G33" s="75">
        <f>D32+G32</f>
        <v>12423</v>
      </c>
    </row>
    <row r="35" spans="1:14" ht="15.75">
      <c r="A35" s="474" t="s">
        <v>321</v>
      </c>
      <c r="B35" s="474"/>
      <c r="C35" s="474"/>
      <c r="D35" s="474"/>
      <c r="E35" s="474"/>
      <c r="F35" s="474"/>
      <c r="G35" s="474"/>
      <c r="H35" s="474"/>
      <c r="I35" s="474"/>
      <c r="J35" s="13"/>
      <c r="K35" s="13"/>
      <c r="L35" s="13"/>
      <c r="M35" s="13"/>
      <c r="N35" s="13"/>
    </row>
    <row r="36" spans="1:14" ht="15">
      <c r="C36" s="11" t="s">
        <v>315</v>
      </c>
    </row>
    <row r="38" spans="1:14">
      <c r="D38" s="1" t="s">
        <v>299</v>
      </c>
      <c r="F38" s="247" t="s">
        <v>300</v>
      </c>
      <c r="H38" s="245" t="s">
        <v>323</v>
      </c>
      <c r="I38" s="245"/>
      <c r="J38" s="245" t="s">
        <v>14</v>
      </c>
    </row>
    <row r="39" spans="1:14">
      <c r="B39" s="28"/>
      <c r="C39" s="28"/>
      <c r="D39" s="28">
        <v>600000</v>
      </c>
      <c r="E39" s="28"/>
      <c r="F39" s="81">
        <v>3333</v>
      </c>
      <c r="G39" s="28"/>
      <c r="H39" s="28">
        <f>D39*F39</f>
        <v>1999800000</v>
      </c>
      <c r="J39" s="28">
        <f>7777*H39/F39</f>
        <v>4666200000</v>
      </c>
      <c r="K39" s="28"/>
    </row>
  </sheetData>
  <mergeCells count="2">
    <mergeCell ref="A35:I35"/>
    <mergeCell ref="A25:A2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28" sqref="G28:I28"/>
    </sheetView>
  </sheetViews>
  <sheetFormatPr defaultRowHeight="11.25"/>
  <cols>
    <col min="1" max="1" width="3.44140625" style="1" bestFit="1" customWidth="1"/>
    <col min="2" max="3" width="8.109375" style="1" customWidth="1"/>
    <col min="4" max="5" width="7.33203125" style="1" bestFit="1" customWidth="1"/>
    <col min="6" max="6" width="14.88671875" style="1" bestFit="1" customWidth="1"/>
    <col min="7" max="7" width="12.44140625" style="1" bestFit="1" customWidth="1"/>
    <col min="8" max="8" width="10.33203125" style="1" bestFit="1" customWidth="1"/>
    <col min="9" max="16384" width="8.88671875" style="1"/>
  </cols>
  <sheetData>
    <row r="1" spans="1:7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25"/>
      <c r="C2" s="25"/>
      <c r="D2" s="25"/>
      <c r="E2" s="25"/>
      <c r="G2" s="28"/>
    </row>
    <row r="3" spans="1:7">
      <c r="A3" s="2">
        <v>1999</v>
      </c>
      <c r="B3" s="25"/>
      <c r="C3" s="25"/>
      <c r="D3" s="25"/>
      <c r="E3" s="25"/>
      <c r="G3" s="23"/>
    </row>
    <row r="4" spans="1:7">
      <c r="A4" s="2">
        <v>2000</v>
      </c>
      <c r="B4" s="25"/>
      <c r="C4" s="25"/>
      <c r="D4" s="25"/>
      <c r="E4" s="25"/>
    </row>
    <row r="5" spans="1:7">
      <c r="A5" s="2">
        <v>2001</v>
      </c>
      <c r="B5" s="25"/>
      <c r="C5" s="25"/>
      <c r="D5" s="25"/>
      <c r="E5" s="25"/>
    </row>
    <row r="6" spans="1:7">
      <c r="A6" s="2">
        <v>2002</v>
      </c>
      <c r="B6" s="25"/>
      <c r="C6" s="25"/>
      <c r="D6" s="25"/>
      <c r="E6" s="25"/>
    </row>
    <row r="7" spans="1:7">
      <c r="A7" s="2">
        <v>2003</v>
      </c>
      <c r="B7" s="25"/>
      <c r="C7" s="25"/>
      <c r="D7" s="25"/>
      <c r="E7" s="25"/>
    </row>
    <row r="8" spans="1:7">
      <c r="A8" s="2">
        <v>2004</v>
      </c>
      <c r="B8" s="25"/>
      <c r="C8" s="25"/>
      <c r="D8" s="25"/>
      <c r="E8" s="25"/>
    </row>
    <row r="9" spans="1:7">
      <c r="A9" s="2">
        <v>2005</v>
      </c>
      <c r="B9" s="3">
        <v>1000</v>
      </c>
      <c r="C9" s="32">
        <v>4245</v>
      </c>
      <c r="D9" s="3"/>
      <c r="E9" s="32"/>
      <c r="F9" s="82" t="s">
        <v>47</v>
      </c>
    </row>
    <row r="10" spans="1:7">
      <c r="A10" s="2">
        <v>2006</v>
      </c>
      <c r="B10" s="3"/>
      <c r="C10" s="32"/>
      <c r="D10" s="3"/>
      <c r="E10" s="32"/>
    </row>
    <row r="11" spans="1:7">
      <c r="A11" s="2">
        <v>2007</v>
      </c>
      <c r="B11" s="3"/>
      <c r="C11" s="32"/>
      <c r="D11" s="3"/>
      <c r="E11" s="32"/>
    </row>
    <row r="12" spans="1:7">
      <c r="A12" s="2">
        <v>2008</v>
      </c>
      <c r="B12" s="3"/>
      <c r="C12" s="32"/>
      <c r="D12" s="3"/>
      <c r="E12" s="32"/>
    </row>
    <row r="13" spans="1:7">
      <c r="A13" s="2">
        <v>2009</v>
      </c>
      <c r="B13" s="3"/>
      <c r="C13" s="32"/>
      <c r="D13" s="3"/>
      <c r="E13" s="32"/>
    </row>
    <row r="14" spans="1:7">
      <c r="A14" s="2">
        <v>2010</v>
      </c>
      <c r="B14" s="3"/>
      <c r="C14" s="32"/>
      <c r="D14" s="3">
        <v>82.19</v>
      </c>
      <c r="E14" s="32">
        <v>208</v>
      </c>
    </row>
    <row r="15" spans="1:7">
      <c r="A15" s="2">
        <v>2011</v>
      </c>
      <c r="B15" s="3"/>
      <c r="C15" s="32"/>
      <c r="D15" s="3"/>
      <c r="E15" s="32"/>
    </row>
    <row r="16" spans="1:7">
      <c r="A16" s="2">
        <v>2012</v>
      </c>
      <c r="B16" s="3">
        <v>13.12</v>
      </c>
      <c r="C16" s="32">
        <v>28</v>
      </c>
      <c r="D16" s="3">
        <v>0.27</v>
      </c>
      <c r="E16" s="32">
        <v>1</v>
      </c>
    </row>
    <row r="17" spans="1:12">
      <c r="A17" s="2">
        <v>2013</v>
      </c>
      <c r="B17" s="3">
        <v>266.19</v>
      </c>
      <c r="C17" s="32">
        <v>526</v>
      </c>
      <c r="D17" s="3"/>
      <c r="E17" s="32"/>
    </row>
    <row r="18" spans="1:12">
      <c r="A18" s="2">
        <v>2014</v>
      </c>
      <c r="B18" s="3"/>
      <c r="C18" s="32"/>
      <c r="D18" s="3"/>
      <c r="E18" s="32"/>
    </row>
    <row r="19" spans="1:12">
      <c r="A19" s="2">
        <v>2015</v>
      </c>
      <c r="B19" s="3"/>
      <c r="C19" s="32"/>
      <c r="D19" s="3"/>
      <c r="E19" s="32"/>
    </row>
    <row r="20" spans="1:12">
      <c r="A20" s="2">
        <v>2016</v>
      </c>
      <c r="B20" s="3"/>
      <c r="C20" s="32"/>
      <c r="D20" s="3"/>
      <c r="E20" s="32"/>
    </row>
    <row r="21" spans="1:12">
      <c r="A21" s="2">
        <v>2017</v>
      </c>
      <c r="B21" s="3"/>
      <c r="C21" s="32"/>
      <c r="D21" s="3"/>
      <c r="E21" s="32"/>
    </row>
    <row r="22" spans="1:12">
      <c r="A22" s="2">
        <v>2018</v>
      </c>
      <c r="B22" s="3"/>
      <c r="C22" s="32"/>
      <c r="D22" s="3"/>
      <c r="E22" s="32"/>
    </row>
    <row r="23" spans="1:12">
      <c r="A23" s="2">
        <v>2019</v>
      </c>
      <c r="B23" s="3"/>
      <c r="C23" s="32"/>
      <c r="D23" s="3"/>
      <c r="E23" s="32"/>
    </row>
    <row r="24" spans="1:12">
      <c r="A24" s="2">
        <v>2020</v>
      </c>
      <c r="B24" s="3"/>
      <c r="C24" s="32"/>
      <c r="D24" s="3"/>
      <c r="E24" s="32"/>
    </row>
    <row r="25" spans="1:12">
      <c r="A25" s="2">
        <v>2021</v>
      </c>
      <c r="B25" s="3"/>
      <c r="C25" s="3"/>
      <c r="D25" s="3"/>
      <c r="E25" s="3"/>
    </row>
    <row r="26" spans="1:12">
      <c r="A26" s="2">
        <v>2022</v>
      </c>
      <c r="B26" s="3"/>
      <c r="C26" s="3"/>
      <c r="D26" s="3"/>
      <c r="E26" s="3"/>
    </row>
    <row r="27" spans="1:12">
      <c r="A27" s="2"/>
      <c r="B27" s="3">
        <f>SUM(B2:B26)</f>
        <v>1279.31</v>
      </c>
      <c r="C27" s="32">
        <f t="shared" ref="C27:E27" si="0">SUM(C2:C26)</f>
        <v>4799</v>
      </c>
      <c r="D27" s="3">
        <f t="shared" si="0"/>
        <v>82.46</v>
      </c>
      <c r="E27" s="32">
        <f t="shared" si="0"/>
        <v>209</v>
      </c>
    </row>
    <row r="28" spans="1:12" ht="15">
      <c r="D28" s="5">
        <f>B27+D27</f>
        <v>1361.77</v>
      </c>
      <c r="E28" s="75">
        <f>C27+E27</f>
        <v>5008</v>
      </c>
      <c r="G28" s="82">
        <v>45352</v>
      </c>
      <c r="I28" s="384" t="s">
        <v>469</v>
      </c>
    </row>
    <row r="30" spans="1:12" ht="15.75">
      <c r="A30" s="474" t="s">
        <v>447</v>
      </c>
      <c r="B30" s="474"/>
      <c r="C30" s="474"/>
      <c r="D30" s="474"/>
      <c r="E30" s="474"/>
      <c r="F30" s="474"/>
      <c r="G30" s="474"/>
      <c r="H30" s="13"/>
      <c r="I30" s="13"/>
      <c r="J30" s="13"/>
      <c r="K30" s="13"/>
      <c r="L30" s="13"/>
    </row>
    <row r="32" spans="1:12">
      <c r="B32" s="1" t="s">
        <v>299</v>
      </c>
      <c r="D32" s="247" t="s">
        <v>300</v>
      </c>
      <c r="F32" s="245" t="s">
        <v>323</v>
      </c>
      <c r="G32" s="245"/>
      <c r="H32" s="245" t="s">
        <v>14</v>
      </c>
    </row>
    <row r="33" spans="2:8">
      <c r="B33" s="28">
        <v>100000</v>
      </c>
      <c r="C33" s="28"/>
      <c r="D33" s="81">
        <v>666</v>
      </c>
      <c r="E33" s="28"/>
      <c r="F33" s="28">
        <f>B33*D33</f>
        <v>66600000</v>
      </c>
      <c r="H33" s="28">
        <f>E28*F33/D28</f>
        <v>244925941.97257981</v>
      </c>
    </row>
  </sheetData>
  <mergeCells count="1">
    <mergeCell ref="A30:G3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H41" sqref="H41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18"/>
      <c r="D14" s="18"/>
      <c r="E14" s="18"/>
    </row>
    <row r="15" spans="1:7">
      <c r="A15" s="2">
        <v>2011</v>
      </c>
      <c r="B15" s="18"/>
      <c r="C15" s="18"/>
      <c r="D15" s="18"/>
      <c r="E15" s="18"/>
    </row>
    <row r="16" spans="1:7">
      <c r="A16" s="2">
        <v>2012</v>
      </c>
      <c r="B16" s="18">
        <v>0.5</v>
      </c>
      <c r="C16" s="18">
        <v>2.09</v>
      </c>
      <c r="D16" s="18"/>
      <c r="E16" s="18"/>
    </row>
    <row r="17" spans="1:12">
      <c r="A17" s="2">
        <v>2013</v>
      </c>
      <c r="B17" s="3">
        <v>0.72</v>
      </c>
      <c r="C17" s="3">
        <v>2.77</v>
      </c>
      <c r="D17" s="3"/>
      <c r="E17" s="3"/>
    </row>
    <row r="18" spans="1:12">
      <c r="A18" s="2">
        <v>2014</v>
      </c>
      <c r="B18" s="3">
        <v>0</v>
      </c>
      <c r="C18" s="3"/>
      <c r="D18" s="3"/>
      <c r="E18" s="3"/>
    </row>
    <row r="19" spans="1:12">
      <c r="A19" s="2">
        <v>2015</v>
      </c>
      <c r="B19" s="3">
        <v>0</v>
      </c>
      <c r="C19" s="3"/>
      <c r="D19" s="3"/>
      <c r="E19" s="3"/>
    </row>
    <row r="20" spans="1:12">
      <c r="A20" s="2">
        <v>2016</v>
      </c>
      <c r="B20" s="3">
        <v>0</v>
      </c>
      <c r="C20" s="3"/>
      <c r="D20" s="3"/>
      <c r="E20" s="3"/>
    </row>
    <row r="21" spans="1:12">
      <c r="A21" s="2">
        <v>2017</v>
      </c>
      <c r="B21" s="3">
        <v>0</v>
      </c>
      <c r="C21" s="3"/>
      <c r="D21" s="3"/>
      <c r="E21" s="3"/>
    </row>
    <row r="22" spans="1:12">
      <c r="A22" s="2">
        <v>2018</v>
      </c>
      <c r="B22" s="3">
        <v>0</v>
      </c>
      <c r="C22" s="3"/>
      <c r="D22" s="3"/>
      <c r="E22" s="3"/>
    </row>
    <row r="23" spans="1:12">
      <c r="A23" s="2">
        <v>2019</v>
      </c>
      <c r="B23" s="3"/>
      <c r="C23" s="3"/>
      <c r="D23" s="3"/>
      <c r="E23" s="3"/>
    </row>
    <row r="24" spans="1:12">
      <c r="A24" s="2">
        <v>2020</v>
      </c>
      <c r="B24" s="3"/>
      <c r="C24" s="3"/>
      <c r="D24" s="3"/>
      <c r="E24" s="3"/>
    </row>
    <row r="25" spans="1:12">
      <c r="A25" s="2">
        <v>2021</v>
      </c>
      <c r="B25" s="3"/>
      <c r="C25" s="3"/>
      <c r="D25" s="3"/>
      <c r="E25" s="3"/>
    </row>
    <row r="26" spans="1:12">
      <c r="A26" s="2">
        <v>2022</v>
      </c>
      <c r="B26" s="3"/>
      <c r="C26" s="3"/>
      <c r="D26" s="3"/>
      <c r="E26" s="3"/>
    </row>
    <row r="27" spans="1:12">
      <c r="A27" s="2"/>
      <c r="B27" s="3">
        <f t="shared" ref="B27:C27" si="0">SUM(B2:B26)</f>
        <v>1.22</v>
      </c>
      <c r="C27" s="3">
        <f t="shared" si="0"/>
        <v>4.8599999999999994</v>
      </c>
      <c r="D27" s="3">
        <f>SUM(D2:D26)</f>
        <v>0</v>
      </c>
      <c r="E27" s="3">
        <f>SUM(E2:E26)</f>
        <v>0</v>
      </c>
    </row>
    <row r="28" spans="1:12">
      <c r="D28" s="5">
        <f>B27+D27</f>
        <v>1.22</v>
      </c>
      <c r="E28" s="5">
        <f>C27+E27</f>
        <v>4.8599999999999994</v>
      </c>
    </row>
    <row r="30" spans="1:12" ht="15.75">
      <c r="A30" s="13" t="s">
        <v>189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G29" sqref="G29"/>
    </sheetView>
  </sheetViews>
  <sheetFormatPr defaultRowHeight="11.25"/>
  <cols>
    <col min="1" max="1" width="3.44140625" style="1" bestFit="1" customWidth="1"/>
    <col min="2" max="5" width="8" style="1" bestFit="1" customWidth="1"/>
    <col min="6" max="6" width="8.88671875" style="1"/>
    <col min="7" max="7" width="6.77734375" style="1" customWidth="1"/>
    <col min="8" max="8" width="10.33203125" style="1" bestFit="1" customWidth="1"/>
    <col min="9" max="9" width="6.44140625" style="1" customWidth="1"/>
    <col min="10" max="10" width="10.33203125" style="1" bestFit="1" customWidth="1"/>
    <col min="11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4"/>
      <c r="C2" s="4"/>
      <c r="D2" s="4"/>
      <c r="E2" s="4"/>
      <c r="G2" s="28"/>
    </row>
    <row r="3" spans="1:7">
      <c r="A3" s="2">
        <v>1999</v>
      </c>
      <c r="B3" s="4"/>
      <c r="C3" s="4"/>
      <c r="D3" s="4"/>
      <c r="E3" s="4"/>
      <c r="G3" s="23"/>
    </row>
    <row r="4" spans="1:7">
      <c r="A4" s="2">
        <v>2000</v>
      </c>
      <c r="B4" s="4"/>
      <c r="C4" s="4"/>
      <c r="D4" s="4"/>
      <c r="E4" s="4"/>
    </row>
    <row r="5" spans="1:7">
      <c r="A5" s="2">
        <v>2001</v>
      </c>
      <c r="B5" s="4"/>
      <c r="C5" s="4"/>
      <c r="D5" s="4"/>
      <c r="E5" s="4"/>
    </row>
    <row r="6" spans="1:7">
      <c r="A6" s="2">
        <v>2002</v>
      </c>
      <c r="B6" s="4"/>
      <c r="C6" s="4"/>
      <c r="D6" s="4"/>
      <c r="E6" s="4"/>
    </row>
    <row r="7" spans="1:7">
      <c r="A7" s="2">
        <v>2003</v>
      </c>
      <c r="B7" s="4"/>
      <c r="C7" s="4"/>
      <c r="D7" s="4"/>
      <c r="E7" s="4"/>
    </row>
    <row r="8" spans="1:7">
      <c r="A8" s="2">
        <v>2004</v>
      </c>
      <c r="B8" s="4"/>
      <c r="C8" s="4"/>
      <c r="D8" s="4"/>
      <c r="E8" s="4"/>
    </row>
    <row r="9" spans="1:7">
      <c r="A9" s="2">
        <v>2005</v>
      </c>
      <c r="B9" s="4"/>
      <c r="C9" s="4"/>
      <c r="D9" s="4"/>
      <c r="E9" s="4"/>
    </row>
    <row r="10" spans="1:7">
      <c r="A10" s="2">
        <v>2006</v>
      </c>
      <c r="B10" s="4"/>
      <c r="C10" s="4"/>
      <c r="D10" s="4"/>
      <c r="E10" s="4"/>
    </row>
    <row r="11" spans="1:7">
      <c r="A11" s="2">
        <v>2007</v>
      </c>
      <c r="B11" s="4"/>
      <c r="C11" s="4"/>
      <c r="D11" s="4"/>
      <c r="E11" s="4"/>
    </row>
    <row r="12" spans="1:7">
      <c r="A12" s="2">
        <v>2008</v>
      </c>
      <c r="B12" s="4"/>
      <c r="C12" s="4"/>
      <c r="D12" s="4"/>
      <c r="E12" s="4"/>
    </row>
    <row r="13" spans="1:7">
      <c r="A13" s="2">
        <v>2009</v>
      </c>
      <c r="B13" s="4"/>
      <c r="C13" s="4"/>
      <c r="D13" s="4"/>
      <c r="E13" s="4"/>
    </row>
    <row r="14" spans="1:7">
      <c r="A14" s="2">
        <v>2010</v>
      </c>
      <c r="B14" s="4"/>
      <c r="C14" s="4"/>
      <c r="D14" s="4"/>
      <c r="E14" s="4"/>
    </row>
    <row r="15" spans="1:7">
      <c r="A15" s="2">
        <v>2011</v>
      </c>
      <c r="B15" s="18">
        <v>569.39</v>
      </c>
      <c r="C15" s="31">
        <v>2472</v>
      </c>
      <c r="D15" s="18">
        <v>464.7</v>
      </c>
      <c r="E15" s="31">
        <v>2018</v>
      </c>
    </row>
    <row r="16" spans="1:7">
      <c r="A16" s="2">
        <v>2012</v>
      </c>
      <c r="B16" s="4"/>
      <c r="C16" s="318"/>
      <c r="D16" s="4"/>
      <c r="E16" s="318"/>
    </row>
    <row r="17" spans="1:12">
      <c r="A17" s="2">
        <v>2013</v>
      </c>
      <c r="B17" s="3">
        <v>572.07000000000005</v>
      </c>
      <c r="C17" s="32">
        <v>1192</v>
      </c>
      <c r="D17" s="3">
        <v>0.01</v>
      </c>
      <c r="E17" s="32">
        <v>1</v>
      </c>
      <c r="F17" s="83" t="s">
        <v>187</v>
      </c>
    </row>
    <row r="18" spans="1:12">
      <c r="A18" s="2">
        <v>2014</v>
      </c>
      <c r="B18" s="3">
        <v>568.21</v>
      </c>
      <c r="C18" s="32">
        <v>1089</v>
      </c>
      <c r="D18" s="3">
        <v>0.06</v>
      </c>
      <c r="E18" s="32">
        <v>1</v>
      </c>
      <c r="F18" s="83" t="s">
        <v>187</v>
      </c>
    </row>
    <row r="19" spans="1:12">
      <c r="A19" s="2">
        <v>2015</v>
      </c>
      <c r="B19" s="3">
        <v>2392.02</v>
      </c>
      <c r="C19" s="32">
        <v>4232</v>
      </c>
      <c r="D19" s="25"/>
      <c r="E19" s="306"/>
      <c r="F19" s="83"/>
    </row>
    <row r="20" spans="1:12">
      <c r="A20" s="2">
        <v>2016</v>
      </c>
      <c r="B20" s="3">
        <v>2040.08</v>
      </c>
      <c r="C20" s="32">
        <v>3347</v>
      </c>
      <c r="D20" s="3">
        <v>0.06</v>
      </c>
      <c r="E20" s="32">
        <v>1</v>
      </c>
      <c r="F20" s="83" t="s">
        <v>187</v>
      </c>
    </row>
    <row r="21" spans="1:12">
      <c r="A21" s="2">
        <v>2017</v>
      </c>
      <c r="B21" s="3">
        <v>2916.71</v>
      </c>
      <c r="C21" s="32">
        <v>4446</v>
      </c>
      <c r="D21" s="25"/>
      <c r="E21" s="306"/>
      <c r="F21" s="83" t="s">
        <v>187</v>
      </c>
    </row>
    <row r="22" spans="1:12">
      <c r="A22" s="2">
        <v>2018</v>
      </c>
      <c r="B22" s="3">
        <v>2026.73</v>
      </c>
      <c r="C22" s="32">
        <v>2874</v>
      </c>
      <c r="D22" s="25"/>
      <c r="E22" s="306"/>
      <c r="F22" s="83" t="s">
        <v>187</v>
      </c>
    </row>
    <row r="23" spans="1:12">
      <c r="A23" s="2">
        <v>2019</v>
      </c>
      <c r="B23" s="3">
        <v>1120.6600000000001</v>
      </c>
      <c r="C23" s="32">
        <v>1478</v>
      </c>
      <c r="D23" s="25"/>
      <c r="E23" s="306"/>
      <c r="F23" s="83" t="s">
        <v>187</v>
      </c>
    </row>
    <row r="24" spans="1:12">
      <c r="A24" s="2">
        <v>2020</v>
      </c>
      <c r="B24" s="25"/>
      <c r="C24" s="306"/>
      <c r="D24" s="25"/>
      <c r="E24" s="306"/>
      <c r="F24" s="83" t="s">
        <v>187</v>
      </c>
    </row>
    <row r="25" spans="1:12">
      <c r="A25" s="2">
        <v>2021</v>
      </c>
      <c r="B25" s="25"/>
      <c r="C25" s="306"/>
      <c r="D25" s="25"/>
      <c r="E25" s="306"/>
      <c r="F25" s="83"/>
    </row>
    <row r="26" spans="1:12">
      <c r="A26" s="2">
        <v>2022</v>
      </c>
      <c r="B26" s="25"/>
      <c r="C26" s="306"/>
      <c r="D26" s="25"/>
      <c r="E26" s="306"/>
      <c r="F26" s="83"/>
    </row>
    <row r="27" spans="1:12">
      <c r="A27" s="2">
        <v>2023</v>
      </c>
      <c r="B27" s="3"/>
      <c r="C27" s="32"/>
      <c r="D27" s="3"/>
      <c r="E27" s="32"/>
    </row>
    <row r="28" spans="1:12">
      <c r="A28" s="2"/>
      <c r="B28" s="3">
        <f t="shared" ref="B28:C28" si="0">SUM(B2:B27)</f>
        <v>12205.869999999999</v>
      </c>
      <c r="C28" s="32">
        <f t="shared" si="0"/>
        <v>21130</v>
      </c>
      <c r="D28" s="3">
        <f>SUM(D2:D27)</f>
        <v>464.83</v>
      </c>
      <c r="E28" s="32">
        <f>SUM(E2:E27)</f>
        <v>2021</v>
      </c>
    </row>
    <row r="29" spans="1:12" ht="15">
      <c r="D29" s="5">
        <f>B28+D28</f>
        <v>12670.699999999999</v>
      </c>
      <c r="E29" s="75">
        <f>C28+E28</f>
        <v>23151</v>
      </c>
      <c r="G29" s="377" t="s">
        <v>488</v>
      </c>
    </row>
    <row r="31" spans="1:12" ht="15.75">
      <c r="A31" s="13" t="s">
        <v>186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3" spans="3:10">
      <c r="C33" s="245" t="s">
        <v>299</v>
      </c>
      <c r="D33" s="245"/>
      <c r="E33" s="245" t="s">
        <v>300</v>
      </c>
      <c r="F33" s="245"/>
      <c r="G33" s="245"/>
      <c r="H33" s="245" t="s">
        <v>304</v>
      </c>
      <c r="I33" s="245"/>
      <c r="J33" s="245" t="s">
        <v>14</v>
      </c>
    </row>
    <row r="34" spans="3:10">
      <c r="C34" s="28">
        <v>200000</v>
      </c>
      <c r="E34" s="28">
        <v>12222</v>
      </c>
      <c r="G34" s="28"/>
      <c r="H34" s="28">
        <f>C34*E34</f>
        <v>2444400000</v>
      </c>
      <c r="J34" s="28">
        <f>E29*H34/D29</f>
        <v>4466233467.7642126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H38" sqref="H38"/>
    </sheetView>
  </sheetViews>
  <sheetFormatPr defaultRowHeight="11.25"/>
  <cols>
    <col min="1" max="1" width="3.44140625" style="1" bestFit="1" customWidth="1"/>
    <col min="2" max="2" width="7.33203125" style="1" bestFit="1" customWidth="1"/>
    <col min="3" max="5" width="8" style="1" bestFit="1" customWidth="1"/>
    <col min="6" max="6" width="6.88671875" style="1" bestFit="1" customWidth="1"/>
    <col min="7" max="7" width="4.88671875" style="1" customWidth="1"/>
    <col min="8" max="8" width="10.33203125" style="1" bestFit="1" customWidth="1"/>
    <col min="9" max="9" width="4.21875" style="1" customWidth="1"/>
    <col min="10" max="10" width="11" style="1" bestFit="1" customWidth="1"/>
    <col min="11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4"/>
      <c r="C2" s="4"/>
      <c r="D2" s="4"/>
      <c r="E2" s="4"/>
      <c r="G2" s="28"/>
    </row>
    <row r="3" spans="1:7">
      <c r="A3" s="2">
        <v>1999</v>
      </c>
      <c r="B3" s="4"/>
      <c r="C3" s="4"/>
      <c r="D3" s="4"/>
      <c r="E3" s="4"/>
      <c r="G3" s="23"/>
    </row>
    <row r="4" spans="1:7">
      <c r="A4" s="2">
        <v>2000</v>
      </c>
      <c r="B4" s="4"/>
      <c r="C4" s="4"/>
      <c r="D4" s="4"/>
      <c r="E4" s="4"/>
    </row>
    <row r="5" spans="1:7">
      <c r="A5" s="2">
        <v>2001</v>
      </c>
      <c r="B5" s="4"/>
      <c r="C5" s="4"/>
      <c r="D5" s="4"/>
      <c r="E5" s="4"/>
    </row>
    <row r="6" spans="1:7">
      <c r="A6" s="2">
        <v>2002</v>
      </c>
      <c r="B6" s="4"/>
      <c r="C6" s="4"/>
      <c r="D6" s="4"/>
      <c r="E6" s="4"/>
    </row>
    <row r="7" spans="1:7">
      <c r="A7" s="2">
        <v>2003</v>
      </c>
      <c r="B7" s="4"/>
      <c r="C7" s="4"/>
      <c r="D7" s="4"/>
      <c r="E7" s="4"/>
    </row>
    <row r="8" spans="1:7">
      <c r="A8" s="2">
        <v>2004</v>
      </c>
      <c r="B8" s="4"/>
      <c r="C8" s="4"/>
      <c r="D8" s="4"/>
      <c r="E8" s="4"/>
    </row>
    <row r="9" spans="1:7">
      <c r="A9" s="2">
        <v>2005</v>
      </c>
      <c r="B9" s="4"/>
      <c r="C9" s="4"/>
      <c r="D9" s="4"/>
      <c r="E9" s="4"/>
    </row>
    <row r="10" spans="1:7">
      <c r="A10" s="2">
        <v>2006</v>
      </c>
      <c r="B10" s="4"/>
      <c r="C10" s="4"/>
      <c r="D10" s="4"/>
      <c r="E10" s="4"/>
    </row>
    <row r="11" spans="1:7">
      <c r="A11" s="2">
        <v>2007</v>
      </c>
      <c r="B11" s="4"/>
      <c r="C11" s="4"/>
      <c r="D11" s="4"/>
      <c r="E11" s="4"/>
    </row>
    <row r="12" spans="1:7">
      <c r="A12" s="2">
        <v>2008</v>
      </c>
      <c r="B12" s="4"/>
      <c r="C12" s="4"/>
      <c r="D12" s="4"/>
      <c r="E12" s="4"/>
    </row>
    <row r="13" spans="1:7">
      <c r="A13" s="2">
        <v>2009</v>
      </c>
      <c r="B13" s="4"/>
      <c r="C13" s="4"/>
      <c r="D13" s="4"/>
      <c r="E13" s="4"/>
    </row>
    <row r="14" spans="1:7">
      <c r="A14" s="2">
        <v>2010</v>
      </c>
      <c r="B14" s="4"/>
      <c r="C14" s="4"/>
      <c r="D14" s="4"/>
      <c r="E14" s="4"/>
    </row>
    <row r="15" spans="1:7">
      <c r="A15" s="2">
        <v>2011</v>
      </c>
      <c r="B15" s="18">
        <v>400</v>
      </c>
      <c r="C15" s="31">
        <v>3374</v>
      </c>
      <c r="D15" s="18">
        <v>400</v>
      </c>
      <c r="E15" s="31">
        <f>C15</f>
        <v>3374</v>
      </c>
    </row>
    <row r="16" spans="1:7">
      <c r="A16" s="2">
        <v>2012</v>
      </c>
      <c r="B16" s="18">
        <v>650</v>
      </c>
      <c r="C16" s="31">
        <v>4621</v>
      </c>
      <c r="D16" s="18">
        <v>650</v>
      </c>
      <c r="E16" s="31">
        <v>4486</v>
      </c>
    </row>
    <row r="17" spans="1:12">
      <c r="A17" s="2">
        <v>2013</v>
      </c>
      <c r="B17" s="3">
        <v>650</v>
      </c>
      <c r="C17" s="32">
        <v>2742</v>
      </c>
      <c r="D17" s="3">
        <v>650</v>
      </c>
      <c r="E17" s="32">
        <v>2662</v>
      </c>
      <c r="F17" s="83" t="s">
        <v>187</v>
      </c>
    </row>
    <row r="18" spans="1:12">
      <c r="A18" s="2">
        <v>2014</v>
      </c>
      <c r="B18" s="3">
        <v>650</v>
      </c>
      <c r="C18" s="32">
        <v>2550</v>
      </c>
      <c r="D18" s="3">
        <v>650</v>
      </c>
      <c r="E18" s="32">
        <v>2475</v>
      </c>
      <c r="F18" s="83" t="s">
        <v>187</v>
      </c>
    </row>
    <row r="19" spans="1:12">
      <c r="A19" s="2">
        <v>2015</v>
      </c>
      <c r="B19" s="3">
        <v>650</v>
      </c>
      <c r="C19" s="32">
        <v>2371</v>
      </c>
      <c r="D19" s="3">
        <v>650</v>
      </c>
      <c r="E19" s="32">
        <v>2301</v>
      </c>
      <c r="F19" s="83"/>
    </row>
    <row r="20" spans="1:12">
      <c r="A20" s="2">
        <v>2016</v>
      </c>
      <c r="B20" s="3">
        <v>650</v>
      </c>
      <c r="C20" s="32">
        <v>2209</v>
      </c>
      <c r="D20" s="3">
        <v>650</v>
      </c>
      <c r="E20" s="32">
        <v>2144</v>
      </c>
      <c r="F20" s="83" t="s">
        <v>187</v>
      </c>
    </row>
    <row r="21" spans="1:12">
      <c r="A21" s="2">
        <v>2017</v>
      </c>
      <c r="B21" s="3">
        <v>650</v>
      </c>
      <c r="C21" s="32">
        <v>2059</v>
      </c>
      <c r="D21" s="3">
        <v>650</v>
      </c>
      <c r="E21" s="32">
        <v>1999</v>
      </c>
      <c r="F21" s="83" t="s">
        <v>187</v>
      </c>
    </row>
    <row r="22" spans="1:12">
      <c r="A22" s="2">
        <v>2018</v>
      </c>
      <c r="B22" s="3">
        <v>650</v>
      </c>
      <c r="C22" s="32">
        <v>1920</v>
      </c>
      <c r="D22" s="3">
        <v>650</v>
      </c>
      <c r="E22" s="32">
        <v>1864</v>
      </c>
      <c r="F22" s="83" t="s">
        <v>187</v>
      </c>
    </row>
    <row r="23" spans="1:12">
      <c r="A23" s="2">
        <v>2019</v>
      </c>
      <c r="B23" s="3">
        <v>650</v>
      </c>
      <c r="C23" s="32">
        <v>1791</v>
      </c>
      <c r="D23" s="3">
        <v>650</v>
      </c>
      <c r="E23" s="32">
        <v>1738</v>
      </c>
      <c r="F23" s="83" t="s">
        <v>187</v>
      </c>
    </row>
    <row r="24" spans="1:12">
      <c r="A24" s="2">
        <v>2020</v>
      </c>
      <c r="B24" s="3">
        <v>650</v>
      </c>
      <c r="C24" s="32">
        <v>1670</v>
      </c>
      <c r="D24" s="3">
        <v>650</v>
      </c>
      <c r="E24" s="32">
        <v>1621</v>
      </c>
      <c r="F24" s="83" t="s">
        <v>187</v>
      </c>
    </row>
    <row r="25" spans="1:12">
      <c r="A25" s="2">
        <v>2021</v>
      </c>
      <c r="B25" s="3">
        <v>650</v>
      </c>
      <c r="C25" s="31">
        <v>1548</v>
      </c>
      <c r="D25" s="18">
        <v>650</v>
      </c>
      <c r="E25" s="31">
        <v>1503</v>
      </c>
    </row>
    <row r="26" spans="1:12">
      <c r="A26" s="2">
        <v>2022</v>
      </c>
      <c r="B26" s="3">
        <v>650</v>
      </c>
      <c r="C26" s="31">
        <v>1379</v>
      </c>
      <c r="D26" s="18">
        <v>650</v>
      </c>
      <c r="E26" s="31">
        <v>1339</v>
      </c>
    </row>
    <row r="27" spans="1:12">
      <c r="A27" s="2">
        <v>2023</v>
      </c>
      <c r="B27" s="3"/>
      <c r="C27" s="32"/>
      <c r="D27" s="3"/>
      <c r="E27" s="32"/>
    </row>
    <row r="28" spans="1:12">
      <c r="A28" s="2"/>
      <c r="B28" s="3">
        <f t="shared" ref="B28:C28" si="0">SUM(B2:B27)</f>
        <v>7550</v>
      </c>
      <c r="C28" s="32">
        <f t="shared" si="0"/>
        <v>28234</v>
      </c>
      <c r="D28" s="3">
        <f>SUM(D2:D27)</f>
        <v>7550</v>
      </c>
      <c r="E28" s="32">
        <f>SUM(E2:E27)</f>
        <v>27506</v>
      </c>
    </row>
    <row r="29" spans="1:12" ht="15">
      <c r="D29" s="5">
        <f>B28+D28</f>
        <v>15100</v>
      </c>
      <c r="E29" s="5">
        <f>C28+E28</f>
        <v>55740</v>
      </c>
      <c r="F29" s="377" t="s">
        <v>488</v>
      </c>
    </row>
    <row r="31" spans="1:12" ht="15.75">
      <c r="A31" s="13" t="s">
        <v>185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3" spans="3:10">
      <c r="C33" s="245" t="s">
        <v>299</v>
      </c>
      <c r="D33" s="245"/>
      <c r="E33" s="245" t="s">
        <v>300</v>
      </c>
      <c r="F33" s="245"/>
      <c r="G33" s="245"/>
      <c r="H33" s="245" t="s">
        <v>304</v>
      </c>
      <c r="I33" s="245"/>
      <c r="J33" s="245" t="s">
        <v>14</v>
      </c>
    </row>
    <row r="34" spans="3:10">
      <c r="C34" s="28">
        <v>1111111</v>
      </c>
      <c r="E34" s="28">
        <v>7550</v>
      </c>
      <c r="G34" s="28"/>
      <c r="H34" s="28">
        <f>C34*E34</f>
        <v>8388888050</v>
      </c>
      <c r="J34" s="28">
        <f>C28*H34/B28</f>
        <v>31371107974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F44" sqref="F44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19.21875" style="1" customWidth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  <c r="F9" s="82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3"/>
      <c r="C11" s="3"/>
      <c r="D11" s="3"/>
      <c r="E11" s="3"/>
      <c r="F11" s="83"/>
    </row>
    <row r="12" spans="1:7">
      <c r="A12" s="2">
        <v>2008</v>
      </c>
      <c r="B12" s="3"/>
      <c r="C12" s="3"/>
      <c r="D12" s="3"/>
      <c r="E12" s="3"/>
    </row>
    <row r="13" spans="1:7">
      <c r="A13" s="2">
        <v>2009</v>
      </c>
      <c r="B13" s="3"/>
      <c r="C13" s="32"/>
      <c r="D13" s="3"/>
      <c r="E13" s="3"/>
    </row>
    <row r="14" spans="1:7">
      <c r="A14" s="2">
        <v>2010</v>
      </c>
      <c r="B14" s="3"/>
      <c r="C14" s="32"/>
      <c r="D14" s="3"/>
      <c r="E14" s="32"/>
    </row>
    <row r="15" spans="1:7">
      <c r="A15" s="2">
        <v>2011</v>
      </c>
      <c r="B15" s="3">
        <v>736.73</v>
      </c>
      <c r="C15" s="32">
        <v>3216</v>
      </c>
      <c r="D15" s="3">
        <v>580.87</v>
      </c>
      <c r="E15" s="32">
        <v>2536</v>
      </c>
    </row>
    <row r="16" spans="1:7">
      <c r="A16" s="2">
        <v>2012</v>
      </c>
      <c r="B16" s="3"/>
      <c r="C16" s="32"/>
      <c r="D16" s="3"/>
      <c r="E16" s="32"/>
    </row>
    <row r="17" spans="1:7">
      <c r="A17" s="2">
        <v>2013</v>
      </c>
      <c r="B17" s="3"/>
      <c r="C17" s="32"/>
      <c r="D17" s="3"/>
      <c r="E17" s="32"/>
    </row>
    <row r="18" spans="1:7">
      <c r="A18" s="2">
        <v>2014</v>
      </c>
      <c r="B18" s="3"/>
      <c r="C18" s="32"/>
      <c r="D18" s="3"/>
      <c r="E18" s="32"/>
    </row>
    <row r="19" spans="1:7">
      <c r="A19" s="2">
        <v>2015</v>
      </c>
      <c r="B19" s="3"/>
      <c r="C19" s="32"/>
      <c r="D19" s="3"/>
      <c r="E19" s="32"/>
    </row>
    <row r="20" spans="1:7">
      <c r="A20" s="2">
        <v>2016</v>
      </c>
      <c r="B20" s="3"/>
      <c r="C20" s="32"/>
      <c r="D20" s="3"/>
      <c r="E20" s="32"/>
    </row>
    <row r="21" spans="1:7">
      <c r="A21" s="2">
        <v>2017</v>
      </c>
      <c r="B21" s="3"/>
      <c r="C21" s="32"/>
      <c r="D21" s="3"/>
      <c r="E21" s="32"/>
    </row>
    <row r="22" spans="1:7">
      <c r="A22" s="2">
        <v>2018</v>
      </c>
      <c r="B22" s="3"/>
      <c r="C22" s="32"/>
      <c r="D22" s="3"/>
      <c r="E22" s="32"/>
    </row>
    <row r="23" spans="1:7">
      <c r="A23" s="2">
        <v>2019</v>
      </c>
      <c r="B23" s="3"/>
      <c r="C23" s="32"/>
      <c r="D23" s="3"/>
      <c r="E23" s="32"/>
    </row>
    <row r="24" spans="1:7">
      <c r="A24" s="2">
        <v>2020</v>
      </c>
      <c r="B24" s="3"/>
      <c r="C24" s="32"/>
      <c r="D24" s="3"/>
      <c r="E24" s="32"/>
    </row>
    <row r="25" spans="1:7">
      <c r="A25" s="2">
        <v>2021</v>
      </c>
      <c r="B25" s="3"/>
      <c r="C25" s="32"/>
      <c r="D25" s="3"/>
      <c r="E25" s="32"/>
    </row>
    <row r="26" spans="1:7">
      <c r="A26" s="2">
        <v>2022</v>
      </c>
      <c r="B26" s="3"/>
      <c r="C26" s="32"/>
      <c r="D26" s="3"/>
      <c r="E26" s="32"/>
    </row>
    <row r="27" spans="1:7">
      <c r="A27" s="2"/>
      <c r="B27" s="3">
        <f t="shared" ref="B27:D27" si="0">SUM(B2:B26)</f>
        <v>736.73</v>
      </c>
      <c r="C27" s="32">
        <f t="shared" si="0"/>
        <v>3216</v>
      </c>
      <c r="D27" s="3">
        <f t="shared" si="0"/>
        <v>580.87</v>
      </c>
      <c r="E27" s="32">
        <f>SUM(E2:E26)</f>
        <v>2536</v>
      </c>
    </row>
    <row r="28" spans="1:7">
      <c r="D28" s="5">
        <f>B27+D27</f>
        <v>1317.6</v>
      </c>
      <c r="E28" s="75">
        <f>C27+E27</f>
        <v>5752</v>
      </c>
    </row>
    <row r="29" spans="1:7" ht="15">
      <c r="F29" s="377" t="s">
        <v>488</v>
      </c>
    </row>
    <row r="31" spans="1:7" ht="12.75">
      <c r="A31" s="195" t="s">
        <v>229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9" sqref="F29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18"/>
      <c r="D14" s="18"/>
      <c r="E14" s="31"/>
    </row>
    <row r="15" spans="1:7">
      <c r="A15" s="2">
        <v>2011</v>
      </c>
      <c r="B15" s="18"/>
      <c r="C15" s="31"/>
      <c r="D15" s="18"/>
      <c r="E15" s="31"/>
    </row>
    <row r="16" spans="1:7">
      <c r="A16" s="2">
        <v>2012</v>
      </c>
      <c r="B16" s="18">
        <v>82.5</v>
      </c>
      <c r="C16" s="31">
        <v>383</v>
      </c>
      <c r="D16" s="18"/>
      <c r="E16" s="31"/>
    </row>
    <row r="17" spans="1:12">
      <c r="A17" s="2">
        <v>2013</v>
      </c>
      <c r="B17" s="3">
        <v>90</v>
      </c>
      <c r="C17" s="32">
        <v>385</v>
      </c>
      <c r="D17" s="3"/>
      <c r="E17" s="32"/>
    </row>
    <row r="18" spans="1:12">
      <c r="A18" s="2">
        <v>2014</v>
      </c>
      <c r="B18" s="3">
        <v>90</v>
      </c>
      <c r="C18" s="32">
        <v>356</v>
      </c>
      <c r="D18" s="3"/>
      <c r="E18" s="32"/>
    </row>
    <row r="19" spans="1:12">
      <c r="A19" s="2">
        <v>2015</v>
      </c>
      <c r="B19" s="3">
        <v>90</v>
      </c>
      <c r="C19" s="32">
        <v>331</v>
      </c>
      <c r="D19" s="3"/>
      <c r="E19" s="32"/>
    </row>
    <row r="20" spans="1:12">
      <c r="A20" s="2">
        <v>2016</v>
      </c>
      <c r="B20" s="3">
        <v>90</v>
      </c>
      <c r="C20" s="32">
        <v>308</v>
      </c>
      <c r="D20" s="3"/>
      <c r="E20" s="32"/>
    </row>
    <row r="21" spans="1:12">
      <c r="A21" s="2">
        <v>2017</v>
      </c>
      <c r="B21" s="3">
        <v>90</v>
      </c>
      <c r="C21" s="32">
        <v>287</v>
      </c>
      <c r="D21" s="3"/>
      <c r="E21" s="32"/>
    </row>
    <row r="22" spans="1:12">
      <c r="A22" s="2">
        <v>2018</v>
      </c>
      <c r="B22" s="3">
        <v>90</v>
      </c>
      <c r="C22" s="32">
        <v>267</v>
      </c>
      <c r="D22" s="3"/>
      <c r="E22" s="32"/>
    </row>
    <row r="23" spans="1:12">
      <c r="A23" s="2">
        <v>2019</v>
      </c>
      <c r="B23" s="3">
        <v>90</v>
      </c>
      <c r="C23" s="32">
        <v>249</v>
      </c>
      <c r="D23" s="3"/>
      <c r="E23" s="32"/>
    </row>
    <row r="24" spans="1:12">
      <c r="A24" s="2">
        <v>2020</v>
      </c>
      <c r="B24" s="3">
        <v>90</v>
      </c>
      <c r="C24" s="32">
        <v>233</v>
      </c>
      <c r="D24" s="3"/>
      <c r="E24" s="32"/>
    </row>
    <row r="25" spans="1:12">
      <c r="A25" s="2">
        <v>2021</v>
      </c>
      <c r="B25" s="3"/>
      <c r="C25" s="32"/>
      <c r="D25" s="3"/>
      <c r="E25" s="32"/>
    </row>
    <row r="26" spans="1:12">
      <c r="A26" s="2">
        <v>2022</v>
      </c>
      <c r="B26" s="3"/>
      <c r="C26" s="32"/>
      <c r="D26" s="3"/>
      <c r="E26" s="32"/>
    </row>
    <row r="27" spans="1:12">
      <c r="A27" s="2"/>
      <c r="B27" s="3">
        <f t="shared" ref="B27:C27" si="0">SUM(B2:B26)</f>
        <v>802.5</v>
      </c>
      <c r="C27" s="32">
        <f t="shared" si="0"/>
        <v>2799</v>
      </c>
      <c r="D27" s="3">
        <f>SUM(D2:D26)</f>
        <v>0</v>
      </c>
      <c r="E27" s="32">
        <f>SUM(E2:E26)</f>
        <v>0</v>
      </c>
    </row>
    <row r="28" spans="1:12">
      <c r="D28" s="5">
        <f>B27+D27</f>
        <v>802.5</v>
      </c>
      <c r="E28" s="75">
        <f>C27+E27</f>
        <v>2799</v>
      </c>
    </row>
    <row r="29" spans="1:12" ht="15">
      <c r="F29" s="377" t="s">
        <v>488</v>
      </c>
    </row>
    <row r="30" spans="1:12" ht="15.75">
      <c r="A30" s="13" t="s">
        <v>190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pane ySplit="2" topLeftCell="A3" activePane="bottomLeft" state="frozen"/>
      <selection pane="bottomLeft" activeCell="G31" sqref="G31"/>
    </sheetView>
  </sheetViews>
  <sheetFormatPr defaultRowHeight="11.25"/>
  <cols>
    <col min="1" max="1" width="8.88671875" style="1"/>
    <col min="2" max="2" width="8.109375" style="1" bestFit="1" customWidth="1"/>
    <col min="3" max="4" width="6.33203125" style="1" bestFit="1" customWidth="1"/>
    <col min="5" max="5" width="6.88671875" style="1" bestFit="1" customWidth="1"/>
    <col min="6" max="6" width="14.33203125" style="1" bestFit="1" customWidth="1"/>
    <col min="7" max="8" width="10.5546875" style="1" bestFit="1" customWidth="1"/>
    <col min="9" max="9" width="6.33203125" style="1" bestFit="1" customWidth="1"/>
    <col min="10" max="10" width="8.109375" style="1" bestFit="1" customWidth="1"/>
    <col min="11" max="11" width="6.33203125" style="1" bestFit="1" customWidth="1"/>
    <col min="12" max="12" width="7.33203125" style="1" bestFit="1" customWidth="1"/>
    <col min="13" max="13" width="29.6640625" style="1" bestFit="1" customWidth="1"/>
    <col min="14" max="16384" width="8.88671875" style="1"/>
  </cols>
  <sheetData>
    <row r="1" spans="1:29">
      <c r="A1" s="415" t="s">
        <v>406</v>
      </c>
      <c r="B1" s="416"/>
      <c r="C1" s="416"/>
      <c r="D1" s="416"/>
      <c r="E1" s="416"/>
      <c r="F1" s="417"/>
      <c r="G1" s="418" t="s">
        <v>407</v>
      </c>
      <c r="H1" s="419"/>
      <c r="I1" s="419"/>
      <c r="J1" s="419"/>
      <c r="K1" s="419"/>
      <c r="L1" s="419"/>
      <c r="M1" s="42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 t="s">
        <v>408</v>
      </c>
      <c r="C2" s="294" t="s">
        <v>409</v>
      </c>
      <c r="D2" s="294" t="s">
        <v>410</v>
      </c>
      <c r="E2" s="294" t="s">
        <v>411</v>
      </c>
      <c r="F2" s="295" t="s">
        <v>412</v>
      </c>
      <c r="G2" s="2" t="s">
        <v>22</v>
      </c>
      <c r="H2" s="2" t="s">
        <v>413</v>
      </c>
      <c r="I2" s="294" t="s">
        <v>409</v>
      </c>
      <c r="J2" s="2" t="s">
        <v>408</v>
      </c>
      <c r="K2" s="294" t="s">
        <v>409</v>
      </c>
      <c r="L2" s="294" t="s">
        <v>414</v>
      </c>
      <c r="M2" s="296" t="s">
        <v>412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>
      <c r="A3" s="2" t="s">
        <v>415</v>
      </c>
      <c r="B3" s="3">
        <v>149.93</v>
      </c>
      <c r="C3" s="3">
        <v>149.43</v>
      </c>
      <c r="D3" s="3">
        <v>149.43</v>
      </c>
      <c r="E3" s="297">
        <v>40794</v>
      </c>
      <c r="F3" s="3"/>
      <c r="G3" s="2" t="s">
        <v>416</v>
      </c>
      <c r="H3" s="3">
        <v>691.04</v>
      </c>
      <c r="I3" s="3">
        <v>610.64</v>
      </c>
      <c r="J3" s="3">
        <v>138.21</v>
      </c>
      <c r="K3" s="3">
        <v>122.13</v>
      </c>
      <c r="L3" s="298"/>
      <c r="M3" s="158" t="s">
        <v>417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2" t="s">
        <v>418</v>
      </c>
      <c r="B4" s="3">
        <v>188.5</v>
      </c>
      <c r="C4" s="3"/>
      <c r="D4" s="3">
        <v>188.5</v>
      </c>
      <c r="E4" s="297">
        <v>40840</v>
      </c>
      <c r="F4" s="3"/>
      <c r="G4" s="2" t="s">
        <v>419</v>
      </c>
      <c r="H4" s="3">
        <v>662.79</v>
      </c>
      <c r="I4" s="3">
        <v>582.87</v>
      </c>
      <c r="J4" s="3">
        <v>132.56</v>
      </c>
      <c r="K4" s="3">
        <v>116.57</v>
      </c>
      <c r="L4" s="298"/>
      <c r="M4" s="158" t="s">
        <v>420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" t="s">
        <v>421</v>
      </c>
      <c r="B5" s="3">
        <v>149.44</v>
      </c>
      <c r="C5" s="3"/>
      <c r="D5" s="3">
        <v>149.44</v>
      </c>
      <c r="E5" s="297">
        <v>40744</v>
      </c>
      <c r="F5" s="3"/>
      <c r="G5" s="2" t="s">
        <v>422</v>
      </c>
      <c r="H5" s="3">
        <v>566.48</v>
      </c>
      <c r="I5" s="3">
        <v>492.02</v>
      </c>
      <c r="J5" s="3">
        <v>113.3</v>
      </c>
      <c r="K5" s="3">
        <v>98.4</v>
      </c>
      <c r="L5" s="298"/>
      <c r="M5" s="158" t="s">
        <v>423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>
      <c r="A6" s="2" t="s">
        <v>424</v>
      </c>
      <c r="B6" s="3"/>
      <c r="C6" s="3"/>
      <c r="D6" s="3"/>
      <c r="E6" s="3"/>
      <c r="F6" s="3" t="s">
        <v>425</v>
      </c>
      <c r="G6" s="421" t="s">
        <v>426</v>
      </c>
      <c r="H6" s="423">
        <v>3820.3</v>
      </c>
      <c r="I6" s="425">
        <v>539.79</v>
      </c>
      <c r="J6" s="423">
        <v>764.06</v>
      </c>
      <c r="K6" s="423">
        <v>107.96</v>
      </c>
      <c r="L6" s="299"/>
      <c r="M6" s="158" t="s">
        <v>427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 t="s">
        <v>428</v>
      </c>
      <c r="B7" s="3">
        <v>149.44</v>
      </c>
      <c r="C7" s="3"/>
      <c r="D7" s="3"/>
      <c r="E7" s="3"/>
      <c r="F7" s="3"/>
      <c r="G7" s="422"/>
      <c r="H7" s="424"/>
      <c r="I7" s="426"/>
      <c r="J7" s="424"/>
      <c r="K7" s="424"/>
      <c r="L7" s="300"/>
      <c r="M7" s="20" t="s">
        <v>429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 t="s">
        <v>430</v>
      </c>
      <c r="B8" s="3">
        <v>538.11</v>
      </c>
      <c r="C8" s="3"/>
      <c r="D8" s="3"/>
      <c r="E8" s="3"/>
      <c r="F8" s="3"/>
      <c r="G8" s="2" t="s">
        <v>431</v>
      </c>
      <c r="H8" s="3">
        <v>655.1</v>
      </c>
      <c r="I8" s="3">
        <v>562.9</v>
      </c>
      <c r="J8" s="3">
        <v>131.02000000000001</v>
      </c>
      <c r="K8" s="3">
        <v>112.58</v>
      </c>
      <c r="L8" s="3">
        <v>112.58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 t="s">
        <v>432</v>
      </c>
      <c r="B9" s="3">
        <v>49.56</v>
      </c>
      <c r="C9" s="3"/>
      <c r="D9" s="3"/>
      <c r="E9" s="3"/>
      <c r="F9" s="3"/>
      <c r="G9" s="2">
        <v>10854</v>
      </c>
      <c r="H9" s="427">
        <v>2200</v>
      </c>
      <c r="I9" s="423">
        <v>835.04</v>
      </c>
      <c r="J9" s="423">
        <v>440</v>
      </c>
      <c r="K9" s="423">
        <v>167.01</v>
      </c>
      <c r="L9" s="298"/>
      <c r="M9" s="1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>
      <c r="A10" s="2" t="s">
        <v>433</v>
      </c>
      <c r="B10" s="3">
        <v>65.19</v>
      </c>
      <c r="C10" s="3"/>
      <c r="D10" s="3">
        <v>87.32</v>
      </c>
      <c r="E10" s="297">
        <v>41051</v>
      </c>
      <c r="F10" s="3"/>
      <c r="G10" s="2">
        <v>10855</v>
      </c>
      <c r="H10" s="428"/>
      <c r="I10" s="430"/>
      <c r="J10" s="430"/>
      <c r="K10" s="430"/>
      <c r="L10" s="298"/>
      <c r="M10" s="158" t="s">
        <v>434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A11" s="2" t="s">
        <v>435</v>
      </c>
      <c r="B11" s="3">
        <v>49.56</v>
      </c>
      <c r="C11" s="3"/>
      <c r="D11" s="3"/>
      <c r="E11" s="3"/>
      <c r="F11" s="3"/>
      <c r="G11" s="2">
        <v>10856</v>
      </c>
      <c r="H11" s="428"/>
      <c r="I11" s="430"/>
      <c r="J11" s="430"/>
      <c r="K11" s="430"/>
      <c r="L11" s="29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 t="s">
        <v>436</v>
      </c>
      <c r="B12" s="3">
        <v>49.56</v>
      </c>
      <c r="C12" s="3"/>
      <c r="D12" s="3"/>
      <c r="E12" s="3"/>
      <c r="F12" s="3"/>
      <c r="G12" s="2">
        <v>10857</v>
      </c>
      <c r="H12" s="429"/>
      <c r="I12" s="424"/>
      <c r="J12" s="424"/>
      <c r="K12" s="424"/>
      <c r="L12" s="3">
        <v>60</v>
      </c>
      <c r="M12" s="20" t="s">
        <v>437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 t="s">
        <v>438</v>
      </c>
      <c r="B13" s="3">
        <v>49.56</v>
      </c>
      <c r="C13" s="3"/>
      <c r="D13" s="3"/>
      <c r="E13" s="3"/>
      <c r="F13" s="3"/>
      <c r="G13" s="2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 t="s">
        <v>439</v>
      </c>
      <c r="B14" s="3">
        <v>93.19</v>
      </c>
      <c r="C14" s="3"/>
      <c r="D14" s="3"/>
      <c r="E14" s="3"/>
      <c r="F14" s="3"/>
      <c r="G14" s="2"/>
      <c r="H14" s="3"/>
      <c r="I14" s="3"/>
      <c r="J14" s="3"/>
      <c r="K14" s="3"/>
      <c r="L14" s="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2"/>
      <c r="B15" s="3"/>
      <c r="C15" s="3"/>
      <c r="D15" s="3"/>
      <c r="E15" s="3"/>
      <c r="F15" s="3"/>
      <c r="G15" s="2"/>
      <c r="H15" s="3"/>
      <c r="I15" s="3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2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3"/>
      <c r="C17" s="3"/>
      <c r="D17" s="3"/>
      <c r="E17" s="3"/>
      <c r="F17" s="3"/>
      <c r="G17" s="2"/>
      <c r="H17" s="3"/>
      <c r="I17" s="3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3"/>
      <c r="C18" s="3"/>
      <c r="D18" s="3"/>
      <c r="E18" s="3"/>
      <c r="F18" s="297"/>
      <c r="G18" s="2"/>
      <c r="H18" s="3"/>
      <c r="I18" s="3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3"/>
      <c r="C19" s="3"/>
      <c r="D19" s="3"/>
      <c r="E19" s="3"/>
      <c r="F19" s="3"/>
      <c r="G19" s="2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2"/>
      <c r="B20" s="3"/>
      <c r="C20" s="3"/>
      <c r="D20" s="3"/>
      <c r="E20" s="3"/>
      <c r="F20" s="3"/>
      <c r="G20" s="2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2"/>
      <c r="B21" s="3"/>
      <c r="C21" s="3"/>
      <c r="D21" s="3"/>
      <c r="E21" s="3"/>
      <c r="F21" s="3"/>
      <c r="G21" s="2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3"/>
      <c r="C22" s="3"/>
      <c r="D22" s="3"/>
      <c r="E22" s="3"/>
      <c r="F22" s="3"/>
      <c r="G22" s="2"/>
      <c r="H22" s="3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3"/>
      <c r="C24" s="3"/>
      <c r="D24" s="3"/>
      <c r="E24" s="3"/>
      <c r="F24" s="3"/>
      <c r="G24" s="2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"/>
      <c r="B25" s="3"/>
      <c r="C25" s="3"/>
      <c r="D25" s="3"/>
      <c r="E25" s="3"/>
      <c r="F25" s="3"/>
      <c r="G25" s="2"/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2"/>
      <c r="B26" s="3"/>
      <c r="C26" s="3"/>
      <c r="D26" s="3"/>
      <c r="E26" s="3"/>
      <c r="F26" s="3"/>
      <c r="G26" s="2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3"/>
      <c r="C27" s="3"/>
      <c r="D27" s="3"/>
      <c r="E27" s="3"/>
      <c r="F27" s="3"/>
      <c r="G27" s="2"/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3"/>
      <c r="C28" s="3"/>
      <c r="D28" s="3"/>
      <c r="E28" s="3"/>
      <c r="F28" s="3"/>
      <c r="G28" s="2"/>
      <c r="H28" s="3"/>
      <c r="I28" s="3"/>
      <c r="J28" s="3"/>
      <c r="K28" s="3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3"/>
      <c r="C29" s="3"/>
      <c r="D29" s="3"/>
      <c r="E29" s="3"/>
      <c r="F29" s="3"/>
      <c r="G29" s="2"/>
      <c r="H29" s="3"/>
      <c r="I29" s="3"/>
      <c r="J29" s="3"/>
      <c r="K29" s="3"/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2"/>
      <c r="B30" s="3"/>
      <c r="C30" s="3"/>
      <c r="D30" s="3"/>
      <c r="E30" s="3"/>
      <c r="F30" s="3"/>
      <c r="G30" s="2"/>
      <c r="H30" s="3"/>
      <c r="I30" s="3"/>
      <c r="J30" s="3"/>
      <c r="K30" s="3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2"/>
      <c r="B31" s="3"/>
      <c r="C31" s="3"/>
      <c r="D31" s="3"/>
      <c r="E31" s="3"/>
      <c r="F31" s="3"/>
      <c r="G31" s="2"/>
      <c r="H31" s="3"/>
      <c r="I31" s="3"/>
      <c r="J31" s="3"/>
      <c r="K31" s="3"/>
      <c r="L31" s="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3"/>
      <c r="C32" s="3"/>
      <c r="D32" s="3"/>
      <c r="E32" s="3"/>
      <c r="F32" s="3"/>
      <c r="G32" s="2"/>
      <c r="H32" s="3"/>
      <c r="I32" s="3"/>
      <c r="J32" s="3"/>
      <c r="K32" s="3"/>
      <c r="L32" s="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3"/>
      <c r="C33" s="3"/>
      <c r="D33" s="3"/>
      <c r="E33" s="3"/>
      <c r="F33" s="3"/>
      <c r="G33" s="2"/>
      <c r="H33" s="3"/>
      <c r="I33" s="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3"/>
      <c r="C34" s="3"/>
      <c r="D34" s="3"/>
      <c r="E34" s="3"/>
      <c r="F34" s="3"/>
      <c r="G34" s="2"/>
      <c r="H34" s="3"/>
      <c r="I34" s="3"/>
      <c r="J34" s="3"/>
      <c r="K34" s="3"/>
      <c r="L34" s="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3"/>
      <c r="C35" s="3"/>
      <c r="D35" s="3"/>
      <c r="E35" s="3"/>
      <c r="F35" s="3"/>
      <c r="G35" s="2"/>
      <c r="H35" s="3"/>
      <c r="I35" s="3"/>
      <c r="J35" s="3"/>
      <c r="K35" s="3"/>
      <c r="L35" s="3">
        <f t="shared" ref="L35" si="0">K35*30%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3"/>
      <c r="C36" s="3"/>
      <c r="D36" s="3"/>
      <c r="E36" s="3"/>
      <c r="F36" s="3"/>
      <c r="G36" s="2"/>
      <c r="H36" s="3"/>
      <c r="I36" s="3"/>
      <c r="J36" s="3"/>
      <c r="K36" s="3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2"/>
      <c r="B37" s="3"/>
      <c r="C37" s="3"/>
      <c r="D37" s="3"/>
      <c r="E37" s="3"/>
      <c r="F37" s="3"/>
      <c r="G37" s="2"/>
      <c r="H37" s="3"/>
      <c r="I37" s="3"/>
      <c r="J37" s="3"/>
      <c r="K37" s="3"/>
      <c r="L37" s="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2"/>
      <c r="B38" s="3"/>
      <c r="C38" s="3"/>
      <c r="D38" s="3"/>
      <c r="E38" s="3"/>
      <c r="F38" s="3"/>
      <c r="G38" s="2"/>
      <c r="H38" s="3"/>
      <c r="I38" s="3"/>
      <c r="J38" s="3"/>
      <c r="K38" s="3"/>
      <c r="L38" s="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>
      <c r="A39" s="2"/>
      <c r="B39" s="3"/>
      <c r="C39" s="3"/>
      <c r="D39" s="3"/>
      <c r="E39" s="3"/>
      <c r="F39" s="3"/>
      <c r="G39" s="2"/>
      <c r="H39" s="3"/>
      <c r="I39" s="3"/>
      <c r="J39" s="3"/>
      <c r="K39" s="3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 s="2"/>
      <c r="B40" s="3"/>
      <c r="C40" s="3"/>
      <c r="D40" s="3"/>
      <c r="E40" s="3"/>
      <c r="F40" s="3"/>
      <c r="G40" s="2"/>
      <c r="H40" s="3"/>
      <c r="I40" s="3"/>
      <c r="J40" s="3"/>
      <c r="K40" s="3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 s="2"/>
      <c r="B41" s="3"/>
      <c r="C41" s="3"/>
      <c r="D41" s="3"/>
      <c r="E41" s="3"/>
      <c r="F41" s="3"/>
      <c r="G41" s="2"/>
      <c r="H41" s="3"/>
      <c r="I41" s="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 s="2"/>
      <c r="B42" s="3"/>
      <c r="C42" s="3"/>
      <c r="D42" s="3"/>
      <c r="E42" s="3"/>
      <c r="F42" s="3"/>
      <c r="G42" s="2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 s="2"/>
      <c r="B43" s="3"/>
      <c r="C43" s="3"/>
      <c r="D43" s="3"/>
      <c r="E43" s="3"/>
      <c r="F43" s="3"/>
      <c r="G43" s="2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 s="2"/>
      <c r="B44" s="3"/>
      <c r="C44" s="3"/>
      <c r="D44" s="3"/>
      <c r="E44" s="3"/>
      <c r="F44" s="3"/>
      <c r="G44" s="2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3"/>
      <c r="C45" s="3"/>
      <c r="D45" s="3"/>
      <c r="E45" s="3"/>
      <c r="F45" s="3"/>
      <c r="G45" s="2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 s="2"/>
      <c r="B46" s="3"/>
      <c r="C46" s="3"/>
      <c r="D46" s="3"/>
      <c r="E46" s="3"/>
      <c r="F46" s="3"/>
      <c r="G46" s="2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3">
        <f>SUM(B3:B46)</f>
        <v>1532.04</v>
      </c>
      <c r="C47" s="3"/>
      <c r="D47" s="3">
        <f t="shared" ref="D47" si="1">SUM(D3:D46)</f>
        <v>574.69000000000005</v>
      </c>
      <c r="E47" s="3"/>
      <c r="F47" s="3">
        <f>B47-D47</f>
        <v>957.34999999999991</v>
      </c>
      <c r="G47" s="3"/>
      <c r="H47" s="3"/>
      <c r="I47" s="3"/>
      <c r="J47" s="3">
        <f t="shared" ref="J47:L47" si="2">SUM(J3:J46)</f>
        <v>1719.1499999999999</v>
      </c>
      <c r="K47" s="3">
        <f t="shared" si="2"/>
        <v>724.65</v>
      </c>
      <c r="L47" s="3">
        <f t="shared" si="2"/>
        <v>172.57999999999998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F48" s="301" t="s">
        <v>440</v>
      </c>
      <c r="L48" s="5">
        <f>J47-L47</f>
        <v>1546.57</v>
      </c>
    </row>
    <row r="50" spans="3:12">
      <c r="C50" s="431" t="s">
        <v>441</v>
      </c>
      <c r="D50" s="431"/>
      <c r="E50" s="431"/>
      <c r="F50" s="431"/>
      <c r="G50" s="431"/>
      <c r="H50" s="431"/>
      <c r="I50" s="431"/>
      <c r="J50" s="431"/>
      <c r="K50" s="431"/>
      <c r="L50" s="302"/>
    </row>
  </sheetData>
  <mergeCells count="12">
    <mergeCell ref="H9:H12"/>
    <mergeCell ref="I9:I12"/>
    <mergeCell ref="J9:J12"/>
    <mergeCell ref="K9:K12"/>
    <mergeCell ref="C50:K50"/>
    <mergeCell ref="A1:F1"/>
    <mergeCell ref="G1:M1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9" sqref="F29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31"/>
      <c r="D14" s="18"/>
      <c r="E14" s="18"/>
    </row>
    <row r="15" spans="1:7">
      <c r="A15" s="2">
        <v>2011</v>
      </c>
      <c r="B15" s="18"/>
      <c r="C15" s="31"/>
      <c r="D15" s="18"/>
      <c r="E15" s="18"/>
    </row>
    <row r="16" spans="1:7">
      <c r="A16" s="2">
        <v>2012</v>
      </c>
      <c r="B16" s="18">
        <v>16.5</v>
      </c>
      <c r="C16" s="31">
        <v>77</v>
      </c>
      <c r="D16" s="18"/>
      <c r="E16" s="18"/>
    </row>
    <row r="17" spans="1:12">
      <c r="A17" s="2">
        <v>2013</v>
      </c>
      <c r="B17" s="3">
        <v>18</v>
      </c>
      <c r="C17" s="32">
        <v>77</v>
      </c>
      <c r="D17" s="3"/>
      <c r="E17" s="3"/>
    </row>
    <row r="18" spans="1:12">
      <c r="A18" s="2">
        <v>2014</v>
      </c>
      <c r="B18" s="3">
        <v>18</v>
      </c>
      <c r="C18" s="32">
        <v>71</v>
      </c>
      <c r="D18" s="3"/>
      <c r="E18" s="32"/>
    </row>
    <row r="19" spans="1:12">
      <c r="A19" s="2">
        <v>2015</v>
      </c>
      <c r="B19" s="3">
        <v>18</v>
      </c>
      <c r="C19" s="32">
        <v>66</v>
      </c>
      <c r="D19" s="3"/>
      <c r="E19" s="32"/>
    </row>
    <row r="20" spans="1:12">
      <c r="A20" s="2">
        <v>2016</v>
      </c>
      <c r="B20" s="3">
        <v>18</v>
      </c>
      <c r="C20" s="32">
        <v>62</v>
      </c>
      <c r="D20" s="3"/>
      <c r="E20" s="32"/>
    </row>
    <row r="21" spans="1:12">
      <c r="A21" s="2">
        <v>2017</v>
      </c>
      <c r="B21" s="3">
        <v>18</v>
      </c>
      <c r="C21" s="32">
        <v>57</v>
      </c>
      <c r="D21" s="3"/>
      <c r="E21" s="32"/>
    </row>
    <row r="22" spans="1:12">
      <c r="A22" s="2">
        <v>2018</v>
      </c>
      <c r="B22" s="3">
        <v>18</v>
      </c>
      <c r="C22" s="32">
        <v>53</v>
      </c>
      <c r="D22" s="3"/>
      <c r="E22" s="32"/>
    </row>
    <row r="23" spans="1:12">
      <c r="A23" s="2">
        <v>2019</v>
      </c>
      <c r="B23" s="3">
        <v>18</v>
      </c>
      <c r="C23" s="32">
        <v>50</v>
      </c>
      <c r="D23" s="3"/>
      <c r="E23" s="32"/>
    </row>
    <row r="24" spans="1:12">
      <c r="A24" s="2">
        <v>2020</v>
      </c>
      <c r="B24" s="3">
        <v>18</v>
      </c>
      <c r="C24" s="32">
        <v>47</v>
      </c>
      <c r="D24" s="3"/>
      <c r="E24" s="32"/>
    </row>
    <row r="25" spans="1:12">
      <c r="A25" s="2">
        <v>2021</v>
      </c>
      <c r="B25" s="3"/>
      <c r="C25" s="32"/>
      <c r="D25" s="3"/>
      <c r="E25" s="32"/>
    </row>
    <row r="26" spans="1:12">
      <c r="A26" s="2">
        <v>2022</v>
      </c>
      <c r="B26" s="3"/>
      <c r="C26" s="32"/>
      <c r="D26" s="3"/>
      <c r="E26" s="32"/>
    </row>
    <row r="27" spans="1:12">
      <c r="A27" s="2"/>
      <c r="B27" s="3">
        <f t="shared" ref="B27:C27" si="0">SUM(B2:B26)</f>
        <v>160.5</v>
      </c>
      <c r="C27" s="32">
        <f t="shared" si="0"/>
        <v>560</v>
      </c>
      <c r="D27" s="3">
        <f>SUM(D2:D26)</f>
        <v>0</v>
      </c>
      <c r="E27" s="32">
        <f>SUM(E2:E26)</f>
        <v>0</v>
      </c>
    </row>
    <row r="28" spans="1:12">
      <c r="D28" s="5">
        <f>B27+D27</f>
        <v>160.5</v>
      </c>
      <c r="E28" s="75">
        <f>C27+E27</f>
        <v>560</v>
      </c>
    </row>
    <row r="29" spans="1:12" ht="15">
      <c r="F29" s="377" t="s">
        <v>488</v>
      </c>
    </row>
    <row r="30" spans="1:12" ht="15.75">
      <c r="A30" s="13" t="s">
        <v>456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9" sqref="F29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18"/>
      <c r="D14" s="18"/>
      <c r="E14" s="18"/>
    </row>
    <row r="15" spans="1:7">
      <c r="A15" s="2">
        <v>2011</v>
      </c>
      <c r="B15" s="18"/>
      <c r="C15" s="18"/>
      <c r="D15" s="18"/>
      <c r="E15" s="18"/>
    </row>
    <row r="16" spans="1:7">
      <c r="A16" s="2">
        <v>2012</v>
      </c>
      <c r="B16" s="18">
        <v>2.48</v>
      </c>
      <c r="C16" s="18">
        <v>11</v>
      </c>
      <c r="D16" s="18"/>
      <c r="E16" s="18"/>
    </row>
    <row r="17" spans="1:12">
      <c r="A17" s="2">
        <v>2013</v>
      </c>
      <c r="B17" s="3">
        <v>3.6</v>
      </c>
      <c r="C17" s="3">
        <v>15</v>
      </c>
      <c r="D17" s="3"/>
      <c r="E17" s="3"/>
    </row>
    <row r="18" spans="1:12">
      <c r="A18" s="2">
        <v>2014</v>
      </c>
      <c r="B18" s="3"/>
      <c r="C18" s="3"/>
      <c r="D18" s="3"/>
      <c r="E18" s="3"/>
    </row>
    <row r="19" spans="1:12">
      <c r="A19" s="2">
        <v>2015</v>
      </c>
      <c r="B19" s="3"/>
      <c r="C19" s="3"/>
      <c r="D19" s="3"/>
      <c r="E19" s="3"/>
    </row>
    <row r="20" spans="1:12">
      <c r="A20" s="2">
        <v>2016</v>
      </c>
      <c r="B20" s="3"/>
      <c r="C20" s="3"/>
      <c r="D20" s="3"/>
      <c r="E20" s="3"/>
    </row>
    <row r="21" spans="1:12">
      <c r="A21" s="2">
        <v>2017</v>
      </c>
      <c r="B21" s="3"/>
      <c r="C21" s="3"/>
      <c r="D21" s="3"/>
      <c r="E21" s="3"/>
    </row>
    <row r="22" spans="1:12">
      <c r="A22" s="2">
        <v>2018</v>
      </c>
      <c r="B22" s="3"/>
      <c r="C22" s="3"/>
      <c r="D22" s="3"/>
      <c r="E22" s="3"/>
    </row>
    <row r="23" spans="1:12">
      <c r="A23" s="2">
        <v>2019</v>
      </c>
      <c r="B23" s="3"/>
      <c r="C23" s="3"/>
      <c r="D23" s="3"/>
      <c r="E23" s="3"/>
    </row>
    <row r="24" spans="1:12">
      <c r="A24" s="2">
        <v>2020</v>
      </c>
      <c r="B24" s="3"/>
      <c r="C24" s="3"/>
      <c r="D24" s="3"/>
      <c r="E24" s="3"/>
    </row>
    <row r="25" spans="1:12">
      <c r="A25" s="2">
        <v>2021</v>
      </c>
      <c r="B25" s="3"/>
      <c r="C25" s="3"/>
      <c r="D25" s="3"/>
      <c r="E25" s="3"/>
    </row>
    <row r="26" spans="1:12">
      <c r="A26" s="2">
        <v>2022</v>
      </c>
      <c r="B26" s="3"/>
      <c r="C26" s="3"/>
      <c r="D26" s="3"/>
      <c r="E26" s="3"/>
    </row>
    <row r="27" spans="1:12">
      <c r="A27" s="2"/>
      <c r="B27" s="3">
        <f t="shared" ref="B27:C27" si="0">SUM(B2:B26)</f>
        <v>6.08</v>
      </c>
      <c r="C27" s="3">
        <f t="shared" si="0"/>
        <v>26</v>
      </c>
      <c r="D27" s="3">
        <f>SUM(D2:D26)</f>
        <v>0</v>
      </c>
      <c r="E27" s="3">
        <f>SUM(E2:E26)</f>
        <v>0</v>
      </c>
    </row>
    <row r="28" spans="1:12">
      <c r="D28" s="5">
        <f>B27+D27</f>
        <v>6.08</v>
      </c>
      <c r="E28" s="5">
        <f>C27+E27</f>
        <v>26</v>
      </c>
    </row>
    <row r="29" spans="1:12" ht="15">
      <c r="F29" s="377" t="s">
        <v>488</v>
      </c>
    </row>
    <row r="30" spans="1:12" ht="15.75">
      <c r="A30" s="13" t="s">
        <v>188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B33" sqref="B33:J36"/>
    </sheetView>
  </sheetViews>
  <sheetFormatPr defaultRowHeight="11.25"/>
  <cols>
    <col min="1" max="1" width="3.44140625" style="1" bestFit="1" customWidth="1"/>
    <col min="2" max="2" width="8.77734375" style="1" bestFit="1" customWidth="1"/>
    <col min="3" max="6" width="8" style="1" bestFit="1" customWidth="1"/>
    <col min="7" max="7" width="5.88671875" style="1" customWidth="1"/>
    <col min="8" max="8" width="11" style="1" bestFit="1" customWidth="1"/>
    <col min="9" max="9" width="5.6640625" style="1" customWidth="1"/>
    <col min="10" max="10" width="11" style="1" bestFit="1" customWidth="1"/>
    <col min="11" max="16384" width="8.88671875" style="1"/>
  </cols>
  <sheetData>
    <row r="1" spans="1:8" s="38" customFormat="1">
      <c r="A1" s="37"/>
      <c r="B1" s="39" t="s">
        <v>183</v>
      </c>
      <c r="C1" s="39" t="s">
        <v>16</v>
      </c>
      <c r="D1" s="39" t="s">
        <v>13</v>
      </c>
      <c r="E1" s="39" t="s">
        <v>184</v>
      </c>
      <c r="F1" s="39" t="s">
        <v>13</v>
      </c>
    </row>
    <row r="2" spans="1:8">
      <c r="A2" s="2">
        <v>1998</v>
      </c>
      <c r="B2" s="18">
        <v>434.2</v>
      </c>
      <c r="C2" s="18">
        <f>B2*30%</f>
        <v>130.26</v>
      </c>
      <c r="D2" s="31">
        <v>2606</v>
      </c>
      <c r="E2" s="18"/>
      <c r="F2" s="18"/>
      <c r="H2" s="409"/>
    </row>
    <row r="3" spans="1:8">
      <c r="A3" s="2">
        <v>1999</v>
      </c>
      <c r="B3" s="18">
        <v>434.2</v>
      </c>
      <c r="C3" s="18">
        <f t="shared" ref="C3:C26" si="0">B3*30%</f>
        <v>130.26</v>
      </c>
      <c r="D3" s="31">
        <v>2149</v>
      </c>
      <c r="E3" s="18"/>
      <c r="F3" s="18"/>
      <c r="H3" s="410"/>
    </row>
    <row r="4" spans="1:8">
      <c r="A4" s="2">
        <v>2000</v>
      </c>
      <c r="B4" s="18">
        <v>403.18</v>
      </c>
      <c r="C4" s="18">
        <f t="shared" si="0"/>
        <v>120.95399999999999</v>
      </c>
      <c r="D4" s="321">
        <v>1868</v>
      </c>
      <c r="E4" s="18"/>
      <c r="F4" s="18"/>
      <c r="H4" s="227"/>
    </row>
    <row r="5" spans="1:8">
      <c r="A5" s="2">
        <v>2001</v>
      </c>
      <c r="B5" s="18">
        <v>403.18</v>
      </c>
      <c r="C5" s="18">
        <f t="shared" si="0"/>
        <v>120.95399999999999</v>
      </c>
      <c r="D5" s="31">
        <v>1545</v>
      </c>
      <c r="E5" s="18"/>
      <c r="F5" s="18"/>
      <c r="H5" s="227"/>
    </row>
    <row r="6" spans="1:8">
      <c r="A6" s="2">
        <v>2002</v>
      </c>
      <c r="B6" s="18">
        <v>492.29</v>
      </c>
      <c r="C6" s="18">
        <f t="shared" si="0"/>
        <v>147.68700000000001</v>
      </c>
      <c r="D6" s="31">
        <v>1694</v>
      </c>
      <c r="E6" s="18"/>
      <c r="F6" s="18"/>
    </row>
    <row r="7" spans="1:8">
      <c r="A7" s="2">
        <v>2003</v>
      </c>
      <c r="B7" s="18"/>
      <c r="C7" s="18">
        <f t="shared" si="0"/>
        <v>0</v>
      </c>
      <c r="D7" s="31"/>
      <c r="E7" s="18"/>
      <c r="F7" s="18"/>
    </row>
    <row r="8" spans="1:8">
      <c r="A8" s="2">
        <v>2004</v>
      </c>
      <c r="B8" s="18"/>
      <c r="C8" s="18">
        <f t="shared" si="0"/>
        <v>0</v>
      </c>
      <c r="D8" s="31"/>
      <c r="E8" s="18"/>
      <c r="F8" s="18"/>
    </row>
    <row r="9" spans="1:8">
      <c r="A9" s="2">
        <v>2005</v>
      </c>
      <c r="B9" s="18"/>
      <c r="C9" s="18">
        <f t="shared" si="0"/>
        <v>0</v>
      </c>
      <c r="D9" s="31"/>
      <c r="E9" s="18"/>
      <c r="F9" s="18"/>
    </row>
    <row r="10" spans="1:8">
      <c r="A10" s="2">
        <v>2006</v>
      </c>
      <c r="B10" s="18"/>
      <c r="C10" s="18">
        <f t="shared" si="0"/>
        <v>0</v>
      </c>
      <c r="D10" s="31"/>
      <c r="E10" s="18"/>
      <c r="F10" s="18"/>
    </row>
    <row r="11" spans="1:8">
      <c r="A11" s="2">
        <v>2007</v>
      </c>
      <c r="B11" s="18">
        <v>3018.83</v>
      </c>
      <c r="C11" s="18">
        <f t="shared" si="0"/>
        <v>905.649</v>
      </c>
      <c r="D11" s="31">
        <v>3045</v>
      </c>
      <c r="E11" s="18"/>
      <c r="F11" s="18"/>
    </row>
    <row r="12" spans="1:8">
      <c r="A12" s="2">
        <v>2008</v>
      </c>
      <c r="B12" s="18">
        <v>3345.88</v>
      </c>
      <c r="C12" s="18">
        <f t="shared" si="0"/>
        <v>1003.764</v>
      </c>
      <c r="D12" s="31">
        <v>6032</v>
      </c>
      <c r="E12" s="18"/>
      <c r="F12" s="18"/>
    </row>
    <row r="13" spans="1:8">
      <c r="A13" s="2">
        <v>2009</v>
      </c>
      <c r="B13" s="18">
        <v>3345.88</v>
      </c>
      <c r="C13" s="18">
        <f t="shared" si="0"/>
        <v>1003.764</v>
      </c>
      <c r="D13" s="31">
        <v>5528</v>
      </c>
      <c r="E13" s="18"/>
      <c r="F13" s="18"/>
    </row>
    <row r="14" spans="1:8">
      <c r="A14" s="2">
        <v>2010</v>
      </c>
      <c r="B14" s="18">
        <v>3345.88</v>
      </c>
      <c r="C14" s="18">
        <f t="shared" si="0"/>
        <v>1003.764</v>
      </c>
      <c r="D14" s="31">
        <v>5063</v>
      </c>
      <c r="E14" s="18"/>
      <c r="F14" s="18"/>
    </row>
    <row r="15" spans="1:8">
      <c r="A15" s="2">
        <v>2011</v>
      </c>
      <c r="B15" s="18">
        <v>3345.88</v>
      </c>
      <c r="C15" s="18">
        <f t="shared" si="0"/>
        <v>1003.764</v>
      </c>
      <c r="D15" s="31">
        <v>4637</v>
      </c>
      <c r="E15" s="18"/>
      <c r="F15" s="18"/>
    </row>
    <row r="16" spans="1:8">
      <c r="A16" s="2">
        <v>2012</v>
      </c>
      <c r="B16" s="18">
        <v>4340.4399999999996</v>
      </c>
      <c r="C16" s="18">
        <f t="shared" si="0"/>
        <v>1302.1319999999998</v>
      </c>
      <c r="D16" s="31">
        <v>5534</v>
      </c>
      <c r="E16" s="18"/>
      <c r="F16" s="18"/>
    </row>
    <row r="17" spans="1:13">
      <c r="A17" s="2">
        <v>2013</v>
      </c>
      <c r="B17" s="3">
        <v>3746.47</v>
      </c>
      <c r="C17" s="18">
        <f t="shared" si="0"/>
        <v>1123.9409999999998</v>
      </c>
      <c r="D17" s="31">
        <v>4421</v>
      </c>
      <c r="E17" s="3"/>
      <c r="F17" s="3"/>
    </row>
    <row r="18" spans="1:13">
      <c r="A18" s="2">
        <v>2014</v>
      </c>
      <c r="B18" s="3">
        <v>4516.54</v>
      </c>
      <c r="C18" s="18">
        <f t="shared" si="0"/>
        <v>1354.962</v>
      </c>
      <c r="D18" s="31">
        <v>4956</v>
      </c>
      <c r="E18" s="3"/>
      <c r="F18" s="3"/>
    </row>
    <row r="19" spans="1:13">
      <c r="A19" s="2">
        <v>2015</v>
      </c>
      <c r="B19" s="3">
        <v>4516.54</v>
      </c>
      <c r="C19" s="18">
        <f t="shared" si="0"/>
        <v>1354.962</v>
      </c>
      <c r="D19" s="31">
        <v>4609</v>
      </c>
      <c r="E19" s="3"/>
      <c r="F19" s="3"/>
    </row>
    <row r="20" spans="1:13">
      <c r="A20" s="2">
        <v>2016</v>
      </c>
      <c r="B20" s="3">
        <v>4516.54</v>
      </c>
      <c r="C20" s="18">
        <f t="shared" si="0"/>
        <v>1354.962</v>
      </c>
      <c r="D20" s="31">
        <v>4293</v>
      </c>
      <c r="E20" s="3"/>
      <c r="F20" s="3"/>
    </row>
    <row r="21" spans="1:13">
      <c r="A21" s="2">
        <v>2017</v>
      </c>
      <c r="B21" s="3">
        <v>4516.54</v>
      </c>
      <c r="C21" s="18">
        <f t="shared" si="0"/>
        <v>1354.962</v>
      </c>
      <c r="D21" s="31">
        <v>4003</v>
      </c>
      <c r="E21" s="3"/>
      <c r="F21" s="3"/>
    </row>
    <row r="22" spans="1:13">
      <c r="A22" s="2">
        <v>2018</v>
      </c>
      <c r="B22" s="3">
        <v>4516.54</v>
      </c>
      <c r="C22" s="18">
        <f t="shared" si="0"/>
        <v>1354.962</v>
      </c>
      <c r="D22" s="31">
        <v>3733</v>
      </c>
      <c r="E22" s="3"/>
      <c r="F22" s="3"/>
    </row>
    <row r="23" spans="1:13">
      <c r="A23" s="2">
        <v>2019</v>
      </c>
      <c r="B23" s="3">
        <v>4886.8999999999996</v>
      </c>
      <c r="C23" s="18">
        <f t="shared" si="0"/>
        <v>1466.07</v>
      </c>
      <c r="D23" s="31">
        <v>3766</v>
      </c>
      <c r="E23" s="3"/>
      <c r="F23" s="3"/>
    </row>
    <row r="24" spans="1:13">
      <c r="A24" s="2">
        <v>2020</v>
      </c>
      <c r="B24" s="3">
        <v>4886.8999999999996</v>
      </c>
      <c r="C24" s="18">
        <f t="shared" si="0"/>
        <v>1466.07</v>
      </c>
      <c r="D24" s="31">
        <v>3512</v>
      </c>
      <c r="E24" s="3"/>
      <c r="F24" s="3"/>
    </row>
    <row r="25" spans="1:13">
      <c r="A25" s="2">
        <v>2021</v>
      </c>
      <c r="B25" s="3">
        <v>2129.48</v>
      </c>
      <c r="C25" s="3">
        <f t="shared" si="0"/>
        <v>638.84399999999994</v>
      </c>
      <c r="D25" s="31">
        <v>1427</v>
      </c>
      <c r="E25" s="3"/>
      <c r="F25" s="3"/>
    </row>
    <row r="26" spans="1:13">
      <c r="A26" s="2">
        <v>2022</v>
      </c>
      <c r="B26" s="3">
        <v>2129.48</v>
      </c>
      <c r="C26" s="3">
        <f t="shared" si="0"/>
        <v>638.84399999999994</v>
      </c>
      <c r="D26" s="31">
        <v>1323</v>
      </c>
      <c r="E26" s="3"/>
      <c r="F26" s="32"/>
    </row>
    <row r="27" spans="1:13">
      <c r="A27" s="2">
        <v>2023</v>
      </c>
      <c r="B27" s="3"/>
      <c r="C27" s="3"/>
      <c r="D27" s="32"/>
      <c r="E27" s="3"/>
      <c r="F27" s="32"/>
    </row>
    <row r="28" spans="1:13">
      <c r="A28" s="2"/>
      <c r="B28" s="3">
        <f t="shared" ref="B28:D28" si="1">SUM(B2:B27)</f>
        <v>63271.770000000011</v>
      </c>
      <c r="C28" s="3">
        <f t="shared" si="1"/>
        <v>18981.530999999999</v>
      </c>
      <c r="D28" s="32">
        <f t="shared" si="1"/>
        <v>75744</v>
      </c>
      <c r="E28" s="3">
        <f>SUM(E2:E27)</f>
        <v>0</v>
      </c>
      <c r="F28" s="32">
        <f>SUM(F2:F27)</f>
        <v>0</v>
      </c>
    </row>
    <row r="29" spans="1:13">
      <c r="D29" s="75"/>
      <c r="E29" s="5">
        <f>C28+E28</f>
        <v>18981.530999999999</v>
      </c>
      <c r="F29" s="75">
        <f>D28+F28</f>
        <v>75744</v>
      </c>
      <c r="H29" s="82">
        <v>45353</v>
      </c>
      <c r="J29" s="83" t="s">
        <v>488</v>
      </c>
    </row>
    <row r="31" spans="1:13" ht="15.75">
      <c r="A31" s="13" t="s">
        <v>191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spans="2:10" s="73" customFormat="1">
      <c r="C33" s="262" t="s">
        <v>369</v>
      </c>
      <c r="D33" s="264"/>
      <c r="E33" s="262" t="s">
        <v>303</v>
      </c>
      <c r="F33" s="262"/>
      <c r="G33" s="262"/>
      <c r="H33" s="262" t="s">
        <v>301</v>
      </c>
      <c r="I33" s="262"/>
      <c r="J33" s="262" t="s">
        <v>14</v>
      </c>
    </row>
    <row r="34" spans="2:10">
      <c r="B34" s="265" t="s">
        <v>325</v>
      </c>
      <c r="C34" s="28">
        <v>1000000</v>
      </c>
      <c r="E34" s="28">
        <v>15000</v>
      </c>
      <c r="G34" s="28"/>
      <c r="H34" s="28">
        <f>C34*E34</f>
        <v>15000000000</v>
      </c>
      <c r="J34" s="28">
        <f>D28*H34/C28</f>
        <v>59856077994.973114</v>
      </c>
    </row>
    <row r="35" spans="2:10">
      <c r="B35" s="265" t="s">
        <v>302</v>
      </c>
      <c r="C35" s="28">
        <v>1000000</v>
      </c>
      <c r="D35" s="28"/>
      <c r="E35" s="28">
        <v>6666</v>
      </c>
      <c r="H35" s="28">
        <f>C35*E35</f>
        <v>6666000000</v>
      </c>
      <c r="J35" s="28">
        <v>30100000000</v>
      </c>
    </row>
    <row r="36" spans="2:10">
      <c r="H36" s="266">
        <f>SUM(H34:H35)</f>
        <v>21666000000</v>
      </c>
      <c r="I36" s="72"/>
      <c r="J36" s="266">
        <f>SUM(J34:J35)</f>
        <v>89956077994.973114</v>
      </c>
    </row>
    <row r="38" spans="2:10" ht="15.75">
      <c r="C38" s="14" t="s">
        <v>326</v>
      </c>
    </row>
    <row r="39" spans="2:10">
      <c r="C39" s="83" t="s">
        <v>327</v>
      </c>
      <c r="E39" s="1" t="s">
        <v>328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28" sqref="G28:H28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18"/>
      <c r="D14" s="18"/>
      <c r="E14" s="18"/>
    </row>
    <row r="15" spans="1:7">
      <c r="A15" s="2">
        <v>2011</v>
      </c>
      <c r="B15" s="18"/>
      <c r="C15" s="18"/>
      <c r="D15" s="18"/>
      <c r="E15" s="18"/>
    </row>
    <row r="16" spans="1:7">
      <c r="A16" s="2">
        <v>2012</v>
      </c>
      <c r="B16" s="18"/>
      <c r="C16" s="18"/>
      <c r="D16" s="18"/>
      <c r="E16" s="18"/>
    </row>
    <row r="17" spans="1:12">
      <c r="A17" s="2">
        <v>2013</v>
      </c>
      <c r="B17" s="3">
        <v>0.36</v>
      </c>
      <c r="C17" s="32">
        <v>1</v>
      </c>
      <c r="D17" s="3">
        <v>0.05</v>
      </c>
      <c r="E17" s="32">
        <v>1</v>
      </c>
    </row>
    <row r="18" spans="1:12">
      <c r="A18" s="2">
        <v>2014</v>
      </c>
      <c r="B18" s="3"/>
      <c r="C18" s="32"/>
      <c r="D18" s="3"/>
      <c r="E18" s="32"/>
    </row>
    <row r="19" spans="1:12">
      <c r="A19" s="2">
        <v>2015</v>
      </c>
      <c r="B19" s="3"/>
      <c r="C19" s="32"/>
      <c r="D19" s="3"/>
      <c r="E19" s="32"/>
    </row>
    <row r="20" spans="1:12">
      <c r="A20" s="2">
        <v>2016</v>
      </c>
      <c r="B20" s="3"/>
      <c r="C20" s="32"/>
      <c r="D20" s="3"/>
      <c r="E20" s="32"/>
    </row>
    <row r="21" spans="1:12">
      <c r="A21" s="2">
        <v>2017</v>
      </c>
      <c r="B21" s="3"/>
      <c r="C21" s="32"/>
      <c r="D21" s="3"/>
      <c r="E21" s="32"/>
    </row>
    <row r="22" spans="1:12">
      <c r="A22" s="2">
        <v>2018</v>
      </c>
      <c r="B22" s="3"/>
      <c r="C22" s="32"/>
      <c r="D22" s="3"/>
      <c r="E22" s="32"/>
    </row>
    <row r="23" spans="1:12">
      <c r="A23" s="2">
        <v>2019</v>
      </c>
      <c r="B23" s="3">
        <v>420</v>
      </c>
      <c r="C23" s="32">
        <v>1085</v>
      </c>
      <c r="D23" s="3"/>
      <c r="E23" s="32"/>
    </row>
    <row r="24" spans="1:12">
      <c r="A24" s="2">
        <v>2020</v>
      </c>
      <c r="B24" s="3"/>
      <c r="C24" s="32"/>
      <c r="D24" s="3"/>
      <c r="E24" s="32"/>
    </row>
    <row r="25" spans="1:12">
      <c r="A25" s="2">
        <v>2021</v>
      </c>
      <c r="B25" s="3"/>
      <c r="C25" s="3"/>
      <c r="D25" s="3"/>
      <c r="E25" s="32"/>
    </row>
    <row r="26" spans="1:12">
      <c r="A26" s="2">
        <v>2022</v>
      </c>
      <c r="B26" s="3"/>
      <c r="C26" s="3"/>
      <c r="D26" s="3"/>
      <c r="E26" s="32"/>
    </row>
    <row r="27" spans="1:12">
      <c r="A27" s="2"/>
      <c r="B27" s="3">
        <f t="shared" ref="B27:C27" si="0">SUM(B2:B26)</f>
        <v>420.36</v>
      </c>
      <c r="C27" s="32">
        <f t="shared" si="0"/>
        <v>1086</v>
      </c>
      <c r="D27" s="3">
        <f>SUM(D2:D26)</f>
        <v>0.05</v>
      </c>
      <c r="E27" s="32">
        <f>SUM(E2:E26)</f>
        <v>1</v>
      </c>
    </row>
    <row r="28" spans="1:12">
      <c r="D28" s="5">
        <f>B27+D27</f>
        <v>420.41</v>
      </c>
      <c r="E28" s="75">
        <f>C27+E27</f>
        <v>1087</v>
      </c>
      <c r="G28" s="82">
        <v>45353</v>
      </c>
      <c r="H28" s="83" t="s">
        <v>488</v>
      </c>
      <c r="I28" s="83"/>
    </row>
    <row r="30" spans="1:12" ht="15.75">
      <c r="A30" s="13" t="s">
        <v>192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28" sqref="G28:H28"/>
    </sheetView>
  </sheetViews>
  <sheetFormatPr defaultRowHeight="11.25"/>
  <cols>
    <col min="1" max="1" width="3.44140625" style="1" bestFit="1" customWidth="1"/>
    <col min="2" max="3" width="11.33203125" style="1" customWidth="1"/>
    <col min="4" max="6" width="8.88671875" style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183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18"/>
      <c r="C11" s="18"/>
      <c r="D11" s="18"/>
      <c r="E11" s="18"/>
    </row>
    <row r="12" spans="1:7">
      <c r="A12" s="2">
        <v>2008</v>
      </c>
      <c r="B12" s="18"/>
      <c r="C12" s="18"/>
      <c r="D12" s="18"/>
      <c r="E12" s="18"/>
    </row>
    <row r="13" spans="1:7">
      <c r="A13" s="2">
        <v>2009</v>
      </c>
      <c r="B13" s="18"/>
      <c r="C13" s="18"/>
      <c r="D13" s="18"/>
      <c r="E13" s="18"/>
    </row>
    <row r="14" spans="1:7">
      <c r="A14" s="2">
        <v>2010</v>
      </c>
      <c r="B14" s="18"/>
      <c r="C14" s="18"/>
      <c r="D14" s="18"/>
      <c r="E14" s="18"/>
    </row>
    <row r="15" spans="1:7">
      <c r="A15" s="2">
        <v>2011</v>
      </c>
      <c r="B15" s="18"/>
      <c r="C15" s="18"/>
      <c r="D15" s="18"/>
      <c r="E15" s="18"/>
    </row>
    <row r="16" spans="1:7">
      <c r="A16" s="2">
        <v>2012</v>
      </c>
      <c r="B16" s="18"/>
      <c r="C16" s="18"/>
      <c r="D16" s="18"/>
      <c r="E16" s="18"/>
    </row>
    <row r="17" spans="1:12">
      <c r="A17" s="2">
        <v>2013</v>
      </c>
      <c r="B17" s="3"/>
      <c r="C17" s="3"/>
      <c r="D17" s="3"/>
      <c r="E17" s="3"/>
    </row>
    <row r="18" spans="1:12">
      <c r="A18" s="2">
        <v>2014</v>
      </c>
      <c r="B18" s="3">
        <v>0.7</v>
      </c>
      <c r="C18" s="3">
        <v>3</v>
      </c>
      <c r="D18" s="3">
        <v>0.06</v>
      </c>
      <c r="E18" s="3">
        <v>1</v>
      </c>
    </row>
    <row r="19" spans="1:12">
      <c r="A19" s="2">
        <v>2015</v>
      </c>
      <c r="B19" s="3">
        <v>0.1</v>
      </c>
      <c r="C19" s="3">
        <v>1</v>
      </c>
      <c r="D19" s="3">
        <v>0.03</v>
      </c>
      <c r="E19" s="3">
        <v>1</v>
      </c>
    </row>
    <row r="20" spans="1:12">
      <c r="A20" s="2">
        <v>2016</v>
      </c>
      <c r="B20" s="3">
        <v>0.01</v>
      </c>
      <c r="C20" s="3">
        <v>1</v>
      </c>
      <c r="D20" s="3">
        <v>0.06</v>
      </c>
      <c r="E20" s="3">
        <v>1</v>
      </c>
    </row>
    <row r="21" spans="1:12">
      <c r="A21" s="2">
        <v>2017</v>
      </c>
      <c r="B21" s="3"/>
      <c r="C21" s="3"/>
      <c r="D21" s="3"/>
      <c r="E21" s="3"/>
    </row>
    <row r="22" spans="1:12">
      <c r="A22" s="2">
        <v>2018</v>
      </c>
      <c r="B22" s="3"/>
      <c r="C22" s="3"/>
      <c r="D22" s="3"/>
      <c r="E22" s="3"/>
    </row>
    <row r="23" spans="1:12">
      <c r="A23" s="2">
        <v>2019</v>
      </c>
      <c r="B23" s="3">
        <v>0.2</v>
      </c>
      <c r="C23" s="3">
        <v>1</v>
      </c>
      <c r="D23" s="3"/>
      <c r="E23" s="3"/>
    </row>
    <row r="24" spans="1:12">
      <c r="A24" s="2">
        <v>2020</v>
      </c>
      <c r="B24" s="3">
        <v>0.13</v>
      </c>
      <c r="C24" s="3">
        <v>1</v>
      </c>
      <c r="D24" s="3"/>
      <c r="E24" s="3"/>
    </row>
    <row r="25" spans="1:12">
      <c r="A25" s="2">
        <v>2021</v>
      </c>
      <c r="B25" s="3"/>
      <c r="C25" s="3"/>
      <c r="D25" s="3"/>
      <c r="E25" s="3"/>
    </row>
    <row r="26" spans="1:12">
      <c r="A26" s="2">
        <v>2022</v>
      </c>
      <c r="B26" s="3"/>
      <c r="C26" s="3"/>
      <c r="D26" s="3"/>
      <c r="E26" s="3"/>
    </row>
    <row r="27" spans="1:12">
      <c r="A27" s="2"/>
      <c r="B27" s="3">
        <f t="shared" ref="B27:C27" si="0">SUM(B2:B26)</f>
        <v>1.1400000000000001</v>
      </c>
      <c r="C27" s="3">
        <f t="shared" si="0"/>
        <v>7</v>
      </c>
      <c r="D27" s="3">
        <f>SUM(D2:D26)</f>
        <v>0.15</v>
      </c>
      <c r="E27" s="3">
        <f>SUM(E2:E26)</f>
        <v>3</v>
      </c>
    </row>
    <row r="28" spans="1:12">
      <c r="D28" s="5">
        <f>B27+D27</f>
        <v>1.29</v>
      </c>
      <c r="E28" s="5">
        <f>C27+E27</f>
        <v>10</v>
      </c>
      <c r="G28" s="82">
        <v>45353</v>
      </c>
      <c r="H28" s="83" t="s">
        <v>488</v>
      </c>
    </row>
    <row r="30" spans="1:12" ht="15.75">
      <c r="A30" s="13" t="s">
        <v>193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27" sqref="E27:F27"/>
    </sheetView>
  </sheetViews>
  <sheetFormatPr defaultRowHeight="11.25"/>
  <cols>
    <col min="1" max="1" width="3.44140625" style="1" bestFit="1" customWidth="1"/>
    <col min="2" max="2" width="8.109375" style="1" customWidth="1"/>
    <col min="3" max="3" width="11.109375" style="1" customWidth="1"/>
    <col min="4" max="4" width="19.21875" style="1" customWidth="1"/>
    <col min="5" max="5" width="12.44140625" style="1" bestFit="1" customWidth="1"/>
    <col min="6" max="16384" width="8.88671875" style="1"/>
  </cols>
  <sheetData>
    <row r="1" spans="1:5" s="38" customFormat="1">
      <c r="A1" s="37"/>
      <c r="B1" s="39" t="s">
        <v>230</v>
      </c>
      <c r="C1" s="39" t="s">
        <v>13</v>
      </c>
    </row>
    <row r="2" spans="1:5">
      <c r="A2" s="2">
        <v>1998</v>
      </c>
      <c r="B2" s="18"/>
      <c r="C2" s="18"/>
      <c r="E2" s="28"/>
    </row>
    <row r="3" spans="1:5">
      <c r="A3" s="2">
        <v>1999</v>
      </c>
      <c r="B3" s="18"/>
      <c r="C3" s="18"/>
      <c r="E3" s="23"/>
    </row>
    <row r="4" spans="1:5">
      <c r="A4" s="2">
        <v>2000</v>
      </c>
      <c r="B4" s="18"/>
      <c r="C4" s="18"/>
    </row>
    <row r="5" spans="1:5">
      <c r="A5" s="2">
        <v>2001</v>
      </c>
      <c r="B5" s="18"/>
      <c r="C5" s="18"/>
    </row>
    <row r="6" spans="1:5">
      <c r="A6" s="2">
        <v>2002</v>
      </c>
      <c r="B6" s="18"/>
      <c r="C6" s="18"/>
    </row>
    <row r="7" spans="1:5">
      <c r="A7" s="2">
        <v>2003</v>
      </c>
      <c r="B7" s="18"/>
      <c r="C7" s="18"/>
    </row>
    <row r="8" spans="1:5">
      <c r="A8" s="2">
        <v>2004</v>
      </c>
      <c r="B8" s="18"/>
      <c r="C8" s="18"/>
    </row>
    <row r="9" spans="1:5">
      <c r="A9" s="2">
        <v>2005</v>
      </c>
      <c r="B9" s="18"/>
      <c r="C9" s="18"/>
      <c r="D9" s="82"/>
    </row>
    <row r="10" spans="1:5">
      <c r="A10" s="2">
        <v>2006</v>
      </c>
      <c r="B10" s="18"/>
      <c r="C10" s="18"/>
    </row>
    <row r="11" spans="1:5">
      <c r="A11" s="2">
        <v>2007</v>
      </c>
      <c r="B11" s="3"/>
      <c r="C11" s="3"/>
      <c r="D11" s="83"/>
    </row>
    <row r="12" spans="1:5">
      <c r="A12" s="2">
        <v>2008</v>
      </c>
      <c r="B12" s="3"/>
      <c r="C12" s="3"/>
    </row>
    <row r="13" spans="1:5">
      <c r="A13" s="2">
        <v>2009</v>
      </c>
      <c r="B13" s="3"/>
      <c r="C13" s="3"/>
    </row>
    <row r="14" spans="1:5">
      <c r="A14" s="2">
        <v>2010</v>
      </c>
      <c r="B14" s="3"/>
      <c r="C14" s="3"/>
    </row>
    <row r="15" spans="1:5">
      <c r="A15" s="2">
        <v>2011</v>
      </c>
      <c r="B15" s="3"/>
      <c r="C15" s="3"/>
    </row>
    <row r="16" spans="1:5">
      <c r="A16" s="2">
        <v>2012</v>
      </c>
      <c r="B16" s="3"/>
      <c r="C16" s="3"/>
    </row>
    <row r="17" spans="1:6">
      <c r="A17" s="2">
        <v>2013</v>
      </c>
      <c r="B17" s="3">
        <v>29.17</v>
      </c>
      <c r="C17" s="3">
        <v>127</v>
      </c>
      <c r="D17" s="1" t="s">
        <v>232</v>
      </c>
    </row>
    <row r="18" spans="1:6">
      <c r="A18" s="2">
        <v>2014</v>
      </c>
      <c r="B18" s="3"/>
      <c r="C18" s="3"/>
    </row>
    <row r="19" spans="1:6">
      <c r="A19" s="2">
        <v>2015</v>
      </c>
      <c r="B19" s="3"/>
      <c r="C19" s="3"/>
    </row>
    <row r="20" spans="1:6">
      <c r="A20" s="2">
        <v>2016</v>
      </c>
      <c r="B20" s="3"/>
      <c r="C20" s="3"/>
    </row>
    <row r="21" spans="1:6">
      <c r="A21" s="2">
        <v>2017</v>
      </c>
      <c r="B21" s="3"/>
      <c r="C21" s="3"/>
    </row>
    <row r="22" spans="1:6">
      <c r="A22" s="2">
        <v>2018</v>
      </c>
      <c r="B22" s="3"/>
      <c r="C22" s="3"/>
    </row>
    <row r="23" spans="1:6">
      <c r="A23" s="2">
        <v>2019</v>
      </c>
      <c r="B23" s="3"/>
      <c r="C23" s="3"/>
    </row>
    <row r="24" spans="1:6">
      <c r="A24" s="2">
        <v>2020</v>
      </c>
      <c r="B24" s="3"/>
      <c r="C24" s="3"/>
    </row>
    <row r="25" spans="1:6">
      <c r="A25" s="2">
        <v>2021</v>
      </c>
      <c r="B25" s="3"/>
      <c r="C25" s="3"/>
    </row>
    <row r="26" spans="1:6">
      <c r="A26" s="2">
        <v>2022</v>
      </c>
      <c r="B26" s="3"/>
      <c r="C26" s="3"/>
    </row>
    <row r="27" spans="1:6">
      <c r="A27" s="2"/>
      <c r="B27" s="3"/>
      <c r="C27" s="3">
        <f>SUM(C2:C26)</f>
        <v>127</v>
      </c>
      <c r="E27" s="82">
        <v>45353</v>
      </c>
      <c r="F27" s="83" t="s">
        <v>488</v>
      </c>
    </row>
    <row r="31" spans="1:6" ht="12.75">
      <c r="A31" s="195" t="s">
        <v>231</v>
      </c>
      <c r="B31" s="195"/>
      <c r="C31" s="195"/>
      <c r="D31" s="195"/>
      <c r="E31" s="195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F29" sqref="F29:G29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19.21875" style="1" customWidth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230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>
        <v>6.72</v>
      </c>
      <c r="C5" s="18">
        <v>86</v>
      </c>
      <c r="D5" s="18"/>
      <c r="E5" s="18"/>
    </row>
    <row r="6" spans="1:7">
      <c r="A6" s="2">
        <v>2002</v>
      </c>
      <c r="B6" s="18">
        <v>8.1999999999999993</v>
      </c>
      <c r="C6" s="18">
        <v>93</v>
      </c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  <c r="F9" s="82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3"/>
      <c r="C11" s="3"/>
      <c r="D11" s="3"/>
      <c r="E11" s="3"/>
      <c r="F11" s="83"/>
    </row>
    <row r="12" spans="1:7">
      <c r="A12" s="2">
        <v>2008</v>
      </c>
      <c r="B12" s="3"/>
      <c r="C12" s="3"/>
      <c r="D12" s="3"/>
      <c r="E12" s="3"/>
    </row>
    <row r="13" spans="1:7">
      <c r="A13" s="2">
        <v>2009</v>
      </c>
      <c r="B13" s="3"/>
      <c r="C13" s="3"/>
      <c r="D13" s="3"/>
      <c r="E13" s="3"/>
    </row>
    <row r="14" spans="1:7">
      <c r="A14" s="2">
        <v>2010</v>
      </c>
      <c r="B14" s="3"/>
      <c r="C14" s="3"/>
      <c r="D14" s="3"/>
      <c r="E14" s="3"/>
    </row>
    <row r="15" spans="1:7">
      <c r="A15" s="2">
        <v>2011</v>
      </c>
      <c r="B15" s="3"/>
      <c r="C15" s="3"/>
      <c r="D15" s="3"/>
      <c r="E15" s="3"/>
    </row>
    <row r="16" spans="1:7">
      <c r="A16" s="2">
        <v>2012</v>
      </c>
      <c r="B16" s="3"/>
      <c r="C16" s="3"/>
      <c r="D16" s="3"/>
      <c r="E16" s="3"/>
    </row>
    <row r="17" spans="1:7">
      <c r="A17" s="2">
        <v>2013</v>
      </c>
      <c r="B17" s="3">
        <v>57.94</v>
      </c>
      <c r="C17" s="3">
        <v>228</v>
      </c>
      <c r="D17" s="3"/>
      <c r="E17" s="3"/>
    </row>
    <row r="18" spans="1:7">
      <c r="A18" s="2">
        <v>2014</v>
      </c>
      <c r="B18" s="3"/>
      <c r="C18" s="3"/>
      <c r="D18" s="3"/>
      <c r="E18" s="3"/>
    </row>
    <row r="19" spans="1:7">
      <c r="A19" s="2">
        <v>2015</v>
      </c>
      <c r="B19" s="3"/>
      <c r="C19" s="3"/>
      <c r="D19" s="3"/>
      <c r="E19" s="3"/>
    </row>
    <row r="20" spans="1:7">
      <c r="A20" s="2">
        <v>2016</v>
      </c>
      <c r="B20" s="3"/>
      <c r="C20" s="3"/>
      <c r="D20" s="3"/>
      <c r="E20" s="3"/>
    </row>
    <row r="21" spans="1:7">
      <c r="A21" s="2">
        <v>2017</v>
      </c>
      <c r="B21" s="3"/>
      <c r="C21" s="3"/>
      <c r="D21" s="3"/>
      <c r="E21" s="3"/>
    </row>
    <row r="22" spans="1:7">
      <c r="A22" s="2">
        <v>2018</v>
      </c>
      <c r="B22" s="3"/>
      <c r="C22" s="3"/>
      <c r="D22" s="3"/>
      <c r="E22" s="3"/>
    </row>
    <row r="23" spans="1:7">
      <c r="A23" s="2">
        <v>2019</v>
      </c>
      <c r="B23" s="3"/>
      <c r="C23" s="3"/>
      <c r="D23" s="3"/>
      <c r="E23" s="3"/>
    </row>
    <row r="24" spans="1:7">
      <c r="A24" s="2">
        <v>2020</v>
      </c>
      <c r="B24" s="3"/>
      <c r="C24" s="3"/>
      <c r="D24" s="3"/>
      <c r="E24" s="3"/>
    </row>
    <row r="25" spans="1:7">
      <c r="A25" s="2">
        <v>2021</v>
      </c>
      <c r="B25" s="3"/>
      <c r="C25" s="3"/>
      <c r="D25" s="3"/>
      <c r="E25" s="3"/>
    </row>
    <row r="26" spans="1:7">
      <c r="A26" s="2">
        <v>2022</v>
      </c>
      <c r="B26" s="3"/>
      <c r="C26" s="3"/>
      <c r="D26" s="3"/>
      <c r="E26" s="3"/>
    </row>
    <row r="27" spans="1:7">
      <c r="A27" s="2"/>
      <c r="B27" s="3">
        <f t="shared" ref="B27:D27" si="0">SUM(B2:B26)</f>
        <v>72.86</v>
      </c>
      <c r="C27" s="3">
        <f t="shared" si="0"/>
        <v>407</v>
      </c>
      <c r="D27" s="3">
        <f t="shared" si="0"/>
        <v>0</v>
      </c>
      <c r="E27" s="3">
        <f>SUM(E2:E26)</f>
        <v>0</v>
      </c>
    </row>
    <row r="28" spans="1:7">
      <c r="D28" s="5">
        <f>B27+D27</f>
        <v>72.86</v>
      </c>
      <c r="E28" s="5">
        <f>C27+E27</f>
        <v>407</v>
      </c>
    </row>
    <row r="29" spans="1:7">
      <c r="F29" s="82">
        <v>45353</v>
      </c>
      <c r="G29" s="83" t="s">
        <v>488</v>
      </c>
    </row>
    <row r="31" spans="1:7" ht="12.75">
      <c r="A31" s="195" t="s">
        <v>281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F29" sqref="F29:G29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19.21875" style="1" customWidth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230</v>
      </c>
      <c r="C1" s="39" t="s">
        <v>13</v>
      </c>
      <c r="D1" s="39" t="s">
        <v>184</v>
      </c>
      <c r="E1" s="39" t="s">
        <v>13</v>
      </c>
    </row>
    <row r="2" spans="1:7">
      <c r="A2" s="2">
        <v>1998</v>
      </c>
      <c r="B2" s="18"/>
      <c r="C2" s="18"/>
      <c r="D2" s="18"/>
      <c r="E2" s="18"/>
      <c r="G2" s="28"/>
    </row>
    <row r="3" spans="1:7">
      <c r="A3" s="2">
        <v>1999</v>
      </c>
      <c r="B3" s="18"/>
      <c r="C3" s="18"/>
      <c r="D3" s="18"/>
      <c r="E3" s="18"/>
      <c r="G3" s="23"/>
    </row>
    <row r="4" spans="1:7">
      <c r="A4" s="2">
        <v>2000</v>
      </c>
      <c r="B4" s="18"/>
      <c r="C4" s="18"/>
      <c r="D4" s="18"/>
      <c r="E4" s="18"/>
    </row>
    <row r="5" spans="1:7">
      <c r="A5" s="2">
        <v>2001</v>
      </c>
      <c r="B5" s="18"/>
      <c r="C5" s="18"/>
      <c r="D5" s="18"/>
      <c r="E5" s="18"/>
    </row>
    <row r="6" spans="1:7">
      <c r="A6" s="2">
        <v>2002</v>
      </c>
      <c r="B6" s="18"/>
      <c r="C6" s="18"/>
      <c r="D6" s="18"/>
      <c r="E6" s="18"/>
    </row>
    <row r="7" spans="1:7">
      <c r="A7" s="2">
        <v>2003</v>
      </c>
      <c r="B7" s="18"/>
      <c r="C7" s="18"/>
      <c r="D7" s="18"/>
      <c r="E7" s="18"/>
    </row>
    <row r="8" spans="1:7">
      <c r="A8" s="2">
        <v>2004</v>
      </c>
      <c r="B8" s="18"/>
      <c r="C8" s="18"/>
      <c r="D8" s="18"/>
      <c r="E8" s="18"/>
    </row>
    <row r="9" spans="1:7">
      <c r="A9" s="2">
        <v>2005</v>
      </c>
      <c r="B9" s="18"/>
      <c r="C9" s="18"/>
      <c r="D9" s="18"/>
      <c r="E9" s="18"/>
      <c r="F9" s="82"/>
    </row>
    <row r="10" spans="1:7">
      <c r="A10" s="2">
        <v>2006</v>
      </c>
      <c r="B10" s="18"/>
      <c r="C10" s="18"/>
      <c r="D10" s="18"/>
      <c r="E10" s="18"/>
    </row>
    <row r="11" spans="1:7">
      <c r="A11" s="2">
        <v>2007</v>
      </c>
      <c r="B11" s="3"/>
      <c r="C11" s="3"/>
      <c r="D11" s="3"/>
      <c r="E11" s="3"/>
      <c r="F11" s="83"/>
    </row>
    <row r="12" spans="1:7">
      <c r="A12" s="2">
        <v>2008</v>
      </c>
      <c r="B12" s="3"/>
      <c r="C12" s="3"/>
      <c r="D12" s="3"/>
      <c r="E12" s="3"/>
    </row>
    <row r="13" spans="1:7">
      <c r="A13" s="2">
        <v>2009</v>
      </c>
      <c r="B13" s="3"/>
      <c r="C13" s="3"/>
      <c r="D13" s="3"/>
      <c r="E13" s="3"/>
    </row>
    <row r="14" spans="1:7">
      <c r="A14" s="2">
        <v>2010</v>
      </c>
      <c r="B14" s="3"/>
      <c r="C14" s="3"/>
      <c r="D14" s="3"/>
      <c r="E14" s="3"/>
    </row>
    <row r="15" spans="1:7">
      <c r="A15" s="2">
        <v>2011</v>
      </c>
      <c r="B15" s="3"/>
      <c r="C15" s="3"/>
      <c r="D15" s="3"/>
      <c r="E15" s="3"/>
    </row>
    <row r="16" spans="1:7">
      <c r="A16" s="2">
        <v>2012</v>
      </c>
      <c r="B16" s="3"/>
      <c r="C16" s="3"/>
      <c r="D16" s="3"/>
      <c r="E16" s="3"/>
    </row>
    <row r="17" spans="1:7">
      <c r="A17" s="2">
        <v>2013</v>
      </c>
      <c r="B17" s="3">
        <v>378.51</v>
      </c>
      <c r="C17" s="3">
        <v>1480</v>
      </c>
      <c r="D17" s="3"/>
      <c r="E17" s="3"/>
    </row>
    <row r="18" spans="1:7">
      <c r="A18" s="2">
        <v>2014</v>
      </c>
      <c r="B18" s="3"/>
      <c r="C18" s="3"/>
      <c r="D18" s="3"/>
      <c r="E18" s="3"/>
    </row>
    <row r="19" spans="1:7">
      <c r="A19" s="2">
        <v>2015</v>
      </c>
      <c r="B19" s="3"/>
      <c r="C19" s="3"/>
      <c r="D19" s="3"/>
      <c r="E19" s="3"/>
    </row>
    <row r="20" spans="1:7">
      <c r="A20" s="2">
        <v>2016</v>
      </c>
      <c r="B20" s="3"/>
      <c r="C20" s="3"/>
      <c r="D20" s="3"/>
      <c r="E20" s="3"/>
    </row>
    <row r="21" spans="1:7">
      <c r="A21" s="2">
        <v>2017</v>
      </c>
      <c r="B21" s="3"/>
      <c r="C21" s="3"/>
      <c r="D21" s="3"/>
      <c r="E21" s="3"/>
    </row>
    <row r="22" spans="1:7">
      <c r="A22" s="2">
        <v>2018</v>
      </c>
      <c r="B22" s="3"/>
      <c r="C22" s="3"/>
      <c r="D22" s="3"/>
      <c r="E22" s="3"/>
    </row>
    <row r="23" spans="1:7">
      <c r="A23" s="2">
        <v>2019</v>
      </c>
      <c r="B23" s="3"/>
      <c r="C23" s="3"/>
      <c r="D23" s="3"/>
      <c r="E23" s="3"/>
    </row>
    <row r="24" spans="1:7">
      <c r="A24" s="2">
        <v>2020</v>
      </c>
      <c r="B24" s="3"/>
      <c r="C24" s="3"/>
      <c r="D24" s="3"/>
      <c r="E24" s="3"/>
    </row>
    <row r="25" spans="1:7">
      <c r="A25" s="2">
        <v>2021</v>
      </c>
      <c r="B25" s="3"/>
      <c r="C25" s="3"/>
      <c r="D25" s="3"/>
      <c r="E25" s="3"/>
    </row>
    <row r="26" spans="1:7">
      <c r="A26" s="2">
        <v>2022</v>
      </c>
      <c r="B26" s="3"/>
      <c r="C26" s="3"/>
      <c r="D26" s="3"/>
      <c r="E26" s="3"/>
    </row>
    <row r="27" spans="1:7">
      <c r="A27" s="2"/>
      <c r="B27" s="3">
        <f t="shared" ref="B27:D27" si="0">SUM(B2:B26)</f>
        <v>378.51</v>
      </c>
      <c r="C27" s="32">
        <f t="shared" si="0"/>
        <v>1480</v>
      </c>
      <c r="D27" s="3">
        <f t="shared" si="0"/>
        <v>0</v>
      </c>
      <c r="E27" s="3">
        <f>SUM(E2:E26)</f>
        <v>0</v>
      </c>
    </row>
    <row r="28" spans="1:7">
      <c r="D28" s="5">
        <f>B27+D27</f>
        <v>378.51</v>
      </c>
      <c r="E28" s="75">
        <f>C27+E27</f>
        <v>1480</v>
      </c>
    </row>
    <row r="29" spans="1:7">
      <c r="F29" s="82">
        <v>45353</v>
      </c>
      <c r="G29" s="83" t="s">
        <v>488</v>
      </c>
    </row>
    <row r="31" spans="1:7" ht="12.75">
      <c r="A31" s="195" t="s">
        <v>282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6" sqref="H6:L9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5.44140625" style="1" bestFit="1" customWidth="1"/>
    <col min="7" max="7" width="14.88671875" style="1" bestFit="1" customWidth="1"/>
    <col min="8" max="8" width="13.33203125" style="1" bestFit="1" customWidth="1"/>
    <col min="9" max="9" width="10.33203125" style="1" bestFit="1" customWidth="1"/>
    <col min="10" max="10" width="8.88671875" style="1"/>
    <col min="11" max="12" width="10.33203125" style="1" bestFit="1" customWidth="1"/>
    <col min="13" max="16384" width="8.88671875" style="1"/>
  </cols>
  <sheetData>
    <row r="1" spans="1:12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12">
      <c r="A2" s="2">
        <v>1998</v>
      </c>
      <c r="B2" s="18"/>
      <c r="C2" s="18"/>
      <c r="D2" s="18"/>
      <c r="E2" s="18"/>
      <c r="G2" s="28"/>
    </row>
    <row r="3" spans="1:12">
      <c r="A3" s="2">
        <v>1999</v>
      </c>
      <c r="B3" s="18"/>
      <c r="C3" s="18"/>
      <c r="D3" s="18"/>
      <c r="E3" s="18"/>
      <c r="G3" s="23"/>
    </row>
    <row r="4" spans="1:12">
      <c r="A4" s="2">
        <v>2000</v>
      </c>
      <c r="B4" s="18"/>
      <c r="C4" s="18"/>
      <c r="D4" s="18"/>
      <c r="E4" s="18"/>
    </row>
    <row r="5" spans="1:12">
      <c r="A5" s="2">
        <v>2001</v>
      </c>
      <c r="B5" s="18"/>
      <c r="C5" s="18"/>
      <c r="D5" s="18"/>
      <c r="E5" s="18"/>
    </row>
    <row r="6" spans="1:12">
      <c r="A6" s="2">
        <v>2002</v>
      </c>
      <c r="B6" s="18"/>
      <c r="C6" s="18"/>
      <c r="D6" s="18"/>
      <c r="E6" s="18"/>
      <c r="H6" s="73"/>
      <c r="I6" s="262" t="s">
        <v>500</v>
      </c>
      <c r="J6" s="262" t="s">
        <v>303</v>
      </c>
      <c r="K6" s="262" t="s">
        <v>501</v>
      </c>
      <c r="L6" s="262" t="s">
        <v>14</v>
      </c>
    </row>
    <row r="7" spans="1:12">
      <c r="A7" s="2">
        <v>2003</v>
      </c>
      <c r="B7" s="18"/>
      <c r="C7" s="18"/>
      <c r="D7" s="18"/>
      <c r="E7" s="18"/>
      <c r="H7" s="262" t="s">
        <v>498</v>
      </c>
      <c r="I7" s="28">
        <v>100000</v>
      </c>
      <c r="J7" s="28">
        <v>6666</v>
      </c>
      <c r="K7" s="28">
        <f>I7*J7</f>
        <v>666600000</v>
      </c>
      <c r="L7" s="493">
        <f>C27*K7/B27</f>
        <v>1508375873.5378752</v>
      </c>
    </row>
    <row r="8" spans="1:12">
      <c r="A8" s="2">
        <v>2004</v>
      </c>
      <c r="B8" s="18"/>
      <c r="C8" s="18"/>
      <c r="D8" s="18"/>
      <c r="E8" s="18"/>
      <c r="H8" s="262" t="s">
        <v>499</v>
      </c>
      <c r="I8" s="28">
        <v>6000000</v>
      </c>
      <c r="J8" s="492">
        <v>66.599999999999994</v>
      </c>
      <c r="K8" s="28">
        <f>I8*J8</f>
        <v>399599999.99999994</v>
      </c>
      <c r="L8" s="494">
        <f>D27*K8/E27</f>
        <v>177921899.99999994</v>
      </c>
    </row>
    <row r="9" spans="1:12">
      <c r="A9" s="2">
        <v>2005</v>
      </c>
      <c r="B9" s="18"/>
      <c r="C9" s="18"/>
      <c r="D9" s="18"/>
      <c r="E9" s="18"/>
      <c r="F9" s="82"/>
      <c r="K9" s="260">
        <f>SUM(K7:K8)</f>
        <v>1066200000</v>
      </c>
      <c r="L9" s="239">
        <f>SUM(L7:L8)</f>
        <v>1686297773.5378752</v>
      </c>
    </row>
    <row r="10" spans="1:12">
      <c r="A10" s="2">
        <v>2006</v>
      </c>
      <c r="B10" s="18"/>
      <c r="C10" s="18"/>
      <c r="D10" s="18"/>
      <c r="E10" s="18"/>
    </row>
    <row r="11" spans="1:12">
      <c r="A11" s="2">
        <v>2007</v>
      </c>
      <c r="B11" s="3"/>
      <c r="C11" s="3"/>
      <c r="D11" s="3"/>
      <c r="E11" s="3"/>
      <c r="F11" s="83"/>
    </row>
    <row r="12" spans="1:12">
      <c r="A12" s="2">
        <v>2008</v>
      </c>
      <c r="B12" s="3"/>
      <c r="C12" s="3"/>
      <c r="D12" s="3"/>
      <c r="E12" s="3"/>
    </row>
    <row r="13" spans="1:12">
      <c r="A13" s="2">
        <v>2009</v>
      </c>
      <c r="B13" s="3"/>
      <c r="C13" s="32"/>
      <c r="D13" s="3"/>
      <c r="E13" s="3"/>
    </row>
    <row r="14" spans="1:12">
      <c r="A14" s="2">
        <v>2010</v>
      </c>
      <c r="B14" s="3"/>
      <c r="C14" s="32"/>
      <c r="D14" s="3"/>
      <c r="E14" s="32"/>
    </row>
    <row r="15" spans="1:12">
      <c r="A15" s="2">
        <v>2011</v>
      </c>
      <c r="B15" s="3"/>
      <c r="C15" s="32"/>
      <c r="D15" s="3"/>
      <c r="E15" s="32"/>
    </row>
    <row r="16" spans="1:12">
      <c r="A16" s="2">
        <v>2012</v>
      </c>
      <c r="B16" s="3"/>
      <c r="C16" s="32"/>
      <c r="D16" s="3"/>
      <c r="E16" s="32"/>
    </row>
    <row r="17" spans="1:9">
      <c r="A17" s="2">
        <v>2013</v>
      </c>
      <c r="B17" s="3"/>
      <c r="C17" s="32"/>
      <c r="D17" s="3"/>
      <c r="E17" s="32"/>
    </row>
    <row r="18" spans="1:9">
      <c r="A18" s="2">
        <v>2014</v>
      </c>
      <c r="B18" s="3"/>
      <c r="C18" s="32"/>
      <c r="D18" s="3"/>
      <c r="E18" s="32"/>
    </row>
    <row r="19" spans="1:9">
      <c r="A19" s="2">
        <v>2015</v>
      </c>
      <c r="B19" s="3"/>
      <c r="C19" s="32"/>
      <c r="D19" s="3"/>
      <c r="E19" s="32"/>
    </row>
    <row r="20" spans="1:9">
      <c r="A20" s="2">
        <v>2016</v>
      </c>
      <c r="B20" s="3"/>
      <c r="C20" s="32"/>
      <c r="D20" s="3"/>
      <c r="E20" s="32"/>
    </row>
    <row r="21" spans="1:9">
      <c r="A21" s="2">
        <v>2017</v>
      </c>
      <c r="B21" s="3"/>
      <c r="C21" s="32"/>
      <c r="D21" s="3"/>
      <c r="E21" s="32"/>
    </row>
    <row r="22" spans="1:9">
      <c r="A22" s="2">
        <v>2018</v>
      </c>
      <c r="B22" s="3"/>
      <c r="C22" s="32"/>
      <c r="D22" s="3"/>
      <c r="E22" s="32"/>
    </row>
    <row r="23" spans="1:9">
      <c r="A23" s="2">
        <v>2019</v>
      </c>
      <c r="B23" s="3"/>
      <c r="C23" s="32"/>
      <c r="D23" s="3"/>
      <c r="E23" s="32"/>
    </row>
    <row r="24" spans="1:9">
      <c r="A24" s="2">
        <v>2020</v>
      </c>
      <c r="B24" s="3"/>
      <c r="C24" s="32"/>
      <c r="D24" s="3"/>
      <c r="E24" s="32"/>
    </row>
    <row r="25" spans="1:9">
      <c r="A25" s="2">
        <v>2021</v>
      </c>
      <c r="B25" s="3">
        <v>343.28</v>
      </c>
      <c r="C25" s="32">
        <v>822</v>
      </c>
      <c r="D25" s="3"/>
      <c r="E25" s="32"/>
    </row>
    <row r="26" spans="1:9">
      <c r="A26" s="2">
        <v>2022</v>
      </c>
      <c r="B26" s="3">
        <v>2867.8</v>
      </c>
      <c r="C26" s="32">
        <v>6444</v>
      </c>
      <c r="D26" s="3">
        <v>35.619999999999997</v>
      </c>
      <c r="E26" s="32">
        <v>80</v>
      </c>
    </row>
    <row r="27" spans="1:9">
      <c r="A27" s="2"/>
      <c r="B27" s="3">
        <f t="shared" ref="B27:D27" si="0">SUM(B2:B26)</f>
        <v>3211.08</v>
      </c>
      <c r="C27" s="32">
        <f t="shared" si="0"/>
        <v>7266</v>
      </c>
      <c r="D27" s="3">
        <f t="shared" si="0"/>
        <v>35.619999999999997</v>
      </c>
      <c r="E27" s="32">
        <f>SUM(E2:E26)</f>
        <v>80</v>
      </c>
      <c r="I27" s="75"/>
    </row>
    <row r="28" spans="1:9">
      <c r="D28" s="5">
        <f>B27+D27</f>
        <v>3246.7</v>
      </c>
      <c r="E28" s="75">
        <f>C27+E27</f>
        <v>7346</v>
      </c>
    </row>
    <row r="29" spans="1:9">
      <c r="F29" s="82">
        <v>45353</v>
      </c>
      <c r="G29" s="83" t="s">
        <v>488</v>
      </c>
    </row>
    <row r="31" spans="1:9" ht="12.75">
      <c r="A31" s="195" t="s">
        <v>482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I9" sqref="I9:M12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5.44140625" style="1" bestFit="1" customWidth="1"/>
    <col min="7" max="7" width="14.88671875" style="1" bestFit="1" customWidth="1"/>
    <col min="8" max="8" width="8.88671875" style="1"/>
    <col min="9" max="9" width="13.33203125" style="1" bestFit="1" customWidth="1"/>
    <col min="10" max="10" width="10.33203125" style="1" bestFit="1" customWidth="1"/>
    <col min="11" max="11" width="8.88671875" style="1"/>
    <col min="12" max="13" width="10.33203125" style="1" bestFit="1" customWidth="1"/>
    <col min="14" max="16384" width="8.88671875" style="1"/>
  </cols>
  <sheetData>
    <row r="1" spans="1:13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13">
      <c r="A2" s="2">
        <v>1998</v>
      </c>
      <c r="B2" s="18"/>
      <c r="C2" s="18"/>
      <c r="D2" s="18"/>
      <c r="E2" s="18"/>
      <c r="G2" s="28"/>
    </row>
    <row r="3" spans="1:13">
      <c r="A3" s="2">
        <v>1999</v>
      </c>
      <c r="B3" s="18"/>
      <c r="C3" s="18"/>
      <c r="D3" s="18"/>
      <c r="E3" s="18"/>
      <c r="G3" s="23"/>
    </row>
    <row r="4" spans="1:13">
      <c r="A4" s="2">
        <v>2000</v>
      </c>
      <c r="B4" s="18"/>
      <c r="C4" s="18"/>
      <c r="D4" s="18"/>
      <c r="E4" s="18"/>
    </row>
    <row r="5" spans="1:13">
      <c r="A5" s="2">
        <v>2001</v>
      </c>
      <c r="B5" s="18"/>
      <c r="C5" s="18"/>
      <c r="D5" s="18"/>
      <c r="E5" s="18"/>
    </row>
    <row r="6" spans="1:13">
      <c r="A6" s="2">
        <v>2002</v>
      </c>
      <c r="B6" s="18"/>
      <c r="C6" s="18"/>
      <c r="D6" s="18"/>
      <c r="E6" s="18"/>
    </row>
    <row r="7" spans="1:13">
      <c r="A7" s="2">
        <v>2003</v>
      </c>
      <c r="B7" s="18"/>
      <c r="C7" s="18"/>
      <c r="D7" s="18"/>
      <c r="E7" s="18"/>
    </row>
    <row r="8" spans="1:13">
      <c r="A8" s="2">
        <v>2004</v>
      </c>
      <c r="B8" s="18"/>
      <c r="C8" s="18"/>
      <c r="D8" s="18"/>
      <c r="E8" s="18"/>
    </row>
    <row r="9" spans="1:13">
      <c r="A9" s="2">
        <v>2005</v>
      </c>
      <c r="B9" s="18"/>
      <c r="C9" s="18"/>
      <c r="D9" s="18"/>
      <c r="E9" s="18"/>
      <c r="F9" s="82"/>
      <c r="I9" s="73"/>
      <c r="J9" s="262">
        <v>2022</v>
      </c>
      <c r="K9" s="262" t="s">
        <v>303</v>
      </c>
      <c r="L9" s="262" t="s">
        <v>501</v>
      </c>
      <c r="M9" s="262" t="s">
        <v>14</v>
      </c>
    </row>
    <row r="10" spans="1:13">
      <c r="A10" s="2">
        <v>2006</v>
      </c>
      <c r="B10" s="18"/>
      <c r="C10" s="18"/>
      <c r="D10" s="18"/>
      <c r="E10" s="18"/>
      <c r="I10" s="262" t="s">
        <v>498</v>
      </c>
      <c r="J10" s="28"/>
      <c r="K10" s="28"/>
      <c r="L10" s="28"/>
      <c r="M10" s="493"/>
    </row>
    <row r="11" spans="1:13">
      <c r="A11" s="2">
        <v>2007</v>
      </c>
      <c r="B11" s="3"/>
      <c r="C11" s="3"/>
      <c r="D11" s="3"/>
      <c r="E11" s="3"/>
      <c r="F11" s="83"/>
      <c r="I11" s="262" t="s">
        <v>499</v>
      </c>
      <c r="J11" s="28">
        <v>1111111</v>
      </c>
      <c r="K11" s="492">
        <v>3333</v>
      </c>
      <c r="L11" s="28">
        <f>J11*K11</f>
        <v>3703332963</v>
      </c>
      <c r="M11" s="494">
        <f>E28*L11/D28</f>
        <v>8320490953.5107002</v>
      </c>
    </row>
    <row r="12" spans="1:13">
      <c r="A12" s="2">
        <v>2008</v>
      </c>
      <c r="B12" s="3"/>
      <c r="C12" s="3"/>
      <c r="D12" s="3"/>
      <c r="E12" s="3"/>
      <c r="L12" s="260">
        <f>SUM(L10:L11)</f>
        <v>3703332963</v>
      </c>
      <c r="M12" s="239">
        <f>SUM(M10:M11)</f>
        <v>8320490953.5107002</v>
      </c>
    </row>
    <row r="13" spans="1:13">
      <c r="A13" s="2">
        <v>2009</v>
      </c>
      <c r="B13" s="3"/>
      <c r="C13" s="32"/>
      <c r="D13" s="3"/>
      <c r="E13" s="3"/>
    </row>
    <row r="14" spans="1:13">
      <c r="A14" s="2">
        <v>2010</v>
      </c>
      <c r="B14" s="3"/>
      <c r="C14" s="32"/>
      <c r="D14" s="3"/>
      <c r="E14" s="32"/>
    </row>
    <row r="15" spans="1:13">
      <c r="A15" s="2">
        <v>2011</v>
      </c>
      <c r="B15" s="3"/>
      <c r="C15" s="32"/>
      <c r="D15" s="3"/>
      <c r="E15" s="32"/>
    </row>
    <row r="16" spans="1:13">
      <c r="A16" s="2">
        <v>2012</v>
      </c>
      <c r="B16" s="3"/>
      <c r="C16" s="32"/>
      <c r="D16" s="3"/>
      <c r="E16" s="32"/>
    </row>
    <row r="17" spans="1:7">
      <c r="A17" s="2">
        <v>2013</v>
      </c>
      <c r="B17" s="3"/>
      <c r="C17" s="32"/>
      <c r="D17" s="3"/>
      <c r="E17" s="32"/>
    </row>
    <row r="18" spans="1:7">
      <c r="A18" s="2">
        <v>2014</v>
      </c>
      <c r="B18" s="3"/>
      <c r="C18" s="32"/>
      <c r="D18" s="3"/>
      <c r="E18" s="32"/>
    </row>
    <row r="19" spans="1:7">
      <c r="A19" s="2">
        <v>2015</v>
      </c>
      <c r="B19" s="3"/>
      <c r="C19" s="32"/>
      <c r="D19" s="3"/>
      <c r="E19" s="32"/>
    </row>
    <row r="20" spans="1:7">
      <c r="A20" s="2">
        <v>2016</v>
      </c>
      <c r="B20" s="3"/>
      <c r="C20" s="32"/>
      <c r="D20" s="3"/>
      <c r="E20" s="32"/>
    </row>
    <row r="21" spans="1:7">
      <c r="A21" s="2">
        <v>2017</v>
      </c>
      <c r="B21" s="3"/>
      <c r="C21" s="32"/>
      <c r="D21" s="3"/>
      <c r="E21" s="32"/>
    </row>
    <row r="22" spans="1:7">
      <c r="A22" s="2">
        <v>2018</v>
      </c>
      <c r="B22" s="3"/>
      <c r="C22" s="32"/>
      <c r="D22" s="3"/>
      <c r="E22" s="32"/>
    </row>
    <row r="23" spans="1:7">
      <c r="A23" s="2">
        <v>2019</v>
      </c>
      <c r="B23" s="3"/>
      <c r="C23" s="32"/>
      <c r="D23" s="3"/>
      <c r="E23" s="32"/>
    </row>
    <row r="24" spans="1:7">
      <c r="A24" s="2">
        <v>2020</v>
      </c>
      <c r="B24" s="3"/>
      <c r="C24" s="32"/>
      <c r="D24" s="3"/>
      <c r="E24" s="32"/>
    </row>
    <row r="25" spans="1:7">
      <c r="A25" s="2">
        <v>2021</v>
      </c>
      <c r="B25" s="3"/>
      <c r="C25" s="32"/>
      <c r="D25" s="3"/>
      <c r="E25" s="32"/>
    </row>
    <row r="26" spans="1:7">
      <c r="A26" s="2">
        <v>2022</v>
      </c>
      <c r="B26" s="3"/>
      <c r="C26" s="32"/>
      <c r="D26" s="3">
        <v>3084</v>
      </c>
      <c r="E26" s="32">
        <v>6929</v>
      </c>
    </row>
    <row r="27" spans="1:7">
      <c r="A27" s="2"/>
      <c r="B27" s="3">
        <f t="shared" ref="B27:D27" si="0">SUM(B2:B26)</f>
        <v>0</v>
      </c>
      <c r="C27" s="32">
        <f t="shared" si="0"/>
        <v>0</v>
      </c>
      <c r="D27" s="3">
        <f t="shared" si="0"/>
        <v>3084</v>
      </c>
      <c r="E27" s="32">
        <f>SUM(E2:E26)</f>
        <v>6929</v>
      </c>
    </row>
    <row r="28" spans="1:7">
      <c r="D28" s="5">
        <f>B27+D27</f>
        <v>3084</v>
      </c>
      <c r="E28" s="75">
        <f>C27+E27</f>
        <v>6929</v>
      </c>
    </row>
    <row r="29" spans="1:7">
      <c r="F29" s="82">
        <v>45353</v>
      </c>
      <c r="G29" s="83" t="s">
        <v>488</v>
      </c>
    </row>
    <row r="31" spans="1:7" ht="12.75">
      <c r="A31" s="195" t="s">
        <v>484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170" zoomScaleNormal="170" workbookViewId="0">
      <pane ySplit="2" topLeftCell="A108" activePane="bottomLeft" state="frozen"/>
      <selection pane="bottomLeft" activeCell="O123" sqref="O123"/>
    </sheetView>
  </sheetViews>
  <sheetFormatPr defaultRowHeight="11.25"/>
  <cols>
    <col min="1" max="1" width="3.44140625" style="1" bestFit="1" customWidth="1"/>
    <col min="2" max="3" width="7.33203125" style="1" bestFit="1" customWidth="1"/>
    <col min="4" max="11" width="6.33203125" style="1" bestFit="1" customWidth="1"/>
    <col min="12" max="12" width="7.33203125" style="1" bestFit="1" customWidth="1"/>
    <col min="13" max="13" width="6.33203125" style="1" bestFit="1" customWidth="1"/>
    <col min="14" max="14" width="8" style="1" bestFit="1" customWidth="1"/>
    <col min="15" max="15" width="8" style="28" bestFit="1" customWidth="1"/>
    <col min="16" max="16384" width="8.88671875" style="1"/>
  </cols>
  <sheetData>
    <row r="1" spans="1:16">
      <c r="A1" s="30"/>
      <c r="B1" s="343" t="s">
        <v>2</v>
      </c>
      <c r="C1" s="341" t="s">
        <v>3</v>
      </c>
      <c r="D1" s="343" t="s">
        <v>4</v>
      </c>
      <c r="E1" s="342" t="s">
        <v>5</v>
      </c>
      <c r="F1" s="343" t="s">
        <v>0</v>
      </c>
      <c r="G1" s="341" t="s">
        <v>6</v>
      </c>
      <c r="H1" s="343" t="s">
        <v>7</v>
      </c>
      <c r="I1" s="342" t="s">
        <v>8</v>
      </c>
      <c r="J1" s="343" t="s">
        <v>9</v>
      </c>
      <c r="K1" s="341" t="s">
        <v>10</v>
      </c>
      <c r="L1" s="343" t="s">
        <v>11</v>
      </c>
      <c r="M1" s="342" t="s">
        <v>12</v>
      </c>
      <c r="N1" s="445" t="s">
        <v>25</v>
      </c>
      <c r="O1" s="447" t="s">
        <v>13</v>
      </c>
    </row>
    <row r="2" spans="1:16">
      <c r="A2" s="30"/>
      <c r="B2" s="78" t="s">
        <v>40</v>
      </c>
      <c r="C2" s="74" t="s">
        <v>40</v>
      </c>
      <c r="D2" s="78" t="s">
        <v>40</v>
      </c>
      <c r="E2" s="79" t="s">
        <v>40</v>
      </c>
      <c r="F2" s="78" t="s">
        <v>40</v>
      </c>
      <c r="G2" s="74" t="s">
        <v>40</v>
      </c>
      <c r="H2" s="78" t="s">
        <v>40</v>
      </c>
      <c r="I2" s="79" t="s">
        <v>40</v>
      </c>
      <c r="J2" s="78" t="s">
        <v>40</v>
      </c>
      <c r="K2" s="74" t="s">
        <v>40</v>
      </c>
      <c r="L2" s="78" t="s">
        <v>40</v>
      </c>
      <c r="M2" s="79" t="s">
        <v>40</v>
      </c>
      <c r="N2" s="446"/>
      <c r="O2" s="448"/>
    </row>
    <row r="3" spans="1:16">
      <c r="A3" s="449">
        <v>1998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1"/>
    </row>
    <row r="4" spans="1:16">
      <c r="A4" s="43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1"/>
    </row>
    <row r="5" spans="1:16" ht="12" thickBot="1">
      <c r="A5" s="438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4">
        <f>B5+C5+D5+E5+F5+G5+H5+I5+J5+K5+L5+M5</f>
        <v>0</v>
      </c>
      <c r="O5" s="307"/>
      <c r="P5" s="119"/>
    </row>
    <row r="6" spans="1:16">
      <c r="A6" s="433">
        <v>1999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7"/>
      <c r="O6" s="71"/>
    </row>
    <row r="7" spans="1:16">
      <c r="A7" s="434"/>
      <c r="B7" s="18"/>
      <c r="C7" s="18"/>
      <c r="D7" s="18"/>
      <c r="E7" s="18"/>
      <c r="F7" s="18"/>
      <c r="G7" s="18"/>
      <c r="H7" s="18"/>
      <c r="I7" s="18"/>
      <c r="J7" s="18"/>
      <c r="K7" s="18"/>
      <c r="L7" s="18">
        <v>0.1</v>
      </c>
      <c r="M7" s="18"/>
      <c r="N7" s="18"/>
      <c r="O7" s="31"/>
      <c r="P7" s="1" t="s">
        <v>146</v>
      </c>
    </row>
    <row r="8" spans="1:16" ht="12" thickBot="1">
      <c r="A8" s="435"/>
      <c r="B8" s="211">
        <f>SUM(B6:B7)</f>
        <v>0</v>
      </c>
      <c r="C8" s="211">
        <f t="shared" ref="C8:M8" si="0">SUM(C6:C7)</f>
        <v>0</v>
      </c>
      <c r="D8" s="211">
        <f t="shared" si="0"/>
        <v>0</v>
      </c>
      <c r="E8" s="211">
        <f t="shared" si="0"/>
        <v>0</v>
      </c>
      <c r="F8" s="211">
        <f t="shared" si="0"/>
        <v>0</v>
      </c>
      <c r="G8" s="211">
        <f t="shared" si="0"/>
        <v>0</v>
      </c>
      <c r="H8" s="211">
        <f t="shared" si="0"/>
        <v>0</v>
      </c>
      <c r="I8" s="211">
        <f t="shared" si="0"/>
        <v>0</v>
      </c>
      <c r="J8" s="211">
        <f t="shared" si="0"/>
        <v>0</v>
      </c>
      <c r="K8" s="211">
        <f t="shared" si="0"/>
        <v>0</v>
      </c>
      <c r="L8" s="211">
        <f t="shared" si="0"/>
        <v>0.1</v>
      </c>
      <c r="M8" s="211">
        <f t="shared" si="0"/>
        <v>0</v>
      </c>
      <c r="N8" s="84">
        <f>SUM(B8:M8)</f>
        <v>0.1</v>
      </c>
      <c r="O8" s="307">
        <v>1</v>
      </c>
      <c r="P8" s="119"/>
    </row>
    <row r="9" spans="1:16">
      <c r="A9" s="436">
        <v>2000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17"/>
      <c r="O9" s="71"/>
    </row>
    <row r="10" spans="1:16">
      <c r="A10" s="437"/>
      <c r="B10" s="18"/>
      <c r="C10" s="18"/>
      <c r="D10" s="18"/>
      <c r="E10" s="18"/>
      <c r="F10" s="18"/>
      <c r="G10" s="18"/>
      <c r="H10" s="18"/>
      <c r="I10" s="18"/>
      <c r="J10" s="18">
        <v>0.25</v>
      </c>
      <c r="K10" s="18"/>
      <c r="L10" s="18"/>
      <c r="M10" s="18"/>
      <c r="N10" s="18"/>
      <c r="O10" s="31"/>
      <c r="P10" s="1" t="s">
        <v>143</v>
      </c>
    </row>
    <row r="11" spans="1:16" ht="12" thickBot="1">
      <c r="A11" s="438"/>
      <c r="B11" s="217">
        <f>SUM(B9:B10)</f>
        <v>0</v>
      </c>
      <c r="C11" s="217">
        <f t="shared" ref="C11:M11" si="1">SUM(C9:C10)</f>
        <v>0</v>
      </c>
      <c r="D11" s="217">
        <f t="shared" si="1"/>
        <v>0</v>
      </c>
      <c r="E11" s="217">
        <f t="shared" si="1"/>
        <v>0</v>
      </c>
      <c r="F11" s="217">
        <f t="shared" si="1"/>
        <v>0</v>
      </c>
      <c r="G11" s="217">
        <f t="shared" si="1"/>
        <v>0</v>
      </c>
      <c r="H11" s="217">
        <f t="shared" si="1"/>
        <v>0</v>
      </c>
      <c r="I11" s="217">
        <f t="shared" si="1"/>
        <v>0</v>
      </c>
      <c r="J11" s="217">
        <f t="shared" si="1"/>
        <v>0.25</v>
      </c>
      <c r="K11" s="217">
        <f t="shared" si="1"/>
        <v>0</v>
      </c>
      <c r="L11" s="217">
        <f t="shared" si="1"/>
        <v>0</v>
      </c>
      <c r="M11" s="217">
        <f t="shared" si="1"/>
        <v>0</v>
      </c>
      <c r="N11" s="84">
        <f>SUM(B11:M11)</f>
        <v>0.25</v>
      </c>
      <c r="O11" s="307">
        <v>2</v>
      </c>
      <c r="P11" s="119"/>
    </row>
    <row r="12" spans="1:16">
      <c r="A12" s="433">
        <v>2001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7"/>
      <c r="O12" s="71"/>
    </row>
    <row r="13" spans="1:16">
      <c r="A13" s="434"/>
      <c r="B13" s="18"/>
      <c r="C13" s="18"/>
      <c r="D13" s="18">
        <v>0.38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1"/>
      <c r="P13" s="1" t="s">
        <v>144</v>
      </c>
    </row>
    <row r="14" spans="1:16" ht="12" thickBot="1">
      <c r="A14" s="435"/>
      <c r="B14" s="211"/>
      <c r="C14" s="211"/>
      <c r="D14" s="211">
        <v>0.38</v>
      </c>
      <c r="E14" s="211"/>
      <c r="F14" s="211"/>
      <c r="G14" s="211"/>
      <c r="H14" s="211"/>
      <c r="I14" s="211"/>
      <c r="J14" s="211"/>
      <c r="K14" s="211"/>
      <c r="L14" s="211"/>
      <c r="M14" s="211"/>
      <c r="N14" s="84">
        <f>SUM(B14:M14)</f>
        <v>0.38</v>
      </c>
      <c r="O14" s="307">
        <v>3</v>
      </c>
      <c r="P14" s="120"/>
    </row>
    <row r="15" spans="1:16">
      <c r="A15" s="436">
        <v>2002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7"/>
      <c r="O15" s="71"/>
    </row>
    <row r="16" spans="1:16">
      <c r="A16" s="43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1"/>
    </row>
    <row r="17" spans="1:16" ht="12" thickBot="1">
      <c r="A17" s="438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307"/>
      <c r="P17" s="120"/>
    </row>
    <row r="18" spans="1:16">
      <c r="A18" s="433">
        <v>2003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85"/>
      <c r="O18" s="310"/>
    </row>
    <row r="19" spans="1:16">
      <c r="A19" s="43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8"/>
      <c r="O19" s="31"/>
    </row>
    <row r="20" spans="1:16" ht="12" thickBot="1">
      <c r="A20" s="435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84"/>
      <c r="O20" s="307"/>
      <c r="P20" s="119"/>
    </row>
    <row r="21" spans="1:16">
      <c r="A21" s="436">
        <v>2004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85"/>
      <c r="O21" s="310"/>
      <c r="P21" s="81"/>
    </row>
    <row r="22" spans="1:16">
      <c r="A22" s="43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31"/>
      <c r="P22" s="81"/>
    </row>
    <row r="23" spans="1:16" ht="12" thickBot="1">
      <c r="A23" s="438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84"/>
      <c r="O23" s="307"/>
      <c r="P23" s="123"/>
    </row>
    <row r="24" spans="1:16">
      <c r="A24" s="433">
        <v>2005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310"/>
      <c r="P24" s="124"/>
    </row>
    <row r="25" spans="1:16">
      <c r="A25" s="434"/>
      <c r="B25" s="18"/>
      <c r="C25" s="18"/>
      <c r="D25" s="18">
        <v>13.47</v>
      </c>
      <c r="E25" s="18"/>
      <c r="F25" s="18"/>
      <c r="G25" s="18"/>
      <c r="H25" s="18"/>
      <c r="I25" s="18"/>
      <c r="J25" s="18"/>
      <c r="K25" s="18"/>
      <c r="L25" s="18"/>
      <c r="M25" s="18"/>
      <c r="N25" s="17"/>
      <c r="O25" s="71"/>
      <c r="P25" s="125" t="s">
        <v>145</v>
      </c>
    </row>
    <row r="26" spans="1:16">
      <c r="A26" s="434"/>
      <c r="B26" s="18"/>
      <c r="C26" s="18"/>
      <c r="D26" s="18"/>
      <c r="E26" s="18"/>
      <c r="F26" s="18">
        <v>150</v>
      </c>
      <c r="G26" s="18"/>
      <c r="H26" s="18"/>
      <c r="I26" s="18"/>
      <c r="J26" s="18"/>
      <c r="K26" s="18"/>
      <c r="L26" s="18"/>
      <c r="M26" s="18"/>
      <c r="N26" s="17"/>
      <c r="O26" s="71"/>
      <c r="P26" s="126" t="s">
        <v>46</v>
      </c>
    </row>
    <row r="27" spans="1:16" ht="12" thickBot="1">
      <c r="A27" s="435"/>
      <c r="B27" s="211"/>
      <c r="C27" s="211"/>
      <c r="D27" s="211">
        <f>SUM(D24:D26)</f>
        <v>13.47</v>
      </c>
      <c r="E27" s="211">
        <f t="shared" ref="E27:M27" si="2">SUM(E24:E26)</f>
        <v>0</v>
      </c>
      <c r="F27" s="211">
        <f t="shared" si="2"/>
        <v>150</v>
      </c>
      <c r="G27" s="211">
        <f t="shared" si="2"/>
        <v>0</v>
      </c>
      <c r="H27" s="211">
        <f t="shared" si="2"/>
        <v>0</v>
      </c>
      <c r="I27" s="211">
        <f t="shared" si="2"/>
        <v>0</v>
      </c>
      <c r="J27" s="211">
        <f t="shared" si="2"/>
        <v>0</v>
      </c>
      <c r="K27" s="211">
        <f t="shared" si="2"/>
        <v>0</v>
      </c>
      <c r="L27" s="211">
        <f t="shared" si="2"/>
        <v>0</v>
      </c>
      <c r="M27" s="211">
        <f t="shared" si="2"/>
        <v>0</v>
      </c>
      <c r="N27" s="86">
        <f>SUM(B27:M27)</f>
        <v>163.47</v>
      </c>
      <c r="O27" s="311">
        <v>676</v>
      </c>
      <c r="P27" s="127"/>
    </row>
    <row r="28" spans="1:16">
      <c r="A28" s="437">
        <v>2006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f t="shared" ref="N28:N33" si="3">B28+C28+D28+E28+F28+G28+H28+I28+J28+K28+L28+M28</f>
        <v>0</v>
      </c>
      <c r="O28" s="71"/>
      <c r="P28" s="81"/>
    </row>
    <row r="29" spans="1:16">
      <c r="A29" s="43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>
        <f t="shared" si="3"/>
        <v>0</v>
      </c>
      <c r="O29" s="31"/>
      <c r="P29" s="81"/>
    </row>
    <row r="30" spans="1:16" ht="12" thickBot="1">
      <c r="A30" s="437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6">
        <f t="shared" si="3"/>
        <v>0</v>
      </c>
      <c r="O30" s="311"/>
      <c r="P30" s="81"/>
    </row>
    <row r="31" spans="1:16">
      <c r="A31" s="442">
        <v>2007</v>
      </c>
      <c r="B31" s="10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>
        <f t="shared" si="3"/>
        <v>0</v>
      </c>
      <c r="O31" s="71"/>
      <c r="P31" s="81"/>
    </row>
    <row r="32" spans="1:16">
      <c r="A32" s="443"/>
      <c r="B32" s="9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>
        <f t="shared" si="3"/>
        <v>0</v>
      </c>
      <c r="O32" s="71"/>
      <c r="P32" s="81"/>
    </row>
    <row r="33" spans="1:16" ht="12" thickBot="1">
      <c r="A33" s="444"/>
      <c r="B33" s="348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86">
        <f t="shared" si="3"/>
        <v>0</v>
      </c>
      <c r="O33" s="311"/>
      <c r="P33" s="83"/>
    </row>
    <row r="34" spans="1:16">
      <c r="A34" s="439">
        <v>2008</v>
      </c>
      <c r="B34" s="231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310"/>
      <c r="P34" s="83"/>
    </row>
    <row r="35" spans="1:16">
      <c r="A35" s="440"/>
      <c r="B35" s="99"/>
      <c r="C35" s="18">
        <v>1000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71"/>
      <c r="P35" s="81" t="s">
        <v>71</v>
      </c>
    </row>
    <row r="36" spans="1:16">
      <c r="A36" s="440"/>
      <c r="B36" s="9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7"/>
      <c r="O36" s="71"/>
      <c r="P36" s="113"/>
    </row>
    <row r="37" spans="1:16">
      <c r="A37" s="440"/>
      <c r="B37" s="9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7"/>
      <c r="O37" s="71"/>
      <c r="P37" s="81"/>
    </row>
    <row r="38" spans="1:16" ht="12" thickBot="1">
      <c r="A38" s="441"/>
      <c r="B38" s="351">
        <f>SUM(B34:B37)</f>
        <v>0</v>
      </c>
      <c r="C38" s="351">
        <f t="shared" ref="C38:M38" si="4">SUM(C34:C37)</f>
        <v>1000</v>
      </c>
      <c r="D38" s="351">
        <f t="shared" si="4"/>
        <v>0</v>
      </c>
      <c r="E38" s="351">
        <f t="shared" si="4"/>
        <v>0</v>
      </c>
      <c r="F38" s="351">
        <f t="shared" si="4"/>
        <v>0</v>
      </c>
      <c r="G38" s="351">
        <f t="shared" si="4"/>
        <v>0</v>
      </c>
      <c r="H38" s="351">
        <f t="shared" si="4"/>
        <v>0</v>
      </c>
      <c r="I38" s="351">
        <f t="shared" si="4"/>
        <v>0</v>
      </c>
      <c r="J38" s="351">
        <f t="shared" si="4"/>
        <v>0</v>
      </c>
      <c r="K38" s="351">
        <f t="shared" si="4"/>
        <v>0</v>
      </c>
      <c r="L38" s="351">
        <f t="shared" si="4"/>
        <v>0</v>
      </c>
      <c r="M38" s="351">
        <f t="shared" si="4"/>
        <v>0</v>
      </c>
      <c r="N38" s="86">
        <f>SUM(B38:M38)</f>
        <v>1000</v>
      </c>
      <c r="O38" s="311">
        <v>3498</v>
      </c>
      <c r="P38" s="81"/>
    </row>
    <row r="39" spans="1:16">
      <c r="A39" s="434">
        <v>2009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71"/>
      <c r="P39" s="126"/>
    </row>
    <row r="40" spans="1:16">
      <c r="A40" s="434"/>
      <c r="B40" s="18"/>
      <c r="C40" s="18"/>
      <c r="D40" s="18"/>
      <c r="E40" s="18"/>
      <c r="F40" s="18"/>
      <c r="G40" s="18">
        <v>43.55</v>
      </c>
      <c r="H40" s="18"/>
      <c r="I40" s="18"/>
      <c r="J40" s="18">
        <v>15.72</v>
      </c>
      <c r="K40" s="18"/>
      <c r="L40" s="18"/>
      <c r="M40" s="18"/>
      <c r="N40" s="17"/>
      <c r="O40" s="71"/>
      <c r="P40" s="126" t="s">
        <v>93</v>
      </c>
    </row>
    <row r="41" spans="1:16">
      <c r="A41" s="434"/>
      <c r="B41" s="18">
        <v>4.2300000000000004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  <c r="O41" s="71"/>
      <c r="P41" s="125" t="s">
        <v>148</v>
      </c>
    </row>
    <row r="42" spans="1:16">
      <c r="A42" s="434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7"/>
      <c r="O42" s="71"/>
      <c r="P42" s="126"/>
    </row>
    <row r="43" spans="1:16">
      <c r="A43" s="43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7"/>
      <c r="O43" s="71"/>
      <c r="P43" s="126"/>
    </row>
    <row r="44" spans="1:16">
      <c r="A44" s="43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71"/>
      <c r="P44" s="128"/>
    </row>
    <row r="45" spans="1:16" ht="12" thickBot="1">
      <c r="A45" s="435"/>
      <c r="B45" s="211">
        <f>SUM(B39:B44)</f>
        <v>4.2300000000000004</v>
      </c>
      <c r="C45" s="211">
        <f t="shared" ref="C45:M45" si="5">SUM(C39:C44)</f>
        <v>0</v>
      </c>
      <c r="D45" s="211">
        <f t="shared" si="5"/>
        <v>0</v>
      </c>
      <c r="E45" s="211">
        <f t="shared" si="5"/>
        <v>0</v>
      </c>
      <c r="F45" s="211">
        <f t="shared" si="5"/>
        <v>0</v>
      </c>
      <c r="G45" s="211">
        <f t="shared" si="5"/>
        <v>43.55</v>
      </c>
      <c r="H45" s="211">
        <f t="shared" si="5"/>
        <v>0</v>
      </c>
      <c r="I45" s="211">
        <f t="shared" si="5"/>
        <v>0</v>
      </c>
      <c r="J45" s="211">
        <f t="shared" si="5"/>
        <v>15.72</v>
      </c>
      <c r="K45" s="211">
        <f t="shared" si="5"/>
        <v>0</v>
      </c>
      <c r="L45" s="211">
        <f t="shared" si="5"/>
        <v>0</v>
      </c>
      <c r="M45" s="211">
        <f t="shared" si="5"/>
        <v>0</v>
      </c>
      <c r="N45" s="86">
        <f>SUM(B45:M45)</f>
        <v>63.5</v>
      </c>
      <c r="O45" s="311">
        <v>192</v>
      </c>
      <c r="P45" s="127"/>
    </row>
    <row r="46" spans="1:16">
      <c r="A46" s="436">
        <v>2010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310"/>
      <c r="P46" s="129"/>
    </row>
    <row r="47" spans="1:16">
      <c r="A47" s="43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7"/>
      <c r="O47" s="71"/>
      <c r="P47" s="128"/>
    </row>
    <row r="48" spans="1:16">
      <c r="A48" s="43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  <c r="O48" s="71"/>
      <c r="P48" s="128"/>
    </row>
    <row r="49" spans="1:16">
      <c r="A49" s="437"/>
      <c r="B49" s="18"/>
      <c r="C49" s="18"/>
      <c r="D49" s="18">
        <v>2.5</v>
      </c>
      <c r="E49" s="18"/>
      <c r="F49" s="18"/>
      <c r="G49" s="18"/>
      <c r="H49" s="18">
        <v>2.2400000000000002</v>
      </c>
      <c r="I49" s="18"/>
      <c r="J49" s="18">
        <v>2.27</v>
      </c>
      <c r="K49" s="18">
        <v>15.33</v>
      </c>
      <c r="L49" s="18"/>
      <c r="M49" s="18"/>
      <c r="N49" s="17"/>
      <c r="O49" s="71"/>
      <c r="P49" s="125" t="s">
        <v>150</v>
      </c>
    </row>
    <row r="50" spans="1:16">
      <c r="A50" s="43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7"/>
      <c r="O50" s="71"/>
      <c r="P50" s="125"/>
    </row>
    <row r="51" spans="1:16">
      <c r="A51" s="43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71"/>
      <c r="P51" s="125"/>
    </row>
    <row r="52" spans="1:16">
      <c r="A52" s="43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71"/>
      <c r="P52" s="126"/>
    </row>
    <row r="53" spans="1:16" ht="12" thickBot="1">
      <c r="A53" s="438"/>
      <c r="B53" s="217">
        <f>SUM(B46:B52)</f>
        <v>0</v>
      </c>
      <c r="C53" s="217">
        <f t="shared" ref="C53:M53" si="6">SUM(C46:C52)</f>
        <v>0</v>
      </c>
      <c r="D53" s="217">
        <f t="shared" si="6"/>
        <v>2.5</v>
      </c>
      <c r="E53" s="217">
        <f t="shared" si="6"/>
        <v>0</v>
      </c>
      <c r="F53" s="217">
        <f t="shared" si="6"/>
        <v>0</v>
      </c>
      <c r="G53" s="217">
        <f t="shared" si="6"/>
        <v>0</v>
      </c>
      <c r="H53" s="217">
        <f t="shared" si="6"/>
        <v>2.2400000000000002</v>
      </c>
      <c r="I53" s="217">
        <f t="shared" si="6"/>
        <v>0</v>
      </c>
      <c r="J53" s="217">
        <f t="shared" si="6"/>
        <v>2.27</v>
      </c>
      <c r="K53" s="217">
        <f t="shared" si="6"/>
        <v>15.33</v>
      </c>
      <c r="L53" s="217">
        <f t="shared" si="6"/>
        <v>0</v>
      </c>
      <c r="M53" s="217">
        <f t="shared" si="6"/>
        <v>0</v>
      </c>
      <c r="N53" s="86">
        <f>SUM(B53:M53)</f>
        <v>22.34</v>
      </c>
      <c r="O53" s="311">
        <v>59</v>
      </c>
      <c r="P53" s="127"/>
    </row>
    <row r="54" spans="1:16">
      <c r="A54" s="433">
        <v>2011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310"/>
      <c r="P54" s="124"/>
    </row>
    <row r="55" spans="1:16">
      <c r="A55" s="434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  <c r="O55" s="71"/>
      <c r="P55" s="126"/>
    </row>
    <row r="56" spans="1:16">
      <c r="A56" s="434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  <c r="O56" s="71"/>
      <c r="P56" s="126"/>
    </row>
    <row r="57" spans="1:16">
      <c r="A57" s="43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  <c r="O57" s="71"/>
      <c r="P57" s="126"/>
    </row>
    <row r="58" spans="1:16">
      <c r="A58" s="43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  <c r="O58" s="71"/>
      <c r="P58" s="126"/>
    </row>
    <row r="59" spans="1:16">
      <c r="A59" s="43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  <c r="O59" s="71"/>
      <c r="P59" s="126"/>
    </row>
    <row r="60" spans="1:16" ht="12" thickBot="1">
      <c r="A60" s="435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86"/>
      <c r="O60" s="311"/>
      <c r="P60" s="127"/>
    </row>
    <row r="61" spans="1:16">
      <c r="A61" s="436">
        <v>2012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310"/>
      <c r="P61" s="168"/>
    </row>
    <row r="62" spans="1:16">
      <c r="A62" s="43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71"/>
      <c r="P62" s="169"/>
    </row>
    <row r="63" spans="1:16">
      <c r="A63" s="43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71"/>
      <c r="P63" s="169"/>
    </row>
    <row r="64" spans="1:16">
      <c r="A64" s="43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71"/>
      <c r="P64" s="169"/>
    </row>
    <row r="65" spans="1:16">
      <c r="A65" s="43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71"/>
      <c r="P65" s="169"/>
    </row>
    <row r="66" spans="1:16" ht="12" thickBot="1">
      <c r="A66" s="43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311"/>
      <c r="P66" s="170"/>
    </row>
    <row r="67" spans="1:16">
      <c r="A67" s="173">
        <v>2013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>
        <v>50.5</v>
      </c>
      <c r="M67" s="17"/>
      <c r="N67" s="17"/>
      <c r="O67" s="346"/>
      <c r="P67" s="181" t="s">
        <v>195</v>
      </c>
    </row>
    <row r="68" spans="1:16">
      <c r="A68" s="172">
        <v>2013</v>
      </c>
      <c r="B68" s="18"/>
      <c r="C68" s="18"/>
      <c r="D68" s="18"/>
      <c r="E68" s="18"/>
      <c r="F68" s="18"/>
      <c r="G68" s="18"/>
      <c r="H68" s="18"/>
      <c r="I68" s="18"/>
      <c r="J68" s="17">
        <v>0.5</v>
      </c>
      <c r="K68" s="17"/>
      <c r="L68" s="18"/>
      <c r="M68" s="18"/>
      <c r="N68" s="17"/>
      <c r="O68" s="31"/>
      <c r="P68" s="181" t="s">
        <v>198</v>
      </c>
    </row>
    <row r="69" spans="1:16">
      <c r="A69" s="172">
        <v>2013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>
        <v>2</v>
      </c>
      <c r="M69" s="18"/>
      <c r="N69" s="17"/>
      <c r="O69" s="31"/>
      <c r="P69" s="181" t="s">
        <v>200</v>
      </c>
    </row>
    <row r="70" spans="1:16">
      <c r="A70" s="172">
        <v>2013</v>
      </c>
      <c r="B70" s="18"/>
      <c r="C70" s="18"/>
      <c r="D70" s="18"/>
      <c r="E70" s="18"/>
      <c r="F70" s="18"/>
      <c r="G70" s="18"/>
      <c r="H70" s="18"/>
      <c r="I70" s="18"/>
      <c r="J70" s="18">
        <v>0.5</v>
      </c>
      <c r="K70" s="18"/>
      <c r="L70" s="18"/>
      <c r="M70" s="18"/>
      <c r="N70" s="17"/>
      <c r="O70" s="31"/>
      <c r="P70" s="181" t="s">
        <v>199</v>
      </c>
    </row>
    <row r="71" spans="1:16">
      <c r="A71" s="172">
        <v>2013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7"/>
      <c r="O71" s="31"/>
      <c r="P71" s="181"/>
    </row>
    <row r="72" spans="1:16">
      <c r="A72" s="172">
        <v>2013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7"/>
      <c r="O72" s="31"/>
      <c r="P72" s="181"/>
    </row>
    <row r="73" spans="1:16">
      <c r="A73" s="172">
        <v>2013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7"/>
      <c r="O73" s="31"/>
      <c r="P73" s="181"/>
    </row>
    <row r="74" spans="1:16">
      <c r="A74" s="172">
        <v>2013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7"/>
      <c r="O74" s="31"/>
      <c r="P74" s="181"/>
    </row>
    <row r="75" spans="1:16">
      <c r="A75" s="172">
        <v>2013</v>
      </c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7"/>
      <c r="O75" s="31"/>
      <c r="P75" s="181"/>
    </row>
    <row r="76" spans="1:16">
      <c r="A76" s="172">
        <v>2013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7"/>
      <c r="O76" s="31"/>
      <c r="P76" s="181"/>
    </row>
    <row r="77" spans="1:16">
      <c r="A77" s="172">
        <v>2013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7"/>
      <c r="O77" s="31"/>
      <c r="P77" s="181"/>
    </row>
    <row r="78" spans="1:16">
      <c r="A78" s="172">
        <v>2013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7"/>
      <c r="O78" s="31"/>
      <c r="P78" s="181"/>
    </row>
    <row r="79" spans="1:16">
      <c r="A79" s="172">
        <v>2013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7"/>
      <c r="O79" s="31"/>
      <c r="P79" s="181"/>
    </row>
    <row r="80" spans="1:16">
      <c r="A80" s="172">
        <v>2013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7"/>
      <c r="O80" s="31"/>
      <c r="P80" s="181"/>
    </row>
    <row r="81" spans="1:16">
      <c r="A81" s="172">
        <v>2013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7"/>
      <c r="O81" s="31"/>
      <c r="P81" s="181"/>
    </row>
    <row r="82" spans="1:16" ht="12" thickBot="1">
      <c r="A82" s="174">
        <v>2013</v>
      </c>
      <c r="B82" s="211">
        <f>SUM(B67:B81)</f>
        <v>0</v>
      </c>
      <c r="C82" s="211">
        <f t="shared" ref="C82:M82" si="7">SUM(C67:C81)</f>
        <v>0</v>
      </c>
      <c r="D82" s="211">
        <f t="shared" si="7"/>
        <v>0</v>
      </c>
      <c r="E82" s="211">
        <f t="shared" si="7"/>
        <v>0</v>
      </c>
      <c r="F82" s="211">
        <f t="shared" si="7"/>
        <v>0</v>
      </c>
      <c r="G82" s="211">
        <f t="shared" si="7"/>
        <v>0</v>
      </c>
      <c r="H82" s="211">
        <f t="shared" si="7"/>
        <v>0</v>
      </c>
      <c r="I82" s="211">
        <f t="shared" si="7"/>
        <v>0</v>
      </c>
      <c r="J82" s="211">
        <f t="shared" si="7"/>
        <v>1</v>
      </c>
      <c r="K82" s="211">
        <f t="shared" si="7"/>
        <v>0</v>
      </c>
      <c r="L82" s="211">
        <f t="shared" si="7"/>
        <v>52.5</v>
      </c>
      <c r="M82" s="211">
        <f t="shared" si="7"/>
        <v>0</v>
      </c>
      <c r="N82" s="86">
        <f>SUM(B82:M82)</f>
        <v>53.5</v>
      </c>
      <c r="O82" s="311">
        <v>111</v>
      </c>
      <c r="P82" s="350"/>
    </row>
    <row r="83" spans="1:16">
      <c r="A83" s="167">
        <v>2014</v>
      </c>
      <c r="B83" s="17"/>
      <c r="C83" s="17"/>
      <c r="D83" s="17"/>
      <c r="E83" s="17"/>
      <c r="F83" s="17"/>
      <c r="G83" s="17"/>
      <c r="H83" s="17"/>
      <c r="I83" s="17"/>
      <c r="J83" s="17">
        <v>0.76</v>
      </c>
      <c r="K83" s="17"/>
      <c r="L83" s="17"/>
      <c r="M83" s="17"/>
      <c r="N83" s="17"/>
      <c r="O83" s="71"/>
      <c r="P83" s="181" t="s">
        <v>201</v>
      </c>
    </row>
    <row r="84" spans="1:16">
      <c r="A84" s="167">
        <v>2014</v>
      </c>
      <c r="B84" s="17"/>
      <c r="C84" s="17"/>
      <c r="D84" s="17"/>
      <c r="E84" s="17"/>
      <c r="F84" s="17"/>
      <c r="G84" s="17"/>
      <c r="H84" s="17"/>
      <c r="I84" s="17"/>
      <c r="J84" s="17"/>
      <c r="K84" s="17">
        <v>5.2</v>
      </c>
      <c r="L84" s="17"/>
      <c r="M84" s="17"/>
      <c r="N84" s="17"/>
      <c r="O84" s="71"/>
      <c r="P84" s="181" t="s">
        <v>209</v>
      </c>
    </row>
    <row r="85" spans="1:16">
      <c r="A85" s="167">
        <v>2014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71"/>
      <c r="P85" s="181"/>
    </row>
    <row r="86" spans="1:16">
      <c r="A86" s="167">
        <v>2014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71"/>
      <c r="P86" s="181"/>
    </row>
    <row r="87" spans="1:16">
      <c r="A87" s="167">
        <v>2014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71"/>
      <c r="P87" s="81"/>
    </row>
    <row r="88" spans="1:16">
      <c r="A88" s="167">
        <v>2014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71"/>
      <c r="P88" s="81"/>
    </row>
    <row r="89" spans="1:16">
      <c r="A89" s="167">
        <v>2014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71"/>
      <c r="P89" s="81"/>
    </row>
    <row r="90" spans="1:16" ht="12" thickBot="1">
      <c r="A90" s="184">
        <v>2014</v>
      </c>
      <c r="B90" s="217">
        <f>SUM(B83:B89)</f>
        <v>0</v>
      </c>
      <c r="C90" s="217">
        <f t="shared" ref="C90:M90" si="8">SUM(C83:C89)</f>
        <v>0</v>
      </c>
      <c r="D90" s="217">
        <f t="shared" si="8"/>
        <v>0</v>
      </c>
      <c r="E90" s="217">
        <f t="shared" si="8"/>
        <v>0</v>
      </c>
      <c r="F90" s="217">
        <f t="shared" si="8"/>
        <v>0</v>
      </c>
      <c r="G90" s="217">
        <f t="shared" si="8"/>
        <v>0</v>
      </c>
      <c r="H90" s="217">
        <f t="shared" si="8"/>
        <v>0</v>
      </c>
      <c r="I90" s="217">
        <f t="shared" si="8"/>
        <v>0</v>
      </c>
      <c r="J90" s="217">
        <f t="shared" si="8"/>
        <v>0.76</v>
      </c>
      <c r="K90" s="217">
        <f t="shared" si="8"/>
        <v>5.2</v>
      </c>
      <c r="L90" s="217">
        <f t="shared" si="8"/>
        <v>0</v>
      </c>
      <c r="M90" s="217">
        <f t="shared" si="8"/>
        <v>0</v>
      </c>
      <c r="N90" s="84">
        <f>SUM(B90:M90)</f>
        <v>5.96</v>
      </c>
      <c r="O90" s="307">
        <v>11</v>
      </c>
      <c r="P90" s="123"/>
    </row>
    <row r="91" spans="1:16">
      <c r="A91" s="183">
        <v>2015</v>
      </c>
      <c r="B91" s="17"/>
      <c r="C91" s="17"/>
      <c r="D91" s="17"/>
      <c r="E91" s="17">
        <v>4.59</v>
      </c>
      <c r="F91" s="17">
        <v>3.35</v>
      </c>
      <c r="G91" s="17"/>
      <c r="H91" s="17"/>
      <c r="I91" s="17"/>
      <c r="J91" s="17"/>
      <c r="K91" s="17"/>
      <c r="L91" s="17"/>
      <c r="M91" s="17"/>
      <c r="N91" s="17"/>
      <c r="O91" s="71"/>
      <c r="P91" s="181" t="s">
        <v>211</v>
      </c>
    </row>
    <row r="92" spans="1:16">
      <c r="A92" s="165">
        <v>2015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7"/>
      <c r="O92" s="71"/>
      <c r="P92" s="81"/>
    </row>
    <row r="93" spans="1:16">
      <c r="A93" s="165">
        <v>2015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7"/>
      <c r="O93" s="71"/>
      <c r="P93" s="81"/>
    </row>
    <row r="94" spans="1:16">
      <c r="A94" s="165">
        <v>2015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7"/>
      <c r="O94" s="71"/>
      <c r="P94" s="81"/>
    </row>
    <row r="95" spans="1:16">
      <c r="A95" s="165">
        <v>2015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7"/>
      <c r="O95" s="71"/>
      <c r="P95" s="126"/>
    </row>
    <row r="96" spans="1:16" ht="12" thickBot="1">
      <c r="A96" s="185">
        <v>2015</v>
      </c>
      <c r="B96" s="211">
        <f>SUM(B91:B95)</f>
        <v>0</v>
      </c>
      <c r="C96" s="211">
        <f t="shared" ref="C96:M96" si="9">SUM(C91:C95)</f>
        <v>0</v>
      </c>
      <c r="D96" s="211">
        <f t="shared" si="9"/>
        <v>0</v>
      </c>
      <c r="E96" s="211">
        <f t="shared" si="9"/>
        <v>4.59</v>
      </c>
      <c r="F96" s="211">
        <f t="shared" si="9"/>
        <v>3.35</v>
      </c>
      <c r="G96" s="211">
        <f t="shared" si="9"/>
        <v>0</v>
      </c>
      <c r="H96" s="211">
        <f t="shared" si="9"/>
        <v>0</v>
      </c>
      <c r="I96" s="211">
        <f t="shared" si="9"/>
        <v>0</v>
      </c>
      <c r="J96" s="211">
        <f t="shared" si="9"/>
        <v>0</v>
      </c>
      <c r="K96" s="211">
        <f t="shared" si="9"/>
        <v>0</v>
      </c>
      <c r="L96" s="211">
        <f t="shared" si="9"/>
        <v>0</v>
      </c>
      <c r="M96" s="211">
        <f t="shared" si="9"/>
        <v>0</v>
      </c>
      <c r="N96" s="211">
        <f>SUM(B96:M96)</f>
        <v>7.9399999999999995</v>
      </c>
      <c r="O96" s="307">
        <v>17</v>
      </c>
      <c r="P96" s="127"/>
    </row>
    <row r="97" spans="1:16">
      <c r="A97" s="12">
        <v>2016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71"/>
      <c r="P97" s="81"/>
    </row>
    <row r="98" spans="1:16">
      <c r="A98" s="12">
        <v>2016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7"/>
      <c r="O98" s="71"/>
      <c r="P98" s="81"/>
    </row>
    <row r="99" spans="1:16">
      <c r="A99" s="12">
        <v>2016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7"/>
      <c r="O99" s="71"/>
      <c r="P99" s="81"/>
    </row>
    <row r="100" spans="1:16">
      <c r="A100" s="12">
        <v>2016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7"/>
      <c r="O100" s="71"/>
      <c r="P100" s="81"/>
    </row>
    <row r="101" spans="1:16">
      <c r="A101" s="12">
        <v>2016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7"/>
      <c r="O101" s="71"/>
      <c r="P101" s="81"/>
    </row>
    <row r="102" spans="1:16" ht="12" thickBot="1">
      <c r="A102" s="15">
        <v>2016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07"/>
      <c r="P102" s="123"/>
    </row>
    <row r="103" spans="1:16">
      <c r="A103" s="12">
        <v>2017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>
        <f t="shared" ref="N103:N112" si="10">B103+C103+D103+E103+F103+G103+H103+I103+J103+K103+L103+M103</f>
        <v>0</v>
      </c>
      <c r="O103" s="71"/>
      <c r="P103" s="81"/>
    </row>
    <row r="104" spans="1:16">
      <c r="A104" s="2">
        <v>2018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7">
        <f t="shared" si="10"/>
        <v>0</v>
      </c>
      <c r="O104" s="71"/>
      <c r="P104" s="81"/>
    </row>
    <row r="105" spans="1:16">
      <c r="A105" s="2">
        <v>2019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7">
        <f t="shared" si="10"/>
        <v>0</v>
      </c>
      <c r="O105" s="71"/>
      <c r="P105" s="81"/>
    </row>
    <row r="106" spans="1:16" ht="12" thickBot="1">
      <c r="A106" s="15">
        <v>2020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6">
        <f t="shared" si="10"/>
        <v>0</v>
      </c>
      <c r="O106" s="311"/>
      <c r="P106" s="127"/>
    </row>
    <row r="107" spans="1:16">
      <c r="A107" s="167">
        <v>2021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>
        <f t="shared" si="10"/>
        <v>0</v>
      </c>
      <c r="O107" s="71"/>
      <c r="P107" s="81" t="s">
        <v>253</v>
      </c>
    </row>
    <row r="108" spans="1:16">
      <c r="A108" s="166">
        <v>2021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7">
        <f t="shared" si="10"/>
        <v>0</v>
      </c>
      <c r="O108" s="71"/>
      <c r="P108" s="81"/>
    </row>
    <row r="109" spans="1:16">
      <c r="A109" s="166">
        <v>2021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7">
        <f t="shared" si="10"/>
        <v>0</v>
      </c>
      <c r="O109" s="71"/>
      <c r="P109" s="81"/>
    </row>
    <row r="110" spans="1:16">
      <c r="A110" s="166">
        <v>2021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7">
        <f t="shared" si="10"/>
        <v>0</v>
      </c>
      <c r="O110" s="71"/>
      <c r="P110" s="81"/>
    </row>
    <row r="111" spans="1:16">
      <c r="A111" s="166">
        <v>2021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7">
        <f t="shared" si="10"/>
        <v>0</v>
      </c>
      <c r="O111" s="71"/>
      <c r="P111" s="81"/>
    </row>
    <row r="112" spans="1:16" ht="12" thickBot="1">
      <c r="A112" s="184">
        <v>2021</v>
      </c>
      <c r="B112" s="217">
        <f>SUM(B107:B111)</f>
        <v>0</v>
      </c>
      <c r="C112" s="217">
        <f t="shared" ref="C112:M112" si="11">SUM(C107:C111)</f>
        <v>0</v>
      </c>
      <c r="D112" s="217">
        <f t="shared" si="11"/>
        <v>0</v>
      </c>
      <c r="E112" s="217">
        <f t="shared" si="11"/>
        <v>0</v>
      </c>
      <c r="F112" s="217">
        <f t="shared" si="11"/>
        <v>0</v>
      </c>
      <c r="G112" s="217">
        <f t="shared" si="11"/>
        <v>0</v>
      </c>
      <c r="H112" s="217">
        <f t="shared" si="11"/>
        <v>0</v>
      </c>
      <c r="I112" s="217">
        <f t="shared" si="11"/>
        <v>0</v>
      </c>
      <c r="J112" s="217">
        <f t="shared" si="11"/>
        <v>0</v>
      </c>
      <c r="K112" s="217">
        <f t="shared" si="11"/>
        <v>0</v>
      </c>
      <c r="L112" s="217">
        <f t="shared" si="11"/>
        <v>0</v>
      </c>
      <c r="M112" s="217">
        <f t="shared" si="11"/>
        <v>0</v>
      </c>
      <c r="N112" s="86">
        <f t="shared" si="10"/>
        <v>0</v>
      </c>
      <c r="O112" s="311"/>
      <c r="P112" s="127"/>
    </row>
    <row r="113" spans="1:16">
      <c r="A113" s="433">
        <v>2022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310"/>
      <c r="P113" s="81"/>
    </row>
    <row r="114" spans="1:16">
      <c r="A114" s="434"/>
      <c r="B114" s="18"/>
      <c r="C114" s="18">
        <v>50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7"/>
      <c r="O114" s="71"/>
      <c r="P114" s="28" t="s">
        <v>43</v>
      </c>
    </row>
    <row r="115" spans="1:16">
      <c r="A115" s="434"/>
      <c r="B115" s="18"/>
      <c r="C115" s="18"/>
      <c r="D115" s="18">
        <v>100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7"/>
      <c r="O115" s="71"/>
      <c r="P115" s="28" t="s">
        <v>44</v>
      </c>
    </row>
    <row r="116" spans="1:16">
      <c r="A116" s="434"/>
      <c r="B116" s="18"/>
      <c r="C116" s="18"/>
      <c r="D116" s="18"/>
      <c r="E116" s="18">
        <v>100</v>
      </c>
      <c r="F116" s="18"/>
      <c r="G116" s="18"/>
      <c r="H116" s="18"/>
      <c r="I116" s="18"/>
      <c r="J116" s="18"/>
      <c r="K116" s="18"/>
      <c r="L116" s="18"/>
      <c r="M116" s="18"/>
      <c r="N116" s="17"/>
      <c r="O116" s="71"/>
      <c r="P116" s="28" t="s">
        <v>44</v>
      </c>
    </row>
    <row r="117" spans="1:16" ht="12" thickBot="1">
      <c r="A117" s="435"/>
      <c r="B117" s="211">
        <f>SUM(B113:B116)</f>
        <v>0</v>
      </c>
      <c r="C117" s="211">
        <f t="shared" ref="C117:M117" si="12">SUM(C113:C116)</f>
        <v>50</v>
      </c>
      <c r="D117" s="211">
        <f t="shared" si="12"/>
        <v>100</v>
      </c>
      <c r="E117" s="211">
        <f t="shared" si="12"/>
        <v>100</v>
      </c>
      <c r="F117" s="211">
        <f t="shared" si="12"/>
        <v>0</v>
      </c>
      <c r="G117" s="211">
        <f t="shared" si="12"/>
        <v>0</v>
      </c>
      <c r="H117" s="211">
        <f t="shared" si="12"/>
        <v>0</v>
      </c>
      <c r="I117" s="211">
        <f t="shared" si="12"/>
        <v>0</v>
      </c>
      <c r="J117" s="211">
        <f t="shared" si="12"/>
        <v>0</v>
      </c>
      <c r="K117" s="211">
        <f t="shared" si="12"/>
        <v>0</v>
      </c>
      <c r="L117" s="211">
        <f t="shared" si="12"/>
        <v>0</v>
      </c>
      <c r="M117" s="211">
        <f t="shared" si="12"/>
        <v>0</v>
      </c>
      <c r="N117" s="86">
        <f>SUM(B117:M117)</f>
        <v>250</v>
      </c>
      <c r="O117" s="311">
        <v>285</v>
      </c>
      <c r="P117" s="349"/>
    </row>
    <row r="118" spans="1:16" s="115" customFormat="1">
      <c r="A118" s="390">
        <v>2023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>
        <v>250</v>
      </c>
      <c r="M118" s="17"/>
      <c r="N118" s="17">
        <f t="shared" ref="N118" si="13">B118+C118+D118+E118+F118+G118+H118+I118+J118+K118+L118+M118</f>
        <v>250</v>
      </c>
      <c r="O118" s="71">
        <v>254</v>
      </c>
      <c r="P118" s="126" t="s">
        <v>485</v>
      </c>
    </row>
    <row r="119" spans="1:16" s="115" customFormat="1">
      <c r="A119" s="30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31"/>
      <c r="P119" s="126"/>
    </row>
    <row r="120" spans="1:16" s="115" customFormat="1">
      <c r="A120" s="3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31"/>
      <c r="P120" s="126"/>
    </row>
    <row r="121" spans="1:16" s="115" customFormat="1">
      <c r="A121" s="30">
        <v>2024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31"/>
      <c r="P121" s="126"/>
    </row>
    <row r="122" spans="1:16">
      <c r="A122" s="2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>
        <f>B122+C122+D122+E122+F122+G122+H122+I122+J122+K122+L122+M122</f>
        <v>0</v>
      </c>
      <c r="O122" s="31"/>
      <c r="P122" s="81"/>
    </row>
    <row r="123" spans="1:16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18">
        <f>SUM(N3:N122)</f>
        <v>1817.44</v>
      </c>
      <c r="O123" s="31">
        <f>SUM(O3:O122)</f>
        <v>5109</v>
      </c>
      <c r="P123" s="81"/>
    </row>
    <row r="124" spans="1:16">
      <c r="O124" s="240" t="s">
        <v>469</v>
      </c>
      <c r="P124" s="81"/>
    </row>
    <row r="125" spans="1:16">
      <c r="P125" s="81"/>
    </row>
    <row r="126" spans="1:16" ht="15.75">
      <c r="A126" s="432" t="s">
        <v>42</v>
      </c>
      <c r="B126" s="432"/>
      <c r="C126" s="432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81"/>
    </row>
    <row r="127" spans="1:16">
      <c r="P127" s="81"/>
    </row>
    <row r="128" spans="1:16">
      <c r="F128" s="23"/>
      <c r="P128" s="81"/>
    </row>
    <row r="129" spans="2:16">
      <c r="B129" s="77"/>
      <c r="C129" s="77"/>
      <c r="D129" s="77"/>
      <c r="E129" s="77"/>
      <c r="F129" s="77"/>
      <c r="G129" s="5"/>
      <c r="P129" s="81"/>
    </row>
    <row r="130" spans="2:16">
      <c r="C130" s="77"/>
      <c r="D130" s="77"/>
      <c r="E130" s="77"/>
      <c r="F130" s="77"/>
      <c r="G130" s="5"/>
    </row>
    <row r="131" spans="2:16">
      <c r="C131" s="77"/>
      <c r="D131" s="77"/>
      <c r="E131" s="77"/>
      <c r="F131" s="77"/>
    </row>
    <row r="132" spans="2:16">
      <c r="C132" s="77"/>
      <c r="D132" s="77"/>
      <c r="E132" s="77"/>
      <c r="F132" s="77"/>
      <c r="H132" s="75"/>
    </row>
    <row r="133" spans="2:16">
      <c r="C133" s="77"/>
      <c r="D133" s="77"/>
      <c r="E133" s="77"/>
      <c r="F133" s="77"/>
    </row>
  </sheetData>
  <mergeCells count="19">
    <mergeCell ref="N1:N2"/>
    <mergeCell ref="O1:O2"/>
    <mergeCell ref="A28:A30"/>
    <mergeCell ref="A3:A5"/>
    <mergeCell ref="A9:A11"/>
    <mergeCell ref="A12:A14"/>
    <mergeCell ref="A6:A8"/>
    <mergeCell ref="A126:O126"/>
    <mergeCell ref="A24:A27"/>
    <mergeCell ref="A113:A117"/>
    <mergeCell ref="A54:A60"/>
    <mergeCell ref="A15:A17"/>
    <mergeCell ref="A21:A23"/>
    <mergeCell ref="A39:A45"/>
    <mergeCell ref="A34:A38"/>
    <mergeCell ref="A31:A33"/>
    <mergeCell ref="A18:A20"/>
    <mergeCell ref="A46:A53"/>
    <mergeCell ref="A61:A6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pane ySplit="1" topLeftCell="A32" activePane="bottomLeft" state="frozen"/>
      <selection pane="bottomLeft" activeCell="D66" sqref="D66"/>
    </sheetView>
  </sheetViews>
  <sheetFormatPr defaultRowHeight="11.25"/>
  <cols>
    <col min="1" max="1" width="3.44140625" style="1" bestFit="1" customWidth="1"/>
    <col min="2" max="3" width="8.109375" style="1" customWidth="1"/>
    <col min="4" max="4" width="11.109375" style="1" customWidth="1"/>
    <col min="5" max="5" width="22.109375" style="1" customWidth="1"/>
    <col min="6" max="6" width="14.77734375" style="1" bestFit="1" customWidth="1"/>
    <col min="7" max="16384" width="8.88671875" style="1"/>
  </cols>
  <sheetData>
    <row r="1" spans="1:6" s="38" customFormat="1">
      <c r="A1" s="37"/>
      <c r="B1" s="39" t="s">
        <v>53</v>
      </c>
      <c r="C1" s="39" t="s">
        <v>16</v>
      </c>
      <c r="D1" s="39" t="s">
        <v>13</v>
      </c>
    </row>
    <row r="2" spans="1:6">
      <c r="A2" s="2">
        <v>1998</v>
      </c>
      <c r="B2" s="25"/>
      <c r="C2" s="25"/>
      <c r="D2" s="25"/>
      <c r="F2" s="28"/>
    </row>
    <row r="3" spans="1:6">
      <c r="A3" s="2">
        <v>1999</v>
      </c>
      <c r="B3" s="4"/>
      <c r="C3" s="4"/>
      <c r="D3" s="4"/>
      <c r="E3" s="125"/>
      <c r="F3" s="28"/>
    </row>
    <row r="4" spans="1:6">
      <c r="A4" s="2">
        <v>2000</v>
      </c>
      <c r="B4" s="21"/>
      <c r="C4" s="21"/>
      <c r="D4" s="21"/>
      <c r="E4" s="125"/>
      <c r="F4" s="28"/>
    </row>
    <row r="5" spans="1:6">
      <c r="A5" s="2">
        <v>2001</v>
      </c>
      <c r="B5" s="25"/>
      <c r="C5" s="25"/>
      <c r="D5" s="25"/>
      <c r="F5" s="28"/>
    </row>
    <row r="6" spans="1:6">
      <c r="A6" s="2">
        <v>2002</v>
      </c>
      <c r="B6" s="25"/>
      <c r="C6" s="25"/>
      <c r="D6" s="306"/>
    </row>
    <row r="7" spans="1:6" ht="12" thickBot="1">
      <c r="A7" s="15">
        <v>2003</v>
      </c>
      <c r="B7" s="41">
        <v>4034.49</v>
      </c>
      <c r="C7" s="41">
        <f>B7*30%</f>
        <v>1210.347</v>
      </c>
      <c r="D7" s="307">
        <v>12465</v>
      </c>
      <c r="E7" s="136" t="s">
        <v>59</v>
      </c>
    </row>
    <row r="8" spans="1:6">
      <c r="A8" s="434">
        <v>2004</v>
      </c>
      <c r="B8" s="17">
        <v>4034.49</v>
      </c>
      <c r="C8" s="40">
        <f t="shared" ref="C8:C67" si="0">B8*30%</f>
        <v>1210.347</v>
      </c>
      <c r="D8" s="308"/>
      <c r="E8" s="83" t="s">
        <v>59</v>
      </c>
    </row>
    <row r="9" spans="1:6">
      <c r="A9" s="434"/>
      <c r="B9" s="18">
        <v>1138.27</v>
      </c>
      <c r="C9" s="3">
        <f t="shared" si="0"/>
        <v>341.48099999999999</v>
      </c>
      <c r="D9" s="309"/>
      <c r="E9" s="83" t="s">
        <v>162</v>
      </c>
    </row>
    <row r="10" spans="1:6" ht="12" thickBot="1">
      <c r="A10" s="435"/>
      <c r="B10" s="87" t="s">
        <v>21</v>
      </c>
      <c r="C10" s="88">
        <f>SUM(C8:C9)</f>
        <v>1551.828</v>
      </c>
      <c r="D10" s="44">
        <v>14467</v>
      </c>
      <c r="E10" s="138" t="s">
        <v>60</v>
      </c>
    </row>
    <row r="11" spans="1:6" ht="12" thickBot="1">
      <c r="A11" s="436">
        <v>2005</v>
      </c>
      <c r="B11" s="85">
        <v>5172.76</v>
      </c>
      <c r="C11" s="42">
        <f t="shared" si="0"/>
        <v>1551.828</v>
      </c>
      <c r="D11" s="310">
        <v>13056</v>
      </c>
      <c r="E11" s="138" t="s">
        <v>60</v>
      </c>
      <c r="F11" s="120" t="s">
        <v>63</v>
      </c>
    </row>
    <row r="12" spans="1:6" ht="12" thickBot="1">
      <c r="A12" s="438"/>
      <c r="B12" s="86"/>
      <c r="C12" s="69"/>
      <c r="D12" s="311"/>
      <c r="E12" s="119" t="s">
        <v>61</v>
      </c>
    </row>
    <row r="13" spans="1:6">
      <c r="A13" s="433">
        <v>2006</v>
      </c>
      <c r="B13" s="85">
        <v>3383.76</v>
      </c>
      <c r="C13" s="89">
        <f t="shared" si="0"/>
        <v>1015.128</v>
      </c>
      <c r="D13" s="310">
        <v>7615</v>
      </c>
      <c r="E13" s="83" t="s">
        <v>161</v>
      </c>
      <c r="F13" s="1" t="s">
        <v>64</v>
      </c>
    </row>
    <row r="14" spans="1:6" ht="12" thickBot="1">
      <c r="A14" s="435"/>
      <c r="B14" s="145"/>
      <c r="C14" s="145">
        <f t="shared" si="0"/>
        <v>0</v>
      </c>
      <c r="D14" s="312"/>
      <c r="E14" s="119" t="s">
        <v>62</v>
      </c>
    </row>
    <row r="15" spans="1:6" ht="12" thickBot="1">
      <c r="A15" s="91">
        <v>2007</v>
      </c>
      <c r="B15" s="141"/>
      <c r="C15" s="141">
        <f t="shared" si="0"/>
        <v>0</v>
      </c>
      <c r="D15" s="313"/>
      <c r="E15" s="119" t="s">
        <v>65</v>
      </c>
    </row>
    <row r="16" spans="1:6" ht="12" thickBot="1">
      <c r="A16" s="95">
        <v>2008</v>
      </c>
      <c r="B16" s="90">
        <v>19661.87</v>
      </c>
      <c r="C16" s="90">
        <f t="shared" si="0"/>
        <v>5898.5609999999997</v>
      </c>
      <c r="D16" s="314">
        <v>35446</v>
      </c>
      <c r="E16" s="138" t="s">
        <v>160</v>
      </c>
    </row>
    <row r="17" spans="1:6">
      <c r="A17" s="436">
        <v>2009</v>
      </c>
      <c r="B17" s="42">
        <v>19661.87</v>
      </c>
      <c r="C17" s="144"/>
      <c r="D17" s="315"/>
      <c r="E17" s="83" t="s">
        <v>94</v>
      </c>
      <c r="F17" s="1" t="s">
        <v>119</v>
      </c>
    </row>
    <row r="18" spans="1:6">
      <c r="A18" s="437"/>
      <c r="B18" s="40">
        <v>18287</v>
      </c>
      <c r="C18" s="21"/>
      <c r="D18" s="193"/>
      <c r="E18" s="1" t="s">
        <v>120</v>
      </c>
    </row>
    <row r="19" spans="1:6" ht="12" thickBot="1">
      <c r="A19" s="438"/>
      <c r="B19" s="69">
        <f>B17-B18</f>
        <v>1374.869999999999</v>
      </c>
      <c r="C19" s="69">
        <f t="shared" si="0"/>
        <v>412.46099999999967</v>
      </c>
      <c r="D19" s="70">
        <v>7572</v>
      </c>
      <c r="E19" s="138" t="s">
        <v>95</v>
      </c>
      <c r="F19" s="1" t="s">
        <v>122</v>
      </c>
    </row>
    <row r="20" spans="1:6">
      <c r="A20" s="433">
        <v>2010</v>
      </c>
      <c r="B20" s="42">
        <v>1374.87</v>
      </c>
      <c r="C20" s="143"/>
      <c r="D20" s="315"/>
      <c r="E20" s="134" t="s">
        <v>117</v>
      </c>
      <c r="F20" s="1" t="s">
        <v>118</v>
      </c>
    </row>
    <row r="21" spans="1:6">
      <c r="A21" s="434"/>
      <c r="B21" s="40">
        <v>11847.93</v>
      </c>
      <c r="C21" s="4"/>
      <c r="D21" s="193"/>
      <c r="E21" s="137" t="s">
        <v>121</v>
      </c>
      <c r="F21" s="83"/>
    </row>
    <row r="22" spans="1:6" ht="12" thickBot="1">
      <c r="A22" s="435"/>
      <c r="B22" s="69"/>
      <c r="C22" s="41">
        <v>4200</v>
      </c>
      <c r="D22" s="316"/>
      <c r="E22" s="136" t="s">
        <v>123</v>
      </c>
    </row>
    <row r="23" spans="1:6">
      <c r="A23" s="437">
        <v>2011</v>
      </c>
      <c r="B23" s="40"/>
      <c r="C23" s="131">
        <v>4200</v>
      </c>
      <c r="D23" s="308"/>
      <c r="E23" s="134" t="s">
        <v>152</v>
      </c>
    </row>
    <row r="24" spans="1:6">
      <c r="A24" s="437"/>
      <c r="B24" s="40">
        <v>20262.54</v>
      </c>
      <c r="C24" s="3">
        <v>2972.29</v>
      </c>
      <c r="D24" s="308"/>
      <c r="E24" s="134" t="s">
        <v>153</v>
      </c>
    </row>
    <row r="25" spans="1:6">
      <c r="A25" s="437"/>
      <c r="B25" s="131"/>
      <c r="C25" s="132">
        <v>520</v>
      </c>
      <c r="D25" s="317"/>
      <c r="E25" s="134" t="s">
        <v>156</v>
      </c>
    </row>
    <row r="26" spans="1:6">
      <c r="A26" s="437"/>
      <c r="B26" s="3"/>
      <c r="C26" s="3">
        <v>1227.71</v>
      </c>
      <c r="D26" s="309"/>
      <c r="E26" s="134" t="s">
        <v>154</v>
      </c>
    </row>
    <row r="27" spans="1:6" ht="12" thickBot="1">
      <c r="A27" s="438"/>
      <c r="B27" s="156" t="s">
        <v>21</v>
      </c>
      <c r="C27" s="41">
        <f>SUM(C23:C26)</f>
        <v>8920</v>
      </c>
      <c r="D27" s="307">
        <v>41209</v>
      </c>
      <c r="E27" s="136"/>
    </row>
    <row r="28" spans="1:6">
      <c r="A28" s="434">
        <v>2012</v>
      </c>
      <c r="B28" s="40"/>
      <c r="C28" s="40">
        <v>1227.71</v>
      </c>
      <c r="D28" s="193"/>
      <c r="E28" s="134" t="s">
        <v>154</v>
      </c>
    </row>
    <row r="29" spans="1:6">
      <c r="A29" s="434"/>
      <c r="B29" s="40"/>
      <c r="C29" s="3">
        <v>2972.29</v>
      </c>
      <c r="D29" s="193"/>
      <c r="E29" s="134" t="s">
        <v>155</v>
      </c>
    </row>
    <row r="30" spans="1:6">
      <c r="A30" s="434"/>
      <c r="B30" s="40"/>
      <c r="C30" s="132">
        <v>520</v>
      </c>
      <c r="D30" s="318"/>
      <c r="E30" s="134" t="s">
        <v>157</v>
      </c>
    </row>
    <row r="31" spans="1:6" ht="12" thickBot="1">
      <c r="A31" s="435"/>
      <c r="B31" s="69">
        <v>10861.26</v>
      </c>
      <c r="C31" s="41">
        <v>9.09</v>
      </c>
      <c r="D31" s="311">
        <v>39</v>
      </c>
      <c r="E31" s="135" t="s">
        <v>158</v>
      </c>
    </row>
    <row r="32" spans="1:6" ht="12" thickBot="1">
      <c r="A32" s="140">
        <v>2013</v>
      </c>
      <c r="B32" s="90">
        <v>3146.06</v>
      </c>
      <c r="C32" s="146">
        <f>B32*30%</f>
        <v>943.81799999999998</v>
      </c>
      <c r="D32" s="319">
        <v>3713</v>
      </c>
      <c r="E32" s="142" t="s">
        <v>163</v>
      </c>
    </row>
    <row r="33" spans="1:10">
      <c r="A33" s="477">
        <v>2014</v>
      </c>
      <c r="B33" s="42">
        <v>5294.91</v>
      </c>
      <c r="C33" s="42">
        <f t="shared" si="0"/>
        <v>1588.473</v>
      </c>
      <c r="D33" s="320"/>
      <c r="E33" s="147" t="s">
        <v>164</v>
      </c>
    </row>
    <row r="34" spans="1:10">
      <c r="A34" s="478"/>
      <c r="B34" s="3"/>
      <c r="C34" s="40">
        <v>940.8</v>
      </c>
      <c r="D34" s="321"/>
      <c r="E34" s="128" t="s">
        <v>159</v>
      </c>
    </row>
    <row r="35" spans="1:10">
      <c r="A35" s="478"/>
      <c r="B35" s="132">
        <v>3146.06</v>
      </c>
      <c r="C35" s="25"/>
      <c r="D35" s="306"/>
      <c r="E35" s="128"/>
    </row>
    <row r="36" spans="1:10" ht="12" thickBot="1">
      <c r="A36" s="479"/>
      <c r="B36" s="156" t="s">
        <v>21</v>
      </c>
      <c r="C36" s="86">
        <f>SUM(C28:C35)</f>
        <v>8202.1810000000005</v>
      </c>
      <c r="D36" s="311">
        <v>29999</v>
      </c>
      <c r="E36" s="149" t="s">
        <v>163</v>
      </c>
    </row>
    <row r="37" spans="1:10">
      <c r="A37" s="477">
        <v>2015</v>
      </c>
      <c r="B37" s="42">
        <v>9105.07</v>
      </c>
      <c r="C37" s="42">
        <v>2367</v>
      </c>
      <c r="D37" s="315"/>
      <c r="E37" s="150" t="s">
        <v>166</v>
      </c>
    </row>
    <row r="38" spans="1:10">
      <c r="A38" s="478"/>
      <c r="B38" s="3">
        <v>3146.6</v>
      </c>
      <c r="C38" s="21"/>
      <c r="D38" s="318"/>
      <c r="E38" s="134" t="s">
        <v>163</v>
      </c>
      <c r="F38" s="1" t="s">
        <v>165</v>
      </c>
    </row>
    <row r="39" spans="1:10">
      <c r="A39" s="478"/>
      <c r="B39" s="3">
        <v>5294.91</v>
      </c>
      <c r="C39" s="21"/>
      <c r="D39" s="318"/>
      <c r="E39" s="134" t="s">
        <v>164</v>
      </c>
      <c r="F39" s="1" t="s">
        <v>169</v>
      </c>
    </row>
    <row r="40" spans="1:10">
      <c r="A40" s="478"/>
      <c r="B40" s="3">
        <v>663.56</v>
      </c>
      <c r="C40" s="21"/>
      <c r="D40" s="318"/>
      <c r="E40" s="134" t="s">
        <v>167</v>
      </c>
    </row>
    <row r="41" spans="1:10" ht="12" thickBot="1">
      <c r="A41" s="479"/>
      <c r="B41" s="41"/>
      <c r="C41" s="69">
        <v>2653.72</v>
      </c>
      <c r="D41" s="312"/>
      <c r="E41" s="151" t="s">
        <v>168</v>
      </c>
    </row>
    <row r="42" spans="1:10">
      <c r="A42" s="477">
        <v>2016</v>
      </c>
      <c r="B42" s="42">
        <v>512.25</v>
      </c>
      <c r="C42" s="42">
        <f t="shared" si="0"/>
        <v>153.67499999999998</v>
      </c>
      <c r="D42" s="310">
        <v>487</v>
      </c>
      <c r="E42" s="147" t="s">
        <v>170</v>
      </c>
      <c r="J42" s="5"/>
    </row>
    <row r="43" spans="1:10">
      <c r="A43" s="478"/>
      <c r="B43" s="40"/>
      <c r="C43" s="40">
        <v>96</v>
      </c>
      <c r="D43" s="193"/>
      <c r="E43" s="152" t="s">
        <v>196</v>
      </c>
      <c r="J43" s="5"/>
    </row>
    <row r="44" spans="1:10" ht="12" thickBot="1">
      <c r="A44" s="479"/>
      <c r="B44" s="41">
        <v>663.56</v>
      </c>
      <c r="C44" s="148"/>
      <c r="D44" s="312"/>
      <c r="E44" s="136" t="s">
        <v>167</v>
      </c>
      <c r="J44" s="5"/>
    </row>
    <row r="45" spans="1:10">
      <c r="A45" s="477">
        <v>2017</v>
      </c>
      <c r="B45" s="42">
        <v>2700</v>
      </c>
      <c r="C45" s="42">
        <v>700.74</v>
      </c>
      <c r="D45" s="322"/>
      <c r="E45" s="150" t="s">
        <v>172</v>
      </c>
    </row>
    <row r="46" spans="1:10">
      <c r="A46" s="478"/>
      <c r="B46" s="3">
        <v>1500</v>
      </c>
      <c r="C46" s="40">
        <f>B46*30%</f>
        <v>450</v>
      </c>
      <c r="D46" s="309"/>
      <c r="E46" s="139" t="s">
        <v>171</v>
      </c>
    </row>
    <row r="47" spans="1:10">
      <c r="A47" s="478"/>
      <c r="B47" s="3">
        <v>663.56</v>
      </c>
      <c r="C47" s="4"/>
      <c r="D47" s="318"/>
      <c r="E47" s="134" t="s">
        <v>167</v>
      </c>
    </row>
    <row r="48" spans="1:10">
      <c r="A48" s="478"/>
      <c r="B48" s="132">
        <v>512.25</v>
      </c>
      <c r="C48" s="157"/>
      <c r="D48" s="323"/>
      <c r="E48" s="158" t="s">
        <v>170</v>
      </c>
    </row>
    <row r="49" spans="1:8" ht="12" thickBot="1">
      <c r="A49" s="479"/>
      <c r="B49" s="156" t="s">
        <v>21</v>
      </c>
      <c r="C49" s="84">
        <f>SUM(C45:C48)</f>
        <v>1150.74</v>
      </c>
      <c r="D49" s="307">
        <v>3400</v>
      </c>
      <c r="E49" s="136"/>
    </row>
    <row r="50" spans="1:8">
      <c r="A50" s="477">
        <v>2018</v>
      </c>
      <c r="B50" s="42">
        <v>7684.68</v>
      </c>
      <c r="C50" s="42">
        <f t="shared" si="0"/>
        <v>2305.404</v>
      </c>
      <c r="D50" s="310">
        <v>6351</v>
      </c>
      <c r="E50" s="147" t="s">
        <v>173</v>
      </c>
    </row>
    <row r="51" spans="1:8">
      <c r="A51" s="478"/>
      <c r="B51" s="3">
        <v>1500</v>
      </c>
      <c r="C51" s="16"/>
      <c r="D51" s="306"/>
      <c r="E51" s="139" t="s">
        <v>171</v>
      </c>
    </row>
    <row r="52" spans="1:8">
      <c r="A52" s="478"/>
      <c r="B52" s="3">
        <v>663.56</v>
      </c>
      <c r="C52" s="16"/>
      <c r="D52" s="318"/>
      <c r="E52" s="134" t="s">
        <v>167</v>
      </c>
    </row>
    <row r="53" spans="1:8" ht="12" thickBot="1">
      <c r="A53" s="479"/>
      <c r="B53" s="41">
        <v>512.25</v>
      </c>
      <c r="C53" s="114"/>
      <c r="D53" s="324"/>
      <c r="E53" s="136" t="s">
        <v>170</v>
      </c>
    </row>
    <row r="54" spans="1:8">
      <c r="A54" s="477">
        <v>2019</v>
      </c>
      <c r="B54" s="89">
        <v>8014.84</v>
      </c>
      <c r="C54" s="89">
        <v>1263.26</v>
      </c>
      <c r="D54" s="325">
        <v>5923</v>
      </c>
      <c r="E54" s="147" t="s">
        <v>174</v>
      </c>
    </row>
    <row r="55" spans="1:8">
      <c r="A55" s="478"/>
      <c r="B55" s="3">
        <v>7684.68</v>
      </c>
      <c r="C55" s="25"/>
      <c r="D55" s="306"/>
      <c r="E55" s="134" t="s">
        <v>173</v>
      </c>
      <c r="F55" s="1" t="s">
        <v>176</v>
      </c>
    </row>
    <row r="56" spans="1:8">
      <c r="A56" s="478"/>
      <c r="B56" s="3">
        <v>1500</v>
      </c>
      <c r="C56" s="25"/>
      <c r="D56" s="306"/>
      <c r="E56" s="139" t="s">
        <v>171</v>
      </c>
      <c r="G56" s="1" t="s">
        <v>175</v>
      </c>
    </row>
    <row r="57" spans="1:8">
      <c r="A57" s="478"/>
      <c r="B57" s="3">
        <v>663.56</v>
      </c>
      <c r="C57" s="25"/>
      <c r="D57" s="318"/>
      <c r="E57" s="134" t="s">
        <v>167</v>
      </c>
      <c r="F57" s="1" t="s">
        <v>175</v>
      </c>
    </row>
    <row r="58" spans="1:8">
      <c r="A58" s="478"/>
      <c r="B58" s="3">
        <v>512.25</v>
      </c>
      <c r="C58" s="25"/>
      <c r="D58" s="306"/>
      <c r="E58" s="134" t="s">
        <v>170</v>
      </c>
      <c r="F58" s="1" t="s">
        <v>175</v>
      </c>
      <c r="H58" s="5"/>
    </row>
    <row r="59" spans="1:8" ht="12" thickBot="1">
      <c r="A59" s="479"/>
      <c r="B59" s="69">
        <v>2345.65</v>
      </c>
      <c r="C59" s="148"/>
      <c r="D59" s="312"/>
      <c r="E59" s="136" t="s">
        <v>179</v>
      </c>
      <c r="H59" s="5"/>
    </row>
    <row r="60" spans="1:8">
      <c r="A60" s="477">
        <v>2020</v>
      </c>
      <c r="B60" s="42">
        <v>2600.31</v>
      </c>
      <c r="C60" s="42">
        <v>234.03</v>
      </c>
      <c r="D60" s="322"/>
      <c r="E60" s="147" t="s">
        <v>174</v>
      </c>
    </row>
    <row r="61" spans="1:8">
      <c r="A61" s="478"/>
      <c r="B61" s="3">
        <v>2345.65</v>
      </c>
      <c r="C61" s="21"/>
      <c r="D61" s="318"/>
      <c r="E61" s="134" t="s">
        <v>180</v>
      </c>
      <c r="G61" s="1" t="s">
        <v>177</v>
      </c>
    </row>
    <row r="62" spans="1:8">
      <c r="A62" s="478"/>
      <c r="B62" s="132"/>
      <c r="C62" s="18">
        <v>128.72</v>
      </c>
      <c r="D62" s="309"/>
      <c r="E62" s="134"/>
    </row>
    <row r="63" spans="1:8" ht="12" thickBot="1">
      <c r="A63" s="479"/>
      <c r="B63" s="156" t="s">
        <v>21</v>
      </c>
      <c r="C63" s="69">
        <f>SUM(C60:C62)</f>
        <v>362.75</v>
      </c>
      <c r="D63" s="311">
        <v>869</v>
      </c>
      <c r="E63" s="136" t="s">
        <v>178</v>
      </c>
    </row>
    <row r="64" spans="1:8" ht="12" thickBot="1">
      <c r="A64" s="140">
        <v>2021</v>
      </c>
      <c r="B64" s="141"/>
      <c r="C64" s="141"/>
      <c r="D64" s="326"/>
      <c r="E64" s="153"/>
    </row>
    <row r="65" spans="1:8" ht="12" thickBot="1">
      <c r="A65" s="366">
        <v>2022</v>
      </c>
      <c r="B65" s="90">
        <v>1592.5</v>
      </c>
      <c r="C65" s="90">
        <f t="shared" si="0"/>
        <v>477.75</v>
      </c>
      <c r="D65" s="314">
        <v>995</v>
      </c>
      <c r="E65" s="153"/>
    </row>
    <row r="66" spans="1:8">
      <c r="A66" s="364">
        <v>2023</v>
      </c>
      <c r="B66" s="40"/>
      <c r="C66" s="40">
        <f t="shared" si="0"/>
        <v>0</v>
      </c>
      <c r="D66" s="327"/>
    </row>
    <row r="67" spans="1:8">
      <c r="A67" s="365"/>
      <c r="B67" s="3"/>
      <c r="C67" s="40">
        <f t="shared" si="0"/>
        <v>0</v>
      </c>
      <c r="D67" s="32"/>
    </row>
    <row r="68" spans="1:8">
      <c r="A68" s="2"/>
      <c r="B68" s="156" t="s">
        <v>21</v>
      </c>
      <c r="C68" s="3">
        <f>C7+C10+C13+C16+C19+C27+C31+C32+C36+C42+C45+C46+C50+C54+C60+C63+C65</f>
        <v>34111.022999999994</v>
      </c>
      <c r="D68" s="32">
        <f>SUM(D2:D67)</f>
        <v>183606</v>
      </c>
      <c r="E68" s="82">
        <v>45353</v>
      </c>
      <c r="F68" s="83" t="s">
        <v>488</v>
      </c>
    </row>
    <row r="69" spans="1:8">
      <c r="D69" s="75"/>
    </row>
    <row r="70" spans="1:8">
      <c r="D70" s="75"/>
    </row>
    <row r="72" spans="1:8" ht="12.75">
      <c r="A72" s="474" t="s">
        <v>58</v>
      </c>
      <c r="B72" s="474"/>
      <c r="C72" s="474"/>
      <c r="D72" s="474"/>
      <c r="E72" s="474"/>
      <c r="F72" s="474"/>
      <c r="H72" s="249" t="s">
        <v>489</v>
      </c>
    </row>
    <row r="74" spans="1:8">
      <c r="B74" s="246"/>
      <c r="C74" s="246" t="s">
        <v>329</v>
      </c>
      <c r="D74" s="246" t="s">
        <v>300</v>
      </c>
      <c r="E74" s="246" t="s">
        <v>301</v>
      </c>
      <c r="F74" s="246" t="s">
        <v>14</v>
      </c>
      <c r="G74" s="246"/>
      <c r="H74" s="246"/>
    </row>
    <row r="75" spans="1:8">
      <c r="B75" s="28" t="s">
        <v>330</v>
      </c>
      <c r="C75" s="28">
        <v>100000</v>
      </c>
      <c r="D75" s="28">
        <v>33333</v>
      </c>
      <c r="E75" s="28">
        <f>C75*D75</f>
        <v>3333300000</v>
      </c>
      <c r="F75" s="28">
        <f>D68*E75/C68</f>
        <v>17941821322.685047</v>
      </c>
      <c r="G75" s="28"/>
    </row>
    <row r="76" spans="1:8">
      <c r="B76" s="1" t="s">
        <v>331</v>
      </c>
      <c r="C76" s="28">
        <v>222000</v>
      </c>
      <c r="D76" s="28">
        <v>10000</v>
      </c>
      <c r="E76" s="28">
        <f>C76*D76</f>
        <v>2220000000</v>
      </c>
      <c r="F76" s="28">
        <f>D68*E76/C68</f>
        <v>11949372494.633188</v>
      </c>
    </row>
    <row r="77" spans="1:8">
      <c r="E77" s="75">
        <f>SUM(E75:E76)</f>
        <v>5553300000</v>
      </c>
      <c r="F77" s="75">
        <f>SUM(F75:F76)</f>
        <v>29891193817.318237</v>
      </c>
    </row>
    <row r="79" spans="1:8">
      <c r="F79" s="75"/>
    </row>
  </sheetData>
  <mergeCells count="15">
    <mergeCell ref="A28:A31"/>
    <mergeCell ref="A72:F72"/>
    <mergeCell ref="A8:A10"/>
    <mergeCell ref="A11:A12"/>
    <mergeCell ref="A13:A14"/>
    <mergeCell ref="A17:A19"/>
    <mergeCell ref="A20:A22"/>
    <mergeCell ref="A23:A27"/>
    <mergeCell ref="A60:A63"/>
    <mergeCell ref="A54:A59"/>
    <mergeCell ref="A50:A53"/>
    <mergeCell ref="A45:A49"/>
    <mergeCell ref="A42:A44"/>
    <mergeCell ref="A37:A41"/>
    <mergeCell ref="A33:A3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pane ySplit="1" topLeftCell="A2" activePane="bottomLeft" state="frozen"/>
      <selection pane="bottomLeft" activeCell="D46" sqref="D46"/>
    </sheetView>
  </sheetViews>
  <sheetFormatPr defaultRowHeight="11.25"/>
  <cols>
    <col min="1" max="1" width="3.44140625" style="1" bestFit="1" customWidth="1"/>
    <col min="2" max="2" width="8.109375" style="1" customWidth="1"/>
    <col min="3" max="3" width="16.5546875" style="1" bestFit="1" customWidth="1"/>
    <col min="4" max="4" width="11.109375" style="1" customWidth="1"/>
    <col min="5" max="5" width="22.109375" style="1" customWidth="1"/>
    <col min="6" max="6" width="14.77734375" style="1" bestFit="1" customWidth="1"/>
    <col min="7" max="16384" width="8.88671875" style="1"/>
  </cols>
  <sheetData>
    <row r="1" spans="1:11" s="38" customFormat="1">
      <c r="A1" s="37"/>
      <c r="B1" s="39" t="s">
        <v>372</v>
      </c>
      <c r="C1" s="39"/>
      <c r="D1" s="39" t="s">
        <v>184</v>
      </c>
      <c r="F1" s="39" t="s">
        <v>13</v>
      </c>
      <c r="G1" s="39" t="s">
        <v>13</v>
      </c>
    </row>
    <row r="2" spans="1:11">
      <c r="A2" s="2">
        <v>1998</v>
      </c>
      <c r="B2" s="18"/>
      <c r="C2" s="18"/>
      <c r="D2" s="25"/>
      <c r="F2" s="304"/>
      <c r="G2" s="373"/>
      <c r="K2" s="227"/>
    </row>
    <row r="3" spans="1:11">
      <c r="A3" s="2">
        <v>1999</v>
      </c>
      <c r="B3" s="18"/>
      <c r="C3" s="18"/>
      <c r="D3" s="25"/>
      <c r="F3" s="304"/>
      <c r="G3" s="373"/>
      <c r="K3" s="227"/>
    </row>
    <row r="4" spans="1:11">
      <c r="A4" s="2">
        <v>2000</v>
      </c>
      <c r="B4" s="18"/>
      <c r="C4" s="411"/>
      <c r="D4" s="4"/>
      <c r="E4" s="158"/>
      <c r="F4" s="305"/>
      <c r="G4" s="373"/>
      <c r="K4" s="227"/>
    </row>
    <row r="5" spans="1:11">
      <c r="A5" s="2">
        <v>2001</v>
      </c>
      <c r="B5" s="18"/>
      <c r="C5" s="18"/>
      <c r="D5" s="25"/>
      <c r="F5" s="304"/>
      <c r="G5" s="373"/>
      <c r="K5" s="227"/>
    </row>
    <row r="6" spans="1:11">
      <c r="A6" s="2">
        <v>2002</v>
      </c>
      <c r="B6" s="25"/>
      <c r="C6" s="25"/>
      <c r="D6" s="25"/>
      <c r="F6" s="304"/>
      <c r="G6" s="373"/>
    </row>
    <row r="7" spans="1:11">
      <c r="A7" s="236">
        <v>2003</v>
      </c>
      <c r="B7" s="273"/>
      <c r="C7" s="273"/>
      <c r="D7" s="196">
        <v>4034.49</v>
      </c>
      <c r="F7" s="304"/>
      <c r="G7" s="304">
        <v>41549</v>
      </c>
    </row>
    <row r="8" spans="1:11">
      <c r="A8" s="236">
        <v>2004</v>
      </c>
      <c r="B8" s="273"/>
      <c r="C8" s="273"/>
      <c r="D8" s="196">
        <v>1138.27</v>
      </c>
      <c r="E8" s="303" t="s">
        <v>59</v>
      </c>
      <c r="F8" s="304"/>
      <c r="G8" s="304">
        <v>10612</v>
      </c>
    </row>
    <row r="9" spans="1:11">
      <c r="A9" s="236">
        <v>2005</v>
      </c>
      <c r="B9" s="273"/>
      <c r="C9" s="273"/>
      <c r="D9" s="196">
        <v>3160.52</v>
      </c>
      <c r="E9" s="303" t="s">
        <v>162</v>
      </c>
      <c r="F9" s="304"/>
      <c r="G9" s="304">
        <v>26590</v>
      </c>
    </row>
    <row r="10" spans="1:11">
      <c r="A10" s="236">
        <v>2006</v>
      </c>
      <c r="B10" s="273"/>
      <c r="C10" s="273"/>
      <c r="D10" s="196">
        <v>3383.76</v>
      </c>
      <c r="E10" s="303" t="s">
        <v>373</v>
      </c>
      <c r="F10" s="304"/>
      <c r="G10" s="304">
        <v>25382</v>
      </c>
    </row>
    <row r="11" spans="1:11">
      <c r="A11" s="236">
        <v>2007</v>
      </c>
      <c r="B11" s="273"/>
      <c r="C11" s="273"/>
      <c r="D11" s="196">
        <v>3071.52</v>
      </c>
      <c r="E11" s="303" t="s">
        <v>374</v>
      </c>
      <c r="F11" s="304"/>
      <c r="G11" s="304">
        <v>20443</v>
      </c>
    </row>
    <row r="12" spans="1:11">
      <c r="A12" s="236">
        <v>2008</v>
      </c>
      <c r="B12" s="273"/>
      <c r="C12" s="273"/>
      <c r="D12" s="196">
        <v>19661.87</v>
      </c>
      <c r="E12" s="303" t="s">
        <v>375</v>
      </c>
      <c r="F12" s="304"/>
      <c r="G12" s="304">
        <v>118154</v>
      </c>
    </row>
    <row r="13" spans="1:11">
      <c r="A13" s="236">
        <v>2009</v>
      </c>
      <c r="B13" s="273"/>
      <c r="C13" s="273"/>
      <c r="D13" s="196">
        <v>11241.32</v>
      </c>
      <c r="E13" s="303" t="s">
        <v>94</v>
      </c>
      <c r="F13" s="304"/>
      <c r="G13" s="304">
        <v>61914</v>
      </c>
    </row>
    <row r="14" spans="1:11">
      <c r="A14" s="236">
        <v>2010</v>
      </c>
      <c r="B14" s="273"/>
      <c r="C14" s="273"/>
      <c r="D14" s="273"/>
      <c r="E14" s="303" t="s">
        <v>95</v>
      </c>
      <c r="F14" s="304"/>
      <c r="G14" s="304"/>
      <c r="H14" s="134" t="s">
        <v>123</v>
      </c>
    </row>
    <row r="15" spans="1:11">
      <c r="A15" s="236">
        <v>2011</v>
      </c>
      <c r="B15" s="273"/>
      <c r="C15" s="273"/>
      <c r="D15" s="273"/>
      <c r="F15" s="304"/>
      <c r="G15" s="304"/>
      <c r="H15" s="134" t="s">
        <v>152</v>
      </c>
    </row>
    <row r="16" spans="1:11">
      <c r="A16" s="236">
        <v>2012</v>
      </c>
      <c r="B16" s="196">
        <v>11364.51</v>
      </c>
      <c r="C16" s="273"/>
      <c r="D16" s="273"/>
      <c r="F16" s="304">
        <v>48299</v>
      </c>
      <c r="G16" s="304"/>
    </row>
    <row r="17" spans="1:9">
      <c r="A17" s="236">
        <v>2013</v>
      </c>
      <c r="B17" s="196">
        <v>31741.26</v>
      </c>
      <c r="C17" s="158" t="s">
        <v>376</v>
      </c>
      <c r="D17" s="196">
        <v>3146.06</v>
      </c>
      <c r="F17" s="304">
        <v>124863</v>
      </c>
      <c r="G17" s="304">
        <v>12376</v>
      </c>
    </row>
    <row r="18" spans="1:9">
      <c r="A18" s="236">
        <v>2014</v>
      </c>
      <c r="B18" s="196">
        <v>12306.14</v>
      </c>
      <c r="C18" s="158" t="s">
        <v>377</v>
      </c>
      <c r="D18" s="196">
        <v>8440.9699999999993</v>
      </c>
      <c r="E18" s="303" t="s">
        <v>377</v>
      </c>
      <c r="F18" s="305">
        <v>45009</v>
      </c>
      <c r="G18" s="304">
        <v>30873</v>
      </c>
      <c r="H18" s="128" t="s">
        <v>159</v>
      </c>
    </row>
    <row r="19" spans="1:9">
      <c r="A19" s="236">
        <v>2015</v>
      </c>
      <c r="B19" s="273"/>
      <c r="C19" s="158" t="s">
        <v>378</v>
      </c>
      <c r="D19" s="196">
        <v>116.11</v>
      </c>
      <c r="E19" s="303" t="s">
        <v>378</v>
      </c>
      <c r="F19" s="304"/>
      <c r="G19" s="304">
        <v>395</v>
      </c>
      <c r="H19" s="274" t="s">
        <v>168</v>
      </c>
    </row>
    <row r="20" spans="1:9">
      <c r="A20" s="236">
        <v>2016</v>
      </c>
      <c r="B20" s="273"/>
      <c r="C20" s="273"/>
      <c r="D20" s="196">
        <v>2378.79</v>
      </c>
      <c r="E20" s="303" t="s">
        <v>379</v>
      </c>
      <c r="F20" s="304"/>
      <c r="G20" s="304">
        <v>7536</v>
      </c>
      <c r="H20" s="152" t="s">
        <v>196</v>
      </c>
    </row>
    <row r="21" spans="1:9">
      <c r="A21" s="236">
        <v>2017</v>
      </c>
      <c r="B21" s="273"/>
      <c r="C21" s="273"/>
      <c r="D21" s="273"/>
      <c r="E21" s="303" t="s">
        <v>381</v>
      </c>
      <c r="F21" s="304"/>
      <c r="G21" s="304"/>
      <c r="H21" s="1" t="s">
        <v>380</v>
      </c>
    </row>
    <row r="22" spans="1:9">
      <c r="A22" s="236">
        <v>2018</v>
      </c>
      <c r="B22" s="273"/>
      <c r="C22" s="273"/>
      <c r="D22" s="196">
        <v>9700.08</v>
      </c>
      <c r="F22" s="304"/>
      <c r="G22" s="304">
        <v>26724</v>
      </c>
    </row>
    <row r="23" spans="1:9">
      <c r="A23" s="236">
        <v>2019</v>
      </c>
      <c r="B23" s="273"/>
      <c r="C23" s="273"/>
      <c r="D23" s="196">
        <v>4342.8999999999996</v>
      </c>
      <c r="E23" s="303" t="s">
        <v>382</v>
      </c>
      <c r="F23" s="304"/>
      <c r="G23" s="304">
        <v>11157</v>
      </c>
    </row>
    <row r="24" spans="1:9">
      <c r="A24" s="236">
        <v>2020</v>
      </c>
      <c r="B24" s="273"/>
      <c r="C24" s="273"/>
      <c r="D24" s="196">
        <v>4942.59</v>
      </c>
      <c r="E24" s="303" t="s">
        <v>383</v>
      </c>
      <c r="F24" s="304"/>
      <c r="G24" s="304">
        <v>11841</v>
      </c>
    </row>
    <row r="25" spans="1:9">
      <c r="A25" s="236">
        <v>2021</v>
      </c>
      <c r="B25" s="196">
        <v>2741.65</v>
      </c>
      <c r="C25" s="273"/>
      <c r="D25" s="196">
        <v>2674.88</v>
      </c>
      <c r="E25" s="303" t="s">
        <v>384</v>
      </c>
      <c r="F25" s="304">
        <v>6161</v>
      </c>
      <c r="G25" s="304">
        <v>6011</v>
      </c>
    </row>
    <row r="26" spans="1:9">
      <c r="A26" s="236">
        <v>2022</v>
      </c>
      <c r="B26" s="273"/>
      <c r="C26" s="273"/>
      <c r="D26" s="273"/>
      <c r="F26" s="304"/>
      <c r="G26" s="304"/>
    </row>
    <row r="27" spans="1:9">
      <c r="A27" s="236">
        <v>2023</v>
      </c>
      <c r="B27" s="273"/>
      <c r="C27" s="273"/>
      <c r="D27" s="273"/>
      <c r="F27" s="304">
        <f>SUM(F2:F26)</f>
        <v>224332</v>
      </c>
      <c r="G27" s="304">
        <f>SUM(G2:G26)</f>
        <v>411557</v>
      </c>
    </row>
    <row r="28" spans="1:9">
      <c r="A28" s="2"/>
      <c r="B28" s="160">
        <f t="shared" ref="B28" si="0">SUM(B2:B27)</f>
        <v>58153.56</v>
      </c>
      <c r="C28" s="160"/>
      <c r="D28" s="160">
        <f>SUM(D2:D27)</f>
        <v>81434.12999999999</v>
      </c>
      <c r="H28" s="82">
        <v>45353</v>
      </c>
      <c r="I28" s="83" t="s">
        <v>488</v>
      </c>
    </row>
    <row r="29" spans="1:9">
      <c r="G29" s="75"/>
    </row>
    <row r="30" spans="1:9">
      <c r="D30" s="5"/>
    </row>
    <row r="31" spans="1:9" ht="12.75">
      <c r="A31" s="474" t="s">
        <v>385</v>
      </c>
      <c r="B31" s="474"/>
      <c r="C31" s="474"/>
      <c r="D31" s="474"/>
      <c r="E31" s="474"/>
      <c r="F31" s="474"/>
    </row>
    <row r="33" spans="1:8" ht="12.75">
      <c r="A33" s="474" t="s">
        <v>386</v>
      </c>
      <c r="B33" s="474"/>
      <c r="C33" s="474"/>
      <c r="D33" s="474"/>
      <c r="E33" s="474"/>
      <c r="F33" s="474"/>
      <c r="H33" s="249"/>
    </row>
    <row r="35" spans="1:8">
      <c r="B35" s="272"/>
      <c r="C35" s="272"/>
      <c r="D35" s="272" t="s">
        <v>300</v>
      </c>
      <c r="E35" s="272" t="s">
        <v>301</v>
      </c>
      <c r="F35" s="272" t="s">
        <v>14</v>
      </c>
      <c r="G35" s="272"/>
      <c r="H35" s="272"/>
    </row>
    <row r="36" spans="1:8">
      <c r="B36" s="28" t="s">
        <v>330</v>
      </c>
      <c r="C36" s="28">
        <v>100000</v>
      </c>
      <c r="D36" s="28">
        <v>50000</v>
      </c>
      <c r="E36" s="28">
        <f>C36*D36</f>
        <v>5000000000</v>
      </c>
      <c r="F36" s="81">
        <f>G27*E36/D28</f>
        <v>25269318896.143425</v>
      </c>
      <c r="G36" s="28"/>
    </row>
    <row r="37" spans="1:8">
      <c r="B37" s="1" t="s">
        <v>331</v>
      </c>
      <c r="C37" s="28">
        <v>100000</v>
      </c>
      <c r="D37" s="28">
        <v>100000</v>
      </c>
      <c r="E37" s="28">
        <f>C37*D37</f>
        <v>10000000000</v>
      </c>
      <c r="F37" s="81">
        <f>G27*E37/D28</f>
        <v>50538637792.28685</v>
      </c>
    </row>
    <row r="38" spans="1:8">
      <c r="E38" s="75">
        <f>SUM(E36:E37)</f>
        <v>15000000000</v>
      </c>
      <c r="F38" s="75">
        <f>SUM(F36:F37)</f>
        <v>75807956688.430267</v>
      </c>
    </row>
    <row r="40" spans="1:8">
      <c r="F40" s="75"/>
    </row>
  </sheetData>
  <mergeCells count="2">
    <mergeCell ref="A33:F33"/>
    <mergeCell ref="A31:F3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44" sqref="D44"/>
    </sheetView>
  </sheetViews>
  <sheetFormatPr defaultRowHeight="11.25"/>
  <cols>
    <col min="1" max="1" width="3.44140625" style="1" bestFit="1" customWidth="1"/>
    <col min="2" max="3" width="8.109375" style="1" customWidth="1"/>
    <col min="4" max="4" width="11.109375" style="1" customWidth="1"/>
    <col min="5" max="5" width="19.21875" style="1" customWidth="1"/>
    <col min="6" max="6" width="12.44140625" style="1" bestFit="1" customWidth="1"/>
    <col min="7" max="16384" width="8.88671875" style="1"/>
  </cols>
  <sheetData>
    <row r="1" spans="1:6" s="38" customFormat="1">
      <c r="A1" s="37"/>
      <c r="B1" s="39" t="s">
        <v>53</v>
      </c>
      <c r="C1" s="39"/>
      <c r="D1" s="39" t="s">
        <v>13</v>
      </c>
    </row>
    <row r="2" spans="1:6">
      <c r="A2" s="2">
        <v>1998</v>
      </c>
      <c r="B2" s="25"/>
      <c r="C2" s="25"/>
      <c r="D2" s="25"/>
      <c r="F2" s="28"/>
    </row>
    <row r="3" spans="1:6">
      <c r="A3" s="2">
        <v>1999</v>
      </c>
      <c r="B3" s="25"/>
      <c r="C3" s="25"/>
      <c r="D3" s="25"/>
      <c r="F3" s="23"/>
    </row>
    <row r="4" spans="1:6">
      <c r="A4" s="2">
        <v>2000</v>
      </c>
      <c r="B4" s="25"/>
      <c r="C4" s="25"/>
      <c r="D4" s="25"/>
    </row>
    <row r="5" spans="1:6">
      <c r="A5" s="2">
        <v>2001</v>
      </c>
      <c r="B5" s="25"/>
      <c r="C5" s="25"/>
      <c r="D5" s="25"/>
    </row>
    <row r="6" spans="1:6">
      <c r="A6" s="2">
        <v>2002</v>
      </c>
      <c r="B6" s="25"/>
      <c r="C6" s="25"/>
      <c r="D6" s="25"/>
    </row>
    <row r="7" spans="1:6">
      <c r="A7" s="2">
        <v>2003</v>
      </c>
      <c r="B7" s="25"/>
      <c r="C7" s="25"/>
      <c r="D7" s="25"/>
    </row>
    <row r="8" spans="1:6">
      <c r="A8" s="2">
        <v>2004</v>
      </c>
      <c r="B8" s="25"/>
      <c r="C8" s="25"/>
      <c r="D8" s="25"/>
    </row>
    <row r="9" spans="1:6">
      <c r="A9" s="2">
        <v>2005</v>
      </c>
      <c r="B9" s="4"/>
      <c r="C9" s="4"/>
      <c r="D9" s="4"/>
      <c r="E9" s="82"/>
    </row>
    <row r="10" spans="1:6">
      <c r="A10" s="2">
        <v>2006</v>
      </c>
      <c r="B10" s="4"/>
      <c r="C10" s="4"/>
      <c r="D10" s="4"/>
    </row>
    <row r="11" spans="1:6">
      <c r="A11" s="2">
        <v>2007</v>
      </c>
      <c r="B11" s="3">
        <v>1565.1</v>
      </c>
      <c r="C11" s="3"/>
      <c r="D11" s="3"/>
      <c r="E11" s="83" t="s">
        <v>56</v>
      </c>
    </row>
    <row r="12" spans="1:6">
      <c r="A12" s="2">
        <v>2008</v>
      </c>
      <c r="B12" s="3"/>
      <c r="C12" s="3"/>
      <c r="D12" s="3"/>
    </row>
    <row r="13" spans="1:6">
      <c r="A13" s="2">
        <v>2009</v>
      </c>
      <c r="B13" s="3"/>
      <c r="C13" s="3"/>
      <c r="D13" s="3"/>
    </row>
    <row r="14" spans="1:6">
      <c r="A14" s="2">
        <v>2010</v>
      </c>
      <c r="B14" s="3"/>
      <c r="C14" s="3"/>
      <c r="D14" s="3"/>
    </row>
    <row r="15" spans="1:6">
      <c r="A15" s="2">
        <v>2011</v>
      </c>
      <c r="B15" s="3"/>
      <c r="C15" s="3"/>
      <c r="D15" s="3"/>
    </row>
    <row r="16" spans="1:6">
      <c r="A16" s="2">
        <v>2012</v>
      </c>
      <c r="B16" s="3"/>
      <c r="C16" s="3"/>
      <c r="D16" s="3"/>
    </row>
    <row r="17" spans="1:6">
      <c r="A17" s="2">
        <v>2013</v>
      </c>
      <c r="B17" s="3"/>
      <c r="C17" s="3"/>
      <c r="D17" s="3"/>
    </row>
    <row r="18" spans="1:6">
      <c r="A18" s="2">
        <v>2014</v>
      </c>
      <c r="B18" s="3"/>
      <c r="C18" s="3"/>
      <c r="D18" s="3"/>
    </row>
    <row r="19" spans="1:6">
      <c r="A19" s="2">
        <v>2015</v>
      </c>
      <c r="B19" s="3"/>
      <c r="C19" s="3"/>
      <c r="D19" s="3"/>
    </row>
    <row r="20" spans="1:6">
      <c r="A20" s="2">
        <v>2016</v>
      </c>
      <c r="B20" s="3"/>
      <c r="C20" s="3"/>
      <c r="D20" s="3"/>
    </row>
    <row r="21" spans="1:6">
      <c r="A21" s="2">
        <v>2017</v>
      </c>
      <c r="B21" s="3"/>
      <c r="C21" s="3"/>
      <c r="D21" s="3"/>
    </row>
    <row r="22" spans="1:6">
      <c r="A22" s="2">
        <v>2018</v>
      </c>
      <c r="B22" s="3"/>
      <c r="C22" s="3"/>
      <c r="D22" s="3"/>
    </row>
    <row r="23" spans="1:6">
      <c r="A23" s="2">
        <v>2019</v>
      </c>
      <c r="B23" s="3"/>
      <c r="C23" s="3"/>
      <c r="D23" s="3"/>
    </row>
    <row r="24" spans="1:6">
      <c r="A24" s="2">
        <v>2020</v>
      </c>
      <c r="B24" s="3"/>
      <c r="C24" s="3"/>
      <c r="D24" s="3"/>
    </row>
    <row r="25" spans="1:6">
      <c r="A25" s="2">
        <v>2021</v>
      </c>
      <c r="B25" s="3"/>
      <c r="C25" s="3"/>
      <c r="D25" s="3"/>
    </row>
    <row r="26" spans="1:6">
      <c r="A26" s="2">
        <v>2022</v>
      </c>
      <c r="B26" s="3"/>
      <c r="C26" s="3"/>
      <c r="D26" s="3"/>
    </row>
    <row r="27" spans="1:6">
      <c r="A27" s="2"/>
      <c r="B27" s="3"/>
      <c r="C27" s="3"/>
      <c r="D27" s="3">
        <f>SUM(D2:D26)</f>
        <v>0</v>
      </c>
    </row>
    <row r="31" spans="1:6" ht="12.75">
      <c r="A31" s="474" t="s">
        <v>52</v>
      </c>
      <c r="B31" s="474"/>
      <c r="C31" s="474"/>
      <c r="D31" s="474"/>
      <c r="E31" s="474"/>
      <c r="F31" s="474"/>
    </row>
  </sheetData>
  <mergeCells count="1">
    <mergeCell ref="A31:F31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48" sqref="G48"/>
    </sheetView>
  </sheetViews>
  <sheetFormatPr defaultRowHeight="11.25"/>
  <cols>
    <col min="1" max="1" width="3.44140625" style="1" bestFit="1" customWidth="1"/>
    <col min="2" max="5" width="8.109375" style="1" customWidth="1"/>
    <col min="6" max="6" width="9.33203125" style="1" bestFit="1" customWidth="1"/>
    <col min="7" max="7" width="15" style="1" bestFit="1" customWidth="1"/>
    <col min="8" max="8" width="14.88671875" style="1" bestFit="1" customWidth="1"/>
    <col min="9" max="16384" width="8.88671875" style="1"/>
  </cols>
  <sheetData>
    <row r="1" spans="1:8" s="38" customFormat="1">
      <c r="A1" s="37"/>
      <c r="B1" s="39" t="s">
        <v>53</v>
      </c>
      <c r="C1" s="39" t="s">
        <v>57</v>
      </c>
      <c r="D1" s="39" t="s">
        <v>28</v>
      </c>
      <c r="E1" s="39" t="s">
        <v>16</v>
      </c>
      <c r="F1" s="39" t="s">
        <v>13</v>
      </c>
    </row>
    <row r="2" spans="1:8">
      <c r="A2" s="2">
        <v>1998</v>
      </c>
      <c r="B2" s="25"/>
      <c r="C2" s="25"/>
      <c r="D2" s="25"/>
      <c r="E2" s="25"/>
      <c r="F2" s="25"/>
      <c r="H2" s="28"/>
    </row>
    <row r="3" spans="1:8">
      <c r="A3" s="2">
        <v>1999</v>
      </c>
      <c r="B3" s="25"/>
      <c r="C3" s="25"/>
      <c r="D3" s="25"/>
      <c r="E3" s="25"/>
      <c r="F3" s="25"/>
      <c r="H3" s="23"/>
    </row>
    <row r="4" spans="1:8">
      <c r="A4" s="2">
        <v>2000</v>
      </c>
      <c r="B4" s="25"/>
      <c r="C4" s="25"/>
      <c r="D4" s="25"/>
      <c r="E4" s="25"/>
      <c r="F4" s="25"/>
    </row>
    <row r="5" spans="1:8">
      <c r="A5" s="2">
        <v>2001</v>
      </c>
      <c r="B5" s="25"/>
      <c r="C5" s="25"/>
      <c r="D5" s="25"/>
      <c r="E5" s="25"/>
      <c r="F5" s="25"/>
    </row>
    <row r="6" spans="1:8">
      <c r="A6" s="2">
        <v>2002</v>
      </c>
      <c r="B6" s="25"/>
      <c r="C6" s="25"/>
      <c r="D6" s="25"/>
      <c r="E6" s="25"/>
      <c r="F6" s="25"/>
    </row>
    <row r="7" spans="1:8">
      <c r="A7" s="2">
        <v>2003</v>
      </c>
      <c r="B7" s="25"/>
      <c r="C7" s="25"/>
      <c r="D7" s="25"/>
      <c r="E7" s="25"/>
      <c r="F7" s="25"/>
    </row>
    <row r="8" spans="1:8">
      <c r="A8" s="2">
        <v>2004</v>
      </c>
      <c r="B8" s="25"/>
      <c r="C8" s="25"/>
      <c r="D8" s="25"/>
      <c r="E8" s="25"/>
      <c r="F8" s="25"/>
    </row>
    <row r="9" spans="1:8">
      <c r="A9" s="2">
        <v>2005</v>
      </c>
      <c r="B9" s="4"/>
      <c r="C9" s="4"/>
      <c r="D9" s="4"/>
      <c r="E9" s="4"/>
      <c r="F9" s="4"/>
      <c r="G9" s="82"/>
    </row>
    <row r="10" spans="1:8">
      <c r="A10" s="2">
        <v>2006</v>
      </c>
      <c r="B10" s="4"/>
      <c r="C10" s="4"/>
      <c r="D10" s="4"/>
      <c r="E10" s="4"/>
      <c r="F10" s="4"/>
    </row>
    <row r="11" spans="1:8">
      <c r="A11" s="2">
        <v>2007</v>
      </c>
      <c r="B11" s="3">
        <v>1565.1</v>
      </c>
      <c r="C11" s="3">
        <v>1565.1</v>
      </c>
      <c r="D11" s="3">
        <v>3112.2</v>
      </c>
      <c r="E11" s="3">
        <v>46.68</v>
      </c>
      <c r="F11" s="32">
        <v>311</v>
      </c>
      <c r="G11" s="83" t="s">
        <v>55</v>
      </c>
    </row>
    <row r="12" spans="1:8">
      <c r="A12" s="2">
        <v>2008</v>
      </c>
      <c r="B12" s="3">
        <v>1724.68</v>
      </c>
      <c r="C12" s="3">
        <v>1724.28</v>
      </c>
      <c r="D12" s="3">
        <v>3449.36</v>
      </c>
      <c r="E12" s="3">
        <v>51.74</v>
      </c>
      <c r="F12" s="32">
        <v>311</v>
      </c>
      <c r="G12" s="83" t="s">
        <v>55</v>
      </c>
    </row>
    <row r="13" spans="1:8">
      <c r="A13" s="2">
        <v>2009</v>
      </c>
      <c r="B13" s="3">
        <v>1724.68</v>
      </c>
      <c r="C13" s="3">
        <v>1724.28</v>
      </c>
      <c r="D13" s="3">
        <v>3449.36</v>
      </c>
      <c r="E13" s="3">
        <v>51.74</v>
      </c>
      <c r="F13" s="32">
        <v>285</v>
      </c>
      <c r="G13" s="83" t="s">
        <v>55</v>
      </c>
    </row>
    <row r="14" spans="1:8">
      <c r="A14" s="2">
        <v>2010</v>
      </c>
      <c r="B14" s="3">
        <v>1724.68</v>
      </c>
      <c r="C14" s="3">
        <v>1724.68</v>
      </c>
      <c r="D14" s="3">
        <f>B14+C14</f>
        <v>3449.36</v>
      </c>
      <c r="E14" s="3">
        <v>51.74</v>
      </c>
      <c r="F14" s="32">
        <v>261</v>
      </c>
      <c r="G14" s="83" t="s">
        <v>55</v>
      </c>
      <c r="H14" s="83"/>
    </row>
    <row r="15" spans="1:8">
      <c r="A15" s="2">
        <v>2011</v>
      </c>
      <c r="B15" s="3">
        <v>1724.68</v>
      </c>
      <c r="C15" s="3">
        <v>1724.68</v>
      </c>
      <c r="D15" s="3">
        <f>B15+C15</f>
        <v>3449.36</v>
      </c>
      <c r="E15" s="3">
        <v>51.74</v>
      </c>
      <c r="F15" s="32">
        <v>239</v>
      </c>
      <c r="G15" s="83" t="s">
        <v>55</v>
      </c>
    </row>
    <row r="16" spans="1:8">
      <c r="A16" s="2">
        <v>2012</v>
      </c>
      <c r="B16" s="3"/>
      <c r="C16" s="3"/>
      <c r="D16" s="3"/>
      <c r="E16" s="3">
        <v>108.37</v>
      </c>
      <c r="F16" s="32">
        <v>461</v>
      </c>
      <c r="G16" s="83" t="s">
        <v>55</v>
      </c>
    </row>
    <row r="17" spans="1:8">
      <c r="A17" s="2">
        <v>2013</v>
      </c>
      <c r="B17" s="3"/>
      <c r="C17" s="3"/>
      <c r="D17" s="3"/>
      <c r="E17" s="3">
        <v>57.94</v>
      </c>
      <c r="F17" s="32">
        <v>228</v>
      </c>
      <c r="G17" s="83" t="s">
        <v>55</v>
      </c>
    </row>
    <row r="18" spans="1:8">
      <c r="A18" s="2">
        <v>2014</v>
      </c>
      <c r="B18" s="3"/>
      <c r="C18" s="3"/>
      <c r="D18" s="3"/>
      <c r="E18" s="3">
        <v>108</v>
      </c>
      <c r="F18" s="32">
        <v>395</v>
      </c>
      <c r="G18" s="83" t="s">
        <v>55</v>
      </c>
    </row>
    <row r="19" spans="1:8">
      <c r="A19" s="2">
        <v>2015</v>
      </c>
      <c r="B19" s="3"/>
      <c r="C19" s="3"/>
      <c r="D19" s="3"/>
      <c r="E19" s="3">
        <v>108</v>
      </c>
      <c r="F19" s="32">
        <v>367</v>
      </c>
      <c r="G19" s="83" t="s">
        <v>55</v>
      </c>
    </row>
    <row r="20" spans="1:8">
      <c r="A20" s="2">
        <v>2016</v>
      </c>
      <c r="B20" s="3"/>
      <c r="C20" s="3"/>
      <c r="D20" s="3"/>
      <c r="E20" s="3">
        <v>108</v>
      </c>
      <c r="F20" s="32">
        <v>342</v>
      </c>
      <c r="G20" s="83" t="s">
        <v>55</v>
      </c>
    </row>
    <row r="21" spans="1:8">
      <c r="A21" s="2">
        <v>2017</v>
      </c>
      <c r="B21" s="3"/>
      <c r="C21" s="3"/>
      <c r="D21" s="3"/>
      <c r="E21" s="3">
        <v>108</v>
      </c>
      <c r="F21" s="32">
        <v>319</v>
      </c>
      <c r="G21" s="83" t="s">
        <v>55</v>
      </c>
    </row>
    <row r="22" spans="1:8">
      <c r="A22" s="2">
        <v>2018</v>
      </c>
      <c r="B22" s="3"/>
      <c r="C22" s="3"/>
      <c r="D22" s="3"/>
      <c r="E22" s="3">
        <v>108</v>
      </c>
      <c r="F22" s="32">
        <v>298</v>
      </c>
      <c r="G22" s="83" t="s">
        <v>55</v>
      </c>
    </row>
    <row r="23" spans="1:8">
      <c r="A23" s="2">
        <v>2019</v>
      </c>
      <c r="B23" s="3"/>
      <c r="C23" s="3"/>
      <c r="D23" s="3"/>
      <c r="E23" s="3">
        <v>108</v>
      </c>
      <c r="F23" s="32">
        <v>277</v>
      </c>
      <c r="G23" s="83" t="s">
        <v>55</v>
      </c>
    </row>
    <row r="24" spans="1:8">
      <c r="A24" s="2">
        <v>2020</v>
      </c>
      <c r="B24" s="3"/>
      <c r="C24" s="3"/>
      <c r="D24" s="3"/>
      <c r="E24" s="3">
        <v>108</v>
      </c>
      <c r="F24" s="32">
        <v>259</v>
      </c>
      <c r="G24" s="83" t="s">
        <v>55</v>
      </c>
    </row>
    <row r="25" spans="1:8">
      <c r="A25" s="2">
        <v>2021</v>
      </c>
      <c r="B25" s="3"/>
      <c r="C25" s="3"/>
      <c r="D25" s="3"/>
      <c r="E25" s="3">
        <v>108</v>
      </c>
      <c r="F25" s="32">
        <v>241</v>
      </c>
      <c r="G25" s="83" t="s">
        <v>55</v>
      </c>
    </row>
    <row r="26" spans="1:8">
      <c r="A26" s="2">
        <v>2022</v>
      </c>
      <c r="B26" s="3"/>
      <c r="C26" s="3"/>
      <c r="D26" s="3"/>
      <c r="E26" s="3">
        <v>108</v>
      </c>
      <c r="F26" s="32">
        <v>228</v>
      </c>
      <c r="G26" s="83" t="s">
        <v>55</v>
      </c>
    </row>
    <row r="27" spans="1:8">
      <c r="A27" s="2">
        <v>2023</v>
      </c>
      <c r="B27" s="3"/>
      <c r="C27" s="3"/>
      <c r="D27" s="3"/>
      <c r="E27" s="3"/>
      <c r="F27" s="32"/>
    </row>
    <row r="28" spans="1:8">
      <c r="A28" s="2"/>
      <c r="B28" s="3">
        <f>SUM(B9:B27)</f>
        <v>8463.82</v>
      </c>
      <c r="C28" s="3"/>
      <c r="D28" s="3"/>
      <c r="E28" s="3">
        <f>SUM(E11:E27)</f>
        <v>1391.95</v>
      </c>
      <c r="F28" s="32">
        <f>SUM(F2:F27)</f>
        <v>4822</v>
      </c>
    </row>
    <row r="29" spans="1:8">
      <c r="G29" s="82">
        <v>45353</v>
      </c>
      <c r="H29" s="83" t="s">
        <v>488</v>
      </c>
    </row>
    <row r="32" spans="1:8" ht="12.75">
      <c r="A32" s="474" t="s">
        <v>54</v>
      </c>
      <c r="B32" s="474"/>
      <c r="C32" s="474"/>
      <c r="D32" s="474"/>
      <c r="E32" s="474"/>
      <c r="F32" s="474"/>
      <c r="G32" s="474"/>
      <c r="H32" s="474"/>
    </row>
    <row r="35" spans="2:9">
      <c r="B35" s="246" t="s">
        <v>299</v>
      </c>
      <c r="C35" s="246"/>
      <c r="D35" s="246" t="s">
        <v>300</v>
      </c>
      <c r="E35" s="246"/>
      <c r="F35" s="246" t="s">
        <v>333</v>
      </c>
      <c r="G35" s="246" t="s">
        <v>14</v>
      </c>
      <c r="H35" s="246"/>
      <c r="I35" s="246"/>
    </row>
    <row r="36" spans="2:9">
      <c r="B36" s="28">
        <v>444444</v>
      </c>
      <c r="D36" s="28">
        <v>777</v>
      </c>
      <c r="F36" s="28">
        <f>B36*D36</f>
        <v>345332988</v>
      </c>
      <c r="G36" s="28">
        <f>F28*F36/E28</f>
        <v>1196304226.5426199</v>
      </c>
      <c r="I36" s="28"/>
    </row>
  </sheetData>
  <mergeCells count="1">
    <mergeCell ref="A32:H32"/>
  </mergeCell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0" sqref="H10:L13"/>
    </sheetView>
  </sheetViews>
  <sheetFormatPr defaultRowHeight="11.25"/>
  <cols>
    <col min="1" max="1" width="3.44140625" style="1" bestFit="1" customWidth="1"/>
    <col min="2" max="4" width="8.109375" style="1" customWidth="1"/>
    <col min="5" max="5" width="11.109375" style="1" customWidth="1"/>
    <col min="6" max="6" width="5.44140625" style="1" bestFit="1" customWidth="1"/>
    <col min="7" max="7" width="14.88671875" style="1" bestFit="1" customWidth="1"/>
    <col min="8" max="8" width="13.33203125" style="1" bestFit="1" customWidth="1"/>
    <col min="9" max="9" width="10.33203125" style="1" bestFit="1" customWidth="1"/>
    <col min="10" max="10" width="8.88671875" style="1"/>
    <col min="11" max="12" width="11" style="1" bestFit="1" customWidth="1"/>
    <col min="13" max="16384" width="8.88671875" style="1"/>
  </cols>
  <sheetData>
    <row r="1" spans="1:12" s="38" customFormat="1">
      <c r="A1" s="37"/>
      <c r="B1" s="39" t="s">
        <v>40</v>
      </c>
      <c r="C1" s="39" t="s">
        <v>13</v>
      </c>
      <c r="D1" s="39" t="s">
        <v>184</v>
      </c>
      <c r="E1" s="39" t="s">
        <v>13</v>
      </c>
    </row>
    <row r="2" spans="1:12">
      <c r="A2" s="2">
        <v>1998</v>
      </c>
      <c r="B2" s="18"/>
      <c r="C2" s="18"/>
      <c r="D2" s="18"/>
      <c r="E2" s="18"/>
      <c r="G2" s="28"/>
    </row>
    <row r="3" spans="1:12">
      <c r="A3" s="2">
        <v>1999</v>
      </c>
      <c r="B3" s="18"/>
      <c r="C3" s="18"/>
      <c r="D3" s="18"/>
      <c r="E3" s="18"/>
      <c r="G3" s="23"/>
    </row>
    <row r="4" spans="1:12">
      <c r="A4" s="2">
        <v>2000</v>
      </c>
      <c r="B4" s="18"/>
      <c r="C4" s="18"/>
      <c r="D4" s="18"/>
      <c r="E4" s="18"/>
    </row>
    <row r="5" spans="1:12">
      <c r="A5" s="2">
        <v>2001</v>
      </c>
      <c r="B5" s="18"/>
      <c r="C5" s="18"/>
      <c r="D5" s="18"/>
      <c r="E5" s="18"/>
    </row>
    <row r="6" spans="1:12">
      <c r="A6" s="2">
        <v>2002</v>
      </c>
      <c r="B6" s="18"/>
      <c r="C6" s="18"/>
      <c r="D6" s="18"/>
      <c r="E6" s="18"/>
    </row>
    <row r="7" spans="1:12">
      <c r="A7" s="2">
        <v>2003</v>
      </c>
      <c r="B7" s="18"/>
      <c r="C7" s="18"/>
      <c r="D7" s="18"/>
      <c r="E7" s="18"/>
    </row>
    <row r="8" spans="1:12">
      <c r="A8" s="2">
        <v>2004</v>
      </c>
      <c r="B8" s="18"/>
      <c r="C8" s="18"/>
      <c r="D8" s="18"/>
      <c r="E8" s="18"/>
    </row>
    <row r="9" spans="1:12">
      <c r="A9" s="2">
        <v>2005</v>
      </c>
      <c r="B9" s="18"/>
      <c r="C9" s="18"/>
      <c r="D9" s="18"/>
      <c r="E9" s="18"/>
      <c r="F9" s="82"/>
    </row>
    <row r="10" spans="1:12">
      <c r="A10" s="2">
        <v>2006</v>
      </c>
      <c r="B10" s="18"/>
      <c r="C10" s="18"/>
      <c r="D10" s="18"/>
      <c r="E10" s="18"/>
      <c r="H10" s="73"/>
      <c r="I10" s="262" t="s">
        <v>504</v>
      </c>
      <c r="J10" s="262" t="s">
        <v>303</v>
      </c>
      <c r="K10" s="262" t="s">
        <v>501</v>
      </c>
      <c r="L10" s="262" t="s">
        <v>14</v>
      </c>
    </row>
    <row r="11" spans="1:12">
      <c r="A11" s="2">
        <v>2007</v>
      </c>
      <c r="B11" s="3"/>
      <c r="C11" s="3"/>
      <c r="D11" s="3"/>
      <c r="E11" s="3"/>
      <c r="F11" s="83"/>
      <c r="H11" s="262" t="s">
        <v>498</v>
      </c>
      <c r="I11" s="28">
        <v>1111111</v>
      </c>
      <c r="J11" s="28">
        <v>7777</v>
      </c>
      <c r="K11" s="28">
        <f>I11*J11</f>
        <v>8641110247</v>
      </c>
      <c r="L11" s="493">
        <f>C27*K11/B27</f>
        <v>10523931601.344599</v>
      </c>
    </row>
    <row r="12" spans="1:12">
      <c r="A12" s="2">
        <v>2008</v>
      </c>
      <c r="B12" s="3"/>
      <c r="C12" s="3"/>
      <c r="D12" s="3"/>
      <c r="E12" s="3"/>
      <c r="H12" s="262" t="s">
        <v>499</v>
      </c>
      <c r="I12" s="28">
        <v>4444444</v>
      </c>
      <c r="J12" s="492">
        <v>444</v>
      </c>
      <c r="K12" s="28">
        <f>I12*J12</f>
        <v>1973333136</v>
      </c>
      <c r="L12" s="494">
        <f>E27*K12/D27</f>
        <v>2544643088.4814191</v>
      </c>
    </row>
    <row r="13" spans="1:12">
      <c r="A13" s="2">
        <v>2009</v>
      </c>
      <c r="B13" s="3"/>
      <c r="C13" s="32"/>
      <c r="D13" s="3"/>
      <c r="E13" s="3"/>
      <c r="K13" s="260">
        <f>SUM(K11:K12)</f>
        <v>10614443383</v>
      </c>
      <c r="L13" s="266">
        <f>SUM(L11:L12)</f>
        <v>13068574689.826017</v>
      </c>
    </row>
    <row r="14" spans="1:12">
      <c r="A14" s="2">
        <v>2010</v>
      </c>
      <c r="B14" s="3"/>
      <c r="C14" s="32"/>
      <c r="D14" s="3"/>
      <c r="E14" s="32"/>
    </row>
    <row r="15" spans="1:12">
      <c r="A15" s="2">
        <v>2011</v>
      </c>
      <c r="B15" s="3"/>
      <c r="C15" s="32"/>
      <c r="D15" s="3"/>
      <c r="E15" s="32"/>
    </row>
    <row r="16" spans="1:12">
      <c r="A16" s="2">
        <v>2012</v>
      </c>
      <c r="B16" s="3"/>
      <c r="C16" s="32"/>
      <c r="D16" s="3"/>
      <c r="E16" s="32"/>
    </row>
    <row r="17" spans="1:7">
      <c r="A17" s="2">
        <v>2013</v>
      </c>
      <c r="B17" s="3"/>
      <c r="C17" s="32"/>
      <c r="D17" s="3"/>
      <c r="E17" s="32"/>
    </row>
    <row r="18" spans="1:7">
      <c r="A18" s="2">
        <v>2014</v>
      </c>
      <c r="B18" s="3"/>
      <c r="C18" s="32"/>
      <c r="D18" s="3"/>
      <c r="E18" s="32"/>
    </row>
    <row r="19" spans="1:7">
      <c r="A19" s="2">
        <v>2015</v>
      </c>
      <c r="B19" s="3"/>
      <c r="C19" s="32"/>
      <c r="D19" s="3"/>
      <c r="E19" s="32"/>
    </row>
    <row r="20" spans="1:7">
      <c r="A20" s="2">
        <v>2016</v>
      </c>
      <c r="B20" s="3"/>
      <c r="C20" s="32"/>
      <c r="D20" s="3"/>
      <c r="E20" s="32"/>
    </row>
    <row r="21" spans="1:7">
      <c r="A21" s="2">
        <v>2017</v>
      </c>
      <c r="B21" s="3"/>
      <c r="C21" s="32"/>
      <c r="D21" s="3"/>
      <c r="E21" s="32"/>
    </row>
    <row r="22" spans="1:7">
      <c r="A22" s="2">
        <v>2018</v>
      </c>
      <c r="B22" s="3"/>
      <c r="C22" s="32"/>
      <c r="D22" s="3"/>
      <c r="E22" s="32"/>
    </row>
    <row r="23" spans="1:7">
      <c r="A23" s="2">
        <v>2019</v>
      </c>
      <c r="B23" s="3"/>
      <c r="C23" s="32"/>
      <c r="D23" s="3"/>
      <c r="E23" s="32"/>
    </row>
    <row r="24" spans="1:7">
      <c r="A24" s="2">
        <v>2020</v>
      </c>
      <c r="B24" s="3">
        <v>490.56</v>
      </c>
      <c r="C24" s="32">
        <v>637</v>
      </c>
      <c r="D24" s="3">
        <v>340</v>
      </c>
      <c r="E24" s="32">
        <v>441</v>
      </c>
    </row>
    <row r="25" spans="1:7">
      <c r="A25" s="2">
        <v>2021</v>
      </c>
      <c r="B25" s="3"/>
      <c r="C25" s="32"/>
      <c r="D25" s="3"/>
      <c r="E25" s="32"/>
    </row>
    <row r="26" spans="1:7">
      <c r="A26" s="2">
        <v>2022</v>
      </c>
      <c r="B26" s="3">
        <v>6423.03</v>
      </c>
      <c r="C26" s="32">
        <v>7783</v>
      </c>
      <c r="D26" s="3">
        <v>27.58</v>
      </c>
      <c r="E26" s="32">
        <v>33</v>
      </c>
    </row>
    <row r="27" spans="1:7">
      <c r="A27" s="2"/>
      <c r="B27" s="3">
        <f t="shared" ref="B27:D27" si="0">SUM(B2:B26)</f>
        <v>6913.59</v>
      </c>
      <c r="C27" s="32">
        <f t="shared" si="0"/>
        <v>8420</v>
      </c>
      <c r="D27" s="3">
        <f t="shared" si="0"/>
        <v>367.58</v>
      </c>
      <c r="E27" s="32">
        <f>SUM(E2:E26)</f>
        <v>474</v>
      </c>
    </row>
    <row r="28" spans="1:7">
      <c r="D28" s="5">
        <f>B27+D27</f>
        <v>7281.17</v>
      </c>
      <c r="E28" s="75">
        <f>C27+E27</f>
        <v>8894</v>
      </c>
    </row>
    <row r="29" spans="1:7">
      <c r="F29" s="82">
        <v>45353</v>
      </c>
      <c r="G29" s="83" t="s">
        <v>488</v>
      </c>
    </row>
    <row r="31" spans="1:7" ht="12.75">
      <c r="A31" s="195" t="s">
        <v>483</v>
      </c>
      <c r="B31" s="195"/>
      <c r="C31" s="195"/>
      <c r="D31" s="195"/>
      <c r="E31" s="195"/>
      <c r="F31" s="195"/>
      <c r="G31" s="19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28" sqref="J28"/>
    </sheetView>
  </sheetViews>
  <sheetFormatPr defaultRowHeight="11.25"/>
  <cols>
    <col min="1" max="1" width="3.44140625" style="1" bestFit="1" customWidth="1"/>
    <col min="2" max="2" width="10.5546875" style="1" customWidth="1"/>
    <col min="3" max="3" width="8.88671875" style="1"/>
    <col min="4" max="4" width="23" style="1" customWidth="1"/>
    <col min="5" max="5" width="12.44140625" style="1" bestFit="1" customWidth="1"/>
    <col min="6" max="6" width="13.33203125" style="1" bestFit="1" customWidth="1"/>
    <col min="7" max="7" width="10.33203125" style="1" bestFit="1" customWidth="1"/>
    <col min="8" max="8" width="8.88671875" style="1"/>
    <col min="9" max="10" width="11" style="1" bestFit="1" customWidth="1"/>
    <col min="11" max="16384" width="8.88671875" style="1"/>
  </cols>
  <sheetData>
    <row r="1" spans="1:10" s="38" customFormat="1">
      <c r="A1" s="37"/>
      <c r="B1" s="39" t="s">
        <v>40</v>
      </c>
      <c r="C1" s="39" t="s">
        <v>13</v>
      </c>
    </row>
    <row r="2" spans="1:10">
      <c r="A2" s="2">
        <v>1998</v>
      </c>
      <c r="B2" s="18">
        <v>22.01</v>
      </c>
      <c r="C2" s="18">
        <v>519</v>
      </c>
      <c r="D2" s="1" t="s">
        <v>203</v>
      </c>
      <c r="E2" s="28"/>
      <c r="F2" s="227"/>
    </row>
    <row r="3" spans="1:10">
      <c r="A3" s="2">
        <v>1999</v>
      </c>
      <c r="B3" s="18"/>
      <c r="C3" s="18"/>
      <c r="E3" s="23"/>
    </row>
    <row r="4" spans="1:10">
      <c r="A4" s="2">
        <v>2000</v>
      </c>
      <c r="B4" s="3"/>
      <c r="C4" s="3"/>
    </row>
    <row r="5" spans="1:10">
      <c r="A5" s="2">
        <v>2001</v>
      </c>
      <c r="B5" s="3"/>
      <c r="C5" s="3"/>
    </row>
    <row r="6" spans="1:10">
      <c r="A6" s="2">
        <v>2002</v>
      </c>
      <c r="B6" s="3"/>
      <c r="C6" s="3"/>
    </row>
    <row r="7" spans="1:10">
      <c r="A7" s="2">
        <v>2003</v>
      </c>
      <c r="B7" s="3"/>
      <c r="C7" s="3"/>
    </row>
    <row r="8" spans="1:10">
      <c r="A8" s="2">
        <v>2004</v>
      </c>
      <c r="B8" s="3"/>
      <c r="C8" s="3"/>
      <c r="F8" s="73"/>
      <c r="G8" s="262" t="s">
        <v>505</v>
      </c>
      <c r="H8" s="262" t="s">
        <v>303</v>
      </c>
      <c r="I8" s="262" t="s">
        <v>301</v>
      </c>
      <c r="J8" s="262" t="s">
        <v>14</v>
      </c>
    </row>
    <row r="9" spans="1:10">
      <c r="A9" s="2">
        <v>2005</v>
      </c>
      <c r="B9" s="3"/>
      <c r="C9" s="3"/>
      <c r="F9" s="262" t="s">
        <v>506</v>
      </c>
      <c r="G9" s="28">
        <v>3333333</v>
      </c>
      <c r="H9" s="28">
        <v>22</v>
      </c>
      <c r="I9" s="28">
        <f>G9*H9</f>
        <v>73333326</v>
      </c>
      <c r="J9" s="493">
        <f>C27*I9/H9</f>
        <v>1729999827</v>
      </c>
    </row>
    <row r="10" spans="1:10">
      <c r="A10" s="2">
        <v>2006</v>
      </c>
      <c r="B10" s="3"/>
      <c r="C10" s="3"/>
      <c r="F10" s="262" t="s">
        <v>507</v>
      </c>
      <c r="G10" s="28">
        <v>4444444</v>
      </c>
      <c r="H10" s="28">
        <v>33</v>
      </c>
      <c r="I10" s="28">
        <f>G10*H10</f>
        <v>146666652</v>
      </c>
      <c r="J10" s="494">
        <f>C27*I10/H10</f>
        <v>2306666436</v>
      </c>
    </row>
    <row r="11" spans="1:10">
      <c r="A11" s="2">
        <v>2007</v>
      </c>
      <c r="B11" s="3"/>
      <c r="C11" s="3"/>
      <c r="I11" s="260">
        <f>SUM(I9:I10)</f>
        <v>219999978</v>
      </c>
      <c r="J11" s="266">
        <f>SUM(J9:J10)</f>
        <v>4036666263</v>
      </c>
    </row>
    <row r="12" spans="1:10">
      <c r="A12" s="2">
        <v>2008</v>
      </c>
      <c r="B12" s="3"/>
      <c r="C12" s="3"/>
    </row>
    <row r="13" spans="1:10">
      <c r="A13" s="2">
        <v>2009</v>
      </c>
      <c r="B13" s="3"/>
      <c r="C13" s="3"/>
    </row>
    <row r="14" spans="1:10">
      <c r="A14" s="2">
        <v>2010</v>
      </c>
      <c r="B14" s="3"/>
      <c r="C14" s="3"/>
    </row>
    <row r="15" spans="1:10">
      <c r="A15" s="2">
        <v>2011</v>
      </c>
      <c r="B15" s="3"/>
      <c r="C15" s="3"/>
    </row>
    <row r="16" spans="1:10">
      <c r="A16" s="2">
        <v>2012</v>
      </c>
      <c r="B16" s="3"/>
      <c r="C16" s="3"/>
    </row>
    <row r="17" spans="1:10">
      <c r="A17" s="2">
        <v>2013</v>
      </c>
      <c r="B17" s="3"/>
      <c r="C17" s="3"/>
    </row>
    <row r="18" spans="1:10">
      <c r="A18" s="2">
        <v>2014</v>
      </c>
      <c r="B18" s="3"/>
      <c r="C18" s="3"/>
    </row>
    <row r="19" spans="1:10">
      <c r="A19" s="2">
        <v>2015</v>
      </c>
      <c r="B19" s="3"/>
      <c r="C19" s="3"/>
    </row>
    <row r="20" spans="1:10">
      <c r="A20" s="2">
        <v>2016</v>
      </c>
      <c r="B20" s="3"/>
      <c r="C20" s="3"/>
    </row>
    <row r="21" spans="1:10">
      <c r="A21" s="2">
        <v>2017</v>
      </c>
      <c r="B21" s="3"/>
      <c r="C21" s="3"/>
    </row>
    <row r="22" spans="1:10">
      <c r="A22" s="2">
        <v>2018</v>
      </c>
      <c r="B22" s="3"/>
      <c r="C22" s="3"/>
    </row>
    <row r="23" spans="1:10">
      <c r="A23" s="2">
        <v>2019</v>
      </c>
      <c r="B23" s="3"/>
      <c r="C23" s="3"/>
    </row>
    <row r="24" spans="1:10">
      <c r="A24" s="2">
        <v>2020</v>
      </c>
      <c r="B24" s="3"/>
      <c r="C24" s="3"/>
    </row>
    <row r="25" spans="1:10">
      <c r="A25" s="2">
        <v>2021</v>
      </c>
      <c r="B25" s="3"/>
      <c r="C25" s="3"/>
    </row>
    <row r="26" spans="1:10">
      <c r="A26" s="2">
        <v>2022</v>
      </c>
      <c r="B26" s="3"/>
      <c r="C26" s="3"/>
    </row>
    <row r="27" spans="1:10">
      <c r="A27" s="2"/>
      <c r="B27" s="3">
        <f>SUM(B2:B26)</f>
        <v>22.01</v>
      </c>
      <c r="C27" s="3">
        <f>SUM(C2:C26)</f>
        <v>519</v>
      </c>
    </row>
    <row r="28" spans="1:10">
      <c r="D28" s="82">
        <v>45355</v>
      </c>
      <c r="E28" s="83" t="s">
        <v>488</v>
      </c>
    </row>
    <row r="29" spans="1:10" ht="15.75">
      <c r="A29" s="13" t="s">
        <v>202</v>
      </c>
      <c r="B29" s="13"/>
      <c r="C29" s="13"/>
      <c r="D29" s="13"/>
      <c r="E29" s="13"/>
      <c r="F29" s="13"/>
      <c r="G29" s="13"/>
      <c r="H29" s="13"/>
      <c r="I29" s="13"/>
      <c r="J29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F26" sqref="F26"/>
    </sheetView>
  </sheetViews>
  <sheetFormatPr defaultRowHeight="11.25"/>
  <cols>
    <col min="1" max="1" width="3.44140625" style="1" bestFit="1" customWidth="1"/>
    <col min="2" max="2" width="7.5546875" style="1" bestFit="1" customWidth="1"/>
    <col min="3" max="3" width="8" style="1" bestFit="1" customWidth="1"/>
    <col min="4" max="4" width="7" style="1" bestFit="1" customWidth="1"/>
    <col min="5" max="5" width="7.33203125" style="1" bestFit="1" customWidth="1"/>
    <col min="6" max="6" width="10.33203125" style="1" bestFit="1" customWidth="1"/>
    <col min="7" max="7" width="12.44140625" style="1" bestFit="1" customWidth="1"/>
    <col min="8" max="16384" width="8.88671875" style="1"/>
  </cols>
  <sheetData>
    <row r="1" spans="1:7" s="38" customFormat="1">
      <c r="A1" s="37"/>
      <c r="B1" s="39" t="s">
        <v>40</v>
      </c>
      <c r="C1" s="39" t="s">
        <v>13</v>
      </c>
      <c r="D1" s="39" t="s">
        <v>318</v>
      </c>
      <c r="E1" s="39" t="s">
        <v>13</v>
      </c>
    </row>
    <row r="2" spans="1:7">
      <c r="A2" s="2">
        <v>1998</v>
      </c>
      <c r="B2" s="4"/>
      <c r="C2" s="4"/>
      <c r="D2" s="4"/>
      <c r="E2" s="4"/>
      <c r="G2" s="28"/>
    </row>
    <row r="3" spans="1:7">
      <c r="A3" s="2">
        <v>1999</v>
      </c>
      <c r="B3" s="4"/>
      <c r="C3" s="4"/>
      <c r="D3" s="4"/>
      <c r="E3" s="4"/>
      <c r="G3" s="23"/>
    </row>
    <row r="4" spans="1:7">
      <c r="A4" s="2">
        <v>2000</v>
      </c>
      <c r="B4" s="4"/>
      <c r="C4" s="4"/>
      <c r="D4" s="4"/>
      <c r="E4" s="4"/>
    </row>
    <row r="5" spans="1:7">
      <c r="A5" s="2">
        <v>2001</v>
      </c>
      <c r="B5" s="4"/>
      <c r="C5" s="4"/>
      <c r="D5" s="4"/>
      <c r="E5" s="4"/>
    </row>
    <row r="6" spans="1:7">
      <c r="A6" s="2">
        <v>2002</v>
      </c>
      <c r="B6" s="4"/>
      <c r="C6" s="4"/>
      <c r="D6" s="4"/>
      <c r="E6" s="4"/>
    </row>
    <row r="7" spans="1:7">
      <c r="A7" s="2">
        <v>2003</v>
      </c>
      <c r="B7" s="4"/>
      <c r="C7" s="4"/>
      <c r="D7" s="4"/>
      <c r="E7" s="4"/>
    </row>
    <row r="8" spans="1:7">
      <c r="A8" s="2">
        <v>2004</v>
      </c>
      <c r="B8" s="4"/>
      <c r="C8" s="4"/>
      <c r="D8" s="4"/>
      <c r="E8" s="4"/>
    </row>
    <row r="9" spans="1:7">
      <c r="A9" s="2">
        <v>2005</v>
      </c>
      <c r="B9" s="4"/>
      <c r="C9" s="4"/>
      <c r="D9" s="4"/>
      <c r="E9" s="4"/>
    </row>
    <row r="10" spans="1:7">
      <c r="A10" s="2">
        <v>2006</v>
      </c>
      <c r="B10" s="4"/>
      <c r="C10" s="4"/>
      <c r="D10" s="4"/>
      <c r="E10" s="4"/>
    </row>
    <row r="11" spans="1:7">
      <c r="A11" s="2">
        <v>2007</v>
      </c>
      <c r="B11" s="4"/>
      <c r="C11" s="4"/>
      <c r="D11" s="4"/>
      <c r="E11" s="4"/>
    </row>
    <row r="12" spans="1:7">
      <c r="A12" s="2">
        <v>2008</v>
      </c>
      <c r="B12" s="4"/>
      <c r="C12" s="4"/>
      <c r="D12" s="4"/>
      <c r="E12" s="4"/>
    </row>
    <row r="13" spans="1:7">
      <c r="A13" s="2">
        <v>2009</v>
      </c>
      <c r="B13" s="4"/>
      <c r="C13" s="4"/>
      <c r="D13" s="4"/>
      <c r="E13" s="4"/>
    </row>
    <row r="14" spans="1:7">
      <c r="A14" s="2">
        <v>2010</v>
      </c>
      <c r="B14" s="4"/>
      <c r="C14" s="4"/>
      <c r="D14" s="4"/>
      <c r="E14" s="4"/>
    </row>
    <row r="15" spans="1:7">
      <c r="A15" s="2">
        <v>2011</v>
      </c>
      <c r="B15" s="4"/>
      <c r="C15" s="4"/>
      <c r="D15" s="4"/>
      <c r="E15" s="4"/>
    </row>
    <row r="16" spans="1:7">
      <c r="A16" s="2">
        <v>2012</v>
      </c>
      <c r="B16" s="4"/>
      <c r="C16" s="4"/>
      <c r="D16" s="4"/>
      <c r="E16" s="4"/>
    </row>
    <row r="17" spans="1:12">
      <c r="A17" s="2">
        <v>2013</v>
      </c>
      <c r="B17" s="4"/>
      <c r="C17" s="4"/>
      <c r="D17" s="4"/>
      <c r="E17" s="4"/>
    </row>
    <row r="18" spans="1:12">
      <c r="A18" s="2">
        <v>2014</v>
      </c>
      <c r="B18" s="4"/>
      <c r="C18" s="4"/>
      <c r="D18" s="4"/>
      <c r="E18" s="4"/>
    </row>
    <row r="19" spans="1:12">
      <c r="A19" s="2">
        <v>2015</v>
      </c>
      <c r="B19" s="4"/>
      <c r="C19" s="4"/>
      <c r="D19" s="4"/>
      <c r="E19" s="4"/>
    </row>
    <row r="20" spans="1:12">
      <c r="A20" s="2">
        <v>2016</v>
      </c>
      <c r="B20" s="4"/>
      <c r="C20" s="4"/>
      <c r="D20" s="4"/>
      <c r="E20" s="4"/>
    </row>
    <row r="21" spans="1:12">
      <c r="A21" s="2">
        <v>2017</v>
      </c>
      <c r="B21" s="3">
        <v>7.8</v>
      </c>
      <c r="C21" s="32">
        <v>24</v>
      </c>
      <c r="D21" s="3">
        <v>7.8</v>
      </c>
      <c r="E21" s="32">
        <v>24</v>
      </c>
    </row>
    <row r="22" spans="1:12">
      <c r="A22" s="2">
        <v>2018</v>
      </c>
      <c r="B22" s="3">
        <v>77.77</v>
      </c>
      <c r="C22" s="32">
        <v>228</v>
      </c>
      <c r="D22" s="3">
        <v>46.8</v>
      </c>
      <c r="E22" s="32">
        <v>139</v>
      </c>
    </row>
    <row r="23" spans="1:12">
      <c r="A23" s="2">
        <v>2019</v>
      </c>
      <c r="B23" s="3">
        <v>46.8</v>
      </c>
      <c r="C23" s="32">
        <v>129</v>
      </c>
      <c r="D23" s="3">
        <v>46.8</v>
      </c>
      <c r="E23" s="32">
        <v>129</v>
      </c>
    </row>
    <row r="24" spans="1:12">
      <c r="A24" s="2">
        <v>2020</v>
      </c>
      <c r="B24" s="3">
        <v>46.8</v>
      </c>
      <c r="C24" s="32">
        <v>120</v>
      </c>
      <c r="D24" s="3">
        <v>46.8</v>
      </c>
      <c r="E24" s="32">
        <v>120</v>
      </c>
    </row>
    <row r="25" spans="1:12">
      <c r="A25" s="2">
        <v>2021</v>
      </c>
      <c r="B25" s="3">
        <v>46.8</v>
      </c>
      <c r="C25" s="32">
        <v>112</v>
      </c>
      <c r="D25" s="3">
        <v>46.8</v>
      </c>
      <c r="E25" s="32">
        <v>112</v>
      </c>
    </row>
    <row r="26" spans="1:12">
      <c r="A26" s="2">
        <v>2022</v>
      </c>
      <c r="B26" s="3">
        <v>27</v>
      </c>
      <c r="C26" s="32">
        <v>59</v>
      </c>
      <c r="D26" s="3">
        <v>27</v>
      </c>
      <c r="E26" s="32">
        <v>59</v>
      </c>
    </row>
    <row r="27" spans="1:12">
      <c r="A27" s="2">
        <v>2023</v>
      </c>
      <c r="B27" s="3"/>
      <c r="C27" s="32"/>
      <c r="D27" s="3"/>
      <c r="E27" s="32"/>
    </row>
    <row r="28" spans="1:12">
      <c r="A28" s="2"/>
      <c r="B28" s="3">
        <f>SUM(B2:B27)</f>
        <v>252.97000000000003</v>
      </c>
      <c r="C28" s="32">
        <f t="shared" ref="C28:E28" si="0">SUM(C2:C27)</f>
        <v>672</v>
      </c>
      <c r="D28" s="3">
        <f t="shared" si="0"/>
        <v>222</v>
      </c>
      <c r="E28" s="32">
        <f t="shared" si="0"/>
        <v>583</v>
      </c>
    </row>
    <row r="29" spans="1:12">
      <c r="D29" s="5">
        <f>B28+D28</f>
        <v>474.97</v>
      </c>
      <c r="E29" s="75">
        <f>C28+E28</f>
        <v>1255</v>
      </c>
    </row>
    <row r="30" spans="1:12">
      <c r="F30" s="82">
        <v>45355</v>
      </c>
      <c r="G30" s="83" t="s">
        <v>488</v>
      </c>
    </row>
    <row r="31" spans="1:12" ht="15.75">
      <c r="A31" s="13" t="s">
        <v>317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4" spans="2:7">
      <c r="B34" s="246"/>
      <c r="C34" s="246" t="s">
        <v>299</v>
      </c>
      <c r="D34" s="246" t="s">
        <v>300</v>
      </c>
      <c r="E34" s="246"/>
      <c r="F34" s="246" t="s">
        <v>336</v>
      </c>
      <c r="G34" s="246" t="s">
        <v>14</v>
      </c>
    </row>
    <row r="35" spans="2:7">
      <c r="B35" s="28" t="s">
        <v>335</v>
      </c>
      <c r="C35" s="28">
        <v>100000</v>
      </c>
      <c r="D35" s="28">
        <v>230</v>
      </c>
      <c r="F35" s="28">
        <f>C35*D35</f>
        <v>23000000</v>
      </c>
      <c r="G35" s="28">
        <f>C28*F35/B28</f>
        <v>61098153.931296192</v>
      </c>
    </row>
    <row r="36" spans="2:7">
      <c r="B36" s="1" t="s">
        <v>337</v>
      </c>
      <c r="C36" s="28">
        <v>150000</v>
      </c>
      <c r="D36" s="28">
        <v>11111</v>
      </c>
      <c r="F36" s="28">
        <f t="shared" ref="F36:F40" si="1">C36*D36</f>
        <v>1666650000</v>
      </c>
      <c r="G36" s="5">
        <f>C28*F36/B28</f>
        <v>4427358184.7649918</v>
      </c>
    </row>
    <row r="37" spans="2:7">
      <c r="B37" s="1" t="s">
        <v>338</v>
      </c>
      <c r="C37" s="28">
        <v>200000</v>
      </c>
      <c r="D37" s="28">
        <v>2222</v>
      </c>
      <c r="F37" s="28">
        <f t="shared" si="1"/>
        <v>444400000</v>
      </c>
      <c r="G37" s="5">
        <f>C28*F37/B28</f>
        <v>1180522591.6116533</v>
      </c>
    </row>
    <row r="38" spans="2:7">
      <c r="B38" s="1" t="s">
        <v>339</v>
      </c>
      <c r="C38" s="28">
        <v>50000</v>
      </c>
      <c r="D38" s="28">
        <v>6666</v>
      </c>
      <c r="F38" s="28">
        <f t="shared" si="1"/>
        <v>333300000</v>
      </c>
      <c r="G38" s="5">
        <f>C28*F38/B28</f>
        <v>885391943.70874012</v>
      </c>
    </row>
    <row r="39" spans="2:7">
      <c r="B39" s="1" t="s">
        <v>340</v>
      </c>
      <c r="C39" s="28">
        <v>150000</v>
      </c>
      <c r="D39" s="28">
        <v>1111</v>
      </c>
      <c r="F39" s="28">
        <f t="shared" si="1"/>
        <v>166650000</v>
      </c>
      <c r="G39" s="5">
        <f>C28*F39/B28</f>
        <v>442695971.85437006</v>
      </c>
    </row>
    <row r="40" spans="2:7">
      <c r="B40" s="1" t="s">
        <v>341</v>
      </c>
      <c r="C40" s="28">
        <v>50000</v>
      </c>
      <c r="D40" s="28">
        <v>444</v>
      </c>
      <c r="F40" s="28">
        <f t="shared" si="1"/>
        <v>22200000</v>
      </c>
      <c r="G40" s="5">
        <f>C28*F40/B28</f>
        <v>58973000.751077197</v>
      </c>
    </row>
    <row r="41" spans="2:7">
      <c r="D41" s="28"/>
    </row>
    <row r="42" spans="2:7">
      <c r="C42" s="28"/>
      <c r="D42" s="28"/>
    </row>
    <row r="43" spans="2:7">
      <c r="C43" s="75">
        <f>SUM(C35:C42)</f>
        <v>700000</v>
      </c>
      <c r="D43" s="28">
        <f t="shared" ref="D43:G43" si="2">SUM(D35:D42)</f>
        <v>21784</v>
      </c>
      <c r="E43" s="75"/>
      <c r="F43" s="75">
        <f t="shared" si="2"/>
        <v>2656200000</v>
      </c>
      <c r="G43" s="75">
        <f t="shared" si="2"/>
        <v>7056039846.6221294</v>
      </c>
    </row>
    <row r="45" spans="2:7">
      <c r="C45" s="28"/>
    </row>
    <row r="46" spans="2:7" ht="20.25">
      <c r="C46" s="248" t="s">
        <v>342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pane ySplit="1" topLeftCell="A2" activePane="bottomLeft" state="frozen"/>
      <selection pane="bottomLeft" activeCell="F2" sqref="F2"/>
    </sheetView>
  </sheetViews>
  <sheetFormatPr defaultRowHeight="11.25"/>
  <cols>
    <col min="1" max="1" width="3.44140625" style="1" bestFit="1" customWidth="1"/>
    <col min="2" max="5" width="11.33203125" style="1" customWidth="1"/>
    <col min="6" max="6" width="8.88671875" style="1"/>
    <col min="7" max="7" width="7" style="1" bestFit="1" customWidth="1"/>
    <col min="8" max="8" width="8.88671875" style="1"/>
    <col min="9" max="9" width="12.44140625" style="1" bestFit="1" customWidth="1"/>
    <col min="10" max="10" width="10" style="1" bestFit="1" customWidth="1"/>
    <col min="11" max="16384" width="8.88671875" style="1"/>
  </cols>
  <sheetData>
    <row r="1" spans="1:12" s="38" customFormat="1">
      <c r="A1" s="37"/>
      <c r="B1" s="39" t="s">
        <v>358</v>
      </c>
      <c r="C1" s="39" t="s">
        <v>17</v>
      </c>
      <c r="D1" s="39" t="s">
        <v>359</v>
      </c>
      <c r="E1" s="39" t="s">
        <v>19</v>
      </c>
      <c r="F1" s="39" t="s">
        <v>24</v>
      </c>
      <c r="G1" s="39" t="s">
        <v>13</v>
      </c>
      <c r="I1" s="39" t="s">
        <v>24</v>
      </c>
      <c r="J1" s="39" t="s">
        <v>13</v>
      </c>
    </row>
    <row r="2" spans="1:12">
      <c r="A2" s="2">
        <v>1998</v>
      </c>
      <c r="B2" s="3">
        <v>11622.25</v>
      </c>
      <c r="C2" s="18">
        <v>4915.95</v>
      </c>
      <c r="D2" s="3">
        <v>1302.83</v>
      </c>
      <c r="E2" s="258">
        <v>-48.07</v>
      </c>
      <c r="F2" s="258">
        <f>D2-E2</f>
        <v>1350.8999999999999</v>
      </c>
      <c r="G2" s="321"/>
      <c r="I2" s="388"/>
      <c r="J2" s="4"/>
      <c r="L2" s="227"/>
    </row>
    <row r="3" spans="1:12">
      <c r="A3" s="2">
        <v>1999</v>
      </c>
      <c r="B3" s="3">
        <v>21298.79</v>
      </c>
      <c r="C3" s="3">
        <v>2630.93</v>
      </c>
      <c r="D3" s="3">
        <v>2578</v>
      </c>
      <c r="E3" s="258">
        <v>-553.04</v>
      </c>
      <c r="F3" s="258">
        <f t="shared" ref="F3:F27" si="0">D3-E3</f>
        <v>3131.04</v>
      </c>
      <c r="G3" s="321"/>
      <c r="I3" s="388"/>
      <c r="J3" s="4"/>
      <c r="L3" s="227"/>
    </row>
    <row r="4" spans="1:12">
      <c r="A4" s="2">
        <v>2000</v>
      </c>
      <c r="B4" s="3">
        <v>25439</v>
      </c>
      <c r="C4" s="3">
        <v>9919.59</v>
      </c>
      <c r="D4" s="3">
        <v>3127</v>
      </c>
      <c r="E4" s="258">
        <v>-1572.37</v>
      </c>
      <c r="F4" s="258">
        <f t="shared" si="0"/>
        <v>4699.37</v>
      </c>
      <c r="G4" s="321"/>
      <c r="I4" s="388"/>
      <c r="J4" s="4"/>
      <c r="L4" s="227"/>
    </row>
    <row r="5" spans="1:12">
      <c r="A5" s="2">
        <v>2001</v>
      </c>
      <c r="B5" s="3">
        <v>26702</v>
      </c>
      <c r="C5" s="3">
        <v>19605.900000000001</v>
      </c>
      <c r="D5" s="3">
        <v>2555</v>
      </c>
      <c r="E5" s="258">
        <v>2142.91</v>
      </c>
      <c r="F5" s="258">
        <f t="shared" si="0"/>
        <v>412.09000000000015</v>
      </c>
      <c r="G5" s="321"/>
      <c r="I5" s="388"/>
      <c r="J5" s="4"/>
      <c r="L5" s="227"/>
    </row>
    <row r="6" spans="1:12">
      <c r="A6" s="2">
        <v>2002</v>
      </c>
      <c r="B6" s="3">
        <v>28853</v>
      </c>
      <c r="C6" s="3">
        <v>19428</v>
      </c>
      <c r="D6" s="3">
        <v>2945</v>
      </c>
      <c r="E6" s="258">
        <v>812</v>
      </c>
      <c r="F6" s="258">
        <f t="shared" si="0"/>
        <v>2133</v>
      </c>
      <c r="G6" s="321">
        <v>12193</v>
      </c>
      <c r="I6" s="388"/>
      <c r="J6" s="4"/>
    </row>
    <row r="7" spans="1:12">
      <c r="A7" s="2">
        <v>2003</v>
      </c>
      <c r="B7" s="3">
        <v>56857</v>
      </c>
      <c r="C7" s="3">
        <v>45762</v>
      </c>
      <c r="D7" s="3">
        <v>12812</v>
      </c>
      <c r="E7" s="258">
        <v>9849</v>
      </c>
      <c r="F7" s="258">
        <f t="shared" si="0"/>
        <v>2963</v>
      </c>
      <c r="G7" s="321">
        <v>15333</v>
      </c>
      <c r="I7" s="258"/>
      <c r="J7" s="31"/>
    </row>
    <row r="8" spans="1:12">
      <c r="A8" s="2">
        <v>2004</v>
      </c>
      <c r="B8" s="3">
        <v>83652</v>
      </c>
      <c r="C8" s="3">
        <v>73067</v>
      </c>
      <c r="D8" s="3">
        <v>18219</v>
      </c>
      <c r="E8" s="258">
        <v>15966</v>
      </c>
      <c r="F8" s="258">
        <f t="shared" si="0"/>
        <v>2253</v>
      </c>
      <c r="G8" s="321">
        <v>10554</v>
      </c>
      <c r="I8" s="389">
        <v>111</v>
      </c>
      <c r="J8" s="321">
        <v>520</v>
      </c>
    </row>
    <row r="9" spans="1:12">
      <c r="A9" s="2">
        <v>2005</v>
      </c>
      <c r="B9" s="3">
        <v>46349</v>
      </c>
      <c r="C9" s="3">
        <v>40872</v>
      </c>
      <c r="D9" s="3">
        <v>11654</v>
      </c>
      <c r="E9" s="258">
        <v>8165</v>
      </c>
      <c r="F9" s="258">
        <f t="shared" si="0"/>
        <v>3489</v>
      </c>
      <c r="G9" s="321">
        <v>14637</v>
      </c>
      <c r="I9" s="258"/>
      <c r="J9" s="31"/>
    </row>
    <row r="10" spans="1:12">
      <c r="A10" s="2">
        <v>2006</v>
      </c>
      <c r="B10" s="18">
        <v>43626</v>
      </c>
      <c r="C10" s="18">
        <v>40500</v>
      </c>
      <c r="D10" s="3">
        <v>10043</v>
      </c>
      <c r="E10" s="258">
        <v>4570</v>
      </c>
      <c r="F10" s="258">
        <f t="shared" si="0"/>
        <v>5473</v>
      </c>
      <c r="G10" s="321">
        <v>17123</v>
      </c>
      <c r="I10" s="258"/>
      <c r="J10" s="31"/>
    </row>
    <row r="11" spans="1:12">
      <c r="A11" s="2">
        <v>2007</v>
      </c>
      <c r="B11" s="18">
        <v>97321</v>
      </c>
      <c r="C11" s="18">
        <v>85033</v>
      </c>
      <c r="D11" s="3">
        <v>26379</v>
      </c>
      <c r="E11" s="258">
        <v>22434</v>
      </c>
      <c r="F11" s="258">
        <f t="shared" si="0"/>
        <v>3945</v>
      </c>
      <c r="G11" s="321">
        <v>13109</v>
      </c>
      <c r="I11" s="258"/>
      <c r="J11" s="31"/>
    </row>
    <row r="12" spans="1:12">
      <c r="A12" s="2">
        <v>2008</v>
      </c>
      <c r="B12" s="18">
        <v>74175</v>
      </c>
      <c r="C12" s="18">
        <v>60609</v>
      </c>
      <c r="D12" s="3">
        <v>4047</v>
      </c>
      <c r="E12" s="235">
        <v>-4555</v>
      </c>
      <c r="F12" s="258">
        <f t="shared" si="0"/>
        <v>8602</v>
      </c>
      <c r="G12" s="321">
        <v>25733</v>
      </c>
      <c r="I12" s="258"/>
      <c r="J12" s="31"/>
    </row>
    <row r="13" spans="1:12">
      <c r="A13" s="2">
        <v>2009</v>
      </c>
      <c r="B13" s="18">
        <v>50317</v>
      </c>
      <c r="C13" s="18">
        <v>28737</v>
      </c>
      <c r="D13" s="251">
        <v>-141</v>
      </c>
      <c r="E13" s="235">
        <v>-22</v>
      </c>
      <c r="F13" s="258">
        <v>119</v>
      </c>
      <c r="G13" s="321">
        <v>326</v>
      </c>
      <c r="I13" s="258"/>
      <c r="J13" s="31"/>
    </row>
    <row r="14" spans="1:12">
      <c r="A14" s="2">
        <v>2010</v>
      </c>
      <c r="B14" s="18">
        <v>69292</v>
      </c>
      <c r="C14" s="18">
        <v>60138</v>
      </c>
      <c r="D14" s="3">
        <v>12057</v>
      </c>
      <c r="E14" s="258">
        <v>5711</v>
      </c>
      <c r="F14" s="258">
        <f t="shared" si="0"/>
        <v>6346</v>
      </c>
      <c r="G14" s="321">
        <v>15937</v>
      </c>
      <c r="I14" s="389">
        <v>666</v>
      </c>
      <c r="J14" s="321">
        <v>1673</v>
      </c>
    </row>
    <row r="15" spans="1:12">
      <c r="A15" s="2">
        <v>2011</v>
      </c>
      <c r="B15" s="18">
        <v>26123</v>
      </c>
      <c r="C15" s="18">
        <v>11472</v>
      </c>
      <c r="D15" s="251">
        <v>-4296</v>
      </c>
      <c r="E15" s="235">
        <v>-8198</v>
      </c>
      <c r="F15" s="258">
        <f t="shared" si="0"/>
        <v>3902</v>
      </c>
      <c r="G15" s="32">
        <v>8420</v>
      </c>
      <c r="I15" s="389">
        <v>666</v>
      </c>
      <c r="J15" s="321">
        <v>1437</v>
      </c>
    </row>
    <row r="16" spans="1:12">
      <c r="A16" s="2">
        <v>2012</v>
      </c>
      <c r="B16" s="18">
        <v>5657</v>
      </c>
      <c r="C16" s="18">
        <v>7422</v>
      </c>
      <c r="D16" s="3">
        <v>437</v>
      </c>
      <c r="E16" s="235">
        <v>-3793</v>
      </c>
      <c r="F16" s="258">
        <f t="shared" si="0"/>
        <v>4230</v>
      </c>
      <c r="G16" s="32">
        <v>8598</v>
      </c>
      <c r="I16" s="258"/>
      <c r="J16" s="32"/>
    </row>
    <row r="17" spans="1:14">
      <c r="A17" s="2">
        <v>2013</v>
      </c>
      <c r="B17" s="18">
        <v>24856</v>
      </c>
      <c r="C17" s="235">
        <v>-22984</v>
      </c>
      <c r="D17" s="3">
        <v>6654</v>
      </c>
      <c r="E17" s="235">
        <v>-5207</v>
      </c>
      <c r="F17" s="258">
        <f t="shared" si="0"/>
        <v>11861</v>
      </c>
      <c r="G17" s="32">
        <v>23345</v>
      </c>
      <c r="I17" s="258"/>
      <c r="J17" s="32"/>
    </row>
    <row r="18" spans="1:14">
      <c r="A18" s="2">
        <v>2014</v>
      </c>
      <c r="B18" s="3">
        <v>23654</v>
      </c>
      <c r="C18" s="251">
        <v>-2297</v>
      </c>
      <c r="D18" s="3">
        <v>2167</v>
      </c>
      <c r="E18" s="235">
        <v>-3824</v>
      </c>
      <c r="F18" s="258">
        <f t="shared" si="0"/>
        <v>5991</v>
      </c>
      <c r="G18" s="32">
        <v>10961</v>
      </c>
      <c r="I18" s="258"/>
      <c r="J18" s="32"/>
    </row>
    <row r="19" spans="1:14">
      <c r="A19" s="2">
        <v>2015</v>
      </c>
      <c r="B19" s="3">
        <v>55044</v>
      </c>
      <c r="C19" s="3">
        <v>40430</v>
      </c>
      <c r="D19" s="3">
        <v>12518</v>
      </c>
      <c r="E19" s="235">
        <v>3143</v>
      </c>
      <c r="F19" s="258">
        <f t="shared" si="0"/>
        <v>9375</v>
      </c>
      <c r="G19" s="32">
        <v>15951</v>
      </c>
      <c r="I19" s="258"/>
      <c r="J19" s="32"/>
    </row>
    <row r="20" spans="1:14">
      <c r="A20" s="2">
        <v>2016</v>
      </c>
      <c r="B20" s="3">
        <v>45004</v>
      </c>
      <c r="C20" s="3">
        <v>28756</v>
      </c>
      <c r="D20" s="3">
        <v>2706</v>
      </c>
      <c r="E20" s="235">
        <v>-1137.08</v>
      </c>
      <c r="F20" s="258">
        <f t="shared" si="0"/>
        <v>3843.08</v>
      </c>
      <c r="G20" s="32">
        <v>6088</v>
      </c>
      <c r="I20" s="258"/>
      <c r="J20" s="32"/>
    </row>
    <row r="21" spans="1:14">
      <c r="A21" s="2">
        <v>2017</v>
      </c>
      <c r="B21" s="3">
        <v>56692</v>
      </c>
      <c r="C21" s="3">
        <v>28849</v>
      </c>
      <c r="D21" s="3">
        <v>4153</v>
      </c>
      <c r="E21" s="235">
        <v>-2695</v>
      </c>
      <c r="F21" s="258">
        <f t="shared" si="0"/>
        <v>6848</v>
      </c>
      <c r="G21" s="32">
        <v>10116</v>
      </c>
      <c r="I21" s="258"/>
      <c r="J21" s="32"/>
    </row>
    <row r="22" spans="1:14">
      <c r="A22" s="2">
        <v>2018</v>
      </c>
      <c r="B22" s="3">
        <v>44826</v>
      </c>
      <c r="C22" s="3">
        <v>38917</v>
      </c>
      <c r="D22" s="3">
        <v>12786</v>
      </c>
      <c r="E22" s="258">
        <v>9022</v>
      </c>
      <c r="F22" s="258">
        <f t="shared" si="0"/>
        <v>3764</v>
      </c>
      <c r="G22" s="32">
        <v>5185</v>
      </c>
      <c r="I22" s="258"/>
      <c r="J22" s="32"/>
    </row>
    <row r="23" spans="1:14">
      <c r="A23" s="2">
        <v>2019</v>
      </c>
      <c r="B23" s="3">
        <v>31953</v>
      </c>
      <c r="C23" s="3">
        <v>9557</v>
      </c>
      <c r="D23" s="251">
        <v>-3244</v>
      </c>
      <c r="E23" s="251">
        <v>-10238</v>
      </c>
      <c r="F23" s="258">
        <f t="shared" si="0"/>
        <v>6994</v>
      </c>
      <c r="G23" s="32">
        <v>8984</v>
      </c>
      <c r="I23" s="258">
        <v>1947.77</v>
      </c>
      <c r="J23" s="32">
        <v>2502</v>
      </c>
    </row>
    <row r="24" spans="1:14">
      <c r="A24" s="2">
        <v>2020</v>
      </c>
      <c r="B24" s="3">
        <v>24952</v>
      </c>
      <c r="C24" s="3">
        <v>15706</v>
      </c>
      <c r="D24" s="3">
        <v>5119</v>
      </c>
      <c r="E24" s="259">
        <v>912.21</v>
      </c>
      <c r="F24" s="258">
        <f t="shared" si="0"/>
        <v>4206.79</v>
      </c>
      <c r="G24" s="32">
        <v>5038</v>
      </c>
      <c r="I24" s="258">
        <v>47.24</v>
      </c>
      <c r="J24" s="32">
        <v>57</v>
      </c>
    </row>
    <row r="25" spans="1:14">
      <c r="A25" s="2">
        <v>2021</v>
      </c>
      <c r="B25" s="3">
        <v>55933</v>
      </c>
      <c r="C25" s="3">
        <v>48941</v>
      </c>
      <c r="D25" s="3">
        <v>15843</v>
      </c>
      <c r="E25" s="259">
        <v>11814</v>
      </c>
      <c r="F25" s="258">
        <f t="shared" si="0"/>
        <v>4029</v>
      </c>
      <c r="G25" s="32">
        <v>4500</v>
      </c>
      <c r="I25" s="258">
        <v>1647.33</v>
      </c>
      <c r="J25" s="32">
        <v>1840</v>
      </c>
    </row>
    <row r="26" spans="1:14">
      <c r="A26" s="2">
        <v>2022</v>
      </c>
      <c r="B26" s="3">
        <v>62732.13</v>
      </c>
      <c r="C26" s="3">
        <v>59444.97</v>
      </c>
      <c r="D26" s="3">
        <v>12408.24</v>
      </c>
      <c r="E26" s="251">
        <v>7278.72</v>
      </c>
      <c r="F26" s="258">
        <f t="shared" si="0"/>
        <v>5129.5199999999995</v>
      </c>
      <c r="G26" s="32">
        <v>5312</v>
      </c>
      <c r="I26" s="258">
        <v>14.53</v>
      </c>
      <c r="J26" s="32">
        <v>15</v>
      </c>
    </row>
    <row r="27" spans="1:14">
      <c r="A27" s="2">
        <v>2023</v>
      </c>
      <c r="B27" s="3"/>
      <c r="C27" s="3"/>
      <c r="D27" s="3"/>
      <c r="E27" s="251"/>
      <c r="F27" s="258">
        <f t="shared" si="0"/>
        <v>0</v>
      </c>
      <c r="G27" s="32"/>
      <c r="I27" s="258"/>
      <c r="J27" s="32"/>
    </row>
    <row r="28" spans="1:14">
      <c r="A28" s="2"/>
      <c r="B28" s="3"/>
      <c r="C28" s="3"/>
      <c r="D28" s="3">
        <f>SUM(D2:D27)</f>
        <v>174829.07</v>
      </c>
      <c r="E28" s="3">
        <f>SUM(E2:E27)</f>
        <v>59977.279999999999</v>
      </c>
      <c r="F28" s="3">
        <f>SUM(F2:F27)</f>
        <v>115089.79</v>
      </c>
      <c r="G28" s="32">
        <f>SUM(G2:G27)</f>
        <v>237443</v>
      </c>
      <c r="I28" s="3">
        <f>SUM(I2:I27)</f>
        <v>5099.87</v>
      </c>
      <c r="J28" s="32">
        <f>SUM(J2:J27)</f>
        <v>8044</v>
      </c>
    </row>
    <row r="29" spans="1:14">
      <c r="G29" s="5"/>
    </row>
    <row r="30" spans="1:14">
      <c r="L30" s="82">
        <v>45284</v>
      </c>
    </row>
    <row r="31" spans="1:14" ht="15.75">
      <c r="A31" s="432" t="s">
        <v>18</v>
      </c>
      <c r="B31" s="432"/>
      <c r="C31" s="432"/>
      <c r="D31" s="432"/>
      <c r="E31" s="432"/>
      <c r="F31" s="432"/>
      <c r="G31" s="432"/>
      <c r="H31" s="13"/>
      <c r="I31" s="386">
        <f>F28+I28</f>
        <v>120189.65999999999</v>
      </c>
      <c r="J31" s="387">
        <f>G28+J28</f>
        <v>245487</v>
      </c>
      <c r="K31" s="13"/>
      <c r="L31" s="384" t="s">
        <v>469</v>
      </c>
      <c r="M31" s="13"/>
      <c r="N31" s="13"/>
    </row>
    <row r="33" spans="3:3">
      <c r="C33" s="1" t="s">
        <v>357</v>
      </c>
    </row>
  </sheetData>
  <mergeCells count="1">
    <mergeCell ref="A31:G3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N71"/>
  <sheetViews>
    <sheetView workbookViewId="0">
      <pane ySplit="15" topLeftCell="A46" activePane="bottomLeft" state="frozen"/>
      <selection pane="bottomLeft" activeCell="F68" sqref="F68"/>
    </sheetView>
  </sheetViews>
  <sheetFormatPr defaultRowHeight="11.25"/>
  <cols>
    <col min="1" max="1" width="6.77734375" style="1" bestFit="1" customWidth="1"/>
    <col min="2" max="6" width="11.33203125" style="1" customWidth="1"/>
    <col min="7" max="8" width="8.88671875" style="1"/>
    <col min="9" max="9" width="12.44140625" style="1" bestFit="1" customWidth="1"/>
    <col min="10" max="16384" width="8.88671875" style="1"/>
  </cols>
  <sheetData>
    <row r="2" spans="1:14" ht="15.75">
      <c r="A2" s="432" t="s">
        <v>396</v>
      </c>
      <c r="B2" s="432"/>
      <c r="C2" s="432"/>
      <c r="D2" s="432"/>
      <c r="E2" s="432"/>
      <c r="F2" s="432"/>
      <c r="G2" s="432"/>
      <c r="H2" s="432"/>
      <c r="I2" s="13"/>
      <c r="J2" s="13"/>
      <c r="K2" s="13"/>
      <c r="L2" s="13"/>
      <c r="M2" s="13"/>
      <c r="N2" s="13"/>
    </row>
    <row r="3" spans="1:14">
      <c r="A3" s="480" t="s">
        <v>73</v>
      </c>
      <c r="B3" s="480"/>
      <c r="C3" s="480"/>
      <c r="D3" s="480"/>
      <c r="E3" s="480"/>
      <c r="F3" s="480"/>
      <c r="G3" s="480"/>
      <c r="H3" s="93"/>
    </row>
    <row r="4" spans="1:14">
      <c r="A4" s="480" t="s">
        <v>74</v>
      </c>
      <c r="B4" s="480"/>
      <c r="C4" s="480"/>
      <c r="D4" s="480"/>
      <c r="E4" s="480"/>
      <c r="F4" s="480"/>
      <c r="G4" s="480"/>
      <c r="H4" s="93"/>
    </row>
    <row r="5" spans="1:14">
      <c r="A5" s="480" t="s">
        <v>140</v>
      </c>
      <c r="B5" s="480"/>
      <c r="C5" s="480"/>
      <c r="D5" s="480"/>
      <c r="E5" s="480"/>
      <c r="F5" s="480"/>
      <c r="G5" s="480"/>
      <c r="H5" s="93"/>
    </row>
    <row r="6" spans="1:14">
      <c r="A6" s="480" t="s">
        <v>86</v>
      </c>
      <c r="B6" s="480"/>
      <c r="C6" s="480"/>
      <c r="D6" s="480"/>
      <c r="E6" s="480"/>
      <c r="F6" s="480"/>
      <c r="G6" s="480"/>
      <c r="H6" s="93"/>
    </row>
    <row r="7" spans="1:14">
      <c r="A7" s="480" t="s">
        <v>87</v>
      </c>
      <c r="B7" s="480"/>
      <c r="C7" s="480"/>
      <c r="D7" s="480"/>
      <c r="E7" s="480"/>
      <c r="F7" s="480"/>
      <c r="G7" s="480"/>
      <c r="H7" s="93"/>
    </row>
    <row r="8" spans="1:14">
      <c r="A8" s="480" t="s">
        <v>88</v>
      </c>
      <c r="B8" s="480"/>
      <c r="C8" s="480"/>
      <c r="D8" s="480"/>
      <c r="E8" s="480"/>
      <c r="F8" s="480"/>
      <c r="G8" s="480"/>
      <c r="H8" s="93"/>
    </row>
    <row r="9" spans="1:14">
      <c r="A9" s="480" t="s">
        <v>89</v>
      </c>
      <c r="B9" s="480"/>
      <c r="C9" s="480"/>
      <c r="D9" s="480"/>
      <c r="E9" s="480"/>
      <c r="F9" s="480"/>
      <c r="G9" s="480"/>
      <c r="H9" s="93"/>
    </row>
    <row r="10" spans="1:14">
      <c r="A10" s="480" t="s">
        <v>90</v>
      </c>
      <c r="B10" s="480"/>
      <c r="C10" s="480"/>
      <c r="D10" s="480"/>
      <c r="E10" s="480"/>
      <c r="F10" s="480"/>
      <c r="G10" s="480"/>
    </row>
    <row r="11" spans="1:14">
      <c r="A11" s="481" t="s">
        <v>75</v>
      </c>
      <c r="B11" s="481"/>
      <c r="C11" s="481"/>
      <c r="D11" s="481"/>
      <c r="E11" s="481"/>
      <c r="F11" s="481"/>
      <c r="G11" s="481"/>
      <c r="H11" s="481"/>
    </row>
    <row r="12" spans="1:14">
      <c r="A12" s="482" t="s">
        <v>84</v>
      </c>
      <c r="B12" s="482"/>
      <c r="C12" s="482"/>
      <c r="D12" s="482"/>
      <c r="E12" s="482"/>
      <c r="F12" s="482"/>
      <c r="G12" s="482"/>
      <c r="H12" s="482"/>
    </row>
    <row r="13" spans="1:14">
      <c r="A13" s="483" t="s">
        <v>85</v>
      </c>
      <c r="B13" s="483"/>
      <c r="C13" s="483"/>
      <c r="D13" s="483"/>
      <c r="E13" s="483"/>
      <c r="F13" s="483"/>
      <c r="G13" s="483"/>
      <c r="H13" s="483"/>
    </row>
    <row r="15" spans="1:14">
      <c r="A15" s="96" t="s">
        <v>76</v>
      </c>
      <c r="B15" s="96" t="s">
        <v>77</v>
      </c>
      <c r="C15" s="96" t="s">
        <v>78</v>
      </c>
      <c r="D15" s="96" t="s">
        <v>79</v>
      </c>
      <c r="E15" s="96" t="s">
        <v>80</v>
      </c>
      <c r="F15" s="96" t="s">
        <v>81</v>
      </c>
      <c r="G15" s="96" t="s">
        <v>82</v>
      </c>
      <c r="H15" s="96" t="s">
        <v>83</v>
      </c>
    </row>
    <row r="16" spans="1:14">
      <c r="A16" s="112">
        <v>40067</v>
      </c>
      <c r="B16" s="3">
        <v>35000</v>
      </c>
      <c r="C16" s="3">
        <f>B16*0.09%*3</f>
        <v>94.5</v>
      </c>
      <c r="D16" s="3"/>
      <c r="E16" s="3"/>
      <c r="F16" s="3"/>
      <c r="G16" s="3"/>
      <c r="H16" s="3"/>
    </row>
    <row r="17" spans="1:13">
      <c r="A17" s="112">
        <v>40176</v>
      </c>
      <c r="B17" s="3">
        <f>B16-F17</f>
        <v>34591.660000000003</v>
      </c>
      <c r="C17" s="3"/>
      <c r="D17" s="3"/>
      <c r="E17" s="3"/>
      <c r="F17" s="3">
        <v>408.34</v>
      </c>
      <c r="G17" s="3"/>
      <c r="H17" s="3"/>
      <c r="I17" s="1" t="s">
        <v>101</v>
      </c>
    </row>
    <row r="18" spans="1:13">
      <c r="A18" s="101">
        <v>40247</v>
      </c>
      <c r="B18" s="3">
        <f>B17-F18</f>
        <v>29941.660000000003</v>
      </c>
      <c r="C18" s="18">
        <f>B17*0.09%*2</f>
        <v>62.264988000000002</v>
      </c>
      <c r="D18" s="3"/>
      <c r="E18" s="4"/>
      <c r="F18" s="3">
        <v>4650</v>
      </c>
      <c r="G18" s="3"/>
      <c r="H18" s="3"/>
      <c r="M18" s="23"/>
    </row>
    <row r="19" spans="1:13">
      <c r="A19" s="101">
        <v>40253</v>
      </c>
      <c r="B19" s="3">
        <f t="shared" ref="B19:B42" si="0">B18-F19</f>
        <v>28757.300000000003</v>
      </c>
      <c r="C19" s="18"/>
      <c r="D19" s="3"/>
      <c r="E19" s="4">
        <v>1.03</v>
      </c>
      <c r="F19" s="3">
        <v>1184.3599999999999</v>
      </c>
      <c r="G19" s="3"/>
      <c r="H19" s="3"/>
      <c r="I19" s="1" t="s">
        <v>97</v>
      </c>
    </row>
    <row r="20" spans="1:13">
      <c r="A20" s="101">
        <v>40364</v>
      </c>
      <c r="B20" s="3">
        <f t="shared" si="0"/>
        <v>28173.300000000003</v>
      </c>
      <c r="C20" s="18">
        <f>B19*0.09%*4</f>
        <v>103.52628000000001</v>
      </c>
      <c r="D20" s="3"/>
      <c r="E20" s="4"/>
      <c r="F20" s="3">
        <v>584</v>
      </c>
      <c r="G20" s="3"/>
      <c r="H20" s="3"/>
      <c r="I20" s="1" t="s">
        <v>101</v>
      </c>
    </row>
    <row r="21" spans="1:13">
      <c r="A21" s="101">
        <v>40435</v>
      </c>
      <c r="B21" s="3">
        <f t="shared" si="0"/>
        <v>25223.300000000003</v>
      </c>
      <c r="C21" s="18">
        <f>B20*0.09%*2</f>
        <v>50.711940000000006</v>
      </c>
      <c r="D21" s="3"/>
      <c r="E21" s="4">
        <v>0.55000000000000004</v>
      </c>
      <c r="F21" s="3">
        <v>2950</v>
      </c>
      <c r="G21" s="3"/>
      <c r="H21" s="3"/>
      <c r="I21" s="1" t="s">
        <v>98</v>
      </c>
    </row>
    <row r="22" spans="1:13">
      <c r="A22" s="101">
        <v>40436</v>
      </c>
      <c r="B22" s="3">
        <f t="shared" si="0"/>
        <v>25037.360000000004</v>
      </c>
      <c r="C22" s="18"/>
      <c r="D22" s="18"/>
      <c r="E22" s="4">
        <v>0.03</v>
      </c>
      <c r="F22" s="3">
        <v>185.94</v>
      </c>
      <c r="G22" s="3"/>
      <c r="H22" s="3"/>
      <c r="I22" s="1" t="s">
        <v>99</v>
      </c>
    </row>
    <row r="23" spans="1:13">
      <c r="A23" s="101">
        <v>40434</v>
      </c>
      <c r="B23" s="3">
        <f t="shared" si="0"/>
        <v>22337.360000000004</v>
      </c>
      <c r="C23" s="18"/>
      <c r="D23" s="18"/>
      <c r="E23" s="4">
        <v>2.0299999999999998</v>
      </c>
      <c r="F23" s="3">
        <v>2700</v>
      </c>
      <c r="G23" s="3"/>
      <c r="H23" s="3"/>
      <c r="I23" s="1" t="s">
        <v>100</v>
      </c>
    </row>
    <row r="24" spans="1:13">
      <c r="A24" s="101">
        <v>40539</v>
      </c>
      <c r="B24" s="3">
        <f t="shared" si="0"/>
        <v>21845.290000000005</v>
      </c>
      <c r="C24" s="18">
        <f>B23*0.09%*3</f>
        <v>60.31087200000001</v>
      </c>
      <c r="D24" s="18"/>
      <c r="E24" s="4"/>
      <c r="F24" s="3">
        <v>492.07</v>
      </c>
      <c r="G24" s="3"/>
      <c r="H24" s="3"/>
      <c r="I24" s="1" t="s">
        <v>101</v>
      </c>
    </row>
    <row r="25" spans="1:13">
      <c r="A25" s="112">
        <v>40617</v>
      </c>
      <c r="B25" s="3">
        <f t="shared" si="0"/>
        <v>20645.290000000005</v>
      </c>
      <c r="C25" s="18">
        <f>B24*0.09%*3</f>
        <v>58.98228300000001</v>
      </c>
      <c r="D25" s="18"/>
      <c r="E25" s="4">
        <v>4.34</v>
      </c>
      <c r="F25" s="3">
        <v>1200</v>
      </c>
      <c r="G25" s="3"/>
      <c r="H25" s="3"/>
      <c r="I25" s="1" t="s">
        <v>124</v>
      </c>
    </row>
    <row r="26" spans="1:13">
      <c r="A26" s="112">
        <v>40620</v>
      </c>
      <c r="B26" s="3">
        <f t="shared" si="0"/>
        <v>19008.290000000005</v>
      </c>
      <c r="C26" s="18"/>
      <c r="D26" s="18"/>
      <c r="E26" s="4">
        <v>1.79</v>
      </c>
      <c r="F26" s="3">
        <v>1637</v>
      </c>
      <c r="G26" s="3"/>
      <c r="H26" s="3"/>
      <c r="I26" s="1" t="s">
        <v>128</v>
      </c>
    </row>
    <row r="27" spans="1:13">
      <c r="A27" s="112">
        <v>40634</v>
      </c>
      <c r="B27" s="3">
        <f t="shared" si="0"/>
        <v>17508.290000000005</v>
      </c>
      <c r="C27" s="18">
        <f>B26*0.09%</f>
        <v>17.107461000000004</v>
      </c>
      <c r="D27" s="18"/>
      <c r="E27" s="4">
        <v>7.82</v>
      </c>
      <c r="F27" s="3">
        <v>1500</v>
      </c>
      <c r="G27" s="3"/>
      <c r="H27" s="3"/>
      <c r="I27" s="1" t="s">
        <v>125</v>
      </c>
    </row>
    <row r="28" spans="1:13">
      <c r="A28" s="112">
        <v>40708</v>
      </c>
      <c r="B28" s="3">
        <f t="shared" si="0"/>
        <v>15976.400000000005</v>
      </c>
      <c r="C28" s="18">
        <f t="shared" ref="C28:C40" si="1">B27*0.09%*2</f>
        <v>31.514922000000006</v>
      </c>
      <c r="D28" s="18"/>
      <c r="E28" s="4">
        <v>20.8</v>
      </c>
      <c r="F28" s="3">
        <v>1531.89</v>
      </c>
      <c r="G28" s="3"/>
      <c r="H28" s="3"/>
      <c r="I28" s="1" t="s">
        <v>126</v>
      </c>
    </row>
    <row r="29" spans="1:13">
      <c r="A29" s="112">
        <v>40746</v>
      </c>
      <c r="B29" s="3">
        <f t="shared" si="0"/>
        <v>15574.510000000006</v>
      </c>
      <c r="C29" s="18">
        <f>B28*0.09%</f>
        <v>14.378760000000003</v>
      </c>
      <c r="D29" s="18"/>
      <c r="E29" s="4">
        <v>1.64</v>
      </c>
      <c r="F29" s="3">
        <v>401.89</v>
      </c>
      <c r="G29" s="3"/>
      <c r="H29" s="3"/>
      <c r="I29" s="1" t="s">
        <v>101</v>
      </c>
      <c r="J29" s="1" t="s">
        <v>127</v>
      </c>
    </row>
    <row r="30" spans="1:13">
      <c r="A30" s="112">
        <v>40857</v>
      </c>
      <c r="B30" s="3">
        <f t="shared" si="0"/>
        <v>14804.510000000006</v>
      </c>
      <c r="C30" s="18">
        <f>B29*0.09%*4</f>
        <v>56.06823600000002</v>
      </c>
      <c r="D30" s="18"/>
      <c r="E30" s="4">
        <v>67.400000000000006</v>
      </c>
      <c r="F30" s="3">
        <v>770</v>
      </c>
      <c r="G30" s="3"/>
      <c r="H30" s="3"/>
      <c r="I30" s="115" t="s">
        <v>129</v>
      </c>
    </row>
    <row r="31" spans="1:13">
      <c r="A31" s="112">
        <v>40857</v>
      </c>
      <c r="B31" s="3">
        <f t="shared" si="0"/>
        <v>12804.510000000006</v>
      </c>
      <c r="C31" s="18"/>
      <c r="D31" s="18"/>
      <c r="E31" s="4"/>
      <c r="F31" s="3">
        <v>2000</v>
      </c>
      <c r="G31" s="3"/>
      <c r="H31" s="3"/>
      <c r="I31" s="116"/>
    </row>
    <row r="32" spans="1:13">
      <c r="A32" s="112">
        <v>40870</v>
      </c>
      <c r="B32" s="3">
        <f t="shared" si="0"/>
        <v>12704.510000000006</v>
      </c>
      <c r="C32" s="18"/>
      <c r="D32" s="18"/>
      <c r="E32" s="4"/>
      <c r="F32" s="3">
        <v>100</v>
      </c>
      <c r="G32" s="3"/>
      <c r="H32" s="3"/>
      <c r="I32" s="1" t="s">
        <v>101</v>
      </c>
    </row>
    <row r="33" spans="1:11">
      <c r="A33" s="101">
        <v>40997</v>
      </c>
      <c r="B33" s="3">
        <f t="shared" si="0"/>
        <v>9592.2200000000048</v>
      </c>
      <c r="C33" s="18">
        <f>B32*0.09%*4</f>
        <v>45.736236000000019</v>
      </c>
      <c r="D33" s="18"/>
      <c r="E33" s="4">
        <v>9.9499999999999993</v>
      </c>
      <c r="F33" s="3">
        <v>3112.29</v>
      </c>
      <c r="G33" s="3"/>
      <c r="H33" s="3"/>
      <c r="I33" s="1" t="s">
        <v>130</v>
      </c>
    </row>
    <row r="34" spans="1:11">
      <c r="A34" s="101">
        <v>40997</v>
      </c>
      <c r="B34" s="3">
        <f t="shared" si="0"/>
        <v>9504.5100000000057</v>
      </c>
      <c r="C34" s="18"/>
      <c r="D34" s="18"/>
      <c r="E34" s="4"/>
      <c r="F34" s="3">
        <v>87.71</v>
      </c>
      <c r="G34" s="3"/>
      <c r="H34" s="3"/>
      <c r="I34" s="1" t="s">
        <v>101</v>
      </c>
    </row>
    <row r="35" spans="1:11">
      <c r="A35" s="101">
        <v>40998</v>
      </c>
      <c r="B35" s="3">
        <f t="shared" si="0"/>
        <v>9480.3000000000065</v>
      </c>
      <c r="C35" s="18"/>
      <c r="D35" s="18"/>
      <c r="E35" s="4">
        <v>19.75</v>
      </c>
      <c r="F35" s="3">
        <v>24.21</v>
      </c>
      <c r="G35" s="3"/>
      <c r="H35" s="3"/>
      <c r="I35" s="1" t="s">
        <v>131</v>
      </c>
    </row>
    <row r="36" spans="1:11">
      <c r="A36" s="101">
        <v>40998</v>
      </c>
      <c r="B36" s="3">
        <f t="shared" si="0"/>
        <v>9254.5100000000057</v>
      </c>
      <c r="C36" s="18"/>
      <c r="D36" s="18"/>
      <c r="E36" s="4"/>
      <c r="F36" s="3">
        <v>225.79</v>
      </c>
      <c r="G36" s="3"/>
      <c r="H36" s="3"/>
      <c r="I36" s="1" t="s">
        <v>101</v>
      </c>
    </row>
    <row r="37" spans="1:11">
      <c r="A37" s="101">
        <v>41135</v>
      </c>
      <c r="B37" s="3">
        <f t="shared" si="0"/>
        <v>9054.5100000000057</v>
      </c>
      <c r="C37" s="18">
        <f>B36*0.09%*5</f>
        <v>41.645295000000019</v>
      </c>
      <c r="D37" s="18"/>
      <c r="E37" s="4">
        <v>142.26</v>
      </c>
      <c r="F37" s="3">
        <v>200</v>
      </c>
      <c r="G37" s="3"/>
      <c r="H37" s="3"/>
      <c r="I37" s="1" t="s">
        <v>132</v>
      </c>
      <c r="K37" s="5"/>
    </row>
    <row r="38" spans="1:11">
      <c r="A38" s="101">
        <v>41135</v>
      </c>
      <c r="B38" s="3">
        <f t="shared" si="0"/>
        <v>8881.3700000000063</v>
      </c>
      <c r="C38" s="18"/>
      <c r="D38" s="18"/>
      <c r="E38" s="4"/>
      <c r="F38" s="3">
        <v>173.14</v>
      </c>
      <c r="G38" s="3"/>
      <c r="H38" s="3"/>
      <c r="I38" s="1" t="s">
        <v>101</v>
      </c>
    </row>
    <row r="39" spans="1:11">
      <c r="A39" s="101">
        <v>41158</v>
      </c>
      <c r="B39" s="3">
        <f t="shared" si="0"/>
        <v>8581.3700000000063</v>
      </c>
      <c r="C39" s="18">
        <f>B38*0.09%</f>
        <v>7.9932330000000054</v>
      </c>
      <c r="D39" s="18"/>
      <c r="E39" s="4">
        <v>23.65</v>
      </c>
      <c r="F39" s="3">
        <v>300</v>
      </c>
      <c r="G39" s="3"/>
      <c r="H39" s="3"/>
      <c r="I39" s="1" t="s">
        <v>133</v>
      </c>
      <c r="K39" s="5"/>
    </row>
    <row r="40" spans="1:11">
      <c r="A40" s="101">
        <v>41229</v>
      </c>
      <c r="B40" s="3">
        <f t="shared" si="0"/>
        <v>7581.3700000000063</v>
      </c>
      <c r="C40" s="18">
        <f t="shared" si="1"/>
        <v>15.446466000000012</v>
      </c>
      <c r="D40" s="18"/>
      <c r="E40" s="4">
        <v>62.47</v>
      </c>
      <c r="F40" s="3">
        <v>1000</v>
      </c>
      <c r="G40" s="3"/>
      <c r="H40" s="3"/>
      <c r="I40" s="1" t="s">
        <v>134</v>
      </c>
    </row>
    <row r="41" spans="1:11">
      <c r="A41" s="112">
        <v>41345</v>
      </c>
      <c r="B41" s="3">
        <f t="shared" si="0"/>
        <v>7481.3700000000063</v>
      </c>
      <c r="C41" s="18">
        <f>B40*0.09%*4</f>
        <v>27.292932000000022</v>
      </c>
      <c r="D41" s="18"/>
      <c r="E41" s="4">
        <v>83.84</v>
      </c>
      <c r="F41" s="3">
        <v>100</v>
      </c>
      <c r="G41" s="3"/>
      <c r="H41" s="3"/>
      <c r="I41" s="1" t="s">
        <v>135</v>
      </c>
      <c r="K41" s="5"/>
    </row>
    <row r="42" spans="1:11">
      <c r="A42" s="112">
        <v>41354</v>
      </c>
      <c r="B42" s="3">
        <f t="shared" si="0"/>
        <v>7381.3700000000063</v>
      </c>
      <c r="C42" s="18"/>
      <c r="D42" s="18"/>
      <c r="E42" s="4">
        <v>8.27</v>
      </c>
      <c r="F42" s="3">
        <v>100</v>
      </c>
      <c r="G42" s="3"/>
      <c r="H42" s="3"/>
      <c r="I42" s="1" t="s">
        <v>136</v>
      </c>
    </row>
    <row r="43" spans="1:11">
      <c r="A43" s="112">
        <v>41416</v>
      </c>
      <c r="B43" s="3">
        <f>B42-F43</f>
        <v>7231.3700000000063</v>
      </c>
      <c r="C43" s="18">
        <f>B42*0.09%*2</f>
        <v>13.286466000000011</v>
      </c>
      <c r="D43" s="18"/>
      <c r="E43" s="4">
        <v>42.31</v>
      </c>
      <c r="F43" s="3">
        <v>150</v>
      </c>
      <c r="G43" s="3"/>
      <c r="H43" s="3"/>
      <c r="I43" s="1" t="s">
        <v>137</v>
      </c>
    </row>
    <row r="44" spans="1:11">
      <c r="A44" s="112">
        <v>41423</v>
      </c>
      <c r="B44" s="3">
        <f t="shared" ref="B44:B55" si="2">B43-F44</f>
        <v>6731.3700000000063</v>
      </c>
      <c r="C44" s="18"/>
      <c r="D44" s="18"/>
      <c r="E44" s="4"/>
      <c r="F44" s="3">
        <v>500</v>
      </c>
      <c r="G44" s="3"/>
      <c r="H44" s="3"/>
    </row>
    <row r="45" spans="1:11">
      <c r="A45" s="112">
        <v>41522</v>
      </c>
      <c r="B45" s="3">
        <f t="shared" si="2"/>
        <v>6531.3700000000063</v>
      </c>
      <c r="C45" s="18">
        <f>B44*0.09%*4</f>
        <v>24.232932000000023</v>
      </c>
      <c r="D45" s="18"/>
      <c r="E45" s="18"/>
      <c r="F45" s="3">
        <v>200</v>
      </c>
      <c r="G45" s="3"/>
      <c r="H45" s="3"/>
      <c r="J45" s="83" t="s">
        <v>138</v>
      </c>
    </row>
    <row r="46" spans="1:11">
      <c r="A46" s="112">
        <v>41578</v>
      </c>
      <c r="B46" s="3">
        <f t="shared" si="2"/>
        <v>6281.3700000000063</v>
      </c>
      <c r="C46" s="18">
        <f>B45*0.09%</f>
        <v>5.8782330000000051</v>
      </c>
      <c r="D46" s="3"/>
      <c r="E46" s="3"/>
      <c r="F46" s="3">
        <v>250</v>
      </c>
      <c r="G46" s="3"/>
      <c r="H46" s="3"/>
    </row>
    <row r="47" spans="1:11">
      <c r="A47" s="112">
        <v>41607</v>
      </c>
      <c r="B47" s="3">
        <f t="shared" si="2"/>
        <v>6031.3700000000063</v>
      </c>
      <c r="C47" s="18">
        <f>B46*0.09%</f>
        <v>5.6532330000000055</v>
      </c>
      <c r="D47" s="3"/>
      <c r="E47" s="3"/>
      <c r="F47" s="3">
        <v>250</v>
      </c>
      <c r="G47" s="3"/>
      <c r="H47" s="3"/>
    </row>
    <row r="48" spans="1:11">
      <c r="A48" s="101">
        <v>41710</v>
      </c>
      <c r="B48" s="3">
        <f t="shared" si="2"/>
        <v>5921.3700000000063</v>
      </c>
      <c r="C48" s="18">
        <f t="shared" ref="C48" si="3">B47*0.09%*4</f>
        <v>21.712932000000023</v>
      </c>
      <c r="D48" s="3"/>
      <c r="E48" s="3"/>
      <c r="F48" s="3">
        <v>110</v>
      </c>
      <c r="G48" s="3"/>
      <c r="H48" s="3"/>
    </row>
    <row r="49" spans="1:12">
      <c r="A49" s="101">
        <v>41729</v>
      </c>
      <c r="B49" s="3">
        <f t="shared" si="2"/>
        <v>5821.3700000000063</v>
      </c>
      <c r="C49" s="18"/>
      <c r="D49" s="3"/>
      <c r="E49" s="3"/>
      <c r="F49" s="3">
        <v>100</v>
      </c>
      <c r="G49" s="3"/>
      <c r="H49" s="3"/>
    </row>
    <row r="50" spans="1:12">
      <c r="A50" s="101">
        <v>41899</v>
      </c>
      <c r="B50" s="3">
        <f t="shared" si="2"/>
        <v>5671.3700000000063</v>
      </c>
      <c r="C50" s="18">
        <f>B49*0.09%*6</f>
        <v>31.435398000000035</v>
      </c>
      <c r="D50" s="3"/>
      <c r="E50" s="3"/>
      <c r="F50" s="3">
        <v>150</v>
      </c>
      <c r="G50" s="3"/>
      <c r="H50" s="3"/>
    </row>
    <row r="51" spans="1:12">
      <c r="A51" s="101">
        <v>41975</v>
      </c>
      <c r="B51" s="3">
        <f t="shared" si="2"/>
        <v>5471.3700000000063</v>
      </c>
      <c r="C51" s="18">
        <f>B50*0.09%*3</f>
        <v>15.312699000000016</v>
      </c>
      <c r="D51" s="3"/>
      <c r="E51" s="3"/>
      <c r="F51" s="3">
        <v>200</v>
      </c>
      <c r="G51" s="3"/>
      <c r="H51" s="3"/>
    </row>
    <row r="52" spans="1:12">
      <c r="A52" s="112">
        <v>42222</v>
      </c>
      <c r="B52" s="3">
        <f t="shared" si="2"/>
        <v>5371.3700000000063</v>
      </c>
      <c r="C52" s="18">
        <f>B51*0.09%*8</f>
        <v>39.393864000000043</v>
      </c>
      <c r="D52" s="3"/>
      <c r="E52" s="3"/>
      <c r="F52" s="3">
        <v>100</v>
      </c>
      <c r="G52" s="3"/>
      <c r="H52" s="3"/>
    </row>
    <row r="53" spans="1:12">
      <c r="A53" s="112">
        <v>42254</v>
      </c>
      <c r="B53" s="3">
        <f t="shared" si="2"/>
        <v>5236.3700000000063</v>
      </c>
      <c r="C53" s="18">
        <f>B52*0.09%</f>
        <v>4.8342330000000056</v>
      </c>
      <c r="D53" s="3"/>
      <c r="E53" s="3"/>
      <c r="F53" s="3">
        <v>135</v>
      </c>
      <c r="G53" s="3"/>
      <c r="H53" s="3"/>
    </row>
    <row r="54" spans="1:12">
      <c r="A54" s="112">
        <v>42303</v>
      </c>
      <c r="B54" s="3">
        <f t="shared" si="2"/>
        <v>5036.3700000000063</v>
      </c>
      <c r="C54" s="18">
        <f>B53*0.09%</f>
        <v>4.7127330000000054</v>
      </c>
      <c r="D54" s="3"/>
      <c r="E54" s="3"/>
      <c r="F54" s="3">
        <v>200</v>
      </c>
      <c r="G54" s="3"/>
      <c r="H54" s="3"/>
    </row>
    <row r="55" spans="1:12">
      <c r="A55" s="112">
        <v>42360</v>
      </c>
      <c r="B55" s="3">
        <f t="shared" si="2"/>
        <v>4936.3700000000063</v>
      </c>
      <c r="C55" s="18">
        <f>B54*0.09%*2</f>
        <v>9.0654660000000113</v>
      </c>
      <c r="D55" s="3"/>
      <c r="E55" s="3"/>
      <c r="F55" s="3">
        <v>100</v>
      </c>
      <c r="G55" s="3"/>
      <c r="H55" s="3"/>
    </row>
    <row r="56" spans="1:12">
      <c r="A56" s="117"/>
      <c r="B56" s="35"/>
      <c r="C56" s="118">
        <f>SUM(C16:C55)</f>
        <v>862.99809300000049</v>
      </c>
      <c r="D56" s="35"/>
      <c r="E56" s="35"/>
      <c r="F56" s="35"/>
      <c r="G56" s="35">
        <f>B55+C56</f>
        <v>5799.3680930000064</v>
      </c>
      <c r="H56" s="35"/>
      <c r="I56" s="83" t="s">
        <v>139</v>
      </c>
    </row>
    <row r="57" spans="1:12">
      <c r="A57" s="101">
        <v>42580</v>
      </c>
      <c r="B57" s="3">
        <f>B55-F57</f>
        <v>4136.3700000000063</v>
      </c>
      <c r="C57" s="18">
        <f>B55*0.09%*7</f>
        <v>31.099131000000042</v>
      </c>
      <c r="D57" s="3"/>
      <c r="E57" s="3"/>
      <c r="F57" s="3">
        <v>800</v>
      </c>
      <c r="G57" s="3"/>
      <c r="H57" s="3"/>
      <c r="I57" s="83" t="s">
        <v>141</v>
      </c>
    </row>
    <row r="58" spans="1:12">
      <c r="A58" s="101">
        <v>42713</v>
      </c>
      <c r="B58" s="3">
        <f>B57-F58</f>
        <v>3696.3700000000063</v>
      </c>
      <c r="C58" s="18">
        <f>B57*0.09%*5</f>
        <v>18.613665000000029</v>
      </c>
      <c r="D58" s="3"/>
      <c r="E58" s="3"/>
      <c r="F58" s="3">
        <v>440</v>
      </c>
      <c r="G58" s="35">
        <f>G56-F57-F58+E68</f>
        <v>4559.3680930000064</v>
      </c>
      <c r="H58" s="3"/>
    </row>
    <row r="59" spans="1:12">
      <c r="A59" s="112">
        <v>43100</v>
      </c>
      <c r="B59" s="3">
        <f t="shared" ref="B59:B61" si="4">B58-F59</f>
        <v>3696.3700000000063</v>
      </c>
      <c r="C59" s="18">
        <f>B58*0.09%*12</f>
        <v>39.920796000000067</v>
      </c>
      <c r="D59" s="3"/>
      <c r="E59" s="18"/>
      <c r="F59" s="3"/>
      <c r="G59" s="3"/>
      <c r="H59" s="3"/>
    </row>
    <row r="60" spans="1:12">
      <c r="A60" s="112">
        <v>43100</v>
      </c>
      <c r="B60" s="3">
        <f t="shared" si="4"/>
        <v>1996.3700000000063</v>
      </c>
      <c r="C60" s="161">
        <f>SUM(C16:C59)</f>
        <v>1815.6297780000011</v>
      </c>
      <c r="D60" s="3" t="s">
        <v>21</v>
      </c>
      <c r="E60" s="18"/>
      <c r="F60" s="36">
        <v>1700</v>
      </c>
      <c r="G60" s="3"/>
      <c r="H60" s="3"/>
      <c r="I60" s="83" t="s">
        <v>197</v>
      </c>
    </row>
    <row r="61" spans="1:12">
      <c r="A61" s="112">
        <v>43100</v>
      </c>
      <c r="B61" s="160">
        <f t="shared" si="4"/>
        <v>-3.6299999999937427</v>
      </c>
      <c r="C61" s="18">
        <f>C60-B61</f>
        <v>1819.2597779999949</v>
      </c>
      <c r="D61" s="3"/>
      <c r="E61" s="18"/>
      <c r="F61" s="36">
        <v>2000</v>
      </c>
      <c r="G61" s="3"/>
      <c r="H61" s="3"/>
      <c r="I61" s="83" t="s">
        <v>181</v>
      </c>
    </row>
    <row r="62" spans="1:12">
      <c r="A62" s="101">
        <v>43465</v>
      </c>
      <c r="B62" s="3"/>
      <c r="C62" s="18"/>
      <c r="D62" s="3"/>
      <c r="E62" s="18"/>
      <c r="F62" s="3"/>
      <c r="G62" s="3"/>
      <c r="H62" s="3"/>
      <c r="I62" s="83"/>
    </row>
    <row r="63" spans="1:12">
      <c r="A63" s="112">
        <v>43830</v>
      </c>
      <c r="B63" s="3"/>
      <c r="C63" s="18"/>
      <c r="D63" s="3"/>
      <c r="E63" s="18"/>
      <c r="F63" s="3"/>
      <c r="G63" s="3"/>
      <c r="H63" s="3"/>
    </row>
    <row r="64" spans="1:12">
      <c r="A64" s="101">
        <v>44074</v>
      </c>
      <c r="B64" s="3"/>
      <c r="C64" s="18"/>
      <c r="D64" s="3"/>
      <c r="E64" s="18"/>
      <c r="F64" s="3"/>
      <c r="G64" s="3"/>
      <c r="H64" s="3"/>
      <c r="I64" s="1" t="s">
        <v>142</v>
      </c>
      <c r="L64" s="83"/>
    </row>
    <row r="65" spans="1:12">
      <c r="A65" s="101">
        <v>44082</v>
      </c>
      <c r="B65" s="3"/>
      <c r="C65" s="3"/>
      <c r="D65" s="3"/>
      <c r="E65" s="3"/>
      <c r="F65" s="3"/>
      <c r="G65" s="3"/>
      <c r="H65" s="3"/>
      <c r="I65" s="83" t="s">
        <v>197</v>
      </c>
    </row>
    <row r="66" spans="1:12">
      <c r="A66" s="97"/>
      <c r="B66" s="3"/>
      <c r="C66" s="3"/>
      <c r="D66" s="3"/>
      <c r="E66" s="3"/>
      <c r="F66" s="3"/>
      <c r="G66" s="3"/>
      <c r="H66" s="3"/>
      <c r="I66" s="83"/>
    </row>
    <row r="67" spans="1:12">
      <c r="A67" s="97"/>
      <c r="B67" s="3"/>
      <c r="C67" s="3"/>
      <c r="D67" s="3"/>
      <c r="E67" s="3"/>
      <c r="F67" s="3"/>
      <c r="G67" s="3"/>
      <c r="H67" s="3"/>
    </row>
    <row r="68" spans="1:12">
      <c r="A68" s="97"/>
      <c r="B68" s="3"/>
      <c r="C68" s="3"/>
      <c r="D68" s="3"/>
      <c r="E68" s="3">
        <f>SUM(E59:E67)</f>
        <v>0</v>
      </c>
      <c r="F68" s="3">
        <f t="shared" ref="F68:H68" si="5">SUM(F16:F67)</f>
        <v>35003.629999999997</v>
      </c>
      <c r="G68" s="3"/>
      <c r="H68" s="3">
        <f t="shared" si="5"/>
        <v>0</v>
      </c>
    </row>
    <row r="69" spans="1:12">
      <c r="H69" s="5">
        <f>G68+H68</f>
        <v>0</v>
      </c>
    </row>
    <row r="71" spans="1:12" ht="15.75">
      <c r="A71" s="432" t="s">
        <v>72</v>
      </c>
      <c r="B71" s="432"/>
      <c r="C71" s="432"/>
      <c r="D71" s="432"/>
      <c r="E71" s="432"/>
      <c r="F71" s="432"/>
      <c r="G71" s="432"/>
      <c r="H71" s="432"/>
      <c r="J71" s="162" t="s">
        <v>182</v>
      </c>
      <c r="K71" s="162"/>
      <c r="L71" s="162"/>
    </row>
  </sheetData>
  <mergeCells count="13">
    <mergeCell ref="A2:H2"/>
    <mergeCell ref="A71:H71"/>
    <mergeCell ref="A3:G3"/>
    <mergeCell ref="A4:G4"/>
    <mergeCell ref="A5:G5"/>
    <mergeCell ref="A7:G7"/>
    <mergeCell ref="A8:G8"/>
    <mergeCell ref="A9:G9"/>
    <mergeCell ref="A10:G10"/>
    <mergeCell ref="A11:H11"/>
    <mergeCell ref="A12:H12"/>
    <mergeCell ref="A13:H13"/>
    <mergeCell ref="A6:G6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C29" sqref="C29"/>
    </sheetView>
  </sheetViews>
  <sheetFormatPr defaultRowHeight="11.25"/>
  <cols>
    <col min="1" max="1" width="3.44140625" style="1" bestFit="1" customWidth="1"/>
    <col min="2" max="2" width="10.5546875" style="1" customWidth="1"/>
    <col min="3" max="3" width="8.88671875" style="1"/>
    <col min="4" max="4" width="23" style="1" customWidth="1"/>
    <col min="5" max="5" width="12.44140625" style="1" bestFit="1" customWidth="1"/>
    <col min="6" max="16384" width="8.88671875" style="1"/>
  </cols>
  <sheetData>
    <row r="1" spans="1:11" s="38" customFormat="1">
      <c r="A1" s="37"/>
      <c r="B1" s="39" t="s">
        <v>40</v>
      </c>
      <c r="C1" s="39" t="s">
        <v>13</v>
      </c>
    </row>
    <row r="2" spans="1:11">
      <c r="A2" s="2">
        <v>1998</v>
      </c>
      <c r="B2" s="18"/>
      <c r="C2" s="31"/>
      <c r="E2" s="28"/>
    </row>
    <row r="3" spans="1:11">
      <c r="A3" s="2">
        <v>1999</v>
      </c>
      <c r="B3" s="18"/>
      <c r="C3" s="31"/>
      <c r="E3" s="23"/>
    </row>
    <row r="4" spans="1:11">
      <c r="A4" s="352">
        <v>2000</v>
      </c>
      <c r="B4" s="3">
        <v>2000</v>
      </c>
      <c r="C4" s="32">
        <v>33899</v>
      </c>
      <c r="D4" s="1" t="s">
        <v>465</v>
      </c>
    </row>
    <row r="5" spans="1:11">
      <c r="A5" s="352"/>
      <c r="B5" s="3">
        <v>28095.74</v>
      </c>
      <c r="C5" s="374"/>
      <c r="D5" s="227" t="s">
        <v>466</v>
      </c>
      <c r="K5" s="227" t="s">
        <v>467</v>
      </c>
    </row>
    <row r="6" spans="1:11">
      <c r="A6" s="2">
        <v>2001</v>
      </c>
      <c r="B6" s="3"/>
      <c r="C6" s="32"/>
    </row>
    <row r="7" spans="1:11">
      <c r="A7" s="2">
        <v>2002</v>
      </c>
      <c r="B7" s="3"/>
      <c r="C7" s="32"/>
    </row>
    <row r="8" spans="1:11">
      <c r="A8" s="2">
        <v>2003</v>
      </c>
      <c r="B8" s="3"/>
      <c r="C8" s="32"/>
    </row>
    <row r="9" spans="1:11">
      <c r="A9" s="2">
        <v>2004</v>
      </c>
      <c r="B9" s="3"/>
      <c r="C9" s="32"/>
    </row>
    <row r="10" spans="1:11">
      <c r="A10" s="2">
        <v>2005</v>
      </c>
      <c r="B10" s="3"/>
      <c r="C10" s="32"/>
    </row>
    <row r="11" spans="1:11">
      <c r="A11" s="2">
        <v>2006</v>
      </c>
      <c r="B11" s="3">
        <v>2000</v>
      </c>
      <c r="C11" s="32">
        <v>16826</v>
      </c>
      <c r="D11" s="1" t="s">
        <v>455</v>
      </c>
    </row>
    <row r="12" spans="1:11">
      <c r="A12" s="2">
        <v>2007</v>
      </c>
      <c r="B12" s="3">
        <v>300</v>
      </c>
      <c r="C12" s="32">
        <v>2228</v>
      </c>
      <c r="D12" s="1" t="s">
        <v>453</v>
      </c>
    </row>
    <row r="13" spans="1:11">
      <c r="A13" s="2">
        <v>2008</v>
      </c>
      <c r="B13" s="3"/>
      <c r="C13" s="32"/>
    </row>
    <row r="14" spans="1:11">
      <c r="A14" s="2">
        <v>2009</v>
      </c>
      <c r="B14" s="3"/>
      <c r="C14" s="32"/>
    </row>
    <row r="15" spans="1:11">
      <c r="A15" s="2">
        <v>2010</v>
      </c>
      <c r="B15" s="3"/>
      <c r="C15" s="32"/>
    </row>
    <row r="16" spans="1:11">
      <c r="A16" s="2">
        <v>2011</v>
      </c>
      <c r="B16" s="3"/>
      <c r="C16" s="32"/>
    </row>
    <row r="17" spans="1:12">
      <c r="A17" s="2">
        <v>2012</v>
      </c>
      <c r="B17" s="3"/>
      <c r="C17" s="32"/>
    </row>
    <row r="18" spans="1:12">
      <c r="A18" s="2">
        <v>2013</v>
      </c>
      <c r="B18" s="3"/>
      <c r="C18" s="32"/>
    </row>
    <row r="19" spans="1:12">
      <c r="A19" s="2">
        <v>2014</v>
      </c>
      <c r="B19" s="3">
        <v>500</v>
      </c>
      <c r="C19" s="32">
        <v>2030</v>
      </c>
      <c r="D19" s="1" t="s">
        <v>66</v>
      </c>
      <c r="L19" s="83" t="s">
        <v>491</v>
      </c>
    </row>
    <row r="20" spans="1:12">
      <c r="A20" s="2">
        <v>2015</v>
      </c>
      <c r="B20" s="3"/>
      <c r="C20" s="32"/>
    </row>
    <row r="21" spans="1:12">
      <c r="A21" s="2">
        <v>2016</v>
      </c>
      <c r="B21" s="3"/>
      <c r="C21" s="32"/>
    </row>
    <row r="22" spans="1:12">
      <c r="A22" s="2">
        <v>2017</v>
      </c>
      <c r="B22" s="3">
        <v>35000</v>
      </c>
      <c r="C22" s="32">
        <v>110887</v>
      </c>
      <c r="D22" s="1" t="s">
        <v>452</v>
      </c>
    </row>
    <row r="23" spans="1:12">
      <c r="A23" s="2">
        <v>2018</v>
      </c>
      <c r="B23" s="3"/>
      <c r="C23" s="32"/>
    </row>
    <row r="24" spans="1:12">
      <c r="A24" s="2">
        <v>2019</v>
      </c>
      <c r="B24" s="3"/>
      <c r="C24" s="32"/>
    </row>
    <row r="25" spans="1:12">
      <c r="A25" s="2">
        <v>2020</v>
      </c>
      <c r="B25" s="3"/>
      <c r="C25" s="32"/>
    </row>
    <row r="26" spans="1:12">
      <c r="A26" s="2">
        <v>2021</v>
      </c>
      <c r="B26" s="3"/>
      <c r="C26" s="32"/>
    </row>
    <row r="27" spans="1:12">
      <c r="A27" s="2">
        <v>2022</v>
      </c>
      <c r="B27" s="3"/>
      <c r="C27" s="32"/>
    </row>
    <row r="28" spans="1:12">
      <c r="A28" s="2"/>
      <c r="B28" s="3">
        <f>SUM(B2:B27)</f>
        <v>67895.740000000005</v>
      </c>
      <c r="C28" s="32">
        <f>SUM(C2:C27)</f>
        <v>165870</v>
      </c>
      <c r="D28" s="82"/>
    </row>
    <row r="29" spans="1:12" ht="15">
      <c r="C29" s="82">
        <v>45355</v>
      </c>
      <c r="D29" s="384" t="s">
        <v>488</v>
      </c>
    </row>
    <row r="31" spans="1:12" ht="15.75">
      <c r="A31" s="432" t="s">
        <v>454</v>
      </c>
      <c r="B31" s="432"/>
      <c r="C31" s="432"/>
      <c r="D31" s="432"/>
      <c r="E31" s="13"/>
      <c r="F31" s="13"/>
      <c r="G31" s="13"/>
      <c r="H31" s="13"/>
      <c r="I31" s="13"/>
      <c r="J31" s="13"/>
    </row>
  </sheetData>
  <mergeCells count="1">
    <mergeCell ref="A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J29" sqref="J29"/>
    </sheetView>
  </sheetViews>
  <sheetFormatPr defaultRowHeight="11.25"/>
  <cols>
    <col min="1" max="1" width="3.44140625" style="1" bestFit="1" customWidth="1"/>
    <col min="2" max="2" width="9.6640625" style="1" bestFit="1" customWidth="1"/>
    <col min="3" max="4" width="8.88671875" style="1"/>
    <col min="5" max="5" width="10.6640625" style="1" bestFit="1" customWidth="1"/>
    <col min="6" max="6" width="12.44140625" style="1" bestFit="1" customWidth="1"/>
    <col min="7" max="7" width="8.88671875" style="1"/>
    <col min="8" max="8" width="11" style="1" bestFit="1" customWidth="1"/>
    <col min="9" max="16384" width="8.88671875" style="1"/>
  </cols>
  <sheetData>
    <row r="1" spans="1:7" s="38" customFormat="1">
      <c r="A1" s="37"/>
      <c r="B1" s="39" t="s">
        <v>41</v>
      </c>
      <c r="C1" s="39" t="s">
        <v>40</v>
      </c>
      <c r="D1" s="39" t="s">
        <v>13</v>
      </c>
      <c r="E1" s="39" t="s">
        <v>490</v>
      </c>
      <c r="F1" s="39" t="s">
        <v>40</v>
      </c>
      <c r="G1" s="39" t="s">
        <v>13</v>
      </c>
    </row>
    <row r="2" spans="1:7">
      <c r="A2" s="2">
        <v>1998</v>
      </c>
      <c r="B2" s="18"/>
      <c r="C2" s="18"/>
      <c r="D2" s="31"/>
      <c r="E2" s="2"/>
      <c r="F2" s="3"/>
      <c r="G2" s="32"/>
    </row>
    <row r="3" spans="1:7">
      <c r="A3" s="2">
        <v>1999</v>
      </c>
      <c r="B3" s="18"/>
      <c r="C3" s="18"/>
      <c r="D3" s="31"/>
      <c r="E3" s="2"/>
      <c r="F3" s="3"/>
      <c r="G3" s="32"/>
    </row>
    <row r="4" spans="1:7">
      <c r="A4" s="2">
        <v>2000</v>
      </c>
      <c r="B4" s="3"/>
      <c r="C4" s="3"/>
      <c r="D4" s="32"/>
      <c r="E4" s="2"/>
      <c r="F4" s="3"/>
      <c r="G4" s="32"/>
    </row>
    <row r="5" spans="1:7">
      <c r="A5" s="2">
        <v>2001</v>
      </c>
      <c r="B5" s="3"/>
      <c r="C5" s="3"/>
      <c r="D5" s="32"/>
      <c r="E5" s="2"/>
      <c r="F5" s="3"/>
      <c r="G5" s="32"/>
    </row>
    <row r="6" spans="1:7">
      <c r="A6" s="2">
        <v>2002</v>
      </c>
      <c r="B6" s="3"/>
      <c r="C6" s="3"/>
      <c r="D6" s="32"/>
      <c r="E6" s="2"/>
      <c r="F6" s="3"/>
      <c r="G6" s="32"/>
    </row>
    <row r="7" spans="1:7">
      <c r="A7" s="2">
        <v>2003</v>
      </c>
      <c r="B7" s="3" t="s">
        <v>39</v>
      </c>
      <c r="C7" s="3">
        <v>1144</v>
      </c>
      <c r="D7" s="32">
        <v>6332</v>
      </c>
      <c r="E7" s="2"/>
      <c r="F7" s="3"/>
      <c r="G7" s="32"/>
    </row>
    <row r="8" spans="1:7">
      <c r="A8" s="2">
        <v>2004</v>
      </c>
      <c r="B8" s="3"/>
      <c r="C8" s="3"/>
      <c r="D8" s="32"/>
      <c r="E8" s="2"/>
      <c r="F8" s="3"/>
      <c r="G8" s="32"/>
    </row>
    <row r="9" spans="1:7">
      <c r="A9" s="2">
        <v>2005</v>
      </c>
      <c r="B9" s="3"/>
      <c r="C9" s="3"/>
      <c r="D9" s="32"/>
      <c r="E9" s="2"/>
      <c r="F9" s="3"/>
      <c r="G9" s="32"/>
    </row>
    <row r="10" spans="1:7">
      <c r="A10" s="2">
        <v>2006</v>
      </c>
      <c r="B10" s="3" t="s">
        <v>92</v>
      </c>
      <c r="C10" s="36">
        <v>1250</v>
      </c>
      <c r="D10" s="321">
        <v>5384</v>
      </c>
      <c r="E10" s="2" t="s">
        <v>457</v>
      </c>
      <c r="F10" s="3">
        <v>1144</v>
      </c>
      <c r="G10" s="32">
        <v>4928</v>
      </c>
    </row>
    <row r="11" spans="1:7">
      <c r="A11" s="2">
        <v>2007</v>
      </c>
      <c r="B11" s="3"/>
      <c r="C11" s="3"/>
      <c r="D11" s="32"/>
      <c r="E11" s="2"/>
      <c r="F11" s="3"/>
      <c r="G11" s="32"/>
    </row>
    <row r="12" spans="1:7">
      <c r="A12" s="2">
        <v>2008</v>
      </c>
      <c r="B12" s="3"/>
      <c r="C12" s="3"/>
      <c r="D12" s="32"/>
      <c r="E12" s="2"/>
      <c r="F12" s="3"/>
      <c r="G12" s="32"/>
    </row>
    <row r="13" spans="1:7">
      <c r="A13" s="2">
        <v>2009</v>
      </c>
      <c r="B13" s="3" t="s">
        <v>91</v>
      </c>
      <c r="C13" s="3">
        <v>4912.63</v>
      </c>
      <c r="D13" s="32">
        <v>14628</v>
      </c>
      <c r="E13" s="2"/>
      <c r="F13" s="3"/>
      <c r="G13" s="32"/>
    </row>
    <row r="14" spans="1:7">
      <c r="A14" s="2">
        <v>2010</v>
      </c>
      <c r="B14" s="3" t="s">
        <v>111</v>
      </c>
      <c r="C14" s="3">
        <v>680</v>
      </c>
      <c r="D14" s="32">
        <v>1830</v>
      </c>
      <c r="E14" s="2" t="s">
        <v>458</v>
      </c>
      <c r="F14" s="3">
        <v>4322.66</v>
      </c>
      <c r="G14" s="32">
        <v>11629</v>
      </c>
    </row>
    <row r="15" spans="1:7">
      <c r="A15" s="2">
        <v>2011</v>
      </c>
      <c r="B15" s="3"/>
      <c r="C15" s="3"/>
      <c r="D15" s="32"/>
      <c r="E15" s="2"/>
      <c r="F15" s="3"/>
      <c r="G15" s="32"/>
    </row>
    <row r="16" spans="1:7">
      <c r="A16" s="2">
        <v>2012</v>
      </c>
      <c r="B16" s="3"/>
      <c r="C16" s="3"/>
      <c r="D16" s="32"/>
      <c r="E16" s="2"/>
      <c r="F16" s="3"/>
      <c r="G16" s="32"/>
    </row>
    <row r="17" spans="1:11">
      <c r="A17" s="2">
        <v>2013</v>
      </c>
      <c r="B17" s="3"/>
      <c r="C17" s="3"/>
      <c r="D17" s="32"/>
      <c r="E17" s="2"/>
      <c r="F17" s="3"/>
      <c r="G17" s="32"/>
    </row>
    <row r="18" spans="1:11">
      <c r="A18" s="2">
        <v>2014</v>
      </c>
      <c r="B18" s="3"/>
      <c r="C18" s="3"/>
      <c r="D18" s="32"/>
      <c r="E18" s="2"/>
      <c r="F18" s="3"/>
      <c r="G18" s="32"/>
    </row>
    <row r="19" spans="1:11">
      <c r="A19" s="2">
        <v>2015</v>
      </c>
      <c r="B19" s="3"/>
      <c r="C19" s="3"/>
      <c r="D19" s="32"/>
      <c r="E19" s="2"/>
      <c r="F19" s="3"/>
      <c r="G19" s="32"/>
    </row>
    <row r="20" spans="1:11">
      <c r="A20" s="2">
        <v>2016</v>
      </c>
      <c r="B20" s="3"/>
      <c r="C20" s="3"/>
      <c r="D20" s="32"/>
      <c r="E20" s="2"/>
      <c r="F20" s="3"/>
      <c r="G20" s="32"/>
    </row>
    <row r="21" spans="1:11">
      <c r="A21" s="2">
        <v>2017</v>
      </c>
      <c r="B21" s="3"/>
      <c r="C21" s="3"/>
      <c r="D21" s="32"/>
      <c r="E21" s="2"/>
      <c r="F21" s="3"/>
      <c r="G21" s="32"/>
    </row>
    <row r="22" spans="1:11">
      <c r="A22" s="2">
        <v>2018</v>
      </c>
      <c r="B22" s="3"/>
      <c r="C22" s="3"/>
      <c r="D22" s="32"/>
      <c r="E22" s="2"/>
      <c r="F22" s="3"/>
      <c r="G22" s="32"/>
    </row>
    <row r="23" spans="1:11">
      <c r="A23" s="2">
        <v>2019</v>
      </c>
      <c r="B23" s="3"/>
      <c r="C23" s="3"/>
      <c r="D23" s="32"/>
      <c r="E23" s="2"/>
      <c r="F23" s="3"/>
      <c r="G23" s="32"/>
    </row>
    <row r="24" spans="1:11">
      <c r="A24" s="2">
        <v>2020</v>
      </c>
      <c r="B24" s="3"/>
      <c r="C24" s="3"/>
      <c r="D24" s="32"/>
      <c r="E24" s="2"/>
      <c r="F24" s="3"/>
      <c r="G24" s="32"/>
    </row>
    <row r="25" spans="1:11">
      <c r="A25" s="2">
        <v>2021</v>
      </c>
      <c r="B25" s="3"/>
      <c r="C25" s="3"/>
      <c r="D25" s="32"/>
      <c r="E25" s="2"/>
      <c r="F25" s="3"/>
      <c r="G25" s="32"/>
    </row>
    <row r="26" spans="1:11">
      <c r="A26" s="2">
        <v>2022</v>
      </c>
      <c r="B26" s="3"/>
      <c r="C26" s="3"/>
      <c r="D26" s="32"/>
      <c r="E26" s="2"/>
      <c r="F26" s="3"/>
      <c r="G26" s="32"/>
    </row>
    <row r="27" spans="1:11">
      <c r="A27" s="2"/>
      <c r="B27" s="3"/>
      <c r="C27" s="3">
        <f>SUM(C2:C26)</f>
        <v>7986.63</v>
      </c>
      <c r="D27" s="32">
        <f>SUM(D2:D26)</f>
        <v>28174</v>
      </c>
      <c r="E27" s="3"/>
      <c r="F27" s="3">
        <f t="shared" ref="F27:G27" si="0">SUM(F2:F26)</f>
        <v>5466.66</v>
      </c>
      <c r="G27" s="32">
        <f t="shared" si="0"/>
        <v>16557</v>
      </c>
    </row>
    <row r="28" spans="1:11">
      <c r="D28" s="82"/>
      <c r="F28" s="5">
        <f>C27+F27</f>
        <v>13453.29</v>
      </c>
      <c r="G28" s="75">
        <f>D27+G27</f>
        <v>44731</v>
      </c>
    </row>
    <row r="29" spans="1:11">
      <c r="G29" s="240" t="s">
        <v>469</v>
      </c>
      <c r="I29" s="82">
        <v>45350</v>
      </c>
    </row>
    <row r="30" spans="1:11" ht="15.75">
      <c r="A30" s="432" t="s">
        <v>45</v>
      </c>
      <c r="B30" s="432"/>
      <c r="C30" s="432"/>
      <c r="D30" s="432"/>
      <c r="E30" s="13"/>
      <c r="F30" s="13"/>
      <c r="G30" s="13"/>
      <c r="H30" s="13"/>
      <c r="I30" s="13"/>
      <c r="J30" s="13"/>
      <c r="K30" s="13"/>
    </row>
    <row r="32" spans="1:11">
      <c r="B32" s="250" t="s">
        <v>299</v>
      </c>
      <c r="C32" s="250"/>
      <c r="D32" s="247" t="s">
        <v>300</v>
      </c>
      <c r="E32" s="250"/>
      <c r="F32" s="250" t="s">
        <v>304</v>
      </c>
      <c r="G32" s="250"/>
      <c r="H32" s="250" t="s">
        <v>14</v>
      </c>
    </row>
    <row r="33" spans="2:8">
      <c r="B33" s="28">
        <v>700000</v>
      </c>
      <c r="C33" s="28"/>
      <c r="D33" s="81">
        <v>7000</v>
      </c>
      <c r="E33" s="28"/>
      <c r="F33" s="28">
        <f>B33*D33</f>
        <v>4900000000</v>
      </c>
      <c r="H33" s="28">
        <f>D27*F33/C27</f>
        <v>17285463330.591251</v>
      </c>
    </row>
  </sheetData>
  <mergeCells count="1">
    <mergeCell ref="A30:D3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M2" sqref="M2:M5"/>
    </sheetView>
  </sheetViews>
  <sheetFormatPr defaultRowHeight="11.25"/>
  <cols>
    <col min="1" max="1" width="3.44140625" style="1" bestFit="1" customWidth="1"/>
    <col min="2" max="5" width="10.5546875" style="1" customWidth="1"/>
    <col min="6" max="6" width="12.44140625" style="1" bestFit="1" customWidth="1"/>
    <col min="7" max="16384" width="8.88671875" style="1"/>
  </cols>
  <sheetData>
    <row r="1" spans="1:13" s="38" customFormat="1">
      <c r="A1" s="37"/>
      <c r="B1" s="334" t="s">
        <v>274</v>
      </c>
      <c r="C1" s="334" t="s">
        <v>19</v>
      </c>
      <c r="D1" s="334" t="s">
        <v>24</v>
      </c>
      <c r="E1" s="334" t="s">
        <v>448</v>
      </c>
      <c r="F1" s="335" t="s">
        <v>13</v>
      </c>
      <c r="G1" s="334" t="s">
        <v>184</v>
      </c>
      <c r="H1" s="334" t="s">
        <v>19</v>
      </c>
      <c r="I1" s="334" t="s">
        <v>24</v>
      </c>
      <c r="J1" s="334" t="s">
        <v>448</v>
      </c>
      <c r="K1" s="335" t="s">
        <v>13</v>
      </c>
    </row>
    <row r="2" spans="1:13">
      <c r="A2" s="2">
        <v>1998</v>
      </c>
      <c r="B2" s="18">
        <v>781.71</v>
      </c>
      <c r="C2" s="18">
        <v>781.71</v>
      </c>
      <c r="D2" s="3">
        <f t="shared" ref="D2:D4" si="0">B2-C2</f>
        <v>0</v>
      </c>
      <c r="E2" s="3">
        <f>D2*30%</f>
        <v>0</v>
      </c>
      <c r="F2" s="32"/>
      <c r="G2" s="3"/>
      <c r="H2" s="3"/>
      <c r="I2" s="3"/>
      <c r="J2" s="3">
        <f>I2*30%</f>
        <v>0</v>
      </c>
      <c r="K2" s="3"/>
      <c r="M2" s="227"/>
    </row>
    <row r="3" spans="1:13">
      <c r="A3" s="2">
        <v>1999</v>
      </c>
      <c r="B3" s="18">
        <v>781.71</v>
      </c>
      <c r="C3" s="18">
        <v>781.71</v>
      </c>
      <c r="D3" s="3">
        <f t="shared" si="0"/>
        <v>0</v>
      </c>
      <c r="E3" s="3">
        <f t="shared" ref="E3:E26" si="1">D3*30%</f>
        <v>0</v>
      </c>
      <c r="F3" s="32"/>
      <c r="G3" s="3"/>
      <c r="H3" s="3"/>
      <c r="I3" s="3"/>
      <c r="J3" s="3">
        <f t="shared" ref="J3:J26" si="2">I3*30%</f>
        <v>0</v>
      </c>
      <c r="K3" s="3"/>
      <c r="M3" s="227"/>
    </row>
    <row r="4" spans="1:13">
      <c r="A4" s="2">
        <v>2000</v>
      </c>
      <c r="B4" s="18">
        <v>683.24</v>
      </c>
      <c r="C4" s="3">
        <v>781.71</v>
      </c>
      <c r="D4" s="3">
        <f t="shared" si="0"/>
        <v>-98.470000000000027</v>
      </c>
      <c r="E4" s="3">
        <f t="shared" si="1"/>
        <v>-29.541000000000007</v>
      </c>
      <c r="F4" s="32">
        <v>215</v>
      </c>
      <c r="G4" s="3"/>
      <c r="H4" s="3"/>
      <c r="I4" s="3"/>
      <c r="J4" s="3">
        <f t="shared" si="2"/>
        <v>0</v>
      </c>
      <c r="K4" s="3"/>
      <c r="M4" s="227"/>
    </row>
    <row r="5" spans="1:13">
      <c r="A5" s="2">
        <v>2001</v>
      </c>
      <c r="B5" s="36">
        <v>3658.25</v>
      </c>
      <c r="C5" s="3">
        <v>4565.97</v>
      </c>
      <c r="D5" s="3">
        <f>B5-C5</f>
        <v>-907.72000000000025</v>
      </c>
      <c r="E5" s="3">
        <f t="shared" si="1"/>
        <v>-272.31600000000009</v>
      </c>
      <c r="F5" s="32">
        <v>1766</v>
      </c>
      <c r="G5" s="3"/>
      <c r="H5" s="3"/>
      <c r="I5" s="3"/>
      <c r="J5" s="3">
        <f t="shared" si="2"/>
        <v>0</v>
      </c>
      <c r="K5" s="3"/>
      <c r="M5" s="227"/>
    </row>
    <row r="6" spans="1:13">
      <c r="A6" s="2">
        <v>2002</v>
      </c>
      <c r="B6" s="36">
        <v>2250.0500000000002</v>
      </c>
      <c r="C6" s="3">
        <v>2322.34</v>
      </c>
      <c r="D6" s="3">
        <f t="shared" ref="D6:D26" si="3">B6-C6</f>
        <v>-72.289999999999964</v>
      </c>
      <c r="E6" s="3">
        <f t="shared" si="1"/>
        <v>-21.686999999999987</v>
      </c>
      <c r="F6" s="32">
        <v>126</v>
      </c>
      <c r="G6" s="3"/>
      <c r="H6" s="3"/>
      <c r="I6" s="3"/>
      <c r="J6" s="3">
        <f t="shared" si="2"/>
        <v>0</v>
      </c>
      <c r="K6" s="3"/>
    </row>
    <row r="7" spans="1:13">
      <c r="A7" s="2">
        <v>2003</v>
      </c>
      <c r="B7" s="36">
        <v>2250.04</v>
      </c>
      <c r="C7" s="3">
        <v>2250.04</v>
      </c>
      <c r="D7" s="3">
        <f t="shared" si="3"/>
        <v>0</v>
      </c>
      <c r="E7" s="3">
        <f t="shared" si="1"/>
        <v>0</v>
      </c>
      <c r="F7" s="32"/>
      <c r="G7" s="3">
        <v>7390.49</v>
      </c>
      <c r="H7" s="36"/>
      <c r="I7" s="36"/>
      <c r="J7" s="3">
        <f t="shared" si="2"/>
        <v>0</v>
      </c>
      <c r="K7" s="3"/>
    </row>
    <row r="8" spans="1:13">
      <c r="A8" s="2">
        <v>2004</v>
      </c>
      <c r="B8" s="36">
        <v>4976.63</v>
      </c>
      <c r="C8" s="3">
        <v>4128.71</v>
      </c>
      <c r="D8" s="3">
        <f t="shared" si="3"/>
        <v>847.92000000000007</v>
      </c>
      <c r="E8" s="3">
        <f t="shared" si="1"/>
        <v>254.376</v>
      </c>
      <c r="F8" s="32"/>
      <c r="G8" s="3">
        <v>1944.12</v>
      </c>
      <c r="H8" s="36"/>
      <c r="I8" s="36"/>
      <c r="J8" s="3">
        <f t="shared" si="2"/>
        <v>0</v>
      </c>
      <c r="K8" s="3"/>
    </row>
    <row r="9" spans="1:13">
      <c r="A9" s="2">
        <v>2005</v>
      </c>
      <c r="B9" s="36">
        <v>5638.87</v>
      </c>
      <c r="C9" s="3">
        <v>6240.26</v>
      </c>
      <c r="D9" s="3">
        <f t="shared" si="3"/>
        <v>-601.39000000000033</v>
      </c>
      <c r="E9" s="3">
        <f t="shared" si="1"/>
        <v>-180.41700000000009</v>
      </c>
      <c r="F9" s="32">
        <v>770</v>
      </c>
      <c r="G9" s="36"/>
      <c r="H9" s="36"/>
      <c r="I9" s="36"/>
      <c r="J9" s="3">
        <f t="shared" si="2"/>
        <v>0</v>
      </c>
      <c r="K9" s="3"/>
    </row>
    <row r="10" spans="1:13">
      <c r="A10" s="2">
        <v>2006</v>
      </c>
      <c r="B10" s="36">
        <v>8411.65</v>
      </c>
      <c r="C10" s="3">
        <v>8967.6299999999992</v>
      </c>
      <c r="D10" s="3">
        <f t="shared" si="3"/>
        <v>-555.97999999999956</v>
      </c>
      <c r="E10" s="3">
        <f t="shared" si="1"/>
        <v>-166.79399999999987</v>
      </c>
      <c r="F10" s="32">
        <v>636</v>
      </c>
      <c r="G10" s="36"/>
      <c r="H10" s="36"/>
      <c r="I10" s="36"/>
      <c r="J10" s="3">
        <f t="shared" si="2"/>
        <v>0</v>
      </c>
      <c r="K10" s="3"/>
    </row>
    <row r="11" spans="1:13">
      <c r="A11" s="2">
        <v>2007</v>
      </c>
      <c r="B11" s="36">
        <v>3750.28</v>
      </c>
      <c r="C11" s="3">
        <v>3849.16</v>
      </c>
      <c r="D11" s="3">
        <f t="shared" si="3"/>
        <v>-98.879999999999654</v>
      </c>
      <c r="E11" s="3">
        <f t="shared" si="1"/>
        <v>-29.663999999999895</v>
      </c>
      <c r="F11" s="32">
        <v>101</v>
      </c>
      <c r="G11" s="36"/>
      <c r="H11" s="36"/>
      <c r="I11" s="36"/>
      <c r="J11" s="3">
        <f t="shared" si="2"/>
        <v>0</v>
      </c>
      <c r="K11" s="3"/>
    </row>
    <row r="12" spans="1:13">
      <c r="A12" s="2">
        <v>2008</v>
      </c>
      <c r="B12" s="22"/>
      <c r="C12" s="3">
        <v>8038.07</v>
      </c>
      <c r="D12" s="3">
        <f t="shared" si="3"/>
        <v>-8038.07</v>
      </c>
      <c r="E12" s="3">
        <f t="shared" si="1"/>
        <v>-2411.4209999999998</v>
      </c>
      <c r="F12" s="32">
        <v>7341</v>
      </c>
      <c r="G12" s="3">
        <v>830.62</v>
      </c>
      <c r="H12" s="36"/>
      <c r="I12" s="36"/>
      <c r="J12" s="3">
        <f t="shared" si="2"/>
        <v>0</v>
      </c>
      <c r="K12" s="3"/>
    </row>
    <row r="13" spans="1:13">
      <c r="A13" s="2">
        <v>2009</v>
      </c>
      <c r="B13" s="36">
        <v>10978.86</v>
      </c>
      <c r="C13" s="3">
        <v>8971</v>
      </c>
      <c r="D13" s="3">
        <f t="shared" si="3"/>
        <v>2007.8600000000006</v>
      </c>
      <c r="E13" s="3">
        <f t="shared" si="1"/>
        <v>602.35800000000017</v>
      </c>
      <c r="F13" s="32"/>
      <c r="G13" s="3">
        <v>48.91</v>
      </c>
      <c r="H13" s="36"/>
      <c r="I13" s="36"/>
      <c r="J13" s="3">
        <f t="shared" si="2"/>
        <v>0</v>
      </c>
      <c r="K13" s="3"/>
    </row>
    <row r="14" spans="1:13">
      <c r="A14" s="2">
        <v>2010</v>
      </c>
      <c r="B14" s="36">
        <v>4527.13</v>
      </c>
      <c r="C14" s="3">
        <v>3925.76</v>
      </c>
      <c r="D14" s="3">
        <f t="shared" si="3"/>
        <v>601.36999999999989</v>
      </c>
      <c r="E14" s="3">
        <f t="shared" si="1"/>
        <v>180.41099999999997</v>
      </c>
      <c r="F14" s="32"/>
      <c r="G14" s="36"/>
      <c r="H14" s="36"/>
      <c r="I14" s="36"/>
      <c r="J14" s="3">
        <f t="shared" si="2"/>
        <v>0</v>
      </c>
      <c r="K14" s="3"/>
    </row>
    <row r="15" spans="1:13">
      <c r="A15" s="2">
        <v>2011</v>
      </c>
      <c r="B15" s="36">
        <v>3468.53</v>
      </c>
      <c r="C15" s="3">
        <v>3468.53</v>
      </c>
      <c r="D15" s="3">
        <f t="shared" si="3"/>
        <v>0</v>
      </c>
      <c r="E15" s="3">
        <f t="shared" si="1"/>
        <v>0</v>
      </c>
      <c r="F15" s="32"/>
      <c r="G15" s="36"/>
      <c r="H15" s="36"/>
      <c r="I15" s="36"/>
      <c r="J15" s="3">
        <f t="shared" si="2"/>
        <v>0</v>
      </c>
      <c r="K15" s="3"/>
    </row>
    <row r="16" spans="1:13">
      <c r="A16" s="2">
        <v>2012</v>
      </c>
      <c r="B16" s="22">
        <v>0</v>
      </c>
      <c r="C16" s="3">
        <v>3468.52</v>
      </c>
      <c r="D16" s="3">
        <f t="shared" si="3"/>
        <v>-3468.52</v>
      </c>
      <c r="E16" s="3">
        <f t="shared" si="1"/>
        <v>-1040.556</v>
      </c>
      <c r="F16" s="32">
        <v>2152</v>
      </c>
      <c r="G16" s="36"/>
      <c r="H16" s="36"/>
      <c r="I16" s="36"/>
      <c r="J16" s="3">
        <f t="shared" si="2"/>
        <v>0</v>
      </c>
      <c r="K16" s="3"/>
    </row>
    <row r="17" spans="1:11">
      <c r="A17" s="2">
        <v>2013</v>
      </c>
      <c r="B17" s="22"/>
      <c r="C17" s="3">
        <v>2558.62</v>
      </c>
      <c r="D17" s="3">
        <f t="shared" si="3"/>
        <v>-2558.62</v>
      </c>
      <c r="E17" s="3">
        <f t="shared" si="1"/>
        <v>-767.5859999999999</v>
      </c>
      <c r="F17" s="32">
        <v>1537</v>
      </c>
      <c r="G17" s="3">
        <v>178.44</v>
      </c>
      <c r="H17" s="36"/>
      <c r="I17" s="36"/>
      <c r="J17" s="3">
        <f t="shared" si="2"/>
        <v>0</v>
      </c>
      <c r="K17" s="3"/>
    </row>
    <row r="18" spans="1:11">
      <c r="A18" s="2">
        <v>2014</v>
      </c>
      <c r="B18" s="3">
        <v>2306.44</v>
      </c>
      <c r="C18" s="3">
        <v>2996.54</v>
      </c>
      <c r="D18" s="3">
        <f t="shared" si="3"/>
        <v>-690.09999999999991</v>
      </c>
      <c r="E18" s="3">
        <f t="shared" si="1"/>
        <v>-207.02999999999997</v>
      </c>
      <c r="F18" s="32">
        <v>385</v>
      </c>
      <c r="G18" s="36"/>
      <c r="H18" s="36"/>
      <c r="I18" s="36"/>
      <c r="J18" s="3">
        <f t="shared" si="2"/>
        <v>0</v>
      </c>
      <c r="K18" s="3"/>
    </row>
    <row r="19" spans="1:11">
      <c r="A19" s="2">
        <v>2015</v>
      </c>
      <c r="B19" s="3">
        <v>905.14</v>
      </c>
      <c r="C19" s="3">
        <v>2558.62</v>
      </c>
      <c r="D19" s="3">
        <f t="shared" si="3"/>
        <v>-1653.48</v>
      </c>
      <c r="E19" s="3">
        <f t="shared" si="1"/>
        <v>-496.04399999999998</v>
      </c>
      <c r="F19" s="32">
        <v>859</v>
      </c>
      <c r="G19" s="3">
        <v>142.22999999999999</v>
      </c>
      <c r="H19" s="36"/>
      <c r="I19" s="36"/>
      <c r="J19" s="3">
        <f t="shared" si="2"/>
        <v>0</v>
      </c>
      <c r="K19" s="3"/>
    </row>
    <row r="20" spans="1:11">
      <c r="A20" s="2">
        <v>2016</v>
      </c>
      <c r="B20" s="3">
        <v>3073.36</v>
      </c>
      <c r="C20" s="3">
        <v>4726.91</v>
      </c>
      <c r="D20" s="3">
        <f t="shared" si="3"/>
        <v>-1653.5499999999997</v>
      </c>
      <c r="E20" s="3">
        <f t="shared" si="1"/>
        <v>-496.06499999999988</v>
      </c>
      <c r="F20" s="32">
        <v>800</v>
      </c>
      <c r="G20" s="3">
        <v>118.99</v>
      </c>
      <c r="H20" s="36"/>
      <c r="I20" s="36"/>
      <c r="J20" s="3">
        <f t="shared" si="2"/>
        <v>0</v>
      </c>
      <c r="K20" s="3"/>
    </row>
    <row r="21" spans="1:11">
      <c r="A21" s="2">
        <v>2017</v>
      </c>
      <c r="B21" s="3">
        <v>4671.72</v>
      </c>
      <c r="C21" s="3">
        <v>6326.72</v>
      </c>
      <c r="D21" s="3">
        <f t="shared" si="3"/>
        <v>-1655</v>
      </c>
      <c r="E21" s="3">
        <f t="shared" si="1"/>
        <v>-496.5</v>
      </c>
      <c r="F21" s="31">
        <v>746</v>
      </c>
      <c r="G21" s="3">
        <v>374.99</v>
      </c>
      <c r="H21" s="36"/>
      <c r="I21" s="36"/>
      <c r="J21" s="3">
        <f t="shared" si="2"/>
        <v>0</v>
      </c>
      <c r="K21" s="3"/>
    </row>
    <row r="22" spans="1:11">
      <c r="A22" s="2">
        <v>2018</v>
      </c>
      <c r="B22" s="18">
        <v>203.06</v>
      </c>
      <c r="C22" s="3">
        <v>2761.69</v>
      </c>
      <c r="D22" s="3">
        <f t="shared" si="3"/>
        <v>-2558.63</v>
      </c>
      <c r="E22" s="3">
        <f t="shared" si="1"/>
        <v>-767.58900000000006</v>
      </c>
      <c r="F22" s="32">
        <v>1076</v>
      </c>
      <c r="G22" s="36"/>
      <c r="H22" s="36"/>
      <c r="I22" s="36"/>
      <c r="J22" s="3">
        <f t="shared" si="2"/>
        <v>0</v>
      </c>
      <c r="K22" s="3"/>
    </row>
    <row r="23" spans="1:11">
      <c r="A23" s="2">
        <v>2019</v>
      </c>
      <c r="B23" s="3">
        <v>1392.98</v>
      </c>
      <c r="C23" s="3">
        <v>3046.52</v>
      </c>
      <c r="D23" s="3">
        <f t="shared" si="3"/>
        <v>-1653.54</v>
      </c>
      <c r="E23" s="3">
        <f t="shared" si="1"/>
        <v>-496.06199999999995</v>
      </c>
      <c r="F23" s="32">
        <v>648</v>
      </c>
      <c r="G23" s="36"/>
      <c r="H23" s="36"/>
      <c r="I23" s="36"/>
      <c r="J23" s="3">
        <f t="shared" si="2"/>
        <v>0</v>
      </c>
      <c r="K23" s="3"/>
    </row>
    <row r="24" spans="1:11">
      <c r="A24" s="2">
        <v>2020</v>
      </c>
      <c r="B24" s="3">
        <v>905.14</v>
      </c>
      <c r="C24" s="18">
        <v>2558.62</v>
      </c>
      <c r="D24" s="3">
        <f t="shared" si="3"/>
        <v>-1653.48</v>
      </c>
      <c r="E24" s="3">
        <f t="shared" si="1"/>
        <v>-496.04399999999998</v>
      </c>
      <c r="F24" s="32">
        <v>605</v>
      </c>
      <c r="G24" s="36"/>
      <c r="H24" s="36"/>
      <c r="I24" s="36"/>
      <c r="J24" s="3">
        <f t="shared" si="2"/>
        <v>0</v>
      </c>
      <c r="K24" s="3"/>
    </row>
    <row r="25" spans="1:11">
      <c r="A25" s="2">
        <v>2021</v>
      </c>
      <c r="B25" s="3">
        <v>1098.5899999999999</v>
      </c>
      <c r="C25" s="3">
        <v>3034.27</v>
      </c>
      <c r="D25" s="3">
        <f t="shared" si="3"/>
        <v>-1935.68</v>
      </c>
      <c r="E25" s="3">
        <f t="shared" si="1"/>
        <v>-580.70399999999995</v>
      </c>
      <c r="F25" s="32">
        <v>660</v>
      </c>
      <c r="G25" s="36"/>
      <c r="H25" s="36"/>
      <c r="I25" s="36"/>
      <c r="J25" s="3">
        <f t="shared" si="2"/>
        <v>0</v>
      </c>
      <c r="K25" s="3"/>
    </row>
    <row r="26" spans="1:11">
      <c r="A26" s="2">
        <v>2022</v>
      </c>
      <c r="B26" s="3">
        <v>961.59</v>
      </c>
      <c r="C26" s="3">
        <v>2558.62</v>
      </c>
      <c r="D26" s="3">
        <f t="shared" si="3"/>
        <v>-1597.0299999999997</v>
      </c>
      <c r="E26" s="3">
        <f t="shared" si="1"/>
        <v>-479.10899999999992</v>
      </c>
      <c r="F26" s="32">
        <v>505</v>
      </c>
      <c r="G26" s="36"/>
      <c r="H26" s="36"/>
      <c r="I26" s="36"/>
      <c r="J26" s="3">
        <f t="shared" si="2"/>
        <v>0</v>
      </c>
      <c r="K26" s="3"/>
    </row>
    <row r="27" spans="1:11">
      <c r="A27" s="2"/>
      <c r="B27" s="3">
        <f>SUM(B2:B26)</f>
        <v>67674.97</v>
      </c>
      <c r="C27" s="3">
        <f t="shared" ref="C27:F27" si="4">SUM(C2:C26)</f>
        <v>95668.249999999985</v>
      </c>
      <c r="D27" s="3">
        <f t="shared" si="4"/>
        <v>-27993.279999999999</v>
      </c>
      <c r="E27" s="3">
        <f t="shared" si="4"/>
        <v>-8397.9839999999986</v>
      </c>
      <c r="F27" s="32">
        <f t="shared" si="4"/>
        <v>20928</v>
      </c>
      <c r="G27" s="3"/>
      <c r="H27" s="3"/>
      <c r="I27" s="3"/>
      <c r="J27" s="3"/>
      <c r="K27" s="3"/>
    </row>
    <row r="29" spans="1:11" ht="15">
      <c r="G29" s="82">
        <v>45355</v>
      </c>
      <c r="H29" s="384" t="s">
        <v>469</v>
      </c>
    </row>
    <row r="30" spans="1:11" ht="15.75">
      <c r="A30" s="13" t="s">
        <v>449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3" spans="2:10">
      <c r="C33" s="1" t="s">
        <v>275</v>
      </c>
      <c r="I33" s="5"/>
      <c r="J33" s="5"/>
    </row>
    <row r="36" spans="2:10" ht="25.5">
      <c r="B36" s="268" t="s">
        <v>366</v>
      </c>
    </row>
    <row r="39" spans="2:10" ht="25.5">
      <c r="B39" s="268" t="s">
        <v>367</v>
      </c>
    </row>
    <row r="41" spans="2:10" ht="25.5">
      <c r="B41" s="268" t="s">
        <v>368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pane ySplit="1" topLeftCell="A2" activePane="bottomLeft" state="frozen"/>
      <selection pane="bottomLeft" activeCell="M33" sqref="M33"/>
    </sheetView>
  </sheetViews>
  <sheetFormatPr defaultRowHeight="11.25"/>
  <cols>
    <col min="1" max="1" width="3.44140625" style="1" bestFit="1" customWidth="1"/>
    <col min="2" max="2" width="7.33203125" style="1" bestFit="1" customWidth="1"/>
    <col min="3" max="3" width="8" style="1" bestFit="1" customWidth="1"/>
    <col min="4" max="4" width="11.33203125" style="1" customWidth="1"/>
    <col min="5" max="5" width="8.6640625" style="1" bestFit="1" customWidth="1"/>
    <col min="6" max="6" width="6.33203125" style="1" bestFit="1" customWidth="1"/>
    <col min="7" max="7" width="7.44140625" style="1" bestFit="1" customWidth="1"/>
    <col min="8" max="9" width="8.88671875" style="1"/>
    <col min="10" max="10" width="12.44140625" style="1" bestFit="1" customWidth="1"/>
    <col min="11" max="16384" width="8.88671875" style="1"/>
  </cols>
  <sheetData>
    <row r="1" spans="1:10" s="38" customFormat="1">
      <c r="A1" s="37"/>
      <c r="B1" s="39" t="s">
        <v>22</v>
      </c>
      <c r="C1" s="39" t="s">
        <v>23</v>
      </c>
      <c r="D1" s="39" t="s">
        <v>67</v>
      </c>
      <c r="E1" s="39" t="s">
        <v>24</v>
      </c>
      <c r="F1" s="39" t="s">
        <v>25</v>
      </c>
      <c r="G1" s="39" t="s">
        <v>26</v>
      </c>
      <c r="H1" s="39" t="s">
        <v>13</v>
      </c>
    </row>
    <row r="2" spans="1:10">
      <c r="A2" s="2">
        <v>1998</v>
      </c>
      <c r="B2" s="3"/>
      <c r="C2" s="3"/>
      <c r="D2" s="3"/>
      <c r="E2" s="3"/>
      <c r="F2" s="3"/>
      <c r="G2" s="3"/>
      <c r="H2" s="18"/>
      <c r="J2" s="28">
        <v>453000</v>
      </c>
    </row>
    <row r="3" spans="1:10" ht="12" thickBot="1">
      <c r="A3" s="15">
        <v>1999</v>
      </c>
      <c r="B3" s="41"/>
      <c r="C3" s="41"/>
      <c r="D3" s="41"/>
      <c r="E3" s="41"/>
      <c r="F3" s="41"/>
      <c r="G3" s="41"/>
      <c r="H3" s="41"/>
      <c r="J3" s="23">
        <f>J2/340.75</f>
        <v>1329.4203961848864</v>
      </c>
    </row>
    <row r="4" spans="1:10">
      <c r="A4" s="433">
        <v>2000</v>
      </c>
      <c r="B4" s="43"/>
      <c r="C4" s="42"/>
      <c r="D4" s="43"/>
      <c r="E4" s="42"/>
      <c r="F4" s="42"/>
      <c r="G4" s="42"/>
      <c r="H4" s="42"/>
    </row>
    <row r="5" spans="1:10">
      <c r="A5" s="434"/>
      <c r="B5" s="32">
        <v>1335</v>
      </c>
      <c r="C5" s="32">
        <v>96440</v>
      </c>
      <c r="D5" s="32">
        <v>36440</v>
      </c>
      <c r="E5" s="32">
        <f>C5-D5</f>
        <v>60000</v>
      </c>
      <c r="F5" s="3">
        <f>E5/340.75</f>
        <v>176.0821716801174</v>
      </c>
      <c r="G5" s="3"/>
      <c r="H5" s="32"/>
    </row>
    <row r="6" spans="1:10">
      <c r="A6" s="434"/>
      <c r="B6" s="32">
        <v>1374</v>
      </c>
      <c r="C6" s="32">
        <v>8883</v>
      </c>
      <c r="D6" s="32">
        <v>3735</v>
      </c>
      <c r="E6" s="32">
        <f t="shared" ref="E6:E7" si="0">C6-D6</f>
        <v>5148</v>
      </c>
      <c r="F6" s="3">
        <f t="shared" ref="F6:F7" si="1">E6/340.75</f>
        <v>15.107850330154072</v>
      </c>
      <c r="G6" s="3"/>
      <c r="H6" s="32"/>
    </row>
    <row r="7" spans="1:10">
      <c r="A7" s="434"/>
      <c r="B7" s="32"/>
      <c r="C7" s="32"/>
      <c r="D7" s="32"/>
      <c r="E7" s="32">
        <f t="shared" si="0"/>
        <v>0</v>
      </c>
      <c r="F7" s="3">
        <f t="shared" si="1"/>
        <v>0</v>
      </c>
      <c r="G7" s="3"/>
      <c r="H7" s="32"/>
    </row>
    <row r="8" spans="1:10" ht="12" thickBot="1">
      <c r="A8" s="435"/>
      <c r="B8" s="484" t="s">
        <v>21</v>
      </c>
      <c r="C8" s="485"/>
      <c r="D8" s="486"/>
      <c r="E8" s="44">
        <f>SUM(E4:E7)</f>
        <v>65148</v>
      </c>
      <c r="F8" s="41">
        <f>SUM(F4:F7)</f>
        <v>191.19002201027146</v>
      </c>
      <c r="G8" s="41">
        <f>F8*30%</f>
        <v>57.357006603081437</v>
      </c>
      <c r="H8" s="44">
        <v>411</v>
      </c>
    </row>
    <row r="9" spans="1:10">
      <c r="A9" s="436">
        <v>2001</v>
      </c>
      <c r="B9" s="42"/>
      <c r="C9" s="42"/>
      <c r="D9" s="42"/>
      <c r="E9" s="42"/>
      <c r="F9" s="42"/>
      <c r="G9" s="42"/>
      <c r="H9" s="43"/>
    </row>
    <row r="10" spans="1:10" ht="12" thickBot="1">
      <c r="A10" s="438"/>
      <c r="B10" s="69" t="s">
        <v>29</v>
      </c>
      <c r="C10" s="70">
        <v>9609670</v>
      </c>
      <c r="D10" s="70">
        <v>9588859</v>
      </c>
      <c r="E10" s="70">
        <f>C10-D10</f>
        <v>20811</v>
      </c>
      <c r="F10" s="41">
        <f>E10/340.75</f>
        <v>61.074101247248713</v>
      </c>
      <c r="G10" s="69">
        <f>F10*30%</f>
        <v>18.322230374174612</v>
      </c>
      <c r="H10" s="70">
        <v>117</v>
      </c>
      <c r="I10" s="1" t="s">
        <v>30</v>
      </c>
    </row>
    <row r="11" spans="1:10">
      <c r="A11" s="12">
        <v>2002</v>
      </c>
      <c r="B11" s="40"/>
      <c r="C11" s="40"/>
      <c r="D11" s="40"/>
      <c r="E11" s="40"/>
      <c r="F11" s="40"/>
      <c r="G11" s="40"/>
      <c r="H11" s="327"/>
    </row>
    <row r="12" spans="1:10">
      <c r="A12" s="2">
        <v>2003</v>
      </c>
      <c r="B12" s="3"/>
      <c r="C12" s="3"/>
      <c r="D12" s="3"/>
      <c r="E12" s="3"/>
      <c r="F12" s="3"/>
      <c r="G12" s="3"/>
      <c r="H12" s="32"/>
    </row>
    <row r="13" spans="1:10">
      <c r="A13" s="2">
        <v>2004</v>
      </c>
      <c r="B13" s="3"/>
      <c r="C13" s="3"/>
      <c r="D13" s="3"/>
      <c r="E13" s="3"/>
      <c r="F13" s="3"/>
      <c r="G13" s="3"/>
      <c r="H13" s="32"/>
    </row>
    <row r="14" spans="1:10">
      <c r="A14" s="2">
        <v>2005</v>
      </c>
      <c r="B14" s="3"/>
      <c r="C14" s="3"/>
      <c r="D14" s="3"/>
      <c r="E14" s="3"/>
      <c r="F14" s="3"/>
      <c r="G14" s="3"/>
      <c r="H14" s="32"/>
    </row>
    <row r="15" spans="1:10">
      <c r="A15" s="2">
        <v>2006</v>
      </c>
      <c r="B15" s="3"/>
      <c r="C15" s="3"/>
      <c r="D15" s="3"/>
      <c r="E15" s="3"/>
      <c r="F15" s="3"/>
      <c r="G15" s="3"/>
      <c r="H15" s="32"/>
    </row>
    <row r="16" spans="1:10">
      <c r="A16" s="449">
        <v>2007</v>
      </c>
      <c r="B16" s="3"/>
      <c r="C16" s="3"/>
      <c r="D16" s="3"/>
      <c r="E16" s="3"/>
      <c r="F16" s="3"/>
      <c r="G16" s="3"/>
      <c r="H16" s="32"/>
    </row>
    <row r="17" spans="1:8">
      <c r="A17" s="437"/>
      <c r="B17" s="3">
        <v>6810</v>
      </c>
      <c r="C17" s="3">
        <v>205.27</v>
      </c>
      <c r="D17" s="3">
        <v>105.27</v>
      </c>
      <c r="E17" s="3"/>
      <c r="F17" s="3">
        <v>100</v>
      </c>
      <c r="G17" s="3"/>
      <c r="H17" s="32"/>
    </row>
    <row r="18" spans="1:8" ht="12" thickBot="1">
      <c r="A18" s="438"/>
      <c r="B18" s="487" t="s">
        <v>21</v>
      </c>
      <c r="C18" s="488"/>
      <c r="D18" s="488"/>
      <c r="E18" s="489"/>
      <c r="F18" s="41">
        <f>SUM(F16:F17)</f>
        <v>100</v>
      </c>
      <c r="G18" s="41">
        <f>F18*30%</f>
        <v>30</v>
      </c>
      <c r="H18" s="44">
        <v>185</v>
      </c>
    </row>
    <row r="19" spans="1:8">
      <c r="A19" s="433">
        <v>2008</v>
      </c>
      <c r="B19" s="42"/>
      <c r="C19" s="42"/>
      <c r="D19" s="42"/>
      <c r="E19" s="42"/>
      <c r="F19" s="42"/>
      <c r="G19" s="42"/>
      <c r="H19" s="43"/>
    </row>
    <row r="20" spans="1:8">
      <c r="A20" s="434"/>
      <c r="B20" s="40">
        <v>7656</v>
      </c>
      <c r="C20" s="40">
        <v>54.35</v>
      </c>
      <c r="D20" s="40">
        <v>57.35</v>
      </c>
      <c r="E20" s="40"/>
      <c r="F20" s="94">
        <v>-3</v>
      </c>
      <c r="G20" s="94">
        <v>-1</v>
      </c>
      <c r="H20" s="327"/>
    </row>
    <row r="21" spans="1:8" ht="12" thickBot="1">
      <c r="A21" s="435"/>
      <c r="B21" s="69"/>
      <c r="C21" s="69"/>
      <c r="D21" s="69"/>
      <c r="E21" s="69"/>
      <c r="F21" s="69"/>
      <c r="G21" s="69"/>
      <c r="H21" s="70"/>
    </row>
    <row r="22" spans="1:8">
      <c r="A22" s="436">
        <v>2009</v>
      </c>
      <c r="B22" s="42"/>
      <c r="C22" s="42"/>
      <c r="D22" s="42"/>
      <c r="E22" s="42"/>
      <c r="F22" s="42"/>
      <c r="G22" s="42"/>
      <c r="H22" s="43"/>
    </row>
    <row r="23" spans="1:8">
      <c r="A23" s="437"/>
      <c r="B23" s="40"/>
      <c r="C23" s="40"/>
      <c r="D23" s="40"/>
      <c r="E23" s="40"/>
      <c r="F23" s="40"/>
      <c r="G23" s="40"/>
      <c r="H23" s="327"/>
    </row>
    <row r="24" spans="1:8" ht="12" thickBot="1">
      <c r="A24" s="438"/>
      <c r="B24" s="69"/>
      <c r="C24" s="69"/>
      <c r="D24" s="69"/>
      <c r="E24" s="69"/>
      <c r="F24" s="69"/>
      <c r="G24" s="69"/>
      <c r="H24" s="70"/>
    </row>
    <row r="25" spans="1:8">
      <c r="A25" s="433">
        <v>2010</v>
      </c>
      <c r="B25" s="42"/>
      <c r="C25" s="42"/>
      <c r="D25" s="42"/>
      <c r="E25" s="42"/>
      <c r="F25" s="42"/>
      <c r="G25" s="42"/>
      <c r="H25" s="43"/>
    </row>
    <row r="26" spans="1:8">
      <c r="A26" s="434"/>
      <c r="B26" s="40"/>
      <c r="C26" s="40"/>
      <c r="D26" s="40"/>
      <c r="E26" s="40"/>
      <c r="F26" s="40"/>
      <c r="G26" s="40"/>
      <c r="H26" s="327"/>
    </row>
    <row r="27" spans="1:8" ht="12" thickBot="1">
      <c r="A27" s="435"/>
      <c r="B27" s="69"/>
      <c r="C27" s="69"/>
      <c r="D27" s="69"/>
      <c r="E27" s="69"/>
      <c r="F27" s="69"/>
      <c r="G27" s="69"/>
      <c r="H27" s="70"/>
    </row>
    <row r="28" spans="1:8">
      <c r="A28" s="436">
        <v>2011</v>
      </c>
      <c r="B28" s="42"/>
      <c r="C28" s="42"/>
      <c r="D28" s="42"/>
      <c r="E28" s="42"/>
      <c r="F28" s="42"/>
      <c r="G28" s="42"/>
      <c r="H28" s="43"/>
    </row>
    <row r="29" spans="1:8">
      <c r="A29" s="437"/>
      <c r="B29" s="40"/>
      <c r="C29" s="40"/>
      <c r="D29" s="40"/>
      <c r="E29" s="40"/>
      <c r="F29" s="40"/>
      <c r="G29" s="40"/>
      <c r="H29" s="327"/>
    </row>
    <row r="30" spans="1:8">
      <c r="A30" s="437"/>
      <c r="B30" s="40"/>
      <c r="C30" s="40"/>
      <c r="D30" s="40"/>
      <c r="E30" s="40"/>
      <c r="F30" s="40"/>
      <c r="G30" s="40"/>
      <c r="H30" s="327"/>
    </row>
    <row r="31" spans="1:8" ht="12" thickBot="1">
      <c r="A31" s="438"/>
      <c r="B31" s="69"/>
      <c r="C31" s="69"/>
      <c r="D31" s="69"/>
      <c r="E31" s="69"/>
      <c r="F31" s="69"/>
      <c r="G31" s="69"/>
      <c r="H31" s="70"/>
    </row>
    <row r="32" spans="1:8">
      <c r="A32" s="183">
        <v>2012</v>
      </c>
      <c r="B32" s="40"/>
      <c r="C32" s="40"/>
      <c r="D32" s="40"/>
      <c r="E32" s="40"/>
      <c r="F32" s="40"/>
      <c r="G32" s="40"/>
      <c r="H32" s="327"/>
    </row>
    <row r="33" spans="1:15">
      <c r="A33" s="183">
        <v>2012</v>
      </c>
      <c r="B33" s="40"/>
      <c r="C33" s="40"/>
      <c r="D33" s="40"/>
      <c r="E33" s="40"/>
      <c r="F33" s="40"/>
      <c r="G33" s="40"/>
      <c r="H33" s="327"/>
    </row>
    <row r="34" spans="1:15">
      <c r="A34" s="183">
        <v>2012</v>
      </c>
      <c r="B34" s="40"/>
      <c r="C34" s="40"/>
      <c r="D34" s="40"/>
      <c r="E34" s="40"/>
      <c r="F34" s="40"/>
      <c r="G34" s="40"/>
      <c r="H34" s="327"/>
    </row>
    <row r="35" spans="1:15">
      <c r="A35" s="2">
        <v>2013</v>
      </c>
      <c r="B35" s="3"/>
      <c r="C35" s="3"/>
      <c r="D35" s="3"/>
      <c r="E35" s="3"/>
      <c r="F35" s="3"/>
      <c r="G35" s="3"/>
      <c r="H35" s="32"/>
    </row>
    <row r="36" spans="1:15">
      <c r="A36" s="2">
        <v>2014</v>
      </c>
      <c r="B36" s="3"/>
      <c r="C36" s="3"/>
      <c r="D36" s="3"/>
      <c r="E36" s="3"/>
      <c r="F36" s="3"/>
      <c r="G36" s="3"/>
      <c r="H36" s="32"/>
    </row>
    <row r="37" spans="1:15">
      <c r="A37" s="2">
        <v>2015</v>
      </c>
      <c r="B37" s="3"/>
      <c r="C37" s="3"/>
      <c r="D37" s="3"/>
      <c r="E37" s="3"/>
      <c r="F37" s="3"/>
      <c r="G37" s="3"/>
      <c r="H37" s="32"/>
    </row>
    <row r="38" spans="1:15">
      <c r="A38" s="2">
        <v>2016</v>
      </c>
      <c r="B38" s="3"/>
      <c r="C38" s="3"/>
      <c r="D38" s="3"/>
      <c r="E38" s="3"/>
      <c r="F38" s="3"/>
      <c r="G38" s="3"/>
      <c r="H38" s="32"/>
    </row>
    <row r="39" spans="1:15">
      <c r="A39" s="2">
        <v>2017</v>
      </c>
      <c r="B39" s="3"/>
      <c r="C39" s="3"/>
      <c r="D39" s="3"/>
      <c r="E39" s="3"/>
      <c r="F39" s="3"/>
      <c r="G39" s="3"/>
      <c r="H39" s="32"/>
    </row>
    <row r="40" spans="1:15">
      <c r="A40" s="2">
        <v>2018</v>
      </c>
      <c r="B40" s="3"/>
      <c r="C40" s="3"/>
      <c r="D40" s="3"/>
      <c r="E40" s="3"/>
      <c r="F40" s="3"/>
      <c r="G40" s="3"/>
      <c r="H40" s="32"/>
    </row>
    <row r="41" spans="1:15">
      <c r="A41" s="2">
        <v>2019</v>
      </c>
      <c r="B41" s="3"/>
      <c r="C41" s="3"/>
      <c r="D41" s="3"/>
      <c r="E41" s="3"/>
      <c r="F41" s="3"/>
      <c r="G41" s="3"/>
      <c r="H41" s="32"/>
    </row>
    <row r="42" spans="1:15">
      <c r="A42" s="2">
        <v>2020</v>
      </c>
      <c r="B42" s="3"/>
      <c r="C42" s="3"/>
      <c r="D42" s="3"/>
      <c r="E42" s="3"/>
      <c r="F42" s="3"/>
      <c r="G42" s="3"/>
      <c r="H42" s="32"/>
    </row>
    <row r="43" spans="1:15">
      <c r="A43" s="2">
        <v>2021</v>
      </c>
      <c r="B43" s="3"/>
      <c r="C43" s="3"/>
      <c r="D43" s="3"/>
      <c r="E43" s="3"/>
      <c r="F43" s="3"/>
      <c r="G43" s="3"/>
      <c r="H43" s="32"/>
    </row>
    <row r="44" spans="1:15">
      <c r="A44" s="2">
        <v>2022</v>
      </c>
      <c r="B44" s="3"/>
      <c r="C44" s="3"/>
      <c r="D44" s="3"/>
      <c r="E44" s="3"/>
      <c r="F44" s="3"/>
      <c r="G44" s="3"/>
      <c r="H44" s="32"/>
      <c r="N44" s="23"/>
    </row>
    <row r="45" spans="1:15">
      <c r="A45" s="2"/>
      <c r="B45" s="3"/>
      <c r="C45" s="3"/>
      <c r="D45" s="3"/>
      <c r="E45" s="3"/>
      <c r="F45" s="3">
        <f>SUM(F2:F44)</f>
        <v>640.45414526779166</v>
      </c>
      <c r="G45" s="3">
        <f>SUM(G2:G44)</f>
        <v>104.67923697725605</v>
      </c>
      <c r="H45" s="32">
        <f>SUM(H2:H44)</f>
        <v>713</v>
      </c>
      <c r="N45" s="23"/>
    </row>
    <row r="46" spans="1:15">
      <c r="N46" s="23"/>
    </row>
    <row r="47" spans="1:15" ht="15">
      <c r="H47" s="82">
        <v>45355</v>
      </c>
      <c r="I47" s="384" t="s">
        <v>469</v>
      </c>
      <c r="N47" s="23"/>
    </row>
    <row r="48" spans="1:15" ht="15.75">
      <c r="A48" s="432" t="s">
        <v>37</v>
      </c>
      <c r="B48" s="432"/>
      <c r="C48" s="432"/>
      <c r="D48" s="432"/>
      <c r="E48" s="432"/>
      <c r="F48" s="432"/>
      <c r="G48" s="432"/>
      <c r="H48" s="432"/>
      <c r="I48" s="13"/>
      <c r="J48" s="13"/>
      <c r="K48" s="13"/>
      <c r="L48" s="13"/>
      <c r="M48" s="13"/>
      <c r="N48" s="98"/>
      <c r="O48" s="13"/>
    </row>
    <row r="49" spans="14:14">
      <c r="N49" s="23"/>
    </row>
    <row r="50" spans="14:14">
      <c r="N50" s="23"/>
    </row>
    <row r="51" spans="14:14">
      <c r="N51" s="23"/>
    </row>
  </sheetData>
  <mergeCells count="10">
    <mergeCell ref="A48:H48"/>
    <mergeCell ref="A4:A8"/>
    <mergeCell ref="B8:D8"/>
    <mergeCell ref="A9:A10"/>
    <mergeCell ref="A16:A18"/>
    <mergeCell ref="B18:E18"/>
    <mergeCell ref="A19:A21"/>
    <mergeCell ref="A22:A24"/>
    <mergeCell ref="A25:A27"/>
    <mergeCell ref="A28:A3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0"/>
  <sheetViews>
    <sheetView workbookViewId="0">
      <pane ySplit="1" topLeftCell="A2" activePane="bottomLeft" state="frozen"/>
      <selection pane="bottomLeft" activeCell="A5" sqref="A5:XFD5"/>
    </sheetView>
  </sheetViews>
  <sheetFormatPr defaultRowHeight="12.75"/>
  <cols>
    <col min="1" max="1" width="3.88671875" style="7" bestFit="1" customWidth="1"/>
    <col min="2" max="2" width="8.33203125" style="7" bestFit="1" customWidth="1"/>
    <col min="3" max="8" width="7.21875" style="7" bestFit="1" customWidth="1"/>
    <col min="9" max="10" width="8.44140625" style="7" bestFit="1" customWidth="1"/>
    <col min="11" max="11" width="7.21875" style="7" bestFit="1" customWidth="1"/>
    <col min="12" max="13" width="8.44140625" style="7" bestFit="1" customWidth="1"/>
    <col min="14" max="14" width="7.21875" style="7" bestFit="1" customWidth="1"/>
    <col min="15" max="15" width="10.21875" style="7" customWidth="1"/>
    <col min="16" max="17" width="9.21875" style="7" bestFit="1" customWidth="1"/>
    <col min="18" max="18" width="8.109375" style="7" customWidth="1"/>
    <col min="19" max="21" width="7.21875" style="7" bestFit="1" customWidth="1"/>
    <col min="22" max="22" width="8.44140625" style="7" bestFit="1" customWidth="1"/>
    <col min="23" max="25" width="9.21875" style="7" bestFit="1" customWidth="1"/>
    <col min="26" max="26" width="7.21875" style="7" bestFit="1" customWidth="1"/>
    <col min="27" max="27" width="8.44140625" style="7" bestFit="1" customWidth="1"/>
    <col min="28" max="28" width="4.5546875" style="7" customWidth="1"/>
    <col min="29" max="16384" width="8.88671875" style="7"/>
  </cols>
  <sheetData>
    <row r="1" spans="1:27" ht="13.5" thickBot="1">
      <c r="A1" s="45"/>
      <c r="B1" s="48" t="s">
        <v>2</v>
      </c>
      <c r="C1" s="49" t="s">
        <v>3</v>
      </c>
      <c r="D1" s="48" t="s">
        <v>4</v>
      </c>
      <c r="E1" s="50" t="s">
        <v>5</v>
      </c>
      <c r="F1" s="48" t="s">
        <v>0</v>
      </c>
      <c r="G1" s="49" t="s">
        <v>6</v>
      </c>
      <c r="H1" s="48" t="s">
        <v>7</v>
      </c>
      <c r="I1" s="50" t="s">
        <v>8</v>
      </c>
      <c r="J1" s="48" t="s">
        <v>9</v>
      </c>
      <c r="K1" s="49" t="s">
        <v>10</v>
      </c>
      <c r="L1" s="48" t="s">
        <v>11</v>
      </c>
      <c r="M1" s="50" t="s">
        <v>12</v>
      </c>
      <c r="N1" s="51" t="s">
        <v>28</v>
      </c>
      <c r="O1" s="52" t="s">
        <v>25</v>
      </c>
      <c r="P1" s="52" t="s">
        <v>27</v>
      </c>
      <c r="Q1" s="52" t="s">
        <v>13</v>
      </c>
      <c r="V1" s="52" t="s">
        <v>27</v>
      </c>
      <c r="W1" s="52" t="s">
        <v>13</v>
      </c>
      <c r="X1" s="52" t="s">
        <v>32</v>
      </c>
      <c r="Y1" s="52" t="s">
        <v>13</v>
      </c>
    </row>
    <row r="2" spans="1:27">
      <c r="A2" s="10">
        <v>1998</v>
      </c>
      <c r="B2" s="53"/>
      <c r="C2" s="53"/>
      <c r="D2" s="53"/>
      <c r="E2" s="53"/>
      <c r="F2" s="53"/>
      <c r="G2" s="53"/>
      <c r="H2" s="53"/>
      <c r="I2" s="54">
        <f>W32</f>
        <v>88</v>
      </c>
      <c r="J2" s="54">
        <f t="shared" ref="J2:M2" si="0">X32</f>
        <v>475.20000000000005</v>
      </c>
      <c r="K2" s="54">
        <f t="shared" si="0"/>
        <v>404.8</v>
      </c>
      <c r="L2" s="54">
        <f t="shared" si="0"/>
        <v>369.6</v>
      </c>
      <c r="M2" s="54">
        <f t="shared" si="0"/>
        <v>1038.4000000000001</v>
      </c>
      <c r="N2" s="53"/>
      <c r="O2" s="54">
        <f>SUM(I2:N2)</f>
        <v>2376</v>
      </c>
      <c r="P2" s="54">
        <f>O2*30%</f>
        <v>712.8</v>
      </c>
      <c r="Q2" s="337">
        <v>7248</v>
      </c>
      <c r="U2" s="68"/>
      <c r="V2" s="65"/>
      <c r="W2" s="65"/>
      <c r="X2" s="65">
        <f>P2</f>
        <v>712.8</v>
      </c>
      <c r="Y2" s="66">
        <f>Q2</f>
        <v>7248</v>
      </c>
    </row>
    <row r="3" spans="1:27">
      <c r="A3" s="6">
        <v>1999</v>
      </c>
      <c r="B3" s="55">
        <f>P33</f>
        <v>316.8</v>
      </c>
      <c r="C3" s="55">
        <f t="shared" ref="C3:M3" si="1">Q33</f>
        <v>457.6</v>
      </c>
      <c r="D3" s="55">
        <f t="shared" si="1"/>
        <v>862.40000000000009</v>
      </c>
      <c r="E3" s="55">
        <f t="shared" si="1"/>
        <v>739.2</v>
      </c>
      <c r="F3" s="55">
        <f t="shared" si="1"/>
        <v>616</v>
      </c>
      <c r="G3" s="55">
        <f t="shared" si="1"/>
        <v>915.2</v>
      </c>
      <c r="H3" s="55">
        <f t="shared" si="1"/>
        <v>897.6</v>
      </c>
      <c r="I3" s="55">
        <f t="shared" si="1"/>
        <v>1566.4</v>
      </c>
      <c r="J3" s="55">
        <f t="shared" si="1"/>
        <v>1249.6000000000001</v>
      </c>
      <c r="K3" s="55">
        <f t="shared" si="1"/>
        <v>862.40000000000009</v>
      </c>
      <c r="L3" s="55">
        <f t="shared" si="1"/>
        <v>563.20000000000005</v>
      </c>
      <c r="M3" s="55">
        <f t="shared" si="1"/>
        <v>827.2</v>
      </c>
      <c r="N3" s="53"/>
      <c r="O3" s="54">
        <f>SUM(B3:M3)</f>
        <v>9873.6000000000022</v>
      </c>
      <c r="P3" s="54">
        <f>O3*30%</f>
        <v>2962.0800000000004</v>
      </c>
      <c r="Q3" s="337">
        <v>24762</v>
      </c>
      <c r="U3" s="68"/>
      <c r="V3" s="65"/>
      <c r="W3" s="65"/>
      <c r="X3" s="336">
        <f t="shared" ref="X3:X5" si="2">P3</f>
        <v>2962.0800000000004</v>
      </c>
      <c r="Y3" s="66">
        <f t="shared" ref="Y3:Y5" si="3">Q3</f>
        <v>24762</v>
      </c>
    </row>
    <row r="4" spans="1:27">
      <c r="A4" s="6">
        <v>2000</v>
      </c>
      <c r="B4" s="55">
        <f>P34</f>
        <v>492.80000000000007</v>
      </c>
      <c r="C4" s="55">
        <f t="shared" ref="C4:M4" si="4">Q34</f>
        <v>616</v>
      </c>
      <c r="D4" s="55">
        <f t="shared" si="4"/>
        <v>721.6</v>
      </c>
      <c r="E4" s="55">
        <f t="shared" si="4"/>
        <v>545.6</v>
      </c>
      <c r="F4" s="55">
        <f t="shared" si="4"/>
        <v>897.6</v>
      </c>
      <c r="G4" s="55">
        <f t="shared" si="4"/>
        <v>704</v>
      </c>
      <c r="H4" s="55">
        <f t="shared" si="4"/>
        <v>844.80000000000007</v>
      </c>
      <c r="I4" s="55">
        <f t="shared" si="4"/>
        <v>1513.6000000000001</v>
      </c>
      <c r="J4" s="55">
        <f t="shared" si="4"/>
        <v>774.40000000000009</v>
      </c>
      <c r="K4" s="55">
        <f t="shared" si="4"/>
        <v>880.00000000000011</v>
      </c>
      <c r="L4" s="55">
        <f t="shared" si="4"/>
        <v>1056</v>
      </c>
      <c r="M4" s="55">
        <f t="shared" si="4"/>
        <v>827.2</v>
      </c>
      <c r="N4" s="53"/>
      <c r="O4" s="54">
        <f t="shared" ref="O4:O5" si="5">SUM(B4:M4)</f>
        <v>9873.6</v>
      </c>
      <c r="P4" s="54">
        <f t="shared" ref="P4:P25" si="6">O4*30%</f>
        <v>2962.08</v>
      </c>
      <c r="Q4" s="337">
        <v>21233</v>
      </c>
      <c r="R4" s="62" t="s">
        <v>31</v>
      </c>
      <c r="U4" s="68"/>
      <c r="V4" s="65"/>
      <c r="W4" s="65"/>
      <c r="X4" s="336">
        <f t="shared" si="2"/>
        <v>2962.08</v>
      </c>
      <c r="Y4" s="66">
        <f t="shared" si="3"/>
        <v>21233</v>
      </c>
    </row>
    <row r="5" spans="1:27">
      <c r="A5" s="6">
        <v>2001</v>
      </c>
      <c r="B5" s="55">
        <f>P35</f>
        <v>668.80000000000007</v>
      </c>
      <c r="C5" s="55">
        <f t="shared" ref="C5:M9" si="7">Q35</f>
        <v>915.2</v>
      </c>
      <c r="D5" s="55">
        <f t="shared" si="7"/>
        <v>281.60000000000002</v>
      </c>
      <c r="E5" s="55">
        <f t="shared" si="7"/>
        <v>352</v>
      </c>
      <c r="F5" s="55">
        <f t="shared" si="7"/>
        <v>228.8</v>
      </c>
      <c r="G5" s="55">
        <f t="shared" si="7"/>
        <v>316.8</v>
      </c>
      <c r="H5" s="55">
        <f t="shared" si="7"/>
        <v>404.8</v>
      </c>
      <c r="I5" s="55">
        <f t="shared" si="7"/>
        <v>510.40000000000003</v>
      </c>
      <c r="J5" s="55">
        <f t="shared" si="7"/>
        <v>281.60000000000002</v>
      </c>
      <c r="K5" s="55">
        <f t="shared" si="7"/>
        <v>123.20000000000002</v>
      </c>
      <c r="L5" s="55">
        <f t="shared" si="7"/>
        <v>316.8</v>
      </c>
      <c r="M5" s="55">
        <f t="shared" si="7"/>
        <v>704</v>
      </c>
      <c r="N5" s="53"/>
      <c r="O5" s="54">
        <f t="shared" si="5"/>
        <v>5104</v>
      </c>
      <c r="P5" s="54">
        <f t="shared" si="6"/>
        <v>1531.2</v>
      </c>
      <c r="Q5" s="337">
        <v>9778</v>
      </c>
      <c r="U5" s="68"/>
      <c r="V5" s="65"/>
      <c r="W5" s="65"/>
      <c r="X5" s="336">
        <f t="shared" si="2"/>
        <v>1531.2</v>
      </c>
      <c r="Y5" s="66">
        <f t="shared" si="3"/>
        <v>9778</v>
      </c>
      <c r="Z5" s="9"/>
    </row>
    <row r="6" spans="1:27">
      <c r="A6" s="6">
        <v>2002</v>
      </c>
      <c r="B6" s="55">
        <f t="shared" ref="B6:B9" si="8">P36</f>
        <v>105.60000000000001</v>
      </c>
      <c r="C6" s="55">
        <f t="shared" si="7"/>
        <v>193.60000000000002</v>
      </c>
      <c r="D6" s="55">
        <f t="shared" si="7"/>
        <v>352</v>
      </c>
      <c r="E6" s="55">
        <f t="shared" si="7"/>
        <v>457.6</v>
      </c>
      <c r="F6" s="55">
        <f t="shared" si="7"/>
        <v>316.8</v>
      </c>
      <c r="G6" s="55">
        <f t="shared" si="7"/>
        <v>228.8</v>
      </c>
      <c r="H6" s="55">
        <f t="shared" si="7"/>
        <v>422.40000000000003</v>
      </c>
      <c r="I6" s="55">
        <f t="shared" si="7"/>
        <v>510.40000000000003</v>
      </c>
      <c r="J6" s="55">
        <f t="shared" si="7"/>
        <v>281.60000000000002</v>
      </c>
      <c r="K6" s="55">
        <f t="shared" si="7"/>
        <v>352</v>
      </c>
      <c r="L6" s="55">
        <f t="shared" si="7"/>
        <v>440.00000000000006</v>
      </c>
      <c r="M6" s="55">
        <f t="shared" si="7"/>
        <v>510.40000000000003</v>
      </c>
      <c r="N6" s="53"/>
      <c r="O6" s="59">
        <f>SUM(B6:M6)</f>
        <v>4171.2</v>
      </c>
      <c r="P6" s="54">
        <f t="shared" si="6"/>
        <v>1251.3599999999999</v>
      </c>
      <c r="Q6" s="338">
        <v>7175</v>
      </c>
      <c r="U6" s="68"/>
      <c r="V6" s="65">
        <f t="shared" ref="V6:V25" si="9">P6</f>
        <v>1251.3599999999999</v>
      </c>
      <c r="W6" s="65">
        <f>Q6</f>
        <v>7175</v>
      </c>
      <c r="X6" s="65"/>
      <c r="Y6" s="66"/>
      <c r="Z6" s="9"/>
    </row>
    <row r="7" spans="1:27">
      <c r="A7" s="6">
        <v>2003</v>
      </c>
      <c r="B7" s="55">
        <f t="shared" si="8"/>
        <v>211.20000000000002</v>
      </c>
      <c r="C7" s="55">
        <f t="shared" si="7"/>
        <v>281.60000000000002</v>
      </c>
      <c r="D7" s="55">
        <f t="shared" si="7"/>
        <v>369.6</v>
      </c>
      <c r="E7" s="55">
        <f t="shared" si="7"/>
        <v>404.8</v>
      </c>
      <c r="F7" s="55">
        <f t="shared" si="7"/>
        <v>352</v>
      </c>
      <c r="G7" s="55">
        <f t="shared" si="7"/>
        <v>545.6</v>
      </c>
      <c r="H7" s="55">
        <f t="shared" si="7"/>
        <v>668.80000000000007</v>
      </c>
      <c r="I7" s="55">
        <f t="shared" si="7"/>
        <v>633.6</v>
      </c>
      <c r="J7" s="55">
        <f t="shared" si="7"/>
        <v>774.40000000000009</v>
      </c>
      <c r="K7" s="55">
        <f t="shared" si="7"/>
        <v>950.40000000000009</v>
      </c>
      <c r="L7" s="55">
        <f t="shared" si="7"/>
        <v>545.6</v>
      </c>
      <c r="M7" s="55">
        <f t="shared" si="7"/>
        <v>492.80000000000007</v>
      </c>
      <c r="N7" s="53"/>
      <c r="O7" s="59">
        <f>SUM(B7:M7)</f>
        <v>6230.4000000000005</v>
      </c>
      <c r="P7" s="54">
        <f t="shared" si="6"/>
        <v>1869.1200000000001</v>
      </c>
      <c r="Q7" s="338">
        <v>9704</v>
      </c>
      <c r="U7" s="68"/>
      <c r="V7" s="65">
        <f t="shared" si="9"/>
        <v>1869.1200000000001</v>
      </c>
      <c r="W7" s="65">
        <f t="shared" ref="W7:W9" si="10">Q7</f>
        <v>9704</v>
      </c>
      <c r="X7" s="65"/>
      <c r="Y7" s="66"/>
      <c r="Z7" s="9"/>
      <c r="AA7" s="9"/>
    </row>
    <row r="8" spans="1:27">
      <c r="A8" s="6">
        <v>2004</v>
      </c>
      <c r="B8" s="55">
        <f t="shared" si="8"/>
        <v>246.40000000000003</v>
      </c>
      <c r="C8" s="55">
        <f t="shared" si="7"/>
        <v>545.6</v>
      </c>
      <c r="D8" s="55">
        <f t="shared" si="7"/>
        <v>440.00000000000006</v>
      </c>
      <c r="E8" s="55">
        <f t="shared" si="7"/>
        <v>510.40000000000003</v>
      </c>
      <c r="F8" s="55">
        <f t="shared" si="7"/>
        <v>563.20000000000005</v>
      </c>
      <c r="G8" s="55">
        <f t="shared" si="7"/>
        <v>422.40000000000003</v>
      </c>
      <c r="H8" s="55">
        <f t="shared" si="7"/>
        <v>598.40000000000009</v>
      </c>
      <c r="I8" s="55">
        <f t="shared" si="7"/>
        <v>633.6</v>
      </c>
      <c r="J8" s="55">
        <f t="shared" si="7"/>
        <v>862.40000000000009</v>
      </c>
      <c r="K8" s="55">
        <f t="shared" si="7"/>
        <v>704</v>
      </c>
      <c r="L8" s="55">
        <f t="shared" si="7"/>
        <v>756.80000000000007</v>
      </c>
      <c r="M8" s="55">
        <f t="shared" si="7"/>
        <v>686.40000000000009</v>
      </c>
      <c r="N8" s="60"/>
      <c r="O8" s="59">
        <f t="shared" ref="O8:O25" si="11">SUM(B8:M8)</f>
        <v>6969.6</v>
      </c>
      <c r="P8" s="54">
        <f t="shared" si="6"/>
        <v>2090.88</v>
      </c>
      <c r="Q8" s="338">
        <v>9823</v>
      </c>
      <c r="U8" s="68"/>
      <c r="V8" s="65">
        <f t="shared" si="9"/>
        <v>2090.88</v>
      </c>
      <c r="W8" s="65">
        <f t="shared" si="10"/>
        <v>9823</v>
      </c>
      <c r="X8" s="65"/>
      <c r="Y8" s="66"/>
      <c r="Z8" s="9"/>
      <c r="AA8" s="9"/>
    </row>
    <row r="9" spans="1:27">
      <c r="A9" s="6">
        <v>2005</v>
      </c>
      <c r="B9" s="55">
        <f t="shared" si="8"/>
        <v>264</v>
      </c>
      <c r="C9" s="55">
        <f t="shared" si="7"/>
        <v>281.60000000000002</v>
      </c>
      <c r="D9" s="55">
        <f t="shared" si="7"/>
        <v>440.00000000000006</v>
      </c>
      <c r="E9" s="55">
        <f t="shared" si="7"/>
        <v>299.20000000000005</v>
      </c>
      <c r="F9" s="55">
        <f t="shared" si="7"/>
        <v>264</v>
      </c>
      <c r="G9" s="61"/>
      <c r="H9" s="61"/>
      <c r="I9" s="61"/>
      <c r="J9" s="61"/>
      <c r="K9" s="61"/>
      <c r="L9" s="61"/>
      <c r="M9" s="61"/>
      <c r="N9" s="61"/>
      <c r="O9" s="59">
        <f t="shared" si="11"/>
        <v>1548.8000000000002</v>
      </c>
      <c r="P9" s="54">
        <f t="shared" si="6"/>
        <v>464.64000000000004</v>
      </c>
      <c r="Q9" s="338">
        <v>1969</v>
      </c>
      <c r="U9" s="68"/>
      <c r="V9" s="65">
        <f t="shared" si="9"/>
        <v>464.64000000000004</v>
      </c>
      <c r="W9" s="65">
        <f t="shared" si="10"/>
        <v>1969</v>
      </c>
      <c r="X9" s="336"/>
      <c r="Y9" s="66"/>
      <c r="Z9" s="9"/>
      <c r="AA9" s="9"/>
    </row>
    <row r="10" spans="1:27">
      <c r="A10" s="6">
        <v>2006</v>
      </c>
      <c r="B10" s="57"/>
      <c r="C10" s="57"/>
      <c r="D10" s="57"/>
      <c r="E10" s="57"/>
      <c r="F10" s="57"/>
      <c r="G10" s="61"/>
      <c r="H10" s="61"/>
      <c r="I10" s="61"/>
      <c r="J10" s="61"/>
      <c r="K10" s="61"/>
      <c r="L10" s="61"/>
      <c r="M10" s="61"/>
      <c r="N10" s="61"/>
      <c r="O10" s="59">
        <f t="shared" si="11"/>
        <v>0</v>
      </c>
      <c r="P10" s="54">
        <f t="shared" si="6"/>
        <v>0</v>
      </c>
      <c r="Q10" s="337"/>
      <c r="U10" s="68"/>
      <c r="V10" s="65">
        <f t="shared" si="9"/>
        <v>0</v>
      </c>
      <c r="W10" s="65"/>
      <c r="X10" s="336"/>
      <c r="Y10" s="66"/>
      <c r="Z10" s="9"/>
      <c r="AA10" s="9"/>
    </row>
    <row r="11" spans="1:27">
      <c r="A11" s="6">
        <v>2007</v>
      </c>
      <c r="B11" s="57"/>
      <c r="C11" s="57"/>
      <c r="D11" s="57"/>
      <c r="E11" s="57"/>
      <c r="F11" s="57"/>
      <c r="G11" s="61"/>
      <c r="H11" s="61"/>
      <c r="I11" s="61"/>
      <c r="J11" s="61"/>
      <c r="K11" s="61"/>
      <c r="L11" s="61"/>
      <c r="M11" s="61"/>
      <c r="N11" s="61"/>
      <c r="O11" s="59">
        <f t="shared" si="11"/>
        <v>0</v>
      </c>
      <c r="P11" s="54">
        <f t="shared" si="6"/>
        <v>0</v>
      </c>
      <c r="Q11" s="337"/>
      <c r="U11" s="68"/>
      <c r="V11" s="65">
        <f t="shared" si="9"/>
        <v>0</v>
      </c>
      <c r="W11" s="65"/>
      <c r="X11" s="336"/>
      <c r="Y11" s="66"/>
      <c r="Z11" s="9"/>
      <c r="AA11" s="9"/>
    </row>
    <row r="12" spans="1:27">
      <c r="A12" s="6">
        <v>2008</v>
      </c>
      <c r="B12" s="57"/>
      <c r="C12" s="57"/>
      <c r="D12" s="57"/>
      <c r="E12" s="57"/>
      <c r="F12" s="57"/>
      <c r="G12" s="61"/>
      <c r="H12" s="61"/>
      <c r="I12" s="61"/>
      <c r="J12" s="61"/>
      <c r="K12" s="61"/>
      <c r="L12" s="61"/>
      <c r="M12" s="61"/>
      <c r="N12" s="61"/>
      <c r="O12" s="59">
        <f t="shared" si="11"/>
        <v>0</v>
      </c>
      <c r="P12" s="54">
        <f t="shared" si="6"/>
        <v>0</v>
      </c>
      <c r="Q12" s="337"/>
      <c r="U12" s="68"/>
      <c r="V12" s="65">
        <f t="shared" si="9"/>
        <v>0</v>
      </c>
      <c r="W12" s="65"/>
      <c r="X12" s="336"/>
      <c r="Y12" s="66"/>
      <c r="Z12" s="9"/>
      <c r="AA12" s="9"/>
    </row>
    <row r="13" spans="1:27">
      <c r="A13" s="6">
        <v>2009</v>
      </c>
      <c r="B13" s="57"/>
      <c r="C13" s="57"/>
      <c r="D13" s="57"/>
      <c r="E13" s="57"/>
      <c r="F13" s="57"/>
      <c r="G13" s="61"/>
      <c r="H13" s="61"/>
      <c r="I13" s="61"/>
      <c r="J13" s="61"/>
      <c r="K13" s="61"/>
      <c r="L13" s="61"/>
      <c r="M13" s="61"/>
      <c r="N13" s="61"/>
      <c r="O13" s="59">
        <f t="shared" si="11"/>
        <v>0</v>
      </c>
      <c r="P13" s="54">
        <f t="shared" si="6"/>
        <v>0</v>
      </c>
      <c r="Q13" s="337"/>
      <c r="U13" s="68"/>
      <c r="V13" s="65">
        <f t="shared" si="9"/>
        <v>0</v>
      </c>
      <c r="W13" s="65"/>
      <c r="X13" s="336"/>
      <c r="Y13" s="66"/>
      <c r="Z13" s="9"/>
      <c r="AA13" s="9"/>
    </row>
    <row r="14" spans="1:27">
      <c r="A14" s="6">
        <v>2010</v>
      </c>
      <c r="B14" s="57"/>
      <c r="C14" s="57"/>
      <c r="D14" s="57"/>
      <c r="E14" s="57"/>
      <c r="F14" s="57"/>
      <c r="G14" s="61"/>
      <c r="H14" s="61"/>
      <c r="I14" s="61"/>
      <c r="J14" s="61"/>
      <c r="K14" s="61"/>
      <c r="L14" s="61"/>
      <c r="M14" s="61"/>
      <c r="N14" s="61"/>
      <c r="O14" s="59">
        <f t="shared" si="11"/>
        <v>0</v>
      </c>
      <c r="P14" s="54">
        <f t="shared" si="6"/>
        <v>0</v>
      </c>
      <c r="Q14" s="337"/>
      <c r="U14" s="68"/>
      <c r="V14" s="65">
        <f t="shared" si="9"/>
        <v>0</v>
      </c>
      <c r="W14" s="65"/>
      <c r="X14" s="336"/>
      <c r="Y14" s="66"/>
      <c r="Z14" s="9"/>
      <c r="AA14" s="9"/>
    </row>
    <row r="15" spans="1:27">
      <c r="A15" s="6">
        <v>2011</v>
      </c>
      <c r="B15" s="57"/>
      <c r="C15" s="57"/>
      <c r="D15" s="57"/>
      <c r="E15" s="57"/>
      <c r="F15" s="57"/>
      <c r="G15" s="61"/>
      <c r="H15" s="61"/>
      <c r="I15" s="61"/>
      <c r="J15" s="61"/>
      <c r="K15" s="61"/>
      <c r="L15" s="61"/>
      <c r="M15" s="61"/>
      <c r="N15" s="61"/>
      <c r="O15" s="59">
        <f t="shared" si="11"/>
        <v>0</v>
      </c>
      <c r="P15" s="54">
        <f t="shared" si="6"/>
        <v>0</v>
      </c>
      <c r="Q15" s="337"/>
      <c r="U15" s="68"/>
      <c r="V15" s="65">
        <f t="shared" si="9"/>
        <v>0</v>
      </c>
      <c r="W15" s="65"/>
      <c r="X15" s="336"/>
      <c r="Y15" s="66"/>
      <c r="Z15" s="9"/>
      <c r="AA15" s="9"/>
    </row>
    <row r="16" spans="1:27">
      <c r="A16" s="6">
        <v>2012</v>
      </c>
      <c r="B16" s="57"/>
      <c r="C16" s="57"/>
      <c r="D16" s="57"/>
      <c r="E16" s="57"/>
      <c r="F16" s="57"/>
      <c r="G16" s="61"/>
      <c r="H16" s="61"/>
      <c r="I16" s="61"/>
      <c r="J16" s="61"/>
      <c r="K16" s="61"/>
      <c r="L16" s="61"/>
      <c r="M16" s="61"/>
      <c r="N16" s="61"/>
      <c r="O16" s="59">
        <f t="shared" si="11"/>
        <v>0</v>
      </c>
      <c r="P16" s="54">
        <f t="shared" si="6"/>
        <v>0</v>
      </c>
      <c r="Q16" s="337"/>
      <c r="U16" s="68"/>
      <c r="V16" s="65">
        <f t="shared" si="9"/>
        <v>0</v>
      </c>
      <c r="W16" s="65"/>
      <c r="X16" s="336"/>
      <c r="Y16" s="66"/>
      <c r="Z16" s="9"/>
      <c r="AA16" s="9"/>
    </row>
    <row r="17" spans="1:27">
      <c r="A17" s="6">
        <v>2013</v>
      </c>
      <c r="B17" s="57"/>
      <c r="C17" s="57"/>
      <c r="D17" s="57"/>
      <c r="E17" s="57"/>
      <c r="F17" s="57"/>
      <c r="G17" s="61"/>
      <c r="H17" s="61"/>
      <c r="I17" s="61"/>
      <c r="J17" s="61"/>
      <c r="K17" s="61"/>
      <c r="L17" s="61"/>
      <c r="M17" s="61"/>
      <c r="N17" s="61"/>
      <c r="O17" s="59">
        <f t="shared" si="11"/>
        <v>0</v>
      </c>
      <c r="P17" s="54">
        <f t="shared" si="6"/>
        <v>0</v>
      </c>
      <c r="Q17" s="337"/>
      <c r="U17" s="68"/>
      <c r="V17" s="65">
        <f t="shared" si="9"/>
        <v>0</v>
      </c>
      <c r="W17" s="65"/>
      <c r="X17" s="336"/>
      <c r="Y17" s="66"/>
      <c r="Z17" s="9"/>
      <c r="AA17" s="9"/>
    </row>
    <row r="18" spans="1:27">
      <c r="A18" s="6">
        <v>2014</v>
      </c>
      <c r="B18" s="57"/>
      <c r="C18" s="57"/>
      <c r="D18" s="57"/>
      <c r="E18" s="57"/>
      <c r="F18" s="57"/>
      <c r="G18" s="61"/>
      <c r="H18" s="61"/>
      <c r="I18" s="61"/>
      <c r="J18" s="61"/>
      <c r="K18" s="61"/>
      <c r="L18" s="61"/>
      <c r="M18" s="61"/>
      <c r="N18" s="61"/>
      <c r="O18" s="59">
        <f t="shared" si="11"/>
        <v>0</v>
      </c>
      <c r="P18" s="54">
        <f t="shared" si="6"/>
        <v>0</v>
      </c>
      <c r="Q18" s="337"/>
      <c r="U18" s="68"/>
      <c r="V18" s="65">
        <f t="shared" si="9"/>
        <v>0</v>
      </c>
      <c r="W18" s="65"/>
      <c r="X18" s="336"/>
      <c r="Y18" s="66"/>
      <c r="Z18" s="9"/>
      <c r="AA18" s="9"/>
    </row>
    <row r="19" spans="1:27">
      <c r="A19" s="6">
        <v>2015</v>
      </c>
      <c r="B19" s="57"/>
      <c r="C19" s="57"/>
      <c r="D19" s="57"/>
      <c r="E19" s="57"/>
      <c r="F19" s="57"/>
      <c r="G19" s="61"/>
      <c r="H19" s="61"/>
      <c r="I19" s="61"/>
      <c r="J19" s="61"/>
      <c r="K19" s="61"/>
      <c r="L19" s="61"/>
      <c r="M19" s="61"/>
      <c r="N19" s="61"/>
      <c r="O19" s="59">
        <f t="shared" si="11"/>
        <v>0</v>
      </c>
      <c r="P19" s="54">
        <f t="shared" si="6"/>
        <v>0</v>
      </c>
      <c r="Q19" s="337"/>
      <c r="U19" s="68"/>
      <c r="V19" s="65">
        <f t="shared" si="9"/>
        <v>0</v>
      </c>
      <c r="W19" s="65"/>
      <c r="X19" s="336"/>
      <c r="Y19" s="66"/>
      <c r="Z19" s="9"/>
      <c r="AA19" s="9"/>
    </row>
    <row r="20" spans="1:27">
      <c r="A20" s="6">
        <v>2016</v>
      </c>
      <c r="B20" s="57"/>
      <c r="C20" s="57"/>
      <c r="D20" s="57"/>
      <c r="E20" s="57"/>
      <c r="F20" s="57"/>
      <c r="G20" s="61"/>
      <c r="H20" s="61"/>
      <c r="I20" s="61"/>
      <c r="J20" s="61"/>
      <c r="K20" s="61"/>
      <c r="L20" s="61"/>
      <c r="M20" s="61"/>
      <c r="N20" s="61"/>
      <c r="O20" s="59">
        <f t="shared" si="11"/>
        <v>0</v>
      </c>
      <c r="P20" s="54">
        <f t="shared" si="6"/>
        <v>0</v>
      </c>
      <c r="Q20" s="337"/>
      <c r="U20" s="68"/>
      <c r="V20" s="65">
        <f t="shared" si="9"/>
        <v>0</v>
      </c>
      <c r="W20" s="65"/>
      <c r="X20" s="336"/>
      <c r="Y20" s="66"/>
      <c r="Z20" s="9"/>
      <c r="AA20" s="9"/>
    </row>
    <row r="21" spans="1:27">
      <c r="A21" s="6">
        <v>2017</v>
      </c>
      <c r="B21" s="57"/>
      <c r="C21" s="57"/>
      <c r="D21" s="57"/>
      <c r="E21" s="57"/>
      <c r="F21" s="57"/>
      <c r="G21" s="61"/>
      <c r="H21" s="61"/>
      <c r="I21" s="61"/>
      <c r="J21" s="61"/>
      <c r="K21" s="61"/>
      <c r="L21" s="61"/>
      <c r="M21" s="61"/>
      <c r="N21" s="61"/>
      <c r="O21" s="59">
        <f t="shared" si="11"/>
        <v>0</v>
      </c>
      <c r="P21" s="54">
        <f t="shared" si="6"/>
        <v>0</v>
      </c>
      <c r="Q21" s="337"/>
      <c r="U21" s="68"/>
      <c r="V21" s="65">
        <f t="shared" si="9"/>
        <v>0</v>
      </c>
      <c r="W21" s="65"/>
      <c r="X21" s="336"/>
      <c r="Y21" s="66"/>
      <c r="Z21" s="9"/>
      <c r="AA21" s="9"/>
    </row>
    <row r="22" spans="1:27">
      <c r="A22" s="6">
        <v>2018</v>
      </c>
      <c r="B22" s="57"/>
      <c r="C22" s="57"/>
      <c r="D22" s="57"/>
      <c r="E22" s="57"/>
      <c r="F22" s="57"/>
      <c r="G22" s="61"/>
      <c r="H22" s="61"/>
      <c r="I22" s="61"/>
      <c r="J22" s="61"/>
      <c r="K22" s="61"/>
      <c r="L22" s="61"/>
      <c r="M22" s="61"/>
      <c r="N22" s="61"/>
      <c r="O22" s="59">
        <f t="shared" si="11"/>
        <v>0</v>
      </c>
      <c r="P22" s="54">
        <f t="shared" si="6"/>
        <v>0</v>
      </c>
      <c r="Q22" s="337"/>
      <c r="U22" s="68"/>
      <c r="V22" s="65">
        <f t="shared" si="9"/>
        <v>0</v>
      </c>
      <c r="W22" s="65"/>
      <c r="X22" s="336"/>
      <c r="Y22" s="66"/>
      <c r="Z22" s="9"/>
      <c r="AA22" s="9"/>
    </row>
    <row r="23" spans="1:27">
      <c r="A23" s="6">
        <v>2019</v>
      </c>
      <c r="B23" s="57"/>
      <c r="C23" s="57"/>
      <c r="D23" s="57"/>
      <c r="E23" s="57"/>
      <c r="F23" s="57"/>
      <c r="G23" s="61"/>
      <c r="H23" s="61"/>
      <c r="I23" s="61"/>
      <c r="J23" s="61"/>
      <c r="K23" s="61"/>
      <c r="L23" s="61"/>
      <c r="M23" s="61"/>
      <c r="N23" s="61"/>
      <c r="O23" s="59">
        <f t="shared" si="11"/>
        <v>0</v>
      </c>
      <c r="P23" s="54">
        <f t="shared" si="6"/>
        <v>0</v>
      </c>
      <c r="Q23" s="337"/>
      <c r="U23" s="68"/>
      <c r="V23" s="65">
        <f t="shared" si="9"/>
        <v>0</v>
      </c>
      <c r="W23" s="56"/>
      <c r="X23" s="336"/>
      <c r="Y23" s="55"/>
      <c r="Z23" s="9"/>
      <c r="AA23" s="9"/>
    </row>
    <row r="24" spans="1:27">
      <c r="A24" s="6">
        <v>2020</v>
      </c>
      <c r="B24" s="57"/>
      <c r="C24" s="57"/>
      <c r="D24" s="57"/>
      <c r="E24" s="57"/>
      <c r="F24" s="57"/>
      <c r="G24" s="61"/>
      <c r="H24" s="61"/>
      <c r="I24" s="61"/>
      <c r="J24" s="61"/>
      <c r="K24" s="61"/>
      <c r="L24" s="61"/>
      <c r="M24" s="61"/>
      <c r="N24" s="61"/>
      <c r="O24" s="59">
        <f t="shared" si="11"/>
        <v>0</v>
      </c>
      <c r="P24" s="54">
        <f t="shared" si="6"/>
        <v>0</v>
      </c>
      <c r="Q24" s="337"/>
      <c r="U24" s="68"/>
      <c r="V24" s="65">
        <f t="shared" si="9"/>
        <v>0</v>
      </c>
      <c r="W24" s="56"/>
      <c r="X24" s="336"/>
      <c r="Y24" s="55"/>
      <c r="Z24" s="9"/>
      <c r="AA24" s="9"/>
    </row>
    <row r="25" spans="1:27">
      <c r="A25" s="6">
        <v>2021</v>
      </c>
      <c r="B25" s="55"/>
      <c r="C25" s="57"/>
      <c r="D25" s="57"/>
      <c r="E25" s="57"/>
      <c r="F25" s="57"/>
      <c r="G25" s="57"/>
      <c r="H25" s="61"/>
      <c r="I25" s="61"/>
      <c r="J25" s="61"/>
      <c r="K25" s="61"/>
      <c r="L25" s="61"/>
      <c r="M25" s="61"/>
      <c r="N25" s="61"/>
      <c r="O25" s="59">
        <f t="shared" si="11"/>
        <v>0</v>
      </c>
      <c r="P25" s="54">
        <f t="shared" si="6"/>
        <v>0</v>
      </c>
      <c r="Q25" s="338"/>
      <c r="U25" s="68"/>
      <c r="V25" s="65">
        <f t="shared" si="9"/>
        <v>0</v>
      </c>
      <c r="W25" s="65"/>
      <c r="X25" s="336"/>
      <c r="Y25" s="66"/>
      <c r="Z25" s="9"/>
      <c r="AA25" s="9"/>
    </row>
    <row r="26" spans="1:27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5">
        <f>SUM(O2:O25)</f>
        <v>46147.200000000004</v>
      </c>
      <c r="P26" s="55">
        <f>SUM(P2:P25)</f>
        <v>13844.16</v>
      </c>
      <c r="Q26" s="339">
        <f>SUM(Q2:Q25)</f>
        <v>91692</v>
      </c>
      <c r="U26" s="68"/>
      <c r="V26" s="65">
        <f>SUM(V2:V25)</f>
        <v>5676.0000000000009</v>
      </c>
      <c r="W26" s="65">
        <f t="shared" ref="W26:X26" si="12">SUM(W2:W25)</f>
        <v>28671</v>
      </c>
      <c r="X26" s="65">
        <f t="shared" si="12"/>
        <v>8168.16</v>
      </c>
      <c r="Y26" s="66">
        <f>SUM(Y2:Y25)</f>
        <v>63021</v>
      </c>
    </row>
    <row r="27" spans="1:27" ht="15">
      <c r="R27" s="82">
        <v>45355</v>
      </c>
      <c r="S27" s="384" t="s">
        <v>469</v>
      </c>
    </row>
    <row r="28" spans="1:27">
      <c r="U28" s="9"/>
      <c r="X28" s="8">
        <f>V26+X26</f>
        <v>13844.16</v>
      </c>
      <c r="Y28" s="8">
        <f>W26+Y26</f>
        <v>91692</v>
      </c>
    </row>
    <row r="29" spans="1:27">
      <c r="A29" s="474" t="s">
        <v>492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</row>
    <row r="30" spans="1:27">
      <c r="F30" s="490" t="s">
        <v>36</v>
      </c>
      <c r="G30" s="490"/>
      <c r="H30" s="490"/>
      <c r="I30" s="490"/>
      <c r="J30" s="490"/>
      <c r="K30" s="490"/>
      <c r="L30" s="490"/>
      <c r="M30" s="490"/>
      <c r="N30" s="490"/>
      <c r="O30" s="490"/>
      <c r="R30" s="7">
        <f>10.56-2.93</f>
        <v>7.6300000000000008</v>
      </c>
    </row>
    <row r="31" spans="1:27" s="46" customFormat="1"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27">
      <c r="A32" s="7">
        <v>1998</v>
      </c>
      <c r="B32" s="58"/>
      <c r="C32" s="58"/>
      <c r="D32" s="58"/>
      <c r="E32" s="58"/>
      <c r="F32" s="58"/>
      <c r="G32" s="58"/>
      <c r="H32" s="58"/>
      <c r="I32" s="63">
        <v>5</v>
      </c>
      <c r="J32" s="63">
        <v>27</v>
      </c>
      <c r="K32" s="63">
        <v>23</v>
      </c>
      <c r="L32" s="63">
        <v>21</v>
      </c>
      <c r="M32" s="63">
        <v>59</v>
      </c>
      <c r="N32" s="64">
        <f t="shared" ref="N32:N49" si="13">SUM(B32:M32)</f>
        <v>135</v>
      </c>
      <c r="P32" s="329"/>
      <c r="Q32" s="330"/>
      <c r="R32" s="330"/>
      <c r="S32" s="330"/>
      <c r="T32" s="330"/>
      <c r="U32" s="330"/>
      <c r="V32" s="330"/>
      <c r="W32" s="9">
        <f>I32*2*8.8</f>
        <v>88</v>
      </c>
      <c r="X32" s="9">
        <f t="shared" ref="X32:AA38" si="14">J32*2*8.8</f>
        <v>475.20000000000005</v>
      </c>
      <c r="Y32" s="9">
        <f t="shared" si="14"/>
        <v>404.8</v>
      </c>
      <c r="Z32" s="9">
        <f t="shared" si="14"/>
        <v>369.6</v>
      </c>
      <c r="AA32" s="9">
        <f t="shared" si="14"/>
        <v>1038.4000000000001</v>
      </c>
    </row>
    <row r="33" spans="1:27">
      <c r="A33" s="7">
        <v>1999</v>
      </c>
      <c r="B33" s="63">
        <v>18</v>
      </c>
      <c r="C33" s="63">
        <v>26</v>
      </c>
      <c r="D33" s="63">
        <v>49</v>
      </c>
      <c r="E33" s="63">
        <v>42</v>
      </c>
      <c r="F33" s="63">
        <v>35</v>
      </c>
      <c r="G33" s="63">
        <v>52</v>
      </c>
      <c r="H33" s="63">
        <v>51</v>
      </c>
      <c r="I33" s="63">
        <v>89</v>
      </c>
      <c r="J33" s="63">
        <v>71</v>
      </c>
      <c r="K33" s="63">
        <v>49</v>
      </c>
      <c r="L33" s="63">
        <v>32</v>
      </c>
      <c r="M33" s="63">
        <v>47</v>
      </c>
      <c r="N33" s="64">
        <f t="shared" si="13"/>
        <v>561</v>
      </c>
      <c r="P33" s="9">
        <f t="shared" ref="P33:V39" si="15">B33*2*8.8</f>
        <v>316.8</v>
      </c>
      <c r="Q33" s="9">
        <f t="shared" si="15"/>
        <v>457.6</v>
      </c>
      <c r="R33" s="9">
        <f t="shared" si="15"/>
        <v>862.40000000000009</v>
      </c>
      <c r="S33" s="9">
        <f t="shared" si="15"/>
        <v>739.2</v>
      </c>
      <c r="T33" s="9">
        <f t="shared" si="15"/>
        <v>616</v>
      </c>
      <c r="U33" s="9">
        <f t="shared" si="15"/>
        <v>915.2</v>
      </c>
      <c r="V33" s="9">
        <f t="shared" si="15"/>
        <v>897.6</v>
      </c>
      <c r="W33" s="9">
        <f>I33*2*8.8</f>
        <v>1566.4</v>
      </c>
      <c r="X33" s="9">
        <f t="shared" si="14"/>
        <v>1249.6000000000001</v>
      </c>
      <c r="Y33" s="9">
        <f t="shared" si="14"/>
        <v>862.40000000000009</v>
      </c>
      <c r="Z33" s="9">
        <f t="shared" si="14"/>
        <v>563.20000000000005</v>
      </c>
      <c r="AA33" s="9">
        <f t="shared" si="14"/>
        <v>827.2</v>
      </c>
    </row>
    <row r="34" spans="1:27">
      <c r="A34" s="7">
        <v>2000</v>
      </c>
      <c r="B34" s="63">
        <v>28</v>
      </c>
      <c r="C34" s="63">
        <v>35</v>
      </c>
      <c r="D34" s="63">
        <v>41</v>
      </c>
      <c r="E34" s="63">
        <v>31</v>
      </c>
      <c r="F34" s="63">
        <v>51</v>
      </c>
      <c r="G34" s="63">
        <v>40</v>
      </c>
      <c r="H34" s="63">
        <v>48</v>
      </c>
      <c r="I34" s="63">
        <v>86</v>
      </c>
      <c r="J34" s="63">
        <v>44</v>
      </c>
      <c r="K34" s="63">
        <v>50</v>
      </c>
      <c r="L34" s="63">
        <v>60</v>
      </c>
      <c r="M34" s="63">
        <v>47</v>
      </c>
      <c r="N34" s="64">
        <f t="shared" si="13"/>
        <v>561</v>
      </c>
      <c r="P34" s="9">
        <f t="shared" si="15"/>
        <v>492.80000000000007</v>
      </c>
      <c r="Q34" s="9">
        <f t="shared" ref="Q34:Q39" si="16">C34*2*8.8</f>
        <v>616</v>
      </c>
      <c r="R34" s="9">
        <f t="shared" ref="R34:R39" si="17">D34*2*8.8</f>
        <v>721.6</v>
      </c>
      <c r="S34" s="9">
        <f t="shared" ref="S34:S39" si="18">E34*2*8.8</f>
        <v>545.6</v>
      </c>
      <c r="T34" s="9">
        <f t="shared" ref="T34:T39" si="19">F34*2*8.8</f>
        <v>897.6</v>
      </c>
      <c r="U34" s="9">
        <f t="shared" ref="U34:U38" si="20">G34*2*8.8</f>
        <v>704</v>
      </c>
      <c r="V34" s="9">
        <f t="shared" ref="V34:V38" si="21">H34*2*8.8</f>
        <v>844.80000000000007</v>
      </c>
      <c r="W34" s="9">
        <f t="shared" ref="W34:W38" si="22">I34*2*8.8</f>
        <v>1513.6000000000001</v>
      </c>
      <c r="X34" s="9">
        <f t="shared" si="14"/>
        <v>774.40000000000009</v>
      </c>
      <c r="Y34" s="9">
        <f t="shared" si="14"/>
        <v>880.00000000000011</v>
      </c>
      <c r="Z34" s="9">
        <f t="shared" si="14"/>
        <v>1056</v>
      </c>
      <c r="AA34" s="9">
        <f t="shared" si="14"/>
        <v>827.2</v>
      </c>
    </row>
    <row r="35" spans="1:27">
      <c r="A35" s="7">
        <v>2001</v>
      </c>
      <c r="B35" s="63">
        <v>38</v>
      </c>
      <c r="C35" s="63">
        <v>52</v>
      </c>
      <c r="D35" s="63">
        <v>16</v>
      </c>
      <c r="E35" s="63">
        <v>20</v>
      </c>
      <c r="F35" s="63">
        <v>13</v>
      </c>
      <c r="G35" s="63">
        <v>18</v>
      </c>
      <c r="H35" s="63">
        <v>23</v>
      </c>
      <c r="I35" s="26">
        <v>29</v>
      </c>
      <c r="J35" s="26">
        <v>16</v>
      </c>
      <c r="K35" s="26">
        <v>7</v>
      </c>
      <c r="L35" s="26">
        <v>18</v>
      </c>
      <c r="M35" s="26">
        <v>40</v>
      </c>
      <c r="N35" s="64">
        <f t="shared" si="13"/>
        <v>290</v>
      </c>
      <c r="P35" s="9">
        <f t="shared" si="15"/>
        <v>668.80000000000007</v>
      </c>
      <c r="Q35" s="9">
        <f t="shared" si="16"/>
        <v>915.2</v>
      </c>
      <c r="R35" s="9">
        <f t="shared" si="17"/>
        <v>281.60000000000002</v>
      </c>
      <c r="S35" s="9">
        <f t="shared" si="18"/>
        <v>352</v>
      </c>
      <c r="T35" s="9">
        <f t="shared" si="19"/>
        <v>228.8</v>
      </c>
      <c r="U35" s="9">
        <f t="shared" si="20"/>
        <v>316.8</v>
      </c>
      <c r="V35" s="9">
        <f t="shared" si="21"/>
        <v>404.8</v>
      </c>
      <c r="W35" s="9">
        <f t="shared" si="22"/>
        <v>510.40000000000003</v>
      </c>
      <c r="X35" s="9">
        <f t="shared" si="14"/>
        <v>281.60000000000002</v>
      </c>
      <c r="Y35" s="9">
        <f t="shared" si="14"/>
        <v>123.20000000000002</v>
      </c>
      <c r="Z35" s="9">
        <f t="shared" si="14"/>
        <v>316.8</v>
      </c>
      <c r="AA35" s="9">
        <f t="shared" si="14"/>
        <v>704</v>
      </c>
    </row>
    <row r="36" spans="1:27">
      <c r="A36" s="7">
        <v>2002</v>
      </c>
      <c r="B36" s="63">
        <v>6</v>
      </c>
      <c r="C36" s="63">
        <v>11</v>
      </c>
      <c r="D36" s="63">
        <v>20</v>
      </c>
      <c r="E36" s="63">
        <v>26</v>
      </c>
      <c r="F36" s="63">
        <v>18</v>
      </c>
      <c r="G36" s="63">
        <v>13</v>
      </c>
      <c r="H36" s="63">
        <v>24</v>
      </c>
      <c r="I36" s="63">
        <v>29</v>
      </c>
      <c r="J36" s="63">
        <v>16</v>
      </c>
      <c r="K36" s="63">
        <v>20</v>
      </c>
      <c r="L36" s="63">
        <v>25</v>
      </c>
      <c r="M36" s="63">
        <v>29</v>
      </c>
      <c r="N36" s="64">
        <f t="shared" si="13"/>
        <v>237</v>
      </c>
      <c r="P36" s="9">
        <f t="shared" si="15"/>
        <v>105.60000000000001</v>
      </c>
      <c r="Q36" s="9">
        <f t="shared" si="16"/>
        <v>193.60000000000002</v>
      </c>
      <c r="R36" s="9">
        <f t="shared" si="17"/>
        <v>352</v>
      </c>
      <c r="S36" s="9">
        <f t="shared" si="18"/>
        <v>457.6</v>
      </c>
      <c r="T36" s="9">
        <f t="shared" si="19"/>
        <v>316.8</v>
      </c>
      <c r="U36" s="9">
        <f t="shared" si="20"/>
        <v>228.8</v>
      </c>
      <c r="V36" s="9">
        <f t="shared" si="21"/>
        <v>422.40000000000003</v>
      </c>
      <c r="W36" s="9">
        <f t="shared" si="22"/>
        <v>510.40000000000003</v>
      </c>
      <c r="X36" s="9">
        <f t="shared" si="14"/>
        <v>281.60000000000002</v>
      </c>
      <c r="Y36" s="9">
        <f t="shared" si="14"/>
        <v>352</v>
      </c>
      <c r="Z36" s="9">
        <f t="shared" si="14"/>
        <v>440.00000000000006</v>
      </c>
      <c r="AA36" s="9">
        <f t="shared" si="14"/>
        <v>510.40000000000003</v>
      </c>
    </row>
    <row r="37" spans="1:27">
      <c r="A37" s="7">
        <v>2003</v>
      </c>
      <c r="B37" s="63">
        <v>12</v>
      </c>
      <c r="C37" s="63">
        <v>16</v>
      </c>
      <c r="D37" s="63">
        <v>21</v>
      </c>
      <c r="E37" s="63">
        <v>23</v>
      </c>
      <c r="F37" s="63">
        <v>20</v>
      </c>
      <c r="G37" s="63">
        <v>31</v>
      </c>
      <c r="H37" s="63">
        <v>38</v>
      </c>
      <c r="I37" s="63">
        <v>36</v>
      </c>
      <c r="J37" s="63">
        <v>44</v>
      </c>
      <c r="K37" s="63">
        <v>54</v>
      </c>
      <c r="L37" s="63">
        <v>31</v>
      </c>
      <c r="M37" s="63">
        <v>28</v>
      </c>
      <c r="N37" s="64">
        <f t="shared" si="13"/>
        <v>354</v>
      </c>
      <c r="P37" s="9">
        <f t="shared" si="15"/>
        <v>211.20000000000002</v>
      </c>
      <c r="Q37" s="9">
        <f t="shared" si="16"/>
        <v>281.60000000000002</v>
      </c>
      <c r="R37" s="9">
        <f t="shared" si="17"/>
        <v>369.6</v>
      </c>
      <c r="S37" s="9">
        <f t="shared" si="18"/>
        <v>404.8</v>
      </c>
      <c r="T37" s="9">
        <f t="shared" si="19"/>
        <v>352</v>
      </c>
      <c r="U37" s="9">
        <f t="shared" si="20"/>
        <v>545.6</v>
      </c>
      <c r="V37" s="9">
        <f t="shared" si="21"/>
        <v>668.80000000000007</v>
      </c>
      <c r="W37" s="9">
        <f t="shared" si="22"/>
        <v>633.6</v>
      </c>
      <c r="X37" s="9">
        <f t="shared" si="14"/>
        <v>774.40000000000009</v>
      </c>
      <c r="Y37" s="9">
        <f t="shared" si="14"/>
        <v>950.40000000000009</v>
      </c>
      <c r="Z37" s="9">
        <f t="shared" si="14"/>
        <v>545.6</v>
      </c>
      <c r="AA37" s="9">
        <f t="shared" si="14"/>
        <v>492.80000000000007</v>
      </c>
    </row>
    <row r="38" spans="1:27">
      <c r="A38" s="7">
        <v>2004</v>
      </c>
      <c r="B38" s="63">
        <v>14</v>
      </c>
      <c r="C38" s="26">
        <v>31</v>
      </c>
      <c r="D38" s="26">
        <v>25</v>
      </c>
      <c r="E38" s="26">
        <v>29</v>
      </c>
      <c r="F38" s="26">
        <v>32</v>
      </c>
      <c r="G38" s="26">
        <v>24</v>
      </c>
      <c r="H38" s="26">
        <v>34</v>
      </c>
      <c r="I38" s="26">
        <v>36</v>
      </c>
      <c r="J38" s="26">
        <v>49</v>
      </c>
      <c r="K38" s="26">
        <v>40</v>
      </c>
      <c r="L38" s="26">
        <v>43</v>
      </c>
      <c r="M38" s="26">
        <v>39</v>
      </c>
      <c r="N38" s="64">
        <f t="shared" si="13"/>
        <v>396</v>
      </c>
      <c r="P38" s="9">
        <f t="shared" si="15"/>
        <v>246.40000000000003</v>
      </c>
      <c r="Q38" s="9">
        <f t="shared" si="16"/>
        <v>545.6</v>
      </c>
      <c r="R38" s="9">
        <f t="shared" si="17"/>
        <v>440.00000000000006</v>
      </c>
      <c r="S38" s="9">
        <f t="shared" si="18"/>
        <v>510.40000000000003</v>
      </c>
      <c r="T38" s="9">
        <f t="shared" si="19"/>
        <v>563.20000000000005</v>
      </c>
      <c r="U38" s="9">
        <f t="shared" si="20"/>
        <v>422.40000000000003</v>
      </c>
      <c r="V38" s="9">
        <f t="shared" si="21"/>
        <v>598.40000000000009</v>
      </c>
      <c r="W38" s="9">
        <f t="shared" si="22"/>
        <v>633.6</v>
      </c>
      <c r="X38" s="9">
        <f t="shared" si="14"/>
        <v>862.40000000000009</v>
      </c>
      <c r="Y38" s="9">
        <f t="shared" si="14"/>
        <v>704</v>
      </c>
      <c r="Z38" s="9">
        <f t="shared" si="14"/>
        <v>756.80000000000007</v>
      </c>
      <c r="AA38" s="9">
        <f t="shared" si="14"/>
        <v>686.40000000000009</v>
      </c>
    </row>
    <row r="39" spans="1:27">
      <c r="A39" s="7">
        <v>2005</v>
      </c>
      <c r="B39" s="63">
        <v>15</v>
      </c>
      <c r="C39" s="63">
        <v>16</v>
      </c>
      <c r="D39" s="63">
        <v>25</v>
      </c>
      <c r="E39" s="63">
        <v>17</v>
      </c>
      <c r="F39" s="63">
        <v>15</v>
      </c>
      <c r="G39" s="47"/>
      <c r="H39" s="47"/>
      <c r="I39" s="47"/>
      <c r="J39" s="47"/>
      <c r="K39" s="47"/>
      <c r="L39" s="47"/>
      <c r="M39" s="47"/>
      <c r="N39" s="64">
        <f t="shared" si="13"/>
        <v>88</v>
      </c>
      <c r="P39" s="9">
        <f t="shared" si="15"/>
        <v>264</v>
      </c>
      <c r="Q39" s="9">
        <f t="shared" si="16"/>
        <v>281.60000000000002</v>
      </c>
      <c r="R39" s="9">
        <f t="shared" si="17"/>
        <v>440.00000000000006</v>
      </c>
      <c r="S39" s="9">
        <f t="shared" si="18"/>
        <v>299.20000000000005</v>
      </c>
      <c r="T39" s="9">
        <f t="shared" si="19"/>
        <v>264</v>
      </c>
      <c r="U39" s="332">
        <f t="shared" ref="U39" si="23">G39*2*7.63</f>
        <v>0</v>
      </c>
    </row>
    <row r="40" spans="1:27">
      <c r="A40" s="7">
        <v>2006</v>
      </c>
      <c r="B40" s="47">
        <v>64</v>
      </c>
      <c r="C40" s="26"/>
      <c r="D40" s="47">
        <v>908</v>
      </c>
      <c r="E40" s="26"/>
      <c r="F40" s="26"/>
      <c r="G40" s="47"/>
      <c r="H40" s="47"/>
      <c r="I40" s="47"/>
      <c r="J40" s="47"/>
      <c r="K40" s="47"/>
      <c r="L40" s="47"/>
      <c r="M40" s="47"/>
      <c r="N40" s="64">
        <f t="shared" si="13"/>
        <v>972</v>
      </c>
      <c r="P40" s="331">
        <f t="shared" ref="P40:P48" si="24">B40*2*7.63</f>
        <v>976.64</v>
      </c>
    </row>
    <row r="41" spans="1:27">
      <c r="A41" s="7">
        <v>2007</v>
      </c>
      <c r="B41" s="47">
        <v>82</v>
      </c>
      <c r="C41" s="26"/>
      <c r="D41" s="47">
        <v>849</v>
      </c>
      <c r="E41" s="26"/>
      <c r="F41" s="26"/>
      <c r="G41" s="26"/>
      <c r="H41" s="26"/>
      <c r="I41" s="26"/>
      <c r="J41" s="26"/>
      <c r="K41" s="26"/>
      <c r="L41" s="26"/>
      <c r="M41" s="26"/>
      <c r="N41" s="64">
        <f t="shared" si="13"/>
        <v>931</v>
      </c>
      <c r="P41" s="331">
        <f t="shared" si="24"/>
        <v>1251.32</v>
      </c>
    </row>
    <row r="42" spans="1:27">
      <c r="A42" s="7">
        <v>2008</v>
      </c>
      <c r="B42" s="47">
        <v>78</v>
      </c>
      <c r="C42" s="26"/>
      <c r="D42" s="47">
        <v>879</v>
      </c>
      <c r="E42" s="26"/>
      <c r="F42" s="26"/>
      <c r="G42" s="26"/>
      <c r="H42" s="26"/>
      <c r="I42" s="26"/>
      <c r="J42" s="26"/>
      <c r="K42" s="26"/>
      <c r="L42" s="26"/>
      <c r="M42" s="26"/>
      <c r="N42" s="64">
        <f t="shared" si="13"/>
        <v>957</v>
      </c>
      <c r="P42" s="331">
        <f t="shared" si="24"/>
        <v>1190.28</v>
      </c>
    </row>
    <row r="43" spans="1:27">
      <c r="A43" s="7">
        <v>2009</v>
      </c>
      <c r="B43" s="47">
        <v>56</v>
      </c>
      <c r="C43" s="26"/>
      <c r="D43" s="47">
        <v>745</v>
      </c>
      <c r="E43" s="26"/>
      <c r="F43" s="26"/>
      <c r="G43" s="26"/>
      <c r="H43" s="26"/>
      <c r="I43" s="26"/>
      <c r="J43" s="26"/>
      <c r="K43" s="26"/>
      <c r="L43" s="26"/>
      <c r="M43" s="26"/>
      <c r="N43" s="64">
        <f t="shared" si="13"/>
        <v>801</v>
      </c>
      <c r="P43" s="331">
        <f t="shared" si="24"/>
        <v>854.56</v>
      </c>
    </row>
    <row r="44" spans="1:27">
      <c r="A44" s="7">
        <v>2010</v>
      </c>
      <c r="B44" s="47">
        <v>34</v>
      </c>
      <c r="C44" s="26"/>
      <c r="D44" s="47">
        <v>668</v>
      </c>
      <c r="E44" s="26"/>
      <c r="F44" s="26"/>
      <c r="G44" s="26"/>
      <c r="H44" s="26"/>
      <c r="I44" s="26"/>
      <c r="J44" s="26"/>
      <c r="K44" s="26"/>
      <c r="L44" s="26"/>
      <c r="M44" s="26"/>
      <c r="N44" s="64">
        <f t="shared" si="13"/>
        <v>702</v>
      </c>
      <c r="P44" s="331">
        <f t="shared" si="24"/>
        <v>518.84</v>
      </c>
    </row>
    <row r="45" spans="1:27">
      <c r="A45" s="7">
        <v>2011</v>
      </c>
      <c r="B45" s="47">
        <v>33</v>
      </c>
      <c r="C45" s="26"/>
      <c r="D45" s="47">
        <v>542</v>
      </c>
      <c r="E45" s="26"/>
      <c r="F45" s="26"/>
      <c r="G45" s="26"/>
      <c r="H45" s="26"/>
      <c r="I45" s="26"/>
      <c r="J45" s="26"/>
      <c r="K45" s="26"/>
      <c r="L45" s="26"/>
      <c r="M45" s="26"/>
      <c r="N45" s="64">
        <f t="shared" si="13"/>
        <v>575</v>
      </c>
      <c r="P45" s="331">
        <f t="shared" si="24"/>
        <v>503.58</v>
      </c>
    </row>
    <row r="46" spans="1:27">
      <c r="A46" s="7">
        <v>2012</v>
      </c>
      <c r="B46" s="47">
        <v>21</v>
      </c>
      <c r="C46" s="26"/>
      <c r="D46" s="47">
        <v>442</v>
      </c>
      <c r="E46" s="26"/>
      <c r="F46" s="26"/>
      <c r="G46" s="26"/>
      <c r="H46" s="26"/>
      <c r="I46" s="26"/>
      <c r="J46" s="26"/>
      <c r="K46" s="26"/>
      <c r="L46" s="26"/>
      <c r="M46" s="26"/>
      <c r="N46" s="64">
        <f t="shared" si="13"/>
        <v>463</v>
      </c>
      <c r="P46" s="331">
        <f t="shared" si="24"/>
        <v>320.45999999999998</v>
      </c>
    </row>
    <row r="47" spans="1:27">
      <c r="A47" s="7">
        <v>2013</v>
      </c>
      <c r="B47" s="47">
        <v>35</v>
      </c>
      <c r="C47" s="47">
        <v>32</v>
      </c>
      <c r="D47" s="47">
        <v>51</v>
      </c>
      <c r="E47" s="47">
        <v>54</v>
      </c>
      <c r="F47" s="47">
        <v>66</v>
      </c>
      <c r="G47" s="47">
        <v>37</v>
      </c>
      <c r="H47" s="47">
        <v>59</v>
      </c>
      <c r="I47" s="47">
        <v>77</v>
      </c>
      <c r="J47" s="47">
        <v>65</v>
      </c>
      <c r="K47" s="47">
        <v>42</v>
      </c>
      <c r="L47" s="47">
        <v>51</v>
      </c>
      <c r="M47" s="47">
        <v>49</v>
      </c>
      <c r="N47" s="64">
        <f t="shared" si="13"/>
        <v>618</v>
      </c>
      <c r="P47" s="331">
        <f t="shared" si="24"/>
        <v>534.1</v>
      </c>
    </row>
    <row r="48" spans="1:27">
      <c r="A48" s="7">
        <v>2014</v>
      </c>
      <c r="B48" s="47">
        <v>26</v>
      </c>
      <c r="C48" s="47">
        <v>47</v>
      </c>
      <c r="D48" s="47">
        <v>37</v>
      </c>
      <c r="E48" s="47">
        <v>20</v>
      </c>
      <c r="F48" s="47">
        <v>31</v>
      </c>
      <c r="G48" s="47">
        <v>47</v>
      </c>
      <c r="H48" s="47">
        <v>55</v>
      </c>
      <c r="I48" s="47">
        <v>61</v>
      </c>
      <c r="J48" s="47">
        <v>86</v>
      </c>
      <c r="K48" s="47">
        <v>62</v>
      </c>
      <c r="L48" s="47">
        <v>59</v>
      </c>
      <c r="M48" s="47">
        <v>57</v>
      </c>
      <c r="N48" s="64">
        <f t="shared" si="13"/>
        <v>588</v>
      </c>
      <c r="P48" s="331">
        <f t="shared" si="24"/>
        <v>396.76</v>
      </c>
    </row>
    <row r="49" spans="1:17">
      <c r="A49" s="7">
        <v>2015</v>
      </c>
      <c r="B49" s="47">
        <v>21</v>
      </c>
      <c r="C49" s="47">
        <v>60</v>
      </c>
      <c r="D49" s="47">
        <v>49</v>
      </c>
      <c r="E49" s="47">
        <v>53</v>
      </c>
      <c r="F49" s="47">
        <v>52</v>
      </c>
      <c r="G49" s="47">
        <v>53</v>
      </c>
      <c r="H49" s="47">
        <v>56</v>
      </c>
      <c r="I49" s="47">
        <v>72</v>
      </c>
      <c r="J49" s="47">
        <v>79</v>
      </c>
      <c r="K49" s="47">
        <v>64</v>
      </c>
      <c r="L49" s="47">
        <v>64</v>
      </c>
      <c r="M49" s="47">
        <v>75</v>
      </c>
      <c r="N49" s="64">
        <f t="shared" si="13"/>
        <v>698</v>
      </c>
      <c r="P49" s="331">
        <f t="shared" ref="P49:P55" si="25">B49*2*7.63</f>
        <v>320.45999999999998</v>
      </c>
    </row>
    <row r="50" spans="1:17">
      <c r="A50" s="7">
        <v>2016</v>
      </c>
      <c r="B50" s="47">
        <v>16</v>
      </c>
      <c r="C50" s="47">
        <v>22</v>
      </c>
      <c r="D50" s="47">
        <v>39</v>
      </c>
      <c r="E50" s="47">
        <v>55</v>
      </c>
      <c r="F50" s="47">
        <v>53</v>
      </c>
      <c r="G50" s="47">
        <v>52</v>
      </c>
      <c r="H50" s="47">
        <v>52</v>
      </c>
      <c r="I50" s="47">
        <v>98</v>
      </c>
      <c r="J50" s="47">
        <v>85</v>
      </c>
      <c r="K50" s="47">
        <v>66</v>
      </c>
      <c r="L50" s="47">
        <v>54</v>
      </c>
      <c r="M50" s="47">
        <v>110</v>
      </c>
      <c r="N50" s="64">
        <f>SUM(B50:M50)</f>
        <v>702</v>
      </c>
      <c r="P50" s="331">
        <f t="shared" si="25"/>
        <v>244.16</v>
      </c>
    </row>
    <row r="51" spans="1:17">
      <c r="A51" s="7">
        <v>2017</v>
      </c>
      <c r="B51" s="47">
        <v>35</v>
      </c>
      <c r="C51" s="26"/>
      <c r="D51" s="26"/>
      <c r="E51" s="26"/>
      <c r="F51" s="26"/>
      <c r="G51" s="26"/>
      <c r="H51" s="47">
        <v>656</v>
      </c>
      <c r="I51" s="26"/>
      <c r="J51" s="26"/>
      <c r="K51" s="26"/>
      <c r="L51" s="26"/>
      <c r="M51" s="26"/>
      <c r="N51" s="64">
        <f t="shared" ref="N51:N54" si="26">SUM(B51:M51)</f>
        <v>691</v>
      </c>
      <c r="P51" s="331">
        <f t="shared" si="25"/>
        <v>534.1</v>
      </c>
    </row>
    <row r="52" spans="1:17">
      <c r="A52" s="7">
        <v>2018</v>
      </c>
      <c r="B52" s="47">
        <v>33</v>
      </c>
      <c r="C52" s="26"/>
      <c r="D52" s="26"/>
      <c r="E52" s="26"/>
      <c r="F52" s="26"/>
      <c r="G52" s="26"/>
      <c r="H52" s="47">
        <v>572</v>
      </c>
      <c r="I52" s="26"/>
      <c r="J52" s="26"/>
      <c r="K52" s="26"/>
      <c r="L52" s="26"/>
      <c r="M52" s="26"/>
      <c r="N52" s="64">
        <f t="shared" si="26"/>
        <v>605</v>
      </c>
      <c r="P52" s="331">
        <f t="shared" si="25"/>
        <v>503.58</v>
      </c>
    </row>
    <row r="53" spans="1:17">
      <c r="A53" s="7">
        <v>2019</v>
      </c>
      <c r="B53" s="47">
        <v>18</v>
      </c>
      <c r="C53" s="47">
        <v>49</v>
      </c>
      <c r="D53" s="47">
        <v>60</v>
      </c>
      <c r="E53" s="26"/>
      <c r="F53" s="26"/>
      <c r="G53" s="26"/>
      <c r="H53" s="47">
        <v>653</v>
      </c>
      <c r="I53" s="26"/>
      <c r="J53" s="26"/>
      <c r="K53" s="26"/>
      <c r="L53" s="26"/>
      <c r="M53" s="26"/>
      <c r="N53" s="64">
        <f t="shared" si="26"/>
        <v>780</v>
      </c>
      <c r="P53" s="331">
        <f t="shared" si="25"/>
        <v>274.68</v>
      </c>
    </row>
    <row r="54" spans="1:17">
      <c r="A54" s="7">
        <v>2020</v>
      </c>
      <c r="B54" s="47">
        <v>23</v>
      </c>
      <c r="C54" s="47">
        <v>44</v>
      </c>
      <c r="D54" s="47">
        <v>21</v>
      </c>
      <c r="E54" s="47">
        <v>10</v>
      </c>
      <c r="F54" s="47">
        <v>21</v>
      </c>
      <c r="G54" s="47">
        <v>21</v>
      </c>
      <c r="H54" s="47">
        <v>47</v>
      </c>
      <c r="I54" s="47">
        <v>40</v>
      </c>
      <c r="J54" s="47">
        <v>55</v>
      </c>
      <c r="K54" s="47">
        <v>41</v>
      </c>
      <c r="L54" s="47">
        <v>26</v>
      </c>
      <c r="M54" s="47">
        <v>39</v>
      </c>
      <c r="N54" s="64">
        <f t="shared" si="26"/>
        <v>388</v>
      </c>
      <c r="P54" s="331">
        <f t="shared" si="25"/>
        <v>350.98</v>
      </c>
      <c r="Q54" s="24"/>
    </row>
    <row r="55" spans="1:17">
      <c r="A55" s="7">
        <v>2021</v>
      </c>
      <c r="B55" s="26"/>
      <c r="C55" s="26"/>
      <c r="D55" s="26"/>
      <c r="E55" s="47"/>
      <c r="F55" s="47"/>
      <c r="G55" s="47"/>
      <c r="H55" s="47"/>
      <c r="I55" s="47"/>
      <c r="J55" s="47"/>
      <c r="K55" s="47"/>
      <c r="L55" s="47"/>
      <c r="M55" s="47"/>
      <c r="P55" s="331">
        <f t="shared" si="25"/>
        <v>0</v>
      </c>
    </row>
    <row r="56" spans="1:17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7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7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7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7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</sheetData>
  <mergeCells count="2">
    <mergeCell ref="A29:Q29"/>
    <mergeCell ref="F30:O3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C59"/>
  <sheetViews>
    <sheetView workbookViewId="0">
      <pane ySplit="1" topLeftCell="A2" activePane="bottomLeft" state="frozen"/>
      <selection pane="bottomLeft" activeCell="A4" sqref="A4:XFD4"/>
    </sheetView>
  </sheetViews>
  <sheetFormatPr defaultRowHeight="12.75"/>
  <cols>
    <col min="1" max="1" width="3.88671875" style="7" bestFit="1" customWidth="1"/>
    <col min="2" max="3" width="7.21875" style="7" bestFit="1" customWidth="1"/>
    <col min="4" max="4" width="8.33203125" style="7" customWidth="1"/>
    <col min="5" max="13" width="7.21875" style="7" bestFit="1" customWidth="1"/>
    <col min="14" max="14" width="5.33203125" style="7" bestFit="1" customWidth="1"/>
    <col min="15" max="15" width="8.44140625" style="7" bestFit="1" customWidth="1"/>
    <col min="16" max="16" width="8.33203125" style="7" bestFit="1" customWidth="1"/>
    <col min="17" max="17" width="7.44140625" style="7" bestFit="1" customWidth="1"/>
    <col min="18" max="19" width="4.6640625" style="7" bestFit="1" customWidth="1"/>
    <col min="20" max="27" width="5.44140625" style="7" bestFit="1" customWidth="1"/>
    <col min="28" max="28" width="4.6640625" style="7" bestFit="1" customWidth="1"/>
    <col min="29" max="29" width="5.44140625" style="7" bestFit="1" customWidth="1"/>
    <col min="30" max="16384" width="8.88671875" style="7"/>
  </cols>
  <sheetData>
    <row r="1" spans="1:19" ht="13.5" thickBot="1">
      <c r="A1" s="45"/>
      <c r="B1" s="48" t="s">
        <v>2</v>
      </c>
      <c r="C1" s="49" t="s">
        <v>3</v>
      </c>
      <c r="D1" s="48" t="s">
        <v>4</v>
      </c>
      <c r="E1" s="50" t="s">
        <v>5</v>
      </c>
      <c r="F1" s="48" t="s">
        <v>0</v>
      </c>
      <c r="G1" s="49" t="s">
        <v>6</v>
      </c>
      <c r="H1" s="48" t="s">
        <v>7</v>
      </c>
      <c r="I1" s="50" t="s">
        <v>8</v>
      </c>
      <c r="J1" s="48" t="s">
        <v>9</v>
      </c>
      <c r="K1" s="49" t="s">
        <v>10</v>
      </c>
      <c r="L1" s="48" t="s">
        <v>11</v>
      </c>
      <c r="M1" s="50" t="s">
        <v>12</v>
      </c>
      <c r="N1" s="51" t="s">
        <v>28</v>
      </c>
      <c r="O1" s="52" t="s">
        <v>25</v>
      </c>
      <c r="P1" s="52" t="s">
        <v>27</v>
      </c>
      <c r="Q1" s="52" t="s">
        <v>13</v>
      </c>
    </row>
    <row r="2" spans="1:19">
      <c r="A2" s="10">
        <v>1998</v>
      </c>
      <c r="B2" s="333"/>
      <c r="C2" s="333"/>
      <c r="D2" s="333"/>
      <c r="E2" s="333"/>
      <c r="F2" s="333"/>
      <c r="G2" s="333"/>
      <c r="H2" s="333"/>
      <c r="I2" s="59">
        <f>Y31</f>
        <v>26.37</v>
      </c>
      <c r="J2" s="59">
        <f t="shared" ref="J2:M2" si="0">Z31</f>
        <v>67.39</v>
      </c>
      <c r="K2" s="59">
        <f t="shared" si="0"/>
        <v>58.6</v>
      </c>
      <c r="L2" s="59">
        <f t="shared" si="0"/>
        <v>55.67</v>
      </c>
      <c r="M2" s="59">
        <f t="shared" si="0"/>
        <v>87.9</v>
      </c>
      <c r="N2" s="372"/>
      <c r="O2" s="54">
        <f>SUM(I2:N2)</f>
        <v>295.93000000000006</v>
      </c>
      <c r="P2" s="54">
        <f>O2*30%</f>
        <v>88.779000000000011</v>
      </c>
      <c r="Q2" s="337">
        <v>909</v>
      </c>
    </row>
    <row r="3" spans="1:19">
      <c r="A3" s="6">
        <v>1999</v>
      </c>
      <c r="B3" s="59">
        <f>R32</f>
        <v>52.74</v>
      </c>
      <c r="C3" s="59">
        <f t="shared" ref="C3:M8" si="1">S32</f>
        <v>76.180000000000007</v>
      </c>
      <c r="D3" s="59">
        <f t="shared" si="1"/>
        <v>143.57000000000002</v>
      </c>
      <c r="E3" s="59">
        <f t="shared" si="1"/>
        <v>123.06</v>
      </c>
      <c r="F3" s="59">
        <f t="shared" si="1"/>
        <v>102.55000000000001</v>
      </c>
      <c r="G3" s="59">
        <f t="shared" si="1"/>
        <v>152.36000000000001</v>
      </c>
      <c r="H3" s="59">
        <f t="shared" si="1"/>
        <v>149.43</v>
      </c>
      <c r="I3" s="59">
        <f t="shared" si="1"/>
        <v>260.77000000000004</v>
      </c>
      <c r="J3" s="59">
        <f t="shared" si="1"/>
        <v>208.03</v>
      </c>
      <c r="K3" s="59">
        <f t="shared" si="1"/>
        <v>143.57000000000002</v>
      </c>
      <c r="L3" s="59">
        <f t="shared" si="1"/>
        <v>93.76</v>
      </c>
      <c r="M3" s="59">
        <f t="shared" si="1"/>
        <v>137.71</v>
      </c>
      <c r="N3" s="372"/>
      <c r="O3" s="54">
        <f>SUM(B3:M3)</f>
        <v>1643.73</v>
      </c>
      <c r="P3" s="54">
        <f t="shared" ref="P3:P5" si="2">O3*30%</f>
        <v>493.11899999999997</v>
      </c>
      <c r="Q3" s="337">
        <v>4146</v>
      </c>
    </row>
    <row r="4" spans="1:19">
      <c r="A4" s="6">
        <v>2000</v>
      </c>
      <c r="B4" s="59">
        <f t="shared" ref="B4:B9" si="3">R33</f>
        <v>82.04</v>
      </c>
      <c r="C4" s="59">
        <f t="shared" si="1"/>
        <v>102.55000000000001</v>
      </c>
      <c r="D4" s="59">
        <f t="shared" si="1"/>
        <v>120.13000000000001</v>
      </c>
      <c r="E4" s="59">
        <f t="shared" si="1"/>
        <v>90.83</v>
      </c>
      <c r="F4" s="59">
        <f t="shared" si="1"/>
        <v>149.43</v>
      </c>
      <c r="G4" s="59">
        <f t="shared" si="1"/>
        <v>117.2</v>
      </c>
      <c r="H4" s="59">
        <f t="shared" si="1"/>
        <v>140.64000000000001</v>
      </c>
      <c r="I4" s="59">
        <f t="shared" si="1"/>
        <v>251.98000000000002</v>
      </c>
      <c r="J4" s="59">
        <f t="shared" si="1"/>
        <v>128.92000000000002</v>
      </c>
      <c r="K4" s="59">
        <f t="shared" si="1"/>
        <v>146.5</v>
      </c>
      <c r="L4" s="59">
        <f t="shared" si="1"/>
        <v>175.8</v>
      </c>
      <c r="M4" s="59">
        <f t="shared" si="1"/>
        <v>137.71</v>
      </c>
      <c r="N4" s="372"/>
      <c r="O4" s="54">
        <f t="shared" ref="O4:O5" si="4">SUM(B4:M4)</f>
        <v>1643.7300000000002</v>
      </c>
      <c r="P4" s="54">
        <f t="shared" si="2"/>
        <v>493.11900000000003</v>
      </c>
      <c r="Q4" s="337">
        <v>3556</v>
      </c>
      <c r="R4" s="62"/>
    </row>
    <row r="5" spans="1:19">
      <c r="A5" s="6">
        <v>2001</v>
      </c>
      <c r="B5" s="59">
        <f t="shared" si="3"/>
        <v>111.34</v>
      </c>
      <c r="C5" s="59">
        <f t="shared" si="1"/>
        <v>152.36000000000001</v>
      </c>
      <c r="D5" s="59">
        <f t="shared" si="1"/>
        <v>55.67</v>
      </c>
      <c r="E5" s="59">
        <f t="shared" si="1"/>
        <v>38.090000000000003</v>
      </c>
      <c r="F5" s="59">
        <f t="shared" si="1"/>
        <v>64.460000000000008</v>
      </c>
      <c r="G5" s="59">
        <f t="shared" si="1"/>
        <v>17.580000000000002</v>
      </c>
      <c r="H5" s="59">
        <f t="shared" si="1"/>
        <v>73.25</v>
      </c>
      <c r="I5" s="59">
        <f t="shared" si="1"/>
        <v>120.13000000000001</v>
      </c>
      <c r="J5" s="59">
        <f t="shared" si="1"/>
        <v>87.9</v>
      </c>
      <c r="K5" s="59">
        <f t="shared" si="1"/>
        <v>70.320000000000007</v>
      </c>
      <c r="L5" s="59">
        <f t="shared" si="1"/>
        <v>87.9</v>
      </c>
      <c r="M5" s="59">
        <f t="shared" si="1"/>
        <v>52.74</v>
      </c>
      <c r="N5" s="372"/>
      <c r="O5" s="54">
        <f t="shared" si="4"/>
        <v>931.74</v>
      </c>
      <c r="P5" s="54">
        <f t="shared" si="2"/>
        <v>279.52199999999999</v>
      </c>
      <c r="Q5" s="337">
        <v>1796</v>
      </c>
    </row>
    <row r="6" spans="1:19">
      <c r="A6" s="6">
        <v>2002</v>
      </c>
      <c r="B6" s="59">
        <f t="shared" si="3"/>
        <v>46.88</v>
      </c>
      <c r="C6" s="59">
        <f t="shared" si="1"/>
        <v>41.02</v>
      </c>
      <c r="D6" s="59">
        <f t="shared" si="1"/>
        <v>73.25</v>
      </c>
      <c r="E6" s="59">
        <f t="shared" si="1"/>
        <v>73.25</v>
      </c>
      <c r="F6" s="59">
        <f t="shared" si="1"/>
        <v>55.67</v>
      </c>
      <c r="G6" s="59">
        <f t="shared" si="1"/>
        <v>26.37</v>
      </c>
      <c r="H6" s="59">
        <f t="shared" si="1"/>
        <v>93.76</v>
      </c>
      <c r="I6" s="59">
        <f t="shared" si="1"/>
        <v>114.27000000000001</v>
      </c>
      <c r="J6" s="59">
        <f t="shared" si="1"/>
        <v>96.690000000000012</v>
      </c>
      <c r="K6" s="59">
        <f t="shared" si="1"/>
        <v>128.92000000000002</v>
      </c>
      <c r="L6" s="59">
        <f t="shared" si="1"/>
        <v>87.9</v>
      </c>
      <c r="M6" s="59">
        <f t="shared" si="1"/>
        <v>41.02</v>
      </c>
      <c r="N6" s="53"/>
      <c r="O6" s="59">
        <f>SUM(B6:M6)</f>
        <v>879.00000000000011</v>
      </c>
      <c r="P6" s="54">
        <f t="shared" ref="P6:P25" si="5">O6*30%</f>
        <v>263.70000000000005</v>
      </c>
      <c r="Q6" s="337">
        <v>1521</v>
      </c>
    </row>
    <row r="7" spans="1:19">
      <c r="A7" s="6">
        <v>2003</v>
      </c>
      <c r="B7" s="59">
        <f t="shared" si="3"/>
        <v>82.04</v>
      </c>
      <c r="C7" s="59">
        <f t="shared" si="1"/>
        <v>70.320000000000007</v>
      </c>
      <c r="D7" s="59">
        <f t="shared" si="1"/>
        <v>82.04</v>
      </c>
      <c r="E7" s="59">
        <f t="shared" si="1"/>
        <v>82.04</v>
      </c>
      <c r="F7" s="59">
        <f t="shared" si="1"/>
        <v>123.06</v>
      </c>
      <c r="G7" s="59">
        <f t="shared" si="1"/>
        <v>93.76</v>
      </c>
      <c r="H7" s="59">
        <f t="shared" si="1"/>
        <v>125.99000000000001</v>
      </c>
      <c r="I7" s="59">
        <f t="shared" si="1"/>
        <v>181.66</v>
      </c>
      <c r="J7" s="59">
        <f t="shared" si="1"/>
        <v>172.87</v>
      </c>
      <c r="K7" s="59">
        <f t="shared" si="1"/>
        <v>175.8</v>
      </c>
      <c r="L7" s="59">
        <f t="shared" si="1"/>
        <v>102.55000000000001</v>
      </c>
      <c r="M7" s="59">
        <f t="shared" si="1"/>
        <v>76.180000000000007</v>
      </c>
      <c r="N7" s="53"/>
      <c r="O7" s="59">
        <f>SUM(B7:M7)</f>
        <v>1368.3100000000002</v>
      </c>
      <c r="P7" s="54">
        <f t="shared" si="5"/>
        <v>410.49300000000005</v>
      </c>
      <c r="Q7" s="337">
        <v>2144</v>
      </c>
      <c r="S7" s="9"/>
    </row>
    <row r="8" spans="1:19">
      <c r="A8" s="6">
        <v>2004</v>
      </c>
      <c r="B8" s="59">
        <f t="shared" si="3"/>
        <v>70.320000000000007</v>
      </c>
      <c r="C8" s="59">
        <f t="shared" si="1"/>
        <v>90.83</v>
      </c>
      <c r="D8" s="59">
        <f t="shared" si="1"/>
        <v>117.2</v>
      </c>
      <c r="E8" s="59">
        <f t="shared" si="1"/>
        <v>117.2</v>
      </c>
      <c r="F8" s="59">
        <f t="shared" si="1"/>
        <v>114.27000000000001</v>
      </c>
      <c r="G8" s="59">
        <f t="shared" si="1"/>
        <v>70.320000000000007</v>
      </c>
      <c r="H8" s="59">
        <f t="shared" si="1"/>
        <v>120.13000000000001</v>
      </c>
      <c r="I8" s="59">
        <f t="shared" si="1"/>
        <v>193.38000000000002</v>
      </c>
      <c r="J8" s="59">
        <f t="shared" si="1"/>
        <v>146.5</v>
      </c>
      <c r="K8" s="59">
        <f t="shared" si="1"/>
        <v>111.34</v>
      </c>
      <c r="L8" s="59">
        <f t="shared" si="1"/>
        <v>61.53</v>
      </c>
      <c r="M8" s="59">
        <f t="shared" si="1"/>
        <v>87.9</v>
      </c>
      <c r="N8" s="60"/>
      <c r="O8" s="59">
        <f t="shared" ref="O8:O25" si="6">SUM(B8:M8)</f>
        <v>1300.92</v>
      </c>
      <c r="P8" s="54">
        <f t="shared" si="5"/>
        <v>390.27600000000001</v>
      </c>
      <c r="Q8" s="337">
        <v>1845</v>
      </c>
      <c r="S8" s="9"/>
    </row>
    <row r="9" spans="1:19">
      <c r="A9" s="6">
        <v>2005</v>
      </c>
      <c r="B9" s="59">
        <f t="shared" si="3"/>
        <v>82.04</v>
      </c>
      <c r="C9" s="59">
        <f t="shared" ref="C9:F9" si="7">C38*2.93</f>
        <v>55.67</v>
      </c>
      <c r="D9" s="59">
        <f t="shared" si="7"/>
        <v>117.2</v>
      </c>
      <c r="E9" s="59">
        <f t="shared" si="7"/>
        <v>38.090000000000003</v>
      </c>
      <c r="F9" s="59">
        <f t="shared" si="7"/>
        <v>61.53</v>
      </c>
      <c r="G9" s="369"/>
      <c r="H9" s="369"/>
      <c r="I9" s="369"/>
      <c r="J9" s="369"/>
      <c r="K9" s="369"/>
      <c r="L9" s="369"/>
      <c r="M9" s="369"/>
      <c r="N9" s="61"/>
      <c r="O9" s="59">
        <f t="shared" si="6"/>
        <v>354.53</v>
      </c>
      <c r="P9" s="54">
        <f t="shared" si="5"/>
        <v>106.35899999999999</v>
      </c>
      <c r="Q9" s="337">
        <v>454</v>
      </c>
      <c r="S9" s="9"/>
    </row>
    <row r="10" spans="1:19">
      <c r="A10" s="6">
        <v>2006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61"/>
      <c r="O10" s="59">
        <f t="shared" si="6"/>
        <v>0</v>
      </c>
      <c r="P10" s="54">
        <f t="shared" si="5"/>
        <v>0</v>
      </c>
      <c r="Q10" s="337"/>
      <c r="S10" s="9"/>
    </row>
    <row r="11" spans="1:19">
      <c r="A11" s="6">
        <v>2007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61"/>
      <c r="O11" s="59">
        <f t="shared" si="6"/>
        <v>0</v>
      </c>
      <c r="P11" s="54">
        <f t="shared" si="5"/>
        <v>0</v>
      </c>
      <c r="Q11" s="337"/>
      <c r="S11" s="9"/>
    </row>
    <row r="12" spans="1:19">
      <c r="A12" s="6">
        <v>2008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61"/>
      <c r="O12" s="59">
        <f t="shared" si="6"/>
        <v>0</v>
      </c>
      <c r="P12" s="54">
        <f t="shared" si="5"/>
        <v>0</v>
      </c>
      <c r="Q12" s="337"/>
      <c r="S12" s="9"/>
    </row>
    <row r="13" spans="1:19">
      <c r="A13" s="6">
        <v>2009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61"/>
      <c r="O13" s="59">
        <f t="shared" si="6"/>
        <v>0</v>
      </c>
      <c r="P13" s="54">
        <f t="shared" si="5"/>
        <v>0</v>
      </c>
      <c r="Q13" s="337"/>
      <c r="S13" s="9"/>
    </row>
    <row r="14" spans="1:19">
      <c r="A14" s="6">
        <v>2010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61"/>
      <c r="O14" s="59">
        <f t="shared" si="6"/>
        <v>0</v>
      </c>
      <c r="P14" s="54">
        <f t="shared" si="5"/>
        <v>0</v>
      </c>
      <c r="Q14" s="337"/>
      <c r="S14" s="9"/>
    </row>
    <row r="15" spans="1:19">
      <c r="A15" s="6">
        <v>2011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61"/>
      <c r="O15" s="59">
        <f t="shared" si="6"/>
        <v>0</v>
      </c>
      <c r="P15" s="54">
        <f t="shared" si="5"/>
        <v>0</v>
      </c>
      <c r="Q15" s="337"/>
      <c r="S15" s="9"/>
    </row>
    <row r="16" spans="1:19">
      <c r="A16" s="6">
        <v>2012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61"/>
      <c r="O16" s="59">
        <f t="shared" si="6"/>
        <v>0</v>
      </c>
      <c r="P16" s="54">
        <f t="shared" si="5"/>
        <v>0</v>
      </c>
      <c r="Q16" s="337"/>
      <c r="S16" s="9"/>
    </row>
    <row r="17" spans="1:29">
      <c r="A17" s="6">
        <v>2013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61"/>
      <c r="O17" s="59">
        <f t="shared" si="6"/>
        <v>0</v>
      </c>
      <c r="P17" s="54">
        <f t="shared" si="5"/>
        <v>0</v>
      </c>
      <c r="Q17" s="337"/>
      <c r="S17" s="9"/>
    </row>
    <row r="18" spans="1:29">
      <c r="A18" s="6">
        <v>2014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61"/>
      <c r="O18" s="59">
        <f t="shared" si="6"/>
        <v>0</v>
      </c>
      <c r="P18" s="54">
        <f t="shared" si="5"/>
        <v>0</v>
      </c>
      <c r="Q18" s="337"/>
      <c r="S18" s="9"/>
    </row>
    <row r="19" spans="1:29">
      <c r="A19" s="6">
        <v>2015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61"/>
      <c r="O19" s="59">
        <f t="shared" si="6"/>
        <v>0</v>
      </c>
      <c r="P19" s="54">
        <f t="shared" si="5"/>
        <v>0</v>
      </c>
      <c r="Q19" s="337"/>
      <c r="S19" s="9"/>
    </row>
    <row r="20" spans="1:29">
      <c r="A20" s="6">
        <v>2016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61"/>
      <c r="O20" s="59">
        <f t="shared" si="6"/>
        <v>0</v>
      </c>
      <c r="P20" s="54">
        <f t="shared" si="5"/>
        <v>0</v>
      </c>
      <c r="Q20" s="337"/>
      <c r="S20" s="9"/>
    </row>
    <row r="21" spans="1:29">
      <c r="A21" s="6">
        <v>2017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61"/>
      <c r="O21" s="59">
        <f t="shared" si="6"/>
        <v>0</v>
      </c>
      <c r="P21" s="54">
        <f t="shared" si="5"/>
        <v>0</v>
      </c>
      <c r="Q21" s="337"/>
      <c r="S21" s="9"/>
    </row>
    <row r="22" spans="1:29">
      <c r="A22" s="6">
        <v>2018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61"/>
      <c r="O22" s="59">
        <f t="shared" si="6"/>
        <v>0</v>
      </c>
      <c r="P22" s="54">
        <f t="shared" si="5"/>
        <v>0</v>
      </c>
      <c r="Q22" s="337"/>
      <c r="S22" s="9"/>
    </row>
    <row r="23" spans="1:29">
      <c r="A23" s="6">
        <v>2019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61"/>
      <c r="O23" s="59">
        <f t="shared" si="6"/>
        <v>0</v>
      </c>
      <c r="P23" s="54">
        <f t="shared" si="5"/>
        <v>0</v>
      </c>
      <c r="Q23" s="337"/>
      <c r="S23" s="9"/>
    </row>
    <row r="24" spans="1:29">
      <c r="A24" s="6">
        <v>2020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61"/>
      <c r="O24" s="59">
        <f t="shared" si="6"/>
        <v>0</v>
      </c>
      <c r="P24" s="54">
        <f t="shared" si="5"/>
        <v>0</v>
      </c>
      <c r="Q24" s="337"/>
      <c r="S24" s="9"/>
    </row>
    <row r="25" spans="1:29">
      <c r="A25" s="6">
        <v>2021</v>
      </c>
      <c r="B25" s="369"/>
      <c r="C25" s="369"/>
      <c r="D25" s="369"/>
      <c r="E25" s="369"/>
      <c r="F25" s="369"/>
      <c r="G25" s="369"/>
      <c r="H25" s="61"/>
      <c r="I25" s="61"/>
      <c r="J25" s="61"/>
      <c r="K25" s="61"/>
      <c r="L25" s="61"/>
      <c r="M25" s="61"/>
      <c r="N25" s="61"/>
      <c r="O25" s="59">
        <f t="shared" si="6"/>
        <v>0</v>
      </c>
      <c r="P25" s="54">
        <f t="shared" si="5"/>
        <v>0</v>
      </c>
      <c r="Q25" s="338"/>
      <c r="S25" s="9"/>
    </row>
    <row r="26" spans="1:29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5">
        <f>SUM(O2:O25)</f>
        <v>8417.8900000000012</v>
      </c>
      <c r="P26" s="55">
        <f>SUM(P2:P25)</f>
        <v>2525.3669999999997</v>
      </c>
      <c r="Q26" s="339">
        <f>SUM(Q2:Q25)</f>
        <v>16371</v>
      </c>
    </row>
    <row r="27" spans="1:29" ht="15">
      <c r="Q27" s="82">
        <v>45355</v>
      </c>
      <c r="R27" s="384" t="s">
        <v>469</v>
      </c>
    </row>
    <row r="29" spans="1:29">
      <c r="A29" s="474" t="s">
        <v>493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</row>
    <row r="30" spans="1:29" s="46" customFormat="1">
      <c r="F30" s="67"/>
      <c r="G30" s="67"/>
      <c r="H30" s="67"/>
      <c r="I30" s="67"/>
      <c r="J30" s="67"/>
      <c r="K30" s="67"/>
      <c r="L30" s="67"/>
      <c r="M30" s="67"/>
      <c r="N30" s="67"/>
      <c r="O30" s="67"/>
      <c r="R30" s="46">
        <v>1</v>
      </c>
      <c r="S30" s="46">
        <v>2</v>
      </c>
      <c r="T30" s="46">
        <v>3</v>
      </c>
      <c r="U30" s="46">
        <v>4</v>
      </c>
      <c r="V30" s="46">
        <v>5</v>
      </c>
      <c r="W30" s="46">
        <v>6</v>
      </c>
      <c r="X30" s="46">
        <v>7</v>
      </c>
      <c r="Y30" s="46">
        <v>8</v>
      </c>
      <c r="Z30" s="46">
        <v>9</v>
      </c>
      <c r="AA30" s="46">
        <v>10</v>
      </c>
      <c r="AB30" s="46">
        <v>11</v>
      </c>
      <c r="AC30" s="46">
        <v>12</v>
      </c>
    </row>
    <row r="31" spans="1:29">
      <c r="A31" s="7">
        <v>1998</v>
      </c>
      <c r="B31" s="58"/>
      <c r="C31" s="58"/>
      <c r="D31" s="58"/>
      <c r="E31" s="58"/>
      <c r="F31" s="58"/>
      <c r="G31" s="58"/>
      <c r="H31" s="58"/>
      <c r="I31" s="63">
        <v>9</v>
      </c>
      <c r="J31" s="63">
        <v>23</v>
      </c>
      <c r="K31" s="63">
        <v>20</v>
      </c>
      <c r="L31" s="63">
        <v>19</v>
      </c>
      <c r="M31" s="63">
        <v>30</v>
      </c>
      <c r="N31" s="64">
        <f t="shared" ref="N31:N48" si="8">SUM(B31:M31)</f>
        <v>101</v>
      </c>
      <c r="O31" s="7">
        <v>100</v>
      </c>
      <c r="Q31" s="46"/>
      <c r="R31" s="370"/>
      <c r="S31" s="370"/>
      <c r="T31" s="370"/>
      <c r="U31" s="371"/>
      <c r="V31" s="370"/>
      <c r="W31" s="370"/>
      <c r="X31" s="370"/>
      <c r="Y31" s="7">
        <f>I31*2.93</f>
        <v>26.37</v>
      </c>
      <c r="Z31" s="7">
        <f t="shared" ref="Z31:AC37" si="9">J31*2.93</f>
        <v>67.39</v>
      </c>
      <c r="AA31" s="7">
        <f t="shared" si="9"/>
        <v>58.6</v>
      </c>
      <c r="AB31" s="7">
        <f t="shared" si="9"/>
        <v>55.67</v>
      </c>
      <c r="AC31" s="7">
        <f t="shared" si="9"/>
        <v>87.9</v>
      </c>
    </row>
    <row r="32" spans="1:29">
      <c r="A32" s="7">
        <v>1999</v>
      </c>
      <c r="B32" s="63">
        <v>18</v>
      </c>
      <c r="C32" s="63">
        <v>26</v>
      </c>
      <c r="D32" s="63">
        <v>49</v>
      </c>
      <c r="E32" s="63">
        <v>42</v>
      </c>
      <c r="F32" s="63">
        <v>35</v>
      </c>
      <c r="G32" s="63">
        <v>52</v>
      </c>
      <c r="H32" s="63">
        <v>51</v>
      </c>
      <c r="I32" s="63">
        <v>89</v>
      </c>
      <c r="J32" s="63">
        <v>71</v>
      </c>
      <c r="K32" s="63">
        <v>49</v>
      </c>
      <c r="L32" s="63">
        <v>32</v>
      </c>
      <c r="M32" s="63">
        <v>47</v>
      </c>
      <c r="N32" s="64">
        <f t="shared" si="8"/>
        <v>561</v>
      </c>
      <c r="O32" s="7">
        <v>100</v>
      </c>
      <c r="Q32" s="46"/>
      <c r="R32" s="7">
        <f t="shared" ref="R32:X38" si="10">B32*2.93</f>
        <v>52.74</v>
      </c>
      <c r="S32" s="7">
        <f t="shared" si="10"/>
        <v>76.180000000000007</v>
      </c>
      <c r="T32" s="7">
        <f t="shared" si="10"/>
        <v>143.57000000000002</v>
      </c>
      <c r="U32" s="7">
        <f t="shared" si="10"/>
        <v>123.06</v>
      </c>
      <c r="V32" s="7">
        <f t="shared" si="10"/>
        <v>102.55000000000001</v>
      </c>
      <c r="W32" s="7">
        <f t="shared" si="10"/>
        <v>152.36000000000001</v>
      </c>
      <c r="X32" s="7">
        <f t="shared" si="10"/>
        <v>149.43</v>
      </c>
      <c r="Y32" s="7">
        <f>I32*2.93</f>
        <v>260.77000000000004</v>
      </c>
      <c r="Z32" s="7">
        <f t="shared" si="9"/>
        <v>208.03</v>
      </c>
      <c r="AA32" s="7">
        <f t="shared" si="9"/>
        <v>143.57000000000002</v>
      </c>
      <c r="AB32" s="7">
        <f t="shared" si="9"/>
        <v>93.76</v>
      </c>
      <c r="AC32" s="7">
        <f t="shared" si="9"/>
        <v>137.71</v>
      </c>
    </row>
    <row r="33" spans="1:29">
      <c r="A33" s="7">
        <v>2000</v>
      </c>
      <c r="B33" s="63">
        <v>28</v>
      </c>
      <c r="C33" s="63">
        <v>35</v>
      </c>
      <c r="D33" s="63">
        <v>41</v>
      </c>
      <c r="E33" s="63">
        <v>31</v>
      </c>
      <c r="F33" s="63">
        <v>51</v>
      </c>
      <c r="G33" s="63">
        <v>40</v>
      </c>
      <c r="H33" s="63">
        <v>48</v>
      </c>
      <c r="I33" s="63">
        <v>86</v>
      </c>
      <c r="J33" s="63">
        <v>44</v>
      </c>
      <c r="K33" s="63">
        <v>50</v>
      </c>
      <c r="L33" s="63">
        <v>60</v>
      </c>
      <c r="M33" s="63">
        <v>47</v>
      </c>
      <c r="N33" s="64">
        <f t="shared" si="8"/>
        <v>561</v>
      </c>
      <c r="O33" s="7">
        <v>100</v>
      </c>
      <c r="P33" s="7" t="s">
        <v>33</v>
      </c>
      <c r="Q33" s="46"/>
      <c r="R33" s="7">
        <f t="shared" si="10"/>
        <v>82.04</v>
      </c>
      <c r="S33" s="7">
        <f t="shared" ref="S33:S38" si="11">C33*2.93</f>
        <v>102.55000000000001</v>
      </c>
      <c r="T33" s="7">
        <f t="shared" ref="T33:T38" si="12">D33*2.93</f>
        <v>120.13000000000001</v>
      </c>
      <c r="U33" s="7">
        <f t="shared" ref="U33:U38" si="13">E33*2.93</f>
        <v>90.83</v>
      </c>
      <c r="V33" s="7">
        <f t="shared" ref="V33:V38" si="14">F33*2.93</f>
        <v>149.43</v>
      </c>
      <c r="W33" s="7">
        <f t="shared" ref="W33:W38" si="15">G33*2.93</f>
        <v>117.2</v>
      </c>
      <c r="X33" s="7">
        <f t="shared" ref="X33:X38" si="16">H33*2.93</f>
        <v>140.64000000000001</v>
      </c>
      <c r="Y33" s="7">
        <f t="shared" ref="Y33:Y37" si="17">I33*2.93</f>
        <v>251.98000000000002</v>
      </c>
      <c r="Z33" s="7">
        <f t="shared" si="9"/>
        <v>128.92000000000002</v>
      </c>
      <c r="AA33" s="7">
        <f t="shared" si="9"/>
        <v>146.5</v>
      </c>
      <c r="AB33" s="7">
        <f t="shared" si="9"/>
        <v>175.8</v>
      </c>
      <c r="AC33" s="7">
        <f t="shared" si="9"/>
        <v>137.71</v>
      </c>
    </row>
    <row r="34" spans="1:29">
      <c r="A34" s="7">
        <v>2001</v>
      </c>
      <c r="B34" s="63">
        <v>38</v>
      </c>
      <c r="C34" s="63">
        <v>52</v>
      </c>
      <c r="D34" s="63">
        <v>19</v>
      </c>
      <c r="E34" s="26">
        <v>13</v>
      </c>
      <c r="F34" s="26">
        <v>22</v>
      </c>
      <c r="G34" s="26">
        <v>6</v>
      </c>
      <c r="H34" s="26">
        <v>25</v>
      </c>
      <c r="I34" s="26">
        <v>41</v>
      </c>
      <c r="J34" s="26">
        <v>30</v>
      </c>
      <c r="K34" s="26">
        <v>24</v>
      </c>
      <c r="L34" s="26">
        <v>30</v>
      </c>
      <c r="M34" s="26">
        <v>18</v>
      </c>
      <c r="N34" s="64">
        <f t="shared" si="8"/>
        <v>318</v>
      </c>
      <c r="O34" s="7">
        <v>100</v>
      </c>
      <c r="Q34" s="46"/>
      <c r="R34" s="7">
        <f t="shared" si="10"/>
        <v>111.34</v>
      </c>
      <c r="S34" s="7">
        <f t="shared" si="11"/>
        <v>152.36000000000001</v>
      </c>
      <c r="T34" s="7">
        <f t="shared" si="12"/>
        <v>55.67</v>
      </c>
      <c r="U34" s="7">
        <f t="shared" si="13"/>
        <v>38.090000000000003</v>
      </c>
      <c r="V34" s="7">
        <f t="shared" si="14"/>
        <v>64.460000000000008</v>
      </c>
      <c r="W34" s="7">
        <f t="shared" si="15"/>
        <v>17.580000000000002</v>
      </c>
      <c r="X34" s="7">
        <f t="shared" si="16"/>
        <v>73.25</v>
      </c>
      <c r="Y34" s="7">
        <f t="shared" si="17"/>
        <v>120.13000000000001</v>
      </c>
      <c r="Z34" s="7">
        <f t="shared" si="9"/>
        <v>87.9</v>
      </c>
      <c r="AA34" s="7">
        <f t="shared" si="9"/>
        <v>70.320000000000007</v>
      </c>
      <c r="AB34" s="7">
        <f t="shared" si="9"/>
        <v>87.9</v>
      </c>
      <c r="AC34" s="7">
        <f t="shared" si="9"/>
        <v>52.74</v>
      </c>
    </row>
    <row r="35" spans="1:29">
      <c r="A35" s="7">
        <v>2002</v>
      </c>
      <c r="B35" s="63">
        <v>16</v>
      </c>
      <c r="C35" s="63">
        <v>14</v>
      </c>
      <c r="D35" s="63">
        <v>25</v>
      </c>
      <c r="E35" s="63">
        <v>25</v>
      </c>
      <c r="F35" s="63">
        <v>19</v>
      </c>
      <c r="G35" s="63">
        <v>9</v>
      </c>
      <c r="H35" s="63">
        <v>32</v>
      </c>
      <c r="I35" s="63">
        <v>39</v>
      </c>
      <c r="J35" s="63">
        <v>33</v>
      </c>
      <c r="K35" s="63">
        <v>44</v>
      </c>
      <c r="L35" s="63">
        <v>30</v>
      </c>
      <c r="M35" s="63">
        <v>14</v>
      </c>
      <c r="N35" s="64">
        <f t="shared" si="8"/>
        <v>300</v>
      </c>
      <c r="O35" s="7">
        <v>0.5</v>
      </c>
      <c r="Q35" s="46"/>
      <c r="R35" s="7">
        <f t="shared" si="10"/>
        <v>46.88</v>
      </c>
      <c r="S35" s="7">
        <f t="shared" si="11"/>
        <v>41.02</v>
      </c>
      <c r="T35" s="7">
        <f t="shared" si="12"/>
        <v>73.25</v>
      </c>
      <c r="U35" s="7">
        <f t="shared" si="13"/>
        <v>73.25</v>
      </c>
      <c r="V35" s="7">
        <f t="shared" si="14"/>
        <v>55.67</v>
      </c>
      <c r="W35" s="7">
        <f t="shared" si="15"/>
        <v>26.37</v>
      </c>
      <c r="X35" s="7">
        <f t="shared" si="16"/>
        <v>93.76</v>
      </c>
      <c r="Y35" s="7">
        <f t="shared" si="17"/>
        <v>114.27000000000001</v>
      </c>
      <c r="Z35" s="7">
        <f t="shared" si="9"/>
        <v>96.690000000000012</v>
      </c>
      <c r="AA35" s="7">
        <f t="shared" si="9"/>
        <v>128.92000000000002</v>
      </c>
      <c r="AB35" s="7">
        <f t="shared" si="9"/>
        <v>87.9</v>
      </c>
      <c r="AC35" s="7">
        <f t="shared" si="9"/>
        <v>41.02</v>
      </c>
    </row>
    <row r="36" spans="1:29">
      <c r="A36" s="7">
        <v>2003</v>
      </c>
      <c r="B36" s="63">
        <v>28</v>
      </c>
      <c r="C36" s="63">
        <v>24</v>
      </c>
      <c r="D36" s="63">
        <v>28</v>
      </c>
      <c r="E36" s="63">
        <v>28</v>
      </c>
      <c r="F36" s="63">
        <v>42</v>
      </c>
      <c r="G36" s="63">
        <v>32</v>
      </c>
      <c r="H36" s="63">
        <v>43</v>
      </c>
      <c r="I36" s="63">
        <v>62</v>
      </c>
      <c r="J36" s="63">
        <v>59</v>
      </c>
      <c r="K36" s="63">
        <v>60</v>
      </c>
      <c r="L36" s="63">
        <v>35</v>
      </c>
      <c r="M36" s="63">
        <v>26</v>
      </c>
      <c r="N36" s="64">
        <f t="shared" si="8"/>
        <v>467</v>
      </c>
      <c r="O36" s="7">
        <v>0.5</v>
      </c>
      <c r="Q36" s="46"/>
      <c r="R36" s="7">
        <f t="shared" si="10"/>
        <v>82.04</v>
      </c>
      <c r="S36" s="7">
        <f t="shared" si="11"/>
        <v>70.320000000000007</v>
      </c>
      <c r="T36" s="7">
        <f t="shared" si="12"/>
        <v>82.04</v>
      </c>
      <c r="U36" s="7">
        <f t="shared" si="13"/>
        <v>82.04</v>
      </c>
      <c r="V36" s="7">
        <f t="shared" si="14"/>
        <v>123.06</v>
      </c>
      <c r="W36" s="7">
        <f t="shared" si="15"/>
        <v>93.76</v>
      </c>
      <c r="X36" s="7">
        <f t="shared" si="16"/>
        <v>125.99000000000001</v>
      </c>
      <c r="Y36" s="7">
        <f t="shared" si="17"/>
        <v>181.66</v>
      </c>
      <c r="Z36" s="7">
        <f t="shared" si="9"/>
        <v>172.87</v>
      </c>
      <c r="AA36" s="7">
        <f t="shared" si="9"/>
        <v>175.8</v>
      </c>
      <c r="AB36" s="7">
        <f t="shared" si="9"/>
        <v>102.55000000000001</v>
      </c>
      <c r="AC36" s="7">
        <f t="shared" si="9"/>
        <v>76.180000000000007</v>
      </c>
    </row>
    <row r="37" spans="1:29">
      <c r="A37" s="7">
        <v>2004</v>
      </c>
      <c r="B37" s="63">
        <v>24</v>
      </c>
      <c r="C37" s="63">
        <v>31</v>
      </c>
      <c r="D37" s="63">
        <v>40</v>
      </c>
      <c r="E37" s="63">
        <v>40</v>
      </c>
      <c r="F37" s="63">
        <v>39</v>
      </c>
      <c r="G37" s="63">
        <v>24</v>
      </c>
      <c r="H37" s="63">
        <v>41</v>
      </c>
      <c r="I37" s="63">
        <v>66</v>
      </c>
      <c r="J37" s="63">
        <v>50</v>
      </c>
      <c r="K37" s="63">
        <v>38</v>
      </c>
      <c r="L37" s="63">
        <v>21</v>
      </c>
      <c r="M37" s="63">
        <v>30</v>
      </c>
      <c r="N37" s="64">
        <f t="shared" si="8"/>
        <v>444</v>
      </c>
      <c r="O37" s="7">
        <v>0.5</v>
      </c>
      <c r="P37" s="24"/>
      <c r="Q37" s="46"/>
      <c r="R37" s="7">
        <f t="shared" si="10"/>
        <v>70.320000000000007</v>
      </c>
      <c r="S37" s="7">
        <f t="shared" si="11"/>
        <v>90.83</v>
      </c>
      <c r="T37" s="7">
        <f t="shared" si="12"/>
        <v>117.2</v>
      </c>
      <c r="U37" s="7">
        <f t="shared" si="13"/>
        <v>117.2</v>
      </c>
      <c r="V37" s="7">
        <f t="shared" si="14"/>
        <v>114.27000000000001</v>
      </c>
      <c r="W37" s="7">
        <f t="shared" si="15"/>
        <v>70.320000000000007</v>
      </c>
      <c r="X37" s="7">
        <f t="shared" si="16"/>
        <v>120.13000000000001</v>
      </c>
      <c r="Y37" s="7">
        <f t="shared" si="17"/>
        <v>193.38000000000002</v>
      </c>
      <c r="Z37" s="7">
        <f t="shared" si="9"/>
        <v>146.5</v>
      </c>
      <c r="AA37" s="7">
        <f t="shared" si="9"/>
        <v>111.34</v>
      </c>
      <c r="AB37" s="7">
        <f t="shared" si="9"/>
        <v>61.53</v>
      </c>
      <c r="AC37" s="7">
        <f t="shared" si="9"/>
        <v>87.9</v>
      </c>
    </row>
    <row r="38" spans="1:29">
      <c r="A38" s="7">
        <v>2005</v>
      </c>
      <c r="B38" s="63">
        <v>28</v>
      </c>
      <c r="C38" s="63">
        <v>19</v>
      </c>
      <c r="D38" s="63">
        <v>40</v>
      </c>
      <c r="E38" s="63">
        <v>13</v>
      </c>
      <c r="F38" s="63">
        <v>21</v>
      </c>
      <c r="G38" s="47"/>
      <c r="H38" s="47"/>
      <c r="I38" s="47"/>
      <c r="J38" s="47"/>
      <c r="K38" s="47"/>
      <c r="L38" s="47"/>
      <c r="M38" s="47"/>
      <c r="N38" s="64">
        <f t="shared" si="8"/>
        <v>121</v>
      </c>
      <c r="O38" s="7">
        <v>0.5</v>
      </c>
      <c r="P38" s="24" t="s">
        <v>34</v>
      </c>
      <c r="Q38" s="46"/>
      <c r="R38" s="7">
        <f t="shared" si="10"/>
        <v>82.04</v>
      </c>
      <c r="S38" s="7">
        <f t="shared" si="11"/>
        <v>55.67</v>
      </c>
      <c r="T38" s="7">
        <f t="shared" si="12"/>
        <v>117.2</v>
      </c>
      <c r="U38" s="7">
        <f t="shared" si="13"/>
        <v>38.090000000000003</v>
      </c>
      <c r="V38" s="7">
        <f t="shared" si="14"/>
        <v>61.53</v>
      </c>
      <c r="W38" s="370">
        <f t="shared" si="15"/>
        <v>0</v>
      </c>
      <c r="X38" s="370">
        <f t="shared" si="16"/>
        <v>0</v>
      </c>
      <c r="Y38" s="370"/>
      <c r="Z38" s="370"/>
      <c r="AA38" s="370"/>
      <c r="AB38" s="370"/>
      <c r="AC38" s="370"/>
    </row>
    <row r="39" spans="1:29">
      <c r="A39" s="7">
        <v>2006</v>
      </c>
      <c r="B39" s="47">
        <v>64</v>
      </c>
      <c r="C39" s="26"/>
      <c r="D39" s="47">
        <v>908</v>
      </c>
      <c r="E39" s="26"/>
      <c r="F39" s="26"/>
      <c r="G39" s="47"/>
      <c r="H39" s="47"/>
      <c r="I39" s="47"/>
      <c r="J39" s="47"/>
      <c r="K39" s="47"/>
      <c r="L39" s="47"/>
      <c r="M39" s="47"/>
      <c r="N39" s="64">
        <f t="shared" si="8"/>
        <v>972</v>
      </c>
      <c r="O39" s="7">
        <v>0.5</v>
      </c>
      <c r="P39" s="24" t="s">
        <v>34</v>
      </c>
      <c r="Q39" s="46"/>
    </row>
    <row r="40" spans="1:29">
      <c r="A40" s="7">
        <v>2007</v>
      </c>
      <c r="B40" s="47">
        <v>82</v>
      </c>
      <c r="C40" s="26"/>
      <c r="D40" s="47">
        <v>849</v>
      </c>
      <c r="E40" s="26"/>
      <c r="F40" s="26"/>
      <c r="G40" s="26"/>
      <c r="H40" s="26"/>
      <c r="I40" s="26"/>
      <c r="J40" s="26"/>
      <c r="K40" s="26"/>
      <c r="L40" s="26"/>
      <c r="M40" s="26"/>
      <c r="N40" s="64">
        <f t="shared" si="8"/>
        <v>931</v>
      </c>
      <c r="O40" s="7">
        <v>0.5</v>
      </c>
      <c r="P40" s="24" t="s">
        <v>34</v>
      </c>
      <c r="Q40" s="46"/>
    </row>
    <row r="41" spans="1:29">
      <c r="A41" s="7">
        <v>2008</v>
      </c>
      <c r="B41" s="47">
        <v>78</v>
      </c>
      <c r="C41" s="26"/>
      <c r="D41" s="47">
        <v>879</v>
      </c>
      <c r="E41" s="26"/>
      <c r="F41" s="26"/>
      <c r="G41" s="26"/>
      <c r="H41" s="26"/>
      <c r="I41" s="26"/>
      <c r="J41" s="26"/>
      <c r="K41" s="26"/>
      <c r="L41" s="26"/>
      <c r="M41" s="26"/>
      <c r="N41" s="64">
        <f t="shared" si="8"/>
        <v>957</v>
      </c>
      <c r="O41" s="7">
        <v>0.5</v>
      </c>
      <c r="P41" s="24" t="s">
        <v>34</v>
      </c>
    </row>
    <row r="42" spans="1:29">
      <c r="A42" s="7">
        <v>2009</v>
      </c>
      <c r="B42" s="47">
        <v>56</v>
      </c>
      <c r="C42" s="26"/>
      <c r="D42" s="47">
        <v>745</v>
      </c>
      <c r="E42" s="26"/>
      <c r="F42" s="26"/>
      <c r="G42" s="26"/>
      <c r="H42" s="26"/>
      <c r="I42" s="26"/>
      <c r="J42" s="26"/>
      <c r="K42" s="26"/>
      <c r="L42" s="26"/>
      <c r="M42" s="26"/>
      <c r="N42" s="64">
        <f t="shared" si="8"/>
        <v>801</v>
      </c>
      <c r="O42" s="7">
        <v>0.5</v>
      </c>
      <c r="P42" s="24" t="s">
        <v>34</v>
      </c>
    </row>
    <row r="43" spans="1:29">
      <c r="A43" s="7">
        <v>2010</v>
      </c>
      <c r="B43" s="47">
        <v>34</v>
      </c>
      <c r="C43" s="26"/>
      <c r="D43" s="47">
        <v>668</v>
      </c>
      <c r="E43" s="26"/>
      <c r="F43" s="26"/>
      <c r="G43" s="26"/>
      <c r="H43" s="26"/>
      <c r="I43" s="26"/>
      <c r="J43" s="26"/>
      <c r="K43" s="26"/>
      <c r="L43" s="26"/>
      <c r="M43" s="26"/>
      <c r="N43" s="64">
        <f t="shared" si="8"/>
        <v>702</v>
      </c>
      <c r="O43" s="7">
        <v>0.5</v>
      </c>
      <c r="P43" s="24" t="s">
        <v>34</v>
      </c>
    </row>
    <row r="44" spans="1:29">
      <c r="A44" s="7">
        <v>2011</v>
      </c>
      <c r="B44" s="47">
        <v>33</v>
      </c>
      <c r="C44" s="26"/>
      <c r="D44" s="47">
        <v>542</v>
      </c>
      <c r="E44" s="26"/>
      <c r="F44" s="26"/>
      <c r="G44" s="26"/>
      <c r="H44" s="26"/>
      <c r="I44" s="26"/>
      <c r="J44" s="26"/>
      <c r="K44" s="26"/>
      <c r="L44" s="26"/>
      <c r="M44" s="26"/>
      <c r="N44" s="64">
        <f t="shared" si="8"/>
        <v>575</v>
      </c>
      <c r="O44" s="7">
        <v>0.5</v>
      </c>
      <c r="P44" s="24" t="s">
        <v>34</v>
      </c>
    </row>
    <row r="45" spans="1:29">
      <c r="A45" s="7">
        <v>2012</v>
      </c>
      <c r="B45" s="47">
        <v>21</v>
      </c>
      <c r="C45" s="26"/>
      <c r="D45" s="47">
        <v>442</v>
      </c>
      <c r="E45" s="26"/>
      <c r="F45" s="26"/>
      <c r="G45" s="26"/>
      <c r="H45" s="26"/>
      <c r="I45" s="26"/>
      <c r="J45" s="26"/>
      <c r="K45" s="26"/>
      <c r="L45" s="26"/>
      <c r="M45" s="26"/>
      <c r="N45" s="64">
        <f t="shared" si="8"/>
        <v>463</v>
      </c>
      <c r="O45" s="7">
        <v>0.5</v>
      </c>
      <c r="P45" s="24" t="s">
        <v>34</v>
      </c>
    </row>
    <row r="46" spans="1:29">
      <c r="A46" s="7">
        <v>2013</v>
      </c>
      <c r="B46" s="47">
        <v>35</v>
      </c>
      <c r="C46" s="47">
        <v>32</v>
      </c>
      <c r="D46" s="47">
        <v>51</v>
      </c>
      <c r="E46" s="47">
        <v>54</v>
      </c>
      <c r="F46" s="47">
        <v>66</v>
      </c>
      <c r="G46" s="47">
        <v>37</v>
      </c>
      <c r="H46" s="47">
        <v>59</v>
      </c>
      <c r="I46" s="47">
        <v>77</v>
      </c>
      <c r="J46" s="47">
        <v>65</v>
      </c>
      <c r="K46" s="47">
        <v>42</v>
      </c>
      <c r="L46" s="47">
        <v>51</v>
      </c>
      <c r="M46" s="47">
        <v>49</v>
      </c>
      <c r="N46" s="64">
        <f t="shared" si="8"/>
        <v>618</v>
      </c>
      <c r="O46" s="7">
        <v>0.5</v>
      </c>
      <c r="P46" s="24" t="s">
        <v>34</v>
      </c>
    </row>
    <row r="47" spans="1:29">
      <c r="A47" s="7">
        <v>2014</v>
      </c>
      <c r="B47" s="47">
        <v>26</v>
      </c>
      <c r="C47" s="47">
        <v>47</v>
      </c>
      <c r="D47" s="47">
        <v>37</v>
      </c>
      <c r="E47" s="47">
        <v>20</v>
      </c>
      <c r="F47" s="47">
        <v>31</v>
      </c>
      <c r="G47" s="47">
        <v>47</v>
      </c>
      <c r="H47" s="47">
        <v>55</v>
      </c>
      <c r="I47" s="47">
        <v>61</v>
      </c>
      <c r="J47" s="47">
        <v>86</v>
      </c>
      <c r="K47" s="47">
        <v>62</v>
      </c>
      <c r="L47" s="47">
        <v>59</v>
      </c>
      <c r="M47" s="47">
        <v>57</v>
      </c>
      <c r="N47" s="64">
        <f t="shared" si="8"/>
        <v>588</v>
      </c>
      <c r="O47" s="7">
        <v>0.5</v>
      </c>
      <c r="P47" s="24" t="s">
        <v>34</v>
      </c>
    </row>
    <row r="48" spans="1:29">
      <c r="A48" s="7">
        <v>2015</v>
      </c>
      <c r="B48" s="47">
        <v>21</v>
      </c>
      <c r="C48" s="47">
        <v>60</v>
      </c>
      <c r="D48" s="47">
        <v>49</v>
      </c>
      <c r="E48" s="47">
        <v>53</v>
      </c>
      <c r="F48" s="47">
        <v>52</v>
      </c>
      <c r="G48" s="47">
        <v>53</v>
      </c>
      <c r="H48" s="47">
        <v>56</v>
      </c>
      <c r="I48" s="47">
        <v>72</v>
      </c>
      <c r="J48" s="47">
        <v>79</v>
      </c>
      <c r="K48" s="47">
        <v>64</v>
      </c>
      <c r="L48" s="47">
        <v>64</v>
      </c>
      <c r="M48" s="47">
        <v>75</v>
      </c>
      <c r="N48" s="64">
        <f t="shared" si="8"/>
        <v>698</v>
      </c>
      <c r="O48" s="7">
        <v>0.5</v>
      </c>
      <c r="P48" s="24" t="s">
        <v>34</v>
      </c>
    </row>
    <row r="49" spans="1:17">
      <c r="A49" s="7">
        <v>2016</v>
      </c>
      <c r="B49" s="47">
        <v>16</v>
      </c>
      <c r="C49" s="47">
        <v>22</v>
      </c>
      <c r="D49" s="47">
        <v>39</v>
      </c>
      <c r="E49" s="47">
        <v>55</v>
      </c>
      <c r="F49" s="47">
        <v>53</v>
      </c>
      <c r="G49" s="47">
        <v>52</v>
      </c>
      <c r="H49" s="47">
        <v>52</v>
      </c>
      <c r="I49" s="47">
        <v>98</v>
      </c>
      <c r="J49" s="47">
        <v>85</v>
      </c>
      <c r="K49" s="47">
        <v>66</v>
      </c>
      <c r="L49" s="47">
        <v>54</v>
      </c>
      <c r="M49" s="47">
        <v>110</v>
      </c>
      <c r="N49" s="64">
        <f>SUM(B49:M49)</f>
        <v>702</v>
      </c>
      <c r="O49" s="7">
        <v>0.5</v>
      </c>
      <c r="P49" s="24" t="s">
        <v>34</v>
      </c>
    </row>
    <row r="50" spans="1:17">
      <c r="A50" s="7">
        <v>2017</v>
      </c>
      <c r="B50" s="47">
        <v>35</v>
      </c>
      <c r="C50" s="26"/>
      <c r="D50" s="26"/>
      <c r="E50" s="26"/>
      <c r="F50" s="26"/>
      <c r="G50" s="26"/>
      <c r="H50" s="47">
        <v>656</v>
      </c>
      <c r="I50" s="26"/>
      <c r="J50" s="26"/>
      <c r="K50" s="26"/>
      <c r="L50" s="26"/>
      <c r="M50" s="26"/>
      <c r="N50" s="64">
        <f t="shared" ref="N50:N53" si="18">SUM(B50:M50)</f>
        <v>691</v>
      </c>
      <c r="O50" s="7">
        <v>2</v>
      </c>
      <c r="P50" s="24" t="s">
        <v>34</v>
      </c>
    </row>
    <row r="51" spans="1:17">
      <c r="A51" s="7">
        <v>2018</v>
      </c>
      <c r="B51" s="47">
        <v>33</v>
      </c>
      <c r="C51" s="26"/>
      <c r="D51" s="26"/>
      <c r="E51" s="26"/>
      <c r="F51" s="26"/>
      <c r="G51" s="26"/>
      <c r="H51" s="47">
        <v>572</v>
      </c>
      <c r="I51" s="26"/>
      <c r="J51" s="26"/>
      <c r="K51" s="26"/>
      <c r="L51" s="26"/>
      <c r="M51" s="26"/>
      <c r="N51" s="64">
        <f t="shared" si="18"/>
        <v>605</v>
      </c>
      <c r="O51" s="7">
        <v>2</v>
      </c>
      <c r="P51" s="24" t="s">
        <v>34</v>
      </c>
    </row>
    <row r="52" spans="1:17">
      <c r="A52" s="7">
        <v>2019</v>
      </c>
      <c r="B52" s="47">
        <v>18</v>
      </c>
      <c r="C52" s="47">
        <v>49</v>
      </c>
      <c r="D52" s="47">
        <v>60</v>
      </c>
      <c r="E52" s="26"/>
      <c r="F52" s="26"/>
      <c r="G52" s="26"/>
      <c r="H52" s="47">
        <v>653</v>
      </c>
      <c r="I52" s="26"/>
      <c r="J52" s="26"/>
      <c r="K52" s="26"/>
      <c r="L52" s="26"/>
      <c r="M52" s="26"/>
      <c r="N52" s="64">
        <f t="shared" si="18"/>
        <v>780</v>
      </c>
      <c r="O52" s="7">
        <v>2</v>
      </c>
      <c r="P52" s="24" t="s">
        <v>34</v>
      </c>
    </row>
    <row r="53" spans="1:17">
      <c r="A53" s="7">
        <v>2020</v>
      </c>
      <c r="B53" s="47">
        <v>23</v>
      </c>
      <c r="C53" s="47">
        <v>44</v>
      </c>
      <c r="D53" s="47">
        <v>21</v>
      </c>
      <c r="E53" s="47">
        <v>10</v>
      </c>
      <c r="F53" s="47">
        <v>21</v>
      </c>
      <c r="G53" s="47">
        <v>21</v>
      </c>
      <c r="H53" s="47">
        <v>47</v>
      </c>
      <c r="I53" s="47">
        <v>40</v>
      </c>
      <c r="J53" s="47">
        <v>55</v>
      </c>
      <c r="K53" s="47">
        <v>41</v>
      </c>
      <c r="L53" s="47">
        <v>26</v>
      </c>
      <c r="M53" s="47">
        <v>39</v>
      </c>
      <c r="N53" s="64">
        <f t="shared" si="18"/>
        <v>388</v>
      </c>
      <c r="O53" s="7">
        <v>1</v>
      </c>
      <c r="P53" s="24" t="s">
        <v>35</v>
      </c>
      <c r="Q53" s="24" t="s">
        <v>34</v>
      </c>
    </row>
    <row r="54" spans="1:17">
      <c r="A54" s="7">
        <v>2021</v>
      </c>
      <c r="B54" s="26"/>
      <c r="C54" s="26"/>
      <c r="D54" s="26"/>
      <c r="E54" s="47"/>
      <c r="F54" s="47"/>
      <c r="G54" s="47"/>
      <c r="H54" s="47"/>
      <c r="I54" s="47"/>
      <c r="J54" s="47"/>
      <c r="K54" s="47"/>
      <c r="L54" s="47"/>
      <c r="M54" s="47"/>
    </row>
    <row r="55" spans="1:17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7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7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7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7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</sheetData>
  <mergeCells count="1">
    <mergeCell ref="A29:Q29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D43" sqref="D43:E43"/>
    </sheetView>
  </sheetViews>
  <sheetFormatPr defaultRowHeight="11.25"/>
  <cols>
    <col min="1" max="1" width="3.44140625" style="1" bestFit="1" customWidth="1"/>
    <col min="2" max="3" width="8" style="1" bestFit="1" customWidth="1"/>
    <col min="4" max="4" width="8.88671875" style="1"/>
    <col min="5" max="5" width="11.6640625" style="1" bestFit="1" customWidth="1"/>
    <col min="6" max="6" width="12.44140625" style="1" bestFit="1" customWidth="1"/>
    <col min="7" max="16384" width="8.88671875" style="1"/>
  </cols>
  <sheetData>
    <row r="1" spans="1:10" s="38" customFormat="1">
      <c r="A1" s="37"/>
      <c r="B1" s="39" t="s">
        <v>40</v>
      </c>
      <c r="C1" s="39" t="s">
        <v>16</v>
      </c>
      <c r="D1" s="39" t="s">
        <v>13</v>
      </c>
    </row>
    <row r="2" spans="1:10">
      <c r="A2" s="2">
        <v>1998</v>
      </c>
      <c r="B2" s="18"/>
      <c r="C2" s="18"/>
      <c r="D2" s="18"/>
      <c r="F2" s="28"/>
    </row>
    <row r="3" spans="1:10">
      <c r="A3" s="166">
        <v>1999</v>
      </c>
      <c r="B3" s="18"/>
      <c r="C3" s="18"/>
      <c r="D3" s="18"/>
      <c r="F3" s="23"/>
    </row>
    <row r="4" spans="1:10">
      <c r="A4" s="2">
        <v>2000</v>
      </c>
      <c r="B4" s="18"/>
      <c r="C4" s="18"/>
      <c r="D4" s="18"/>
    </row>
    <row r="5" spans="1:10">
      <c r="A5" s="166">
        <v>2001</v>
      </c>
      <c r="B5" s="18"/>
      <c r="C5" s="18"/>
      <c r="D5" s="18"/>
    </row>
    <row r="6" spans="1:10">
      <c r="A6" s="2">
        <v>2002</v>
      </c>
      <c r="B6" s="18"/>
      <c r="C6" s="18"/>
      <c r="D6" s="18"/>
    </row>
    <row r="7" spans="1:10">
      <c r="A7" s="166">
        <v>2003</v>
      </c>
      <c r="B7" s="18"/>
      <c r="C7" s="18"/>
      <c r="D7" s="18"/>
    </row>
    <row r="8" spans="1:10">
      <c r="A8" s="2">
        <v>2004</v>
      </c>
      <c r="B8" s="18"/>
      <c r="C8" s="18"/>
      <c r="D8" s="18"/>
    </row>
    <row r="9" spans="1:10">
      <c r="A9" s="449">
        <v>2005</v>
      </c>
      <c r="B9" s="18"/>
      <c r="C9" s="18"/>
      <c r="D9" s="18"/>
    </row>
    <row r="10" spans="1:10">
      <c r="A10" s="437"/>
      <c r="B10" s="18">
        <v>5821</v>
      </c>
      <c r="C10" s="18">
        <v>1000</v>
      </c>
      <c r="D10" s="18">
        <v>4282</v>
      </c>
      <c r="E10" s="1" t="s">
        <v>49</v>
      </c>
    </row>
    <row r="11" spans="1:10">
      <c r="A11" s="437"/>
      <c r="B11" s="18"/>
      <c r="C11" s="18">
        <v>2326</v>
      </c>
      <c r="D11" s="18"/>
      <c r="E11" s="1" t="s">
        <v>51</v>
      </c>
    </row>
    <row r="12" spans="1:10">
      <c r="A12" s="463"/>
      <c r="B12" s="18"/>
      <c r="C12" s="18"/>
      <c r="D12" s="18"/>
    </row>
    <row r="13" spans="1:10">
      <c r="A13" s="461">
        <v>2006</v>
      </c>
      <c r="B13" s="18"/>
      <c r="C13" s="18"/>
      <c r="D13" s="18"/>
      <c r="J13" s="5"/>
    </row>
    <row r="14" spans="1:10">
      <c r="A14" s="434"/>
      <c r="B14" s="18">
        <v>5821</v>
      </c>
      <c r="C14" s="18">
        <v>1000</v>
      </c>
      <c r="D14" s="18">
        <v>3826</v>
      </c>
      <c r="E14" s="1" t="s">
        <v>50</v>
      </c>
    </row>
    <row r="15" spans="1:10">
      <c r="A15" s="434"/>
      <c r="B15" s="18"/>
      <c r="C15" s="18">
        <v>1636.54</v>
      </c>
      <c r="D15" s="18"/>
      <c r="E15" s="1" t="s">
        <v>51</v>
      </c>
    </row>
    <row r="16" spans="1:10">
      <c r="A16" s="462"/>
      <c r="B16" s="18"/>
      <c r="C16" s="18"/>
      <c r="D16" s="18"/>
    </row>
    <row r="17" spans="1:5">
      <c r="A17" s="449">
        <v>2007</v>
      </c>
      <c r="B17" s="18"/>
      <c r="C17" s="18"/>
      <c r="D17" s="18"/>
    </row>
    <row r="18" spans="1:5">
      <c r="A18" s="437"/>
      <c r="B18" s="36">
        <v>11111</v>
      </c>
      <c r="C18" s="18">
        <v>436</v>
      </c>
      <c r="D18" s="18"/>
      <c r="E18" s="1" t="s">
        <v>69</v>
      </c>
    </row>
    <row r="19" spans="1:5">
      <c r="A19" s="463"/>
      <c r="B19" s="18"/>
      <c r="C19" s="18"/>
      <c r="D19" s="18"/>
    </row>
    <row r="20" spans="1:5">
      <c r="A20" s="461">
        <v>2008</v>
      </c>
      <c r="B20" s="18"/>
      <c r="C20" s="18"/>
      <c r="D20" s="18"/>
    </row>
    <row r="21" spans="1:5">
      <c r="A21" s="434"/>
      <c r="B21" s="18">
        <v>11973.03</v>
      </c>
      <c r="C21" s="18">
        <v>470</v>
      </c>
      <c r="D21" s="18"/>
      <c r="E21" s="1" t="s">
        <v>68</v>
      </c>
    </row>
    <row r="22" spans="1:5">
      <c r="A22" s="462"/>
      <c r="B22" s="18"/>
      <c r="C22" s="18"/>
      <c r="D22" s="18"/>
    </row>
    <row r="23" spans="1:5">
      <c r="A23" s="166">
        <v>2009</v>
      </c>
      <c r="B23" s="18"/>
      <c r="C23" s="18"/>
      <c r="D23" s="18"/>
    </row>
    <row r="24" spans="1:5">
      <c r="A24" s="165">
        <v>2010</v>
      </c>
      <c r="B24" s="18"/>
      <c r="C24" s="18"/>
      <c r="D24" s="18"/>
    </row>
    <row r="25" spans="1:5">
      <c r="A25" s="230">
        <v>2011</v>
      </c>
      <c r="B25" s="18">
        <v>15632.22</v>
      </c>
      <c r="C25" s="18">
        <v>750</v>
      </c>
      <c r="D25" s="18"/>
      <c r="E25" s="1" t="s">
        <v>68</v>
      </c>
    </row>
    <row r="26" spans="1:5">
      <c r="A26" s="230">
        <v>2011</v>
      </c>
      <c r="B26" s="18"/>
      <c r="C26" s="3">
        <v>1148.1199999999999</v>
      </c>
      <c r="D26" s="3"/>
      <c r="E26" s="1" t="s">
        <v>51</v>
      </c>
    </row>
    <row r="27" spans="1:5">
      <c r="A27" s="230">
        <v>2011</v>
      </c>
      <c r="B27" s="18"/>
      <c r="C27" s="18"/>
      <c r="D27" s="18"/>
    </row>
    <row r="28" spans="1:5">
      <c r="A28" s="183">
        <v>2012</v>
      </c>
      <c r="B28" s="17">
        <v>2231.08</v>
      </c>
      <c r="C28" s="17">
        <v>100</v>
      </c>
      <c r="D28" s="17"/>
      <c r="E28" s="1" t="s">
        <v>68</v>
      </c>
    </row>
    <row r="29" spans="1:5">
      <c r="A29" s="183">
        <v>2012</v>
      </c>
      <c r="B29" s="17"/>
      <c r="C29" s="17">
        <v>1148.1199999999999</v>
      </c>
      <c r="D29" s="17"/>
      <c r="E29" s="1" t="s">
        <v>276</v>
      </c>
    </row>
    <row r="30" spans="1:5">
      <c r="A30" s="183">
        <v>2012</v>
      </c>
      <c r="B30" s="17"/>
      <c r="C30" s="17">
        <v>571.02</v>
      </c>
      <c r="D30" s="17"/>
      <c r="E30" s="1" t="s">
        <v>51</v>
      </c>
    </row>
    <row r="31" spans="1:5">
      <c r="A31" s="166">
        <v>2013</v>
      </c>
      <c r="B31" s="18"/>
      <c r="C31" s="18"/>
      <c r="D31" s="18"/>
    </row>
    <row r="32" spans="1:5">
      <c r="A32" s="2">
        <v>2014</v>
      </c>
      <c r="B32" s="18"/>
      <c r="C32" s="18"/>
      <c r="D32" s="18"/>
    </row>
    <row r="33" spans="1:11">
      <c r="A33" s="166">
        <v>2015</v>
      </c>
      <c r="B33" s="18"/>
      <c r="C33" s="18"/>
      <c r="D33" s="18"/>
    </row>
    <row r="34" spans="1:11">
      <c r="A34" s="2">
        <v>2016</v>
      </c>
      <c r="B34" s="18"/>
      <c r="C34" s="18"/>
      <c r="D34" s="18"/>
    </row>
    <row r="35" spans="1:11">
      <c r="A35" s="166">
        <v>2017</v>
      </c>
      <c r="B35" s="18"/>
      <c r="C35" s="18"/>
      <c r="D35" s="18"/>
    </row>
    <row r="36" spans="1:11">
      <c r="A36" s="2">
        <v>2018</v>
      </c>
      <c r="B36" s="18"/>
      <c r="C36" s="18"/>
      <c r="D36" s="18"/>
    </row>
    <row r="37" spans="1:11">
      <c r="A37" s="166">
        <v>2019</v>
      </c>
      <c r="B37" s="18"/>
      <c r="C37" s="18"/>
      <c r="D37" s="18"/>
    </row>
    <row r="38" spans="1:11">
      <c r="A38" s="2">
        <v>2020</v>
      </c>
      <c r="B38" s="18"/>
      <c r="C38" s="18"/>
      <c r="D38" s="18"/>
    </row>
    <row r="39" spans="1:11">
      <c r="A39" s="166">
        <v>2021</v>
      </c>
      <c r="B39" s="3"/>
      <c r="C39" s="3"/>
      <c r="D39" s="3"/>
    </row>
    <row r="40" spans="1:11">
      <c r="A40" s="2">
        <v>2022</v>
      </c>
      <c r="B40" s="3"/>
      <c r="C40" s="3"/>
      <c r="D40" s="3"/>
    </row>
    <row r="41" spans="1:11">
      <c r="A41" s="2"/>
      <c r="B41" s="3"/>
      <c r="C41" s="3">
        <f>SUM(C2:C40)</f>
        <v>10585.8</v>
      </c>
      <c r="D41" s="3">
        <f>SUM(D2:D40)</f>
        <v>8108</v>
      </c>
    </row>
    <row r="42" spans="1:11">
      <c r="D42" s="5"/>
    </row>
    <row r="43" spans="1:11" ht="15">
      <c r="D43" s="82">
        <v>45355</v>
      </c>
      <c r="E43" s="384" t="s">
        <v>469</v>
      </c>
    </row>
    <row r="44" spans="1:11" ht="15.75">
      <c r="A44" s="432" t="s">
        <v>48</v>
      </c>
      <c r="B44" s="432"/>
      <c r="C44" s="432"/>
      <c r="D44" s="432"/>
      <c r="E44" s="432"/>
      <c r="F44" s="432"/>
      <c r="G44" s="13"/>
      <c r="H44" s="13"/>
      <c r="I44" s="13"/>
      <c r="J44" s="13"/>
      <c r="K44" s="13"/>
    </row>
  </sheetData>
  <mergeCells count="5">
    <mergeCell ref="A44:F44"/>
    <mergeCell ref="A13:A16"/>
    <mergeCell ref="A9:A12"/>
    <mergeCell ref="A20:A22"/>
    <mergeCell ref="A17:A1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C5" sqref="C5"/>
    </sheetView>
  </sheetViews>
  <sheetFormatPr defaultRowHeight="11.25"/>
  <cols>
    <col min="1" max="1" width="3.44140625" style="1" bestFit="1" customWidth="1"/>
    <col min="2" max="2" width="15.77734375" style="1" customWidth="1"/>
    <col min="3" max="3" width="11.77734375" style="1" bestFit="1" customWidth="1"/>
    <col min="4" max="4" width="9.44140625" style="1" customWidth="1"/>
    <col min="5" max="5" width="12.44140625" style="1" bestFit="1" customWidth="1"/>
    <col min="6" max="16384" width="8.88671875" style="1"/>
  </cols>
  <sheetData>
    <row r="1" spans="1:8" s="38" customFormat="1" ht="22.5">
      <c r="A1" s="37"/>
      <c r="B1" s="39" t="s">
        <v>40</v>
      </c>
      <c r="C1" s="39" t="s">
        <v>494</v>
      </c>
      <c r="D1" s="39" t="s">
        <v>19</v>
      </c>
      <c r="E1" s="37" t="s">
        <v>24</v>
      </c>
      <c r="F1" s="39" t="s">
        <v>13</v>
      </c>
    </row>
    <row r="2" spans="1:8">
      <c r="A2" s="2">
        <v>1998</v>
      </c>
      <c r="B2" s="18"/>
      <c r="C2" s="18"/>
      <c r="D2" s="18">
        <v>440.21</v>
      </c>
      <c r="E2" s="3">
        <f>C2-D2</f>
        <v>-440.21</v>
      </c>
      <c r="F2" s="32">
        <v>4481</v>
      </c>
      <c r="H2" s="227"/>
    </row>
    <row r="3" spans="1:8">
      <c r="A3" s="2">
        <v>1999</v>
      </c>
      <c r="B3" s="18"/>
      <c r="C3" s="18"/>
      <c r="D3" s="18">
        <v>440.21</v>
      </c>
      <c r="E3" s="3">
        <f t="shared" ref="E3:E26" si="0">C3-D3</f>
        <v>-440.21</v>
      </c>
      <c r="F3" s="32">
        <v>3680</v>
      </c>
      <c r="H3" s="227"/>
    </row>
    <row r="4" spans="1:8">
      <c r="A4" s="2">
        <v>2000</v>
      </c>
      <c r="B4" s="3"/>
      <c r="C4" s="3"/>
      <c r="D4" s="3">
        <v>440.21</v>
      </c>
      <c r="E4" s="3">
        <f t="shared" si="0"/>
        <v>-440.21</v>
      </c>
      <c r="F4" s="32">
        <v>3188</v>
      </c>
    </row>
    <row r="5" spans="1:8">
      <c r="A5" s="2">
        <v>2001</v>
      </c>
      <c r="B5" s="3"/>
      <c r="C5" s="3">
        <v>651.55999999999995</v>
      </c>
      <c r="D5" s="3">
        <v>651.55999999999995</v>
      </c>
      <c r="E5" s="3">
        <f t="shared" si="0"/>
        <v>0</v>
      </c>
      <c r="F5" s="32"/>
    </row>
    <row r="6" spans="1:8">
      <c r="A6" s="2">
        <v>2002</v>
      </c>
      <c r="B6" s="3"/>
      <c r="C6" s="3">
        <v>740</v>
      </c>
      <c r="D6" s="3">
        <v>740</v>
      </c>
      <c r="E6" s="3">
        <f t="shared" si="0"/>
        <v>0</v>
      </c>
      <c r="F6" s="32"/>
    </row>
    <row r="7" spans="1:8">
      <c r="A7" s="2">
        <v>2003</v>
      </c>
      <c r="B7" s="3">
        <v>2662.14</v>
      </c>
      <c r="C7" s="3">
        <v>1000</v>
      </c>
      <c r="D7" s="3">
        <v>1000</v>
      </c>
      <c r="E7" s="3">
        <f t="shared" si="0"/>
        <v>0</v>
      </c>
      <c r="F7" s="32"/>
    </row>
    <row r="8" spans="1:8">
      <c r="A8" s="2">
        <v>2004</v>
      </c>
      <c r="B8" s="3">
        <v>3326</v>
      </c>
      <c r="C8" s="3"/>
      <c r="D8" s="36">
        <v>1555</v>
      </c>
      <c r="E8" s="3">
        <f t="shared" si="0"/>
        <v>-1555</v>
      </c>
      <c r="F8" s="32">
        <v>7370</v>
      </c>
    </row>
    <row r="9" spans="1:8">
      <c r="A9" s="2">
        <v>2005</v>
      </c>
      <c r="B9" s="3">
        <v>928.34</v>
      </c>
      <c r="C9" s="3"/>
      <c r="D9" s="36">
        <v>333</v>
      </c>
      <c r="E9" s="3">
        <f t="shared" si="0"/>
        <v>-333</v>
      </c>
      <c r="F9" s="32">
        <v>1413</v>
      </c>
    </row>
    <row r="10" spans="1:8">
      <c r="A10" s="2">
        <v>2006</v>
      </c>
      <c r="B10" s="3">
        <v>5613.21</v>
      </c>
      <c r="C10" s="3"/>
      <c r="D10" s="36">
        <v>1111</v>
      </c>
      <c r="E10" s="3">
        <f t="shared" si="0"/>
        <v>-1111</v>
      </c>
      <c r="F10" s="32">
        <v>4209</v>
      </c>
    </row>
    <row r="11" spans="1:8">
      <c r="A11" s="2">
        <v>2007</v>
      </c>
      <c r="B11" s="3">
        <v>6501.56</v>
      </c>
      <c r="C11" s="3">
        <v>1054.3</v>
      </c>
      <c r="D11" s="3">
        <v>1054.3</v>
      </c>
      <c r="E11" s="3">
        <f t="shared" si="0"/>
        <v>0</v>
      </c>
      <c r="F11" s="32"/>
    </row>
    <row r="12" spans="1:8">
      <c r="A12" s="2">
        <v>2008</v>
      </c>
      <c r="B12" s="3">
        <v>5113.76</v>
      </c>
      <c r="C12" s="3"/>
      <c r="D12" s="36">
        <v>1111</v>
      </c>
      <c r="E12" s="3">
        <f t="shared" si="0"/>
        <v>-1111</v>
      </c>
      <c r="F12" s="32">
        <v>3363</v>
      </c>
    </row>
    <row r="13" spans="1:8">
      <c r="A13" s="2">
        <v>2009</v>
      </c>
      <c r="B13" s="3">
        <v>9797.27</v>
      </c>
      <c r="C13" s="3">
        <v>957.31</v>
      </c>
      <c r="D13" s="3">
        <v>957.31</v>
      </c>
      <c r="E13" s="3">
        <f t="shared" si="0"/>
        <v>0</v>
      </c>
      <c r="F13" s="32"/>
    </row>
    <row r="14" spans="1:8">
      <c r="A14" s="2">
        <v>2010</v>
      </c>
      <c r="B14" s="3">
        <v>8369.34</v>
      </c>
      <c r="C14" s="3">
        <v>387.59</v>
      </c>
      <c r="D14" s="3">
        <v>387.59</v>
      </c>
      <c r="E14" s="3">
        <f t="shared" si="0"/>
        <v>0</v>
      </c>
      <c r="F14" s="32"/>
    </row>
    <row r="15" spans="1:8">
      <c r="A15" s="2">
        <v>2011</v>
      </c>
      <c r="B15" s="3"/>
      <c r="C15" s="3"/>
      <c r="D15" s="3"/>
      <c r="E15" s="3">
        <f t="shared" si="0"/>
        <v>0</v>
      </c>
      <c r="F15" s="32"/>
    </row>
    <row r="16" spans="1:8">
      <c r="A16" s="2">
        <v>2012</v>
      </c>
      <c r="B16" s="3"/>
      <c r="C16" s="3"/>
      <c r="D16" s="3"/>
      <c r="E16" s="3">
        <f t="shared" si="0"/>
        <v>0</v>
      </c>
      <c r="F16" s="32"/>
    </row>
    <row r="17" spans="1:10">
      <c r="A17" s="2">
        <v>2013</v>
      </c>
      <c r="B17" s="3"/>
      <c r="C17" s="3"/>
      <c r="D17" s="3"/>
      <c r="E17" s="3">
        <f t="shared" si="0"/>
        <v>0</v>
      </c>
      <c r="F17" s="32"/>
    </row>
    <row r="18" spans="1:10">
      <c r="A18" s="2">
        <v>2014</v>
      </c>
      <c r="B18" s="3"/>
      <c r="C18" s="3"/>
      <c r="D18" s="3"/>
      <c r="E18" s="3">
        <f t="shared" si="0"/>
        <v>0</v>
      </c>
      <c r="F18" s="32"/>
    </row>
    <row r="19" spans="1:10">
      <c r="A19" s="2">
        <v>2015</v>
      </c>
      <c r="B19" s="3"/>
      <c r="C19" s="3"/>
      <c r="D19" s="3"/>
      <c r="E19" s="3">
        <f t="shared" si="0"/>
        <v>0</v>
      </c>
      <c r="F19" s="32"/>
    </row>
    <row r="20" spans="1:10">
      <c r="A20" s="2">
        <v>2016</v>
      </c>
      <c r="B20" s="3"/>
      <c r="C20" s="3"/>
      <c r="D20" s="3"/>
      <c r="E20" s="3">
        <f t="shared" si="0"/>
        <v>0</v>
      </c>
      <c r="F20" s="32"/>
    </row>
    <row r="21" spans="1:10">
      <c r="A21" s="2">
        <v>2017</v>
      </c>
      <c r="B21" s="3"/>
      <c r="C21" s="3"/>
      <c r="D21" s="3"/>
      <c r="E21" s="3">
        <f t="shared" si="0"/>
        <v>0</v>
      </c>
      <c r="F21" s="32"/>
    </row>
    <row r="22" spans="1:10">
      <c r="A22" s="2">
        <v>2018</v>
      </c>
      <c r="B22" s="3"/>
      <c r="C22" s="3"/>
      <c r="D22" s="3"/>
      <c r="E22" s="3">
        <f t="shared" si="0"/>
        <v>0</v>
      </c>
      <c r="F22" s="32"/>
    </row>
    <row r="23" spans="1:10">
      <c r="A23" s="2">
        <v>2019</v>
      </c>
      <c r="B23" s="3"/>
      <c r="C23" s="3"/>
      <c r="D23" s="3"/>
      <c r="E23" s="3">
        <f t="shared" si="0"/>
        <v>0</v>
      </c>
      <c r="F23" s="32"/>
    </row>
    <row r="24" spans="1:10">
      <c r="A24" s="2">
        <v>2020</v>
      </c>
      <c r="B24" s="3"/>
      <c r="C24" s="3"/>
      <c r="D24" s="3"/>
      <c r="E24" s="3">
        <f t="shared" si="0"/>
        <v>0</v>
      </c>
      <c r="F24" s="32"/>
    </row>
    <row r="25" spans="1:10">
      <c r="A25" s="2">
        <v>2021</v>
      </c>
      <c r="B25" s="3"/>
      <c r="C25" s="3"/>
      <c r="D25" s="3"/>
      <c r="E25" s="3">
        <f t="shared" si="0"/>
        <v>0</v>
      </c>
      <c r="F25" s="32"/>
    </row>
    <row r="26" spans="1:10">
      <c r="A26" s="2">
        <v>2022</v>
      </c>
      <c r="B26" s="3"/>
      <c r="C26" s="3"/>
      <c r="D26" s="3"/>
      <c r="E26" s="3">
        <f t="shared" si="0"/>
        <v>0</v>
      </c>
      <c r="F26" s="32"/>
    </row>
    <row r="27" spans="1:10">
      <c r="A27" s="2"/>
      <c r="B27" s="3">
        <f>SUM(B2:B26)</f>
        <v>42311.619999999995</v>
      </c>
      <c r="C27" s="3"/>
      <c r="D27" s="3"/>
      <c r="E27" s="340">
        <f>SUM(E2:E26)</f>
        <v>-5430.63</v>
      </c>
      <c r="F27" s="367">
        <f>SUM(F2:F26)</f>
        <v>27704</v>
      </c>
    </row>
    <row r="28" spans="1:10" ht="15">
      <c r="F28" s="82">
        <v>45355</v>
      </c>
      <c r="G28" s="384" t="s">
        <v>469</v>
      </c>
    </row>
    <row r="30" spans="1:10" ht="15.75">
      <c r="A30" s="13" t="s">
        <v>295</v>
      </c>
      <c r="B30" s="13"/>
      <c r="C30" s="13"/>
      <c r="D30" s="13"/>
      <c r="E30" s="13"/>
      <c r="F30" s="13"/>
      <c r="G30" s="13"/>
      <c r="H30" s="13"/>
      <c r="I30" s="13"/>
      <c r="J30" s="13"/>
    </row>
    <row r="33" spans="4:4" ht="15">
      <c r="D33" t="s">
        <v>294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A5" sqref="A5:XFD5"/>
    </sheetView>
  </sheetViews>
  <sheetFormatPr defaultRowHeight="11.25"/>
  <cols>
    <col min="1" max="1" width="3.44140625" style="1" bestFit="1" customWidth="1"/>
    <col min="2" max="2" width="8" style="1" bestFit="1" customWidth="1"/>
    <col min="3" max="3" width="8.33203125" style="1" bestFit="1" customWidth="1"/>
    <col min="4" max="4" width="9.44140625" style="1" customWidth="1"/>
    <col min="5" max="5" width="12.44140625" style="1" bestFit="1" customWidth="1"/>
    <col min="6" max="16384" width="8.88671875" style="1"/>
  </cols>
  <sheetData>
    <row r="1" spans="1:8" s="38" customFormat="1">
      <c r="A1" s="37"/>
      <c r="B1" s="39" t="s">
        <v>40</v>
      </c>
      <c r="C1" s="39" t="s">
        <v>297</v>
      </c>
      <c r="D1" s="39" t="s">
        <v>19</v>
      </c>
      <c r="E1" s="37" t="s">
        <v>24</v>
      </c>
      <c r="F1" s="39" t="s">
        <v>13</v>
      </c>
    </row>
    <row r="2" spans="1:8">
      <c r="A2" s="2">
        <v>1998</v>
      </c>
      <c r="B2" s="18"/>
      <c r="C2" s="18"/>
      <c r="D2" s="18">
        <v>100</v>
      </c>
      <c r="E2" s="3">
        <f>C2-D2</f>
        <v>-100</v>
      </c>
      <c r="F2" s="32">
        <v>1018</v>
      </c>
      <c r="H2" s="227"/>
    </row>
    <row r="3" spans="1:8">
      <c r="A3" s="2">
        <v>1999</v>
      </c>
      <c r="B3" s="18"/>
      <c r="C3" s="18"/>
      <c r="D3" s="18">
        <v>100</v>
      </c>
      <c r="E3" s="3">
        <f t="shared" ref="E3:E26" si="0">C3-D3</f>
        <v>-100</v>
      </c>
      <c r="F3" s="32">
        <v>836</v>
      </c>
      <c r="H3" s="227"/>
    </row>
    <row r="4" spans="1:8">
      <c r="A4" s="2">
        <v>2000</v>
      </c>
      <c r="B4" s="3"/>
      <c r="C4" s="3"/>
      <c r="D4" s="3">
        <v>100</v>
      </c>
      <c r="E4" s="3">
        <f t="shared" si="0"/>
        <v>-100</v>
      </c>
      <c r="F4" s="32">
        <v>724</v>
      </c>
    </row>
    <row r="5" spans="1:8">
      <c r="A5" s="2">
        <v>2001</v>
      </c>
      <c r="B5" s="3"/>
      <c r="C5" s="3"/>
      <c r="D5" s="3">
        <v>100</v>
      </c>
      <c r="E5" s="3">
        <f t="shared" si="0"/>
        <v>-100</v>
      </c>
      <c r="F5" s="32">
        <v>645</v>
      </c>
    </row>
    <row r="6" spans="1:8">
      <c r="A6" s="2">
        <v>2002</v>
      </c>
      <c r="B6" s="3"/>
      <c r="C6" s="3"/>
      <c r="D6" s="3">
        <v>100</v>
      </c>
      <c r="E6" s="3">
        <f t="shared" si="0"/>
        <v>-100</v>
      </c>
      <c r="F6" s="32">
        <v>578</v>
      </c>
    </row>
    <row r="7" spans="1:8">
      <c r="A7" s="2">
        <v>2003</v>
      </c>
      <c r="B7" s="3">
        <v>3867.29</v>
      </c>
      <c r="C7" s="3">
        <v>1764.24</v>
      </c>
      <c r="D7" s="3">
        <v>1764.24</v>
      </c>
      <c r="E7" s="3">
        <f t="shared" si="0"/>
        <v>0</v>
      </c>
      <c r="F7" s="32"/>
    </row>
    <row r="8" spans="1:8">
      <c r="A8" s="2">
        <v>2004</v>
      </c>
      <c r="B8" s="3">
        <v>2766</v>
      </c>
      <c r="C8" s="3">
        <v>982.41</v>
      </c>
      <c r="D8" s="3">
        <v>982.41</v>
      </c>
      <c r="E8" s="3">
        <f t="shared" si="0"/>
        <v>0</v>
      </c>
      <c r="F8" s="32"/>
    </row>
    <row r="9" spans="1:8">
      <c r="A9" s="2">
        <v>2005</v>
      </c>
      <c r="B9" s="3">
        <v>1173.8699999999999</v>
      </c>
      <c r="C9" s="3"/>
      <c r="D9" s="3">
        <v>60</v>
      </c>
      <c r="E9" s="3">
        <f t="shared" si="0"/>
        <v>-60</v>
      </c>
      <c r="F9" s="32">
        <v>255</v>
      </c>
    </row>
    <row r="10" spans="1:8">
      <c r="A10" s="2">
        <v>2006</v>
      </c>
      <c r="B10" s="3">
        <v>10622.02</v>
      </c>
      <c r="C10" s="3"/>
      <c r="D10" s="3">
        <v>500</v>
      </c>
      <c r="E10" s="3">
        <f t="shared" si="0"/>
        <v>-500</v>
      </c>
      <c r="F10" s="32">
        <v>1894</v>
      </c>
    </row>
    <row r="11" spans="1:8">
      <c r="A11" s="2">
        <v>2007</v>
      </c>
      <c r="B11" s="3"/>
      <c r="C11" s="3"/>
      <c r="D11" s="3">
        <v>500</v>
      </c>
      <c r="E11" s="3">
        <f t="shared" si="0"/>
        <v>-500</v>
      </c>
      <c r="F11" s="32">
        <v>1681</v>
      </c>
    </row>
    <row r="12" spans="1:8">
      <c r="A12" s="2">
        <v>2008</v>
      </c>
      <c r="B12" s="3"/>
      <c r="C12" s="3"/>
      <c r="D12" s="3">
        <v>500</v>
      </c>
      <c r="E12" s="3">
        <f t="shared" si="0"/>
        <v>-500</v>
      </c>
      <c r="F12" s="32">
        <v>1513</v>
      </c>
    </row>
    <row r="13" spans="1:8">
      <c r="A13" s="2">
        <v>2009</v>
      </c>
      <c r="B13" s="3">
        <v>20573.16</v>
      </c>
      <c r="C13" s="3"/>
      <c r="D13" s="3">
        <v>1000</v>
      </c>
      <c r="E13" s="3">
        <f t="shared" si="0"/>
        <v>-1000</v>
      </c>
      <c r="F13" s="32">
        <v>2774</v>
      </c>
    </row>
    <row r="14" spans="1:8">
      <c r="A14" s="2">
        <v>2010</v>
      </c>
      <c r="B14" s="3">
        <v>22899.48</v>
      </c>
      <c r="C14" s="3">
        <v>1073.6099999999999</v>
      </c>
      <c r="D14" s="3">
        <v>1073.6099999999999</v>
      </c>
      <c r="E14" s="3">
        <f t="shared" si="0"/>
        <v>0</v>
      </c>
      <c r="F14" s="32"/>
    </row>
    <row r="15" spans="1:8">
      <c r="A15" s="2">
        <v>2011</v>
      </c>
      <c r="B15" s="3"/>
      <c r="C15" s="3"/>
      <c r="D15" s="3"/>
      <c r="E15" s="3">
        <f t="shared" si="0"/>
        <v>0</v>
      </c>
      <c r="F15" s="32"/>
    </row>
    <row r="16" spans="1:8">
      <c r="A16" s="2">
        <v>2012</v>
      </c>
      <c r="B16" s="3"/>
      <c r="C16" s="3"/>
      <c r="D16" s="3"/>
      <c r="E16" s="3">
        <f t="shared" si="0"/>
        <v>0</v>
      </c>
      <c r="F16" s="32"/>
    </row>
    <row r="17" spans="1:10">
      <c r="A17" s="2">
        <v>2013</v>
      </c>
      <c r="B17" s="3"/>
      <c r="C17" s="3"/>
      <c r="D17" s="3"/>
      <c r="E17" s="3">
        <f t="shared" si="0"/>
        <v>0</v>
      </c>
      <c r="F17" s="32"/>
    </row>
    <row r="18" spans="1:10">
      <c r="A18" s="2">
        <v>2014</v>
      </c>
      <c r="B18" s="3"/>
      <c r="C18" s="3"/>
      <c r="D18" s="3"/>
      <c r="E18" s="3">
        <f t="shared" si="0"/>
        <v>0</v>
      </c>
      <c r="F18" s="32"/>
    </row>
    <row r="19" spans="1:10">
      <c r="A19" s="2">
        <v>2015</v>
      </c>
      <c r="B19" s="3"/>
      <c r="C19" s="3"/>
      <c r="D19" s="3"/>
      <c r="E19" s="3">
        <f t="shared" si="0"/>
        <v>0</v>
      </c>
      <c r="F19" s="32"/>
    </row>
    <row r="20" spans="1:10">
      <c r="A20" s="2">
        <v>2016</v>
      </c>
      <c r="B20" s="3"/>
      <c r="C20" s="3"/>
      <c r="D20" s="3"/>
      <c r="E20" s="3">
        <f t="shared" si="0"/>
        <v>0</v>
      </c>
      <c r="F20" s="32"/>
    </row>
    <row r="21" spans="1:10">
      <c r="A21" s="2">
        <v>2017</v>
      </c>
      <c r="B21" s="3"/>
      <c r="C21" s="3"/>
      <c r="D21" s="3"/>
      <c r="E21" s="3">
        <f t="shared" si="0"/>
        <v>0</v>
      </c>
      <c r="F21" s="32"/>
    </row>
    <row r="22" spans="1:10">
      <c r="A22" s="2">
        <v>2018</v>
      </c>
      <c r="B22" s="3"/>
      <c r="C22" s="3"/>
      <c r="D22" s="3"/>
      <c r="E22" s="3">
        <f t="shared" si="0"/>
        <v>0</v>
      </c>
      <c r="F22" s="32"/>
    </row>
    <row r="23" spans="1:10">
      <c r="A23" s="2">
        <v>2019</v>
      </c>
      <c r="B23" s="3"/>
      <c r="C23" s="3"/>
      <c r="D23" s="3"/>
      <c r="E23" s="3">
        <f t="shared" si="0"/>
        <v>0</v>
      </c>
      <c r="F23" s="32"/>
    </row>
    <row r="24" spans="1:10">
      <c r="A24" s="2">
        <v>2020</v>
      </c>
      <c r="B24" s="3"/>
      <c r="C24" s="3"/>
      <c r="D24" s="3"/>
      <c r="E24" s="3">
        <f t="shared" si="0"/>
        <v>0</v>
      </c>
      <c r="F24" s="32"/>
    </row>
    <row r="25" spans="1:10">
      <c r="A25" s="2">
        <v>2021</v>
      </c>
      <c r="B25" s="3"/>
      <c r="C25" s="3"/>
      <c r="D25" s="3"/>
      <c r="E25" s="3">
        <f t="shared" si="0"/>
        <v>0</v>
      </c>
      <c r="F25" s="32"/>
    </row>
    <row r="26" spans="1:10">
      <c r="A26" s="2">
        <v>2022</v>
      </c>
      <c r="B26" s="3"/>
      <c r="C26" s="3"/>
      <c r="D26" s="3"/>
      <c r="E26" s="3">
        <f t="shared" si="0"/>
        <v>0</v>
      </c>
      <c r="F26" s="32"/>
    </row>
    <row r="27" spans="1:10">
      <c r="A27" s="2"/>
      <c r="B27" s="3">
        <f>SUM(B2:B26)</f>
        <v>61901.819999999992</v>
      </c>
      <c r="C27" s="3"/>
      <c r="D27" s="3"/>
      <c r="E27" s="340">
        <f>SUM(E2:E26)</f>
        <v>-3060</v>
      </c>
      <c r="F27" s="367">
        <f>SUM(F2:F26)</f>
        <v>11918</v>
      </c>
    </row>
    <row r="28" spans="1:10" ht="15">
      <c r="F28" s="82">
        <v>45355</v>
      </c>
      <c r="G28" s="384" t="s">
        <v>469</v>
      </c>
    </row>
    <row r="30" spans="1:10" ht="15.75">
      <c r="A30" s="13" t="s">
        <v>296</v>
      </c>
      <c r="B30" s="13"/>
      <c r="C30" s="13"/>
      <c r="D30" s="13"/>
      <c r="E30" s="13"/>
      <c r="F30" s="13"/>
      <c r="G30" s="13"/>
      <c r="H30" s="13"/>
      <c r="I30" s="13"/>
      <c r="J30" s="13"/>
    </row>
    <row r="33" spans="4:4" ht="15">
      <c r="D33" t="s">
        <v>294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F36" sqref="F36"/>
    </sheetView>
  </sheetViews>
  <sheetFormatPr defaultRowHeight="11.25"/>
  <cols>
    <col min="1" max="1" width="3.44140625" style="1" bestFit="1" customWidth="1"/>
    <col min="2" max="2" width="15.77734375" style="1" customWidth="1"/>
    <col min="3" max="3" width="9.44140625" style="1" customWidth="1"/>
    <col min="4" max="4" width="8" style="1" bestFit="1" customWidth="1"/>
    <col min="5" max="16384" width="8.88671875" style="1"/>
  </cols>
  <sheetData>
    <row r="1" spans="1:7" s="38" customFormat="1">
      <c r="A1" s="37"/>
      <c r="B1" s="39" t="s">
        <v>280</v>
      </c>
      <c r="C1" s="39" t="s">
        <v>19</v>
      </c>
      <c r="D1" s="37" t="s">
        <v>24</v>
      </c>
      <c r="E1" s="39" t="s">
        <v>13</v>
      </c>
    </row>
    <row r="2" spans="1:7">
      <c r="A2" s="2">
        <v>1998</v>
      </c>
      <c r="B2" s="18">
        <v>440.21</v>
      </c>
      <c r="C2" s="18">
        <v>440.21</v>
      </c>
      <c r="D2" s="3">
        <f>B2-C2</f>
        <v>0</v>
      </c>
      <c r="E2" s="32"/>
      <c r="G2" s="227"/>
    </row>
    <row r="3" spans="1:7">
      <c r="A3" s="2">
        <v>1999</v>
      </c>
      <c r="B3" s="18">
        <v>73.37</v>
      </c>
      <c r="C3" s="18">
        <v>73.37</v>
      </c>
      <c r="D3" s="3">
        <f t="shared" ref="D3:D26" si="0">B3-C3</f>
        <v>0</v>
      </c>
      <c r="E3" s="32"/>
      <c r="G3" s="227"/>
    </row>
    <row r="4" spans="1:7">
      <c r="A4" s="2">
        <v>2000</v>
      </c>
      <c r="B4" s="3">
        <v>29.35</v>
      </c>
      <c r="C4" s="3">
        <v>29.35</v>
      </c>
      <c r="D4" s="3">
        <f t="shared" si="0"/>
        <v>0</v>
      </c>
      <c r="E4" s="32"/>
      <c r="G4" s="227"/>
    </row>
    <row r="5" spans="1:7">
      <c r="A5" s="2">
        <v>2001</v>
      </c>
      <c r="B5" s="3"/>
      <c r="C5" s="36">
        <v>500</v>
      </c>
      <c r="D5" s="3">
        <f t="shared" si="0"/>
        <v>-500</v>
      </c>
      <c r="E5" s="32">
        <v>3193</v>
      </c>
    </row>
    <row r="6" spans="1:7">
      <c r="A6" s="2">
        <v>2002</v>
      </c>
      <c r="B6" s="3"/>
      <c r="C6" s="36">
        <v>1000</v>
      </c>
      <c r="D6" s="3">
        <f t="shared" si="0"/>
        <v>-1000</v>
      </c>
      <c r="E6" s="32">
        <v>5736</v>
      </c>
    </row>
    <row r="7" spans="1:7">
      <c r="A7" s="2">
        <v>2003</v>
      </c>
      <c r="B7" s="3"/>
      <c r="C7" s="36">
        <v>1000</v>
      </c>
      <c r="D7" s="3">
        <f t="shared" si="0"/>
        <v>-1000</v>
      </c>
      <c r="E7" s="32">
        <v>5192</v>
      </c>
    </row>
    <row r="8" spans="1:7">
      <c r="A8" s="2">
        <v>2004</v>
      </c>
      <c r="B8" s="3"/>
      <c r="C8" s="36">
        <v>1000</v>
      </c>
      <c r="D8" s="3">
        <f t="shared" si="0"/>
        <v>-1000</v>
      </c>
      <c r="E8" s="32">
        <v>4700</v>
      </c>
    </row>
    <row r="9" spans="1:7">
      <c r="A9" s="2">
        <v>2005</v>
      </c>
      <c r="B9" s="3"/>
      <c r="C9" s="36">
        <v>1000</v>
      </c>
      <c r="D9" s="3">
        <f t="shared" si="0"/>
        <v>-1000</v>
      </c>
      <c r="E9" s="32">
        <v>4244</v>
      </c>
    </row>
    <row r="10" spans="1:7">
      <c r="A10" s="2">
        <v>2006</v>
      </c>
      <c r="B10" s="3">
        <v>3000</v>
      </c>
      <c r="C10" s="3">
        <v>3000</v>
      </c>
      <c r="D10" s="3">
        <f t="shared" si="0"/>
        <v>0</v>
      </c>
      <c r="E10" s="32"/>
    </row>
    <row r="11" spans="1:7">
      <c r="A11" s="2">
        <v>2007</v>
      </c>
      <c r="B11" s="3"/>
      <c r="C11" s="36">
        <v>3000</v>
      </c>
      <c r="D11" s="3">
        <f t="shared" si="0"/>
        <v>-3000</v>
      </c>
      <c r="E11" s="32">
        <v>10085</v>
      </c>
    </row>
    <row r="12" spans="1:7">
      <c r="A12" s="2">
        <v>2008</v>
      </c>
      <c r="B12" s="3"/>
      <c r="C12" s="36">
        <v>3000</v>
      </c>
      <c r="D12" s="3">
        <f t="shared" si="0"/>
        <v>-3000</v>
      </c>
      <c r="E12" s="32">
        <v>9080</v>
      </c>
    </row>
    <row r="13" spans="1:7">
      <c r="A13" s="2">
        <v>2009</v>
      </c>
      <c r="B13" s="3"/>
      <c r="C13" s="36">
        <v>3000</v>
      </c>
      <c r="D13" s="3">
        <f t="shared" si="0"/>
        <v>-3000</v>
      </c>
      <c r="E13" s="32">
        <v>8322</v>
      </c>
    </row>
    <row r="14" spans="1:7">
      <c r="A14" s="2">
        <v>2010</v>
      </c>
      <c r="B14" s="3"/>
      <c r="C14" s="36">
        <v>3000</v>
      </c>
      <c r="D14" s="3">
        <f t="shared" si="0"/>
        <v>-3000</v>
      </c>
      <c r="E14" s="32">
        <v>7622</v>
      </c>
    </row>
    <row r="15" spans="1:7">
      <c r="A15" s="2">
        <v>2011</v>
      </c>
      <c r="B15" s="3"/>
      <c r="C15" s="36">
        <v>3000</v>
      </c>
      <c r="D15" s="3">
        <f t="shared" si="0"/>
        <v>-3000</v>
      </c>
      <c r="E15" s="32">
        <v>6953</v>
      </c>
    </row>
    <row r="16" spans="1:7">
      <c r="A16" s="2">
        <v>2012</v>
      </c>
      <c r="B16" s="3">
        <v>5589.11</v>
      </c>
      <c r="C16" s="3">
        <v>5589.11</v>
      </c>
      <c r="D16" s="3">
        <f t="shared" si="0"/>
        <v>0</v>
      </c>
      <c r="E16" s="32"/>
    </row>
    <row r="17" spans="1:9">
      <c r="A17" s="2">
        <v>2013</v>
      </c>
      <c r="B17" s="3"/>
      <c r="C17" s="3">
        <v>1</v>
      </c>
      <c r="D17" s="3">
        <f t="shared" si="0"/>
        <v>-1</v>
      </c>
      <c r="E17" s="32"/>
    </row>
    <row r="18" spans="1:9">
      <c r="A18" s="2">
        <v>2014</v>
      </c>
      <c r="B18" s="3"/>
      <c r="C18" s="3"/>
      <c r="D18" s="3">
        <f t="shared" si="0"/>
        <v>0</v>
      </c>
      <c r="E18" s="32"/>
    </row>
    <row r="19" spans="1:9">
      <c r="A19" s="2">
        <v>2015</v>
      </c>
      <c r="B19" s="3"/>
      <c r="C19" s="3"/>
      <c r="D19" s="3">
        <f t="shared" si="0"/>
        <v>0</v>
      </c>
      <c r="E19" s="32"/>
    </row>
    <row r="20" spans="1:9">
      <c r="A20" s="2">
        <v>2016</v>
      </c>
      <c r="B20" s="3"/>
      <c r="C20" s="3"/>
      <c r="D20" s="3">
        <f t="shared" si="0"/>
        <v>0</v>
      </c>
      <c r="E20" s="32"/>
    </row>
    <row r="21" spans="1:9">
      <c r="A21" s="2">
        <v>2017</v>
      </c>
      <c r="B21" s="3"/>
      <c r="C21" s="3"/>
      <c r="D21" s="3">
        <f t="shared" si="0"/>
        <v>0</v>
      </c>
      <c r="E21" s="32"/>
    </row>
    <row r="22" spans="1:9">
      <c r="A22" s="2">
        <v>2018</v>
      </c>
      <c r="B22" s="3"/>
      <c r="C22" s="3"/>
      <c r="D22" s="3">
        <f t="shared" si="0"/>
        <v>0</v>
      </c>
      <c r="E22" s="32"/>
    </row>
    <row r="23" spans="1:9">
      <c r="A23" s="2">
        <v>2019</v>
      </c>
      <c r="B23" s="3"/>
      <c r="C23" s="3"/>
      <c r="D23" s="3">
        <f t="shared" si="0"/>
        <v>0</v>
      </c>
      <c r="E23" s="32"/>
    </row>
    <row r="24" spans="1:9">
      <c r="A24" s="2">
        <v>2020</v>
      </c>
      <c r="B24" s="3"/>
      <c r="C24" s="3"/>
      <c r="D24" s="3">
        <f t="shared" si="0"/>
        <v>0</v>
      </c>
      <c r="E24" s="32"/>
    </row>
    <row r="25" spans="1:9">
      <c r="A25" s="2">
        <v>2021</v>
      </c>
      <c r="B25" s="3"/>
      <c r="C25" s="3"/>
      <c r="D25" s="3">
        <f t="shared" si="0"/>
        <v>0</v>
      </c>
      <c r="E25" s="32"/>
    </row>
    <row r="26" spans="1:9">
      <c r="A26" s="2">
        <v>2022</v>
      </c>
      <c r="B26" s="3"/>
      <c r="C26" s="3"/>
      <c r="D26" s="3">
        <f t="shared" si="0"/>
        <v>0</v>
      </c>
      <c r="E26" s="32"/>
    </row>
    <row r="27" spans="1:9">
      <c r="A27" s="2"/>
      <c r="B27" s="3">
        <f>SUM(B2:B26)</f>
        <v>9132.0399999999991</v>
      </c>
      <c r="C27" s="3">
        <f>SUM(C2:C26)</f>
        <v>28633.040000000001</v>
      </c>
      <c r="D27" s="340">
        <f>SUM(D2:D26)</f>
        <v>-19501</v>
      </c>
      <c r="E27" s="367">
        <f>SUM(E3:E26)</f>
        <v>65127</v>
      </c>
    </row>
    <row r="28" spans="1:9" ht="15">
      <c r="E28" s="82">
        <v>45355</v>
      </c>
      <c r="F28" s="384" t="s">
        <v>469</v>
      </c>
    </row>
    <row r="30" spans="1:9" ht="15.75">
      <c r="A30" s="13" t="s">
        <v>288</v>
      </c>
      <c r="B30" s="13"/>
      <c r="C30" s="13"/>
      <c r="D30" s="13"/>
      <c r="E30" s="13"/>
      <c r="F30" s="13"/>
      <c r="G30" s="13"/>
      <c r="H30" s="13"/>
      <c r="I30" s="13"/>
    </row>
    <row r="33" spans="3:3" ht="15">
      <c r="C33" t="s">
        <v>294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workbookViewId="0">
      <pane ySplit="2" topLeftCell="A18" activePane="bottomLeft" state="frozen"/>
      <selection pane="bottomLeft" activeCell="AE47" sqref="AE47"/>
    </sheetView>
  </sheetViews>
  <sheetFormatPr defaultRowHeight="11.25"/>
  <cols>
    <col min="1" max="1" width="3.44140625" style="1" bestFit="1" customWidth="1"/>
    <col min="2" max="2" width="7.33203125" style="1" bestFit="1" customWidth="1"/>
    <col min="3" max="3" width="6.44140625" style="1" hidden="1" customWidth="1"/>
    <col min="4" max="4" width="7.33203125" style="1" bestFit="1" customWidth="1"/>
    <col min="5" max="5" width="6.44140625" style="1" hidden="1" customWidth="1"/>
    <col min="6" max="6" width="7.33203125" style="1" bestFit="1" customWidth="1"/>
    <col min="7" max="7" width="6.44140625" style="1" hidden="1" customWidth="1"/>
    <col min="8" max="8" width="7.33203125" style="1" bestFit="1" customWidth="1"/>
    <col min="9" max="9" width="6.44140625" style="1" hidden="1" customWidth="1"/>
    <col min="10" max="10" width="7.33203125" style="1" bestFit="1" customWidth="1"/>
    <col min="11" max="11" width="6.44140625" style="1" hidden="1" customWidth="1"/>
    <col min="12" max="12" width="7.33203125" style="1" bestFit="1" customWidth="1"/>
    <col min="13" max="13" width="6.44140625" style="1" hidden="1" customWidth="1"/>
    <col min="14" max="14" width="7.33203125" style="1" bestFit="1" customWidth="1"/>
    <col min="15" max="15" width="6.44140625" style="1" hidden="1" customWidth="1"/>
    <col min="16" max="16" width="7.33203125" style="1" bestFit="1" customWidth="1"/>
    <col min="17" max="17" width="6.44140625" style="1" hidden="1" customWidth="1"/>
    <col min="18" max="18" width="7.33203125" style="1" bestFit="1" customWidth="1"/>
    <col min="19" max="19" width="6.44140625" style="1" hidden="1" customWidth="1"/>
    <col min="20" max="20" width="9.6640625" style="1" bestFit="1" customWidth="1"/>
    <col min="21" max="21" width="6.44140625" style="1" hidden="1" customWidth="1"/>
    <col min="22" max="22" width="9.6640625" style="1" bestFit="1" customWidth="1"/>
    <col min="23" max="23" width="6.44140625" style="1" hidden="1" customWidth="1"/>
    <col min="24" max="24" width="11.6640625" style="1" bestFit="1" customWidth="1"/>
    <col min="25" max="25" width="6.44140625" style="1" hidden="1" customWidth="1"/>
    <col min="26" max="26" width="4.88671875" style="1" bestFit="1" customWidth="1"/>
    <col min="27" max="27" width="11.6640625" style="1" bestFit="1" customWidth="1"/>
    <col min="28" max="28" width="8" style="1" hidden="1" customWidth="1"/>
    <col min="29" max="30" width="8.44140625" style="1" customWidth="1"/>
    <col min="31" max="16384" width="8.88671875" style="1"/>
  </cols>
  <sheetData>
    <row r="1" spans="1:32">
      <c r="A1" s="30"/>
      <c r="B1" s="450" t="s">
        <v>2</v>
      </c>
      <c r="C1" s="451"/>
      <c r="D1" s="452" t="s">
        <v>3</v>
      </c>
      <c r="E1" s="453"/>
      <c r="F1" s="450" t="s">
        <v>4</v>
      </c>
      <c r="G1" s="451"/>
      <c r="H1" s="455" t="s">
        <v>5</v>
      </c>
      <c r="I1" s="456"/>
      <c r="J1" s="450" t="s">
        <v>0</v>
      </c>
      <c r="K1" s="451"/>
      <c r="L1" s="452" t="s">
        <v>6</v>
      </c>
      <c r="M1" s="453"/>
      <c r="N1" s="450" t="s">
        <v>7</v>
      </c>
      <c r="O1" s="451"/>
      <c r="P1" s="455" t="s">
        <v>8</v>
      </c>
      <c r="Q1" s="456"/>
      <c r="R1" s="450" t="s">
        <v>9</v>
      </c>
      <c r="S1" s="451"/>
      <c r="T1" s="452" t="s">
        <v>10</v>
      </c>
      <c r="U1" s="453"/>
      <c r="V1" s="450" t="s">
        <v>11</v>
      </c>
      <c r="W1" s="451"/>
      <c r="X1" s="455" t="s">
        <v>12</v>
      </c>
      <c r="Y1" s="456"/>
      <c r="Z1" s="445" t="s">
        <v>28</v>
      </c>
      <c r="AA1" s="445" t="s">
        <v>25</v>
      </c>
      <c r="AB1" s="445" t="s">
        <v>13</v>
      </c>
      <c r="AC1" s="454" t="s">
        <v>112</v>
      </c>
      <c r="AD1" s="457" t="s">
        <v>469</v>
      </c>
    </row>
    <row r="2" spans="1:32">
      <c r="A2" s="30"/>
      <c r="B2" s="106" t="s">
        <v>40</v>
      </c>
      <c r="C2" s="106" t="s">
        <v>14</v>
      </c>
      <c r="D2" s="74" t="s">
        <v>40</v>
      </c>
      <c r="E2" s="74" t="s">
        <v>14</v>
      </c>
      <c r="F2" s="106" t="s">
        <v>40</v>
      </c>
      <c r="G2" s="106" t="s">
        <v>14</v>
      </c>
      <c r="H2" s="79" t="s">
        <v>40</v>
      </c>
      <c r="I2" s="79" t="s">
        <v>14</v>
      </c>
      <c r="J2" s="106" t="s">
        <v>40</v>
      </c>
      <c r="K2" s="106" t="s">
        <v>14</v>
      </c>
      <c r="L2" s="74" t="s">
        <v>40</v>
      </c>
      <c r="M2" s="74" t="s">
        <v>14</v>
      </c>
      <c r="N2" s="106" t="s">
        <v>40</v>
      </c>
      <c r="O2" s="106" t="s">
        <v>14</v>
      </c>
      <c r="P2" s="79" t="s">
        <v>40</v>
      </c>
      <c r="Q2" s="79" t="s">
        <v>14</v>
      </c>
      <c r="R2" s="106" t="s">
        <v>40</v>
      </c>
      <c r="S2" s="106" t="s">
        <v>14</v>
      </c>
      <c r="T2" s="74" t="s">
        <v>40</v>
      </c>
      <c r="U2" s="74" t="s">
        <v>14</v>
      </c>
      <c r="V2" s="106" t="s">
        <v>40</v>
      </c>
      <c r="W2" s="106" t="s">
        <v>14</v>
      </c>
      <c r="X2" s="79" t="s">
        <v>40</v>
      </c>
      <c r="Y2" s="79" t="s">
        <v>14</v>
      </c>
      <c r="Z2" s="446"/>
      <c r="AA2" s="446"/>
      <c r="AB2" s="446"/>
      <c r="AC2" s="454"/>
      <c r="AD2" s="457"/>
    </row>
    <row r="3" spans="1:32">
      <c r="A3" s="12">
        <v>1998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71"/>
      <c r="Q3" s="71"/>
      <c r="R3" s="71"/>
      <c r="S3" s="71"/>
      <c r="T3" s="71"/>
      <c r="U3" s="71"/>
      <c r="V3" s="71"/>
      <c r="W3" s="71"/>
      <c r="X3" s="71"/>
      <c r="Y3" s="71"/>
      <c r="Z3" s="71">
        <f t="shared" ref="Z3:Z6" si="0">B3+D3+F3+H3+J3+L3+N3+P3+R3+T3+V3+X3</f>
        <v>0</v>
      </c>
      <c r="AA3" s="17">
        <f>Z3/340.75</f>
        <v>0</v>
      </c>
      <c r="AB3" s="17">
        <f>C3+E3+G3+I3+K3+M3+O3+Q3+S3+U3+W3+Y3</f>
        <v>0</v>
      </c>
      <c r="AC3" s="23">
        <v>2034.17</v>
      </c>
      <c r="AD3" s="28">
        <v>21068</v>
      </c>
    </row>
    <row r="4" spans="1:32">
      <c r="A4" s="2">
        <v>1999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1">
        <f t="shared" si="0"/>
        <v>0</v>
      </c>
      <c r="AA4" s="17">
        <f t="shared" ref="AA4:AA6" si="1">Z4/340.75</f>
        <v>0</v>
      </c>
      <c r="AB4" s="17">
        <f t="shared" ref="AB4:AB45" si="2">C4+E4+G4+I4+K4+M4+O4+Q4+S4+U4+W4+Y4</f>
        <v>0</v>
      </c>
      <c r="AC4" s="23">
        <v>4398.95</v>
      </c>
      <c r="AD4" s="28">
        <v>36292</v>
      </c>
    </row>
    <row r="5" spans="1:32">
      <c r="A5" s="2">
        <v>2000</v>
      </c>
      <c r="B5" s="31"/>
      <c r="C5" s="31"/>
      <c r="D5" s="31"/>
      <c r="E5" s="31"/>
      <c r="F5" s="31"/>
      <c r="G5" s="7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71"/>
      <c r="Z5" s="71">
        <f t="shared" si="0"/>
        <v>0</v>
      </c>
      <c r="AA5" s="17">
        <f t="shared" si="1"/>
        <v>0</v>
      </c>
      <c r="AB5" s="17">
        <f t="shared" si="2"/>
        <v>0</v>
      </c>
      <c r="AC5" s="108">
        <v>5839.95</v>
      </c>
      <c r="AD5" s="81">
        <v>41432</v>
      </c>
    </row>
    <row r="6" spans="1:32">
      <c r="A6" s="2">
        <v>2001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71"/>
      <c r="Z6" s="71">
        <f t="shared" si="0"/>
        <v>0</v>
      </c>
      <c r="AA6" s="17">
        <f t="shared" si="1"/>
        <v>0</v>
      </c>
      <c r="AB6" s="17">
        <f t="shared" si="2"/>
        <v>0</v>
      </c>
      <c r="AC6" s="23">
        <v>5455.42</v>
      </c>
      <c r="AD6" s="28">
        <v>34843</v>
      </c>
    </row>
    <row r="7" spans="1:32">
      <c r="A7" s="2">
        <v>2002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"/>
      <c r="Z7" s="193"/>
      <c r="AA7" s="17">
        <f>B7+D7+F7+H7+J7+L7+N7+P7+R7+T7+V7+X7</f>
        <v>0</v>
      </c>
      <c r="AB7" s="17">
        <f t="shared" si="2"/>
        <v>0</v>
      </c>
      <c r="AC7" s="23">
        <v>6160.33</v>
      </c>
      <c r="AD7" s="28">
        <v>35041</v>
      </c>
    </row>
    <row r="8" spans="1:32">
      <c r="A8" s="2">
        <v>2003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80"/>
      <c r="Z8" s="193"/>
      <c r="AA8" s="17">
        <f t="shared" ref="AA8:AA45" si="3">B8+D8+F8+H8+J8+L8+N8+P8+R8+T8+V8+X8</f>
        <v>0</v>
      </c>
      <c r="AB8" s="17">
        <f t="shared" si="2"/>
        <v>0</v>
      </c>
      <c r="AC8" s="23">
        <v>21627.01</v>
      </c>
      <c r="AD8" s="28">
        <v>112291</v>
      </c>
    </row>
    <row r="9" spans="1:32">
      <c r="A9" s="2">
        <v>2004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80"/>
      <c r="Z9" s="193"/>
      <c r="AA9" s="17">
        <f t="shared" si="3"/>
        <v>0</v>
      </c>
      <c r="AB9" s="17">
        <f t="shared" si="2"/>
        <v>0</v>
      </c>
      <c r="AC9" s="108">
        <v>18219.400000000001</v>
      </c>
      <c r="AD9" s="81">
        <v>85633</v>
      </c>
    </row>
    <row r="10" spans="1:32">
      <c r="A10" s="228">
        <v>2005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4"/>
      <c r="AA10" s="18">
        <f t="shared" si="3"/>
        <v>0</v>
      </c>
      <c r="AB10" s="18">
        <f t="shared" si="2"/>
        <v>0</v>
      </c>
      <c r="AC10" s="109">
        <v>12819.48</v>
      </c>
      <c r="AD10" s="126">
        <v>53924</v>
      </c>
    </row>
    <row r="11" spans="1:32">
      <c r="A11" s="229">
        <v>2006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"/>
      <c r="AA11" s="18">
        <f t="shared" si="3"/>
        <v>0</v>
      </c>
      <c r="AB11" s="18">
        <f t="shared" si="2"/>
        <v>0</v>
      </c>
      <c r="AC11" s="109">
        <v>15567.52</v>
      </c>
      <c r="AD11" s="126">
        <v>58386</v>
      </c>
    </row>
    <row r="12" spans="1:32">
      <c r="A12" s="228">
        <v>2007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4"/>
      <c r="AA12" s="18">
        <f t="shared" si="3"/>
        <v>0</v>
      </c>
      <c r="AB12" s="18">
        <f t="shared" si="2"/>
        <v>0</v>
      </c>
      <c r="AC12" s="109">
        <v>21594.29</v>
      </c>
      <c r="AD12" s="126">
        <v>71861</v>
      </c>
      <c r="AE12" s="83" t="s">
        <v>96</v>
      </c>
    </row>
    <row r="13" spans="1:32">
      <c r="A13" s="229">
        <v>2008</v>
      </c>
      <c r="B13" s="18">
        <v>1000</v>
      </c>
      <c r="C13" s="18"/>
      <c r="D13" s="18">
        <v>1000</v>
      </c>
      <c r="E13" s="18"/>
      <c r="F13" s="18">
        <v>1000</v>
      </c>
      <c r="G13" s="18"/>
      <c r="H13" s="18">
        <v>1000</v>
      </c>
      <c r="I13" s="18"/>
      <c r="J13" s="18">
        <v>1000</v>
      </c>
      <c r="K13" s="18"/>
      <c r="L13" s="18">
        <v>1000</v>
      </c>
      <c r="M13" s="18"/>
      <c r="N13" s="18">
        <v>1000</v>
      </c>
      <c r="O13" s="18"/>
      <c r="P13" s="18"/>
      <c r="Q13" s="18"/>
      <c r="R13" s="18">
        <v>972.48</v>
      </c>
      <c r="S13" s="18"/>
      <c r="T13" s="18">
        <v>977.98</v>
      </c>
      <c r="U13" s="18"/>
      <c r="V13" s="18">
        <v>975.46</v>
      </c>
      <c r="W13" s="18"/>
      <c r="X13" s="18">
        <v>1188.27</v>
      </c>
      <c r="Y13" s="18"/>
      <c r="Z13" s="4"/>
      <c r="AA13" s="18">
        <f t="shared" si="3"/>
        <v>11114.189999999999</v>
      </c>
      <c r="AB13" s="18">
        <f t="shared" si="2"/>
        <v>0</v>
      </c>
      <c r="AC13" s="109">
        <v>15924.44</v>
      </c>
      <c r="AD13" s="126">
        <v>47846</v>
      </c>
      <c r="AE13" s="83" t="s">
        <v>96</v>
      </c>
    </row>
    <row r="14" spans="1:32">
      <c r="A14" s="228">
        <v>2009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"/>
      <c r="AA14" s="18">
        <f t="shared" si="3"/>
        <v>0</v>
      </c>
      <c r="AB14" s="18">
        <f t="shared" si="2"/>
        <v>0</v>
      </c>
      <c r="AC14" s="109">
        <v>6185.87</v>
      </c>
      <c r="AD14" s="126">
        <v>17033</v>
      </c>
    </row>
    <row r="15" spans="1:32">
      <c r="A15" s="229">
        <v>2010</v>
      </c>
      <c r="B15" s="18">
        <v>1659.44</v>
      </c>
      <c r="C15" s="18"/>
      <c r="D15" s="18">
        <v>1659.44</v>
      </c>
      <c r="E15" s="18"/>
      <c r="F15" s="18">
        <v>1659.44</v>
      </c>
      <c r="G15" s="18"/>
      <c r="H15" s="18">
        <v>1661.17</v>
      </c>
      <c r="I15" s="18"/>
      <c r="J15" s="18">
        <v>1672.61</v>
      </c>
      <c r="K15" s="18"/>
      <c r="L15" s="18">
        <v>1672.61</v>
      </c>
      <c r="M15" s="18"/>
      <c r="N15" s="18">
        <v>1672.61</v>
      </c>
      <c r="O15" s="18"/>
      <c r="P15" s="18">
        <v>1672.61</v>
      </c>
      <c r="Q15" s="18"/>
      <c r="R15" s="18">
        <v>1672.61</v>
      </c>
      <c r="S15" s="18"/>
      <c r="T15" s="18">
        <v>1672.61</v>
      </c>
      <c r="U15" s="18"/>
      <c r="V15" s="18">
        <v>1702.61</v>
      </c>
      <c r="W15" s="18"/>
      <c r="X15" s="18">
        <v>1672.61</v>
      </c>
      <c r="Y15" s="18"/>
      <c r="Z15" s="4"/>
      <c r="AA15" s="18">
        <f t="shared" si="3"/>
        <v>20050.370000000003</v>
      </c>
      <c r="AB15" s="18">
        <f t="shared" si="2"/>
        <v>0</v>
      </c>
      <c r="AC15" s="109">
        <v>17787.740000000002</v>
      </c>
      <c r="AD15" s="126">
        <v>44857</v>
      </c>
      <c r="AE15" s="83" t="s">
        <v>114</v>
      </c>
      <c r="AF15" s="83" t="s">
        <v>113</v>
      </c>
    </row>
    <row r="16" spans="1:32">
      <c r="A16" s="229">
        <v>2010</v>
      </c>
      <c r="B16" s="18">
        <v>663.52</v>
      </c>
      <c r="C16" s="18"/>
      <c r="D16" s="18">
        <v>663.52</v>
      </c>
      <c r="E16" s="18"/>
      <c r="F16" s="18">
        <v>663.52</v>
      </c>
      <c r="G16" s="18"/>
      <c r="H16" s="18">
        <v>663.52</v>
      </c>
      <c r="I16" s="18"/>
      <c r="J16" s="18">
        <v>663.52</v>
      </c>
      <c r="K16" s="18"/>
      <c r="L16" s="18">
        <v>663.52</v>
      </c>
      <c r="M16" s="18"/>
      <c r="N16" s="18">
        <v>663.52</v>
      </c>
      <c r="O16" s="18"/>
      <c r="P16" s="18">
        <v>663.52</v>
      </c>
      <c r="Q16" s="18"/>
      <c r="R16" s="18">
        <v>663.52</v>
      </c>
      <c r="S16" s="18"/>
      <c r="T16" s="18">
        <v>663.52</v>
      </c>
      <c r="U16" s="18"/>
      <c r="V16" s="18">
        <v>663.52</v>
      </c>
      <c r="W16" s="18"/>
      <c r="X16" s="18">
        <v>663.52</v>
      </c>
      <c r="Y16" s="18"/>
      <c r="Z16" s="4"/>
      <c r="AA16" s="18">
        <f t="shared" si="3"/>
        <v>7962.2400000000016</v>
      </c>
      <c r="AB16" s="18">
        <f t="shared" si="2"/>
        <v>0</v>
      </c>
      <c r="AC16" s="109"/>
      <c r="AD16" s="126"/>
      <c r="AE16" s="113" t="s">
        <v>115</v>
      </c>
    </row>
    <row r="17" spans="1:31">
      <c r="A17" s="229">
        <v>2010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514.64</v>
      </c>
      <c r="W17" s="18"/>
      <c r="X17" s="18"/>
      <c r="Y17" s="18"/>
      <c r="Z17" s="4"/>
      <c r="AA17" s="18">
        <f t="shared" si="3"/>
        <v>514.64</v>
      </c>
      <c r="AB17" s="18">
        <f t="shared" si="2"/>
        <v>0</v>
      </c>
      <c r="AC17" s="109"/>
      <c r="AD17" s="126"/>
      <c r="AE17" s="113" t="s">
        <v>116</v>
      </c>
    </row>
    <row r="18" spans="1:31">
      <c r="A18" s="165">
        <v>2011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4"/>
      <c r="AA18" s="18">
        <f t="shared" si="3"/>
        <v>0</v>
      </c>
      <c r="AB18" s="18">
        <f t="shared" si="2"/>
        <v>0</v>
      </c>
      <c r="AC18" s="224">
        <v>379.03</v>
      </c>
      <c r="AD18" s="186">
        <v>876</v>
      </c>
      <c r="AE18" s="83" t="s">
        <v>228</v>
      </c>
    </row>
    <row r="19" spans="1:31">
      <c r="A19" s="165">
        <v>2011</v>
      </c>
      <c r="B19" s="18">
        <v>1685.99</v>
      </c>
      <c r="C19" s="18"/>
      <c r="D19" s="18">
        <v>1685.99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721.2</v>
      </c>
      <c r="Q19" s="18"/>
      <c r="R19" s="18">
        <v>727.39</v>
      </c>
      <c r="S19" s="18"/>
      <c r="T19" s="18"/>
      <c r="U19" s="18"/>
      <c r="V19" s="18">
        <v>739.76</v>
      </c>
      <c r="W19" s="18"/>
      <c r="X19" s="18">
        <v>745.94</v>
      </c>
      <c r="Y19" s="18"/>
      <c r="Z19" s="4"/>
      <c r="AA19" s="18">
        <f t="shared" si="3"/>
        <v>6306.27</v>
      </c>
      <c r="AB19" s="18">
        <f t="shared" si="2"/>
        <v>0</v>
      </c>
      <c r="AC19" s="109"/>
      <c r="AD19" s="126"/>
      <c r="AE19" s="83" t="s">
        <v>114</v>
      </c>
    </row>
    <row r="20" spans="1:31">
      <c r="A20" s="165">
        <v>2011</v>
      </c>
      <c r="B20" s="18">
        <v>723.9</v>
      </c>
      <c r="C20" s="18"/>
      <c r="D20" s="18">
        <v>728.55</v>
      </c>
      <c r="E20" s="18"/>
      <c r="F20" s="18">
        <v>733.19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v>733.57</v>
      </c>
      <c r="U20" s="18"/>
      <c r="V20" s="18"/>
      <c r="W20" s="18"/>
      <c r="X20" s="18"/>
      <c r="Y20" s="18"/>
      <c r="Z20" s="4"/>
      <c r="AA20" s="18">
        <f t="shared" si="3"/>
        <v>2919.21</v>
      </c>
      <c r="AB20" s="18">
        <f t="shared" si="2"/>
        <v>0</v>
      </c>
      <c r="AC20" s="109"/>
      <c r="AD20" s="126"/>
      <c r="AE20" s="113" t="s">
        <v>115</v>
      </c>
    </row>
    <row r="21" spans="1:31">
      <c r="A21" s="165">
        <v>2011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v>492.05</v>
      </c>
      <c r="S21" s="18"/>
      <c r="T21" s="18">
        <v>492.05</v>
      </c>
      <c r="U21" s="18"/>
      <c r="V21" s="18"/>
      <c r="W21" s="18"/>
      <c r="X21" s="18">
        <v>989.02</v>
      </c>
      <c r="Y21" s="18"/>
      <c r="Z21" s="4"/>
      <c r="AA21" s="18">
        <f t="shared" si="3"/>
        <v>1973.12</v>
      </c>
      <c r="AB21" s="18">
        <f t="shared" si="2"/>
        <v>0</v>
      </c>
      <c r="AC21" s="108"/>
      <c r="AD21" s="81"/>
      <c r="AE21" s="83" t="s">
        <v>283</v>
      </c>
    </row>
    <row r="22" spans="1:31">
      <c r="A22" s="166">
        <v>2012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1736.4</v>
      </c>
      <c r="O22" s="18"/>
      <c r="P22" s="18">
        <v>1747.35</v>
      </c>
      <c r="Q22" s="18"/>
      <c r="R22" s="18">
        <v>1758.3</v>
      </c>
      <c r="S22" s="18"/>
      <c r="T22" s="18">
        <v>1762.68</v>
      </c>
      <c r="U22" s="18"/>
      <c r="V22" s="18"/>
      <c r="W22" s="18"/>
      <c r="X22" s="18"/>
      <c r="Y22" s="18"/>
      <c r="Z22" s="4"/>
      <c r="AA22" s="18">
        <f t="shared" si="3"/>
        <v>7004.7300000000005</v>
      </c>
      <c r="AB22" s="18">
        <f t="shared" si="2"/>
        <v>0</v>
      </c>
      <c r="AC22" s="108">
        <v>2102.04</v>
      </c>
      <c r="AD22" s="81">
        <v>4497</v>
      </c>
      <c r="AE22" s="83" t="s">
        <v>285</v>
      </c>
    </row>
    <row r="23" spans="1:31">
      <c r="A23" s="166">
        <v>2012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>
        <v>724.05</v>
      </c>
      <c r="O23" s="18"/>
      <c r="P23" s="18">
        <v>636.97</v>
      </c>
      <c r="Q23" s="18"/>
      <c r="R23" s="18">
        <v>639.75</v>
      </c>
      <c r="S23" s="18"/>
      <c r="T23" s="18">
        <v>644.52</v>
      </c>
      <c r="U23" s="18"/>
      <c r="V23" s="18"/>
      <c r="W23" s="18"/>
      <c r="X23" s="18"/>
      <c r="Y23" s="17"/>
      <c r="Z23" s="21"/>
      <c r="AA23" s="18">
        <f t="shared" si="3"/>
        <v>2645.29</v>
      </c>
      <c r="AB23" s="17"/>
      <c r="AC23" s="108"/>
      <c r="AD23" s="81"/>
      <c r="AE23" s="83" t="s">
        <v>284</v>
      </c>
    </row>
    <row r="24" spans="1:31">
      <c r="A24" s="165">
        <v>2013</v>
      </c>
      <c r="B24" s="18">
        <v>3531.54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7"/>
      <c r="Z24" s="21"/>
      <c r="AA24" s="18">
        <f t="shared" si="3"/>
        <v>3531.54</v>
      </c>
      <c r="AB24" s="17"/>
      <c r="AC24" s="108">
        <v>12697.87</v>
      </c>
      <c r="AD24" s="81">
        <v>25128</v>
      </c>
      <c r="AE24" s="83" t="s">
        <v>286</v>
      </c>
    </row>
    <row r="25" spans="1:31">
      <c r="A25" s="165">
        <v>2013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730.54</v>
      </c>
      <c r="W25" s="18"/>
      <c r="X25" s="18">
        <v>635.25</v>
      </c>
      <c r="Y25" s="17"/>
      <c r="Z25" s="21"/>
      <c r="AA25" s="18">
        <f t="shared" si="3"/>
        <v>1365.79</v>
      </c>
      <c r="AB25" s="17"/>
      <c r="AC25" s="108"/>
      <c r="AD25" s="81"/>
      <c r="AE25" s="83" t="s">
        <v>287</v>
      </c>
    </row>
    <row r="26" spans="1:31">
      <c r="A26" s="166">
        <v>2014</v>
      </c>
      <c r="B26" s="18">
        <v>539.96</v>
      </c>
      <c r="C26" s="18"/>
      <c r="D26" s="18"/>
      <c r="E26" s="18"/>
      <c r="F26" s="18">
        <v>300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7"/>
      <c r="Z26" s="21"/>
      <c r="AA26" s="18">
        <f t="shared" si="3"/>
        <v>839.96</v>
      </c>
      <c r="AB26" s="17"/>
      <c r="AC26" s="108">
        <v>5852.31</v>
      </c>
      <c r="AD26" s="81">
        <v>10702</v>
      </c>
      <c r="AE26" s="83" t="s">
        <v>287</v>
      </c>
    </row>
    <row r="27" spans="1:31">
      <c r="A27" s="166">
        <v>2014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525.52</v>
      </c>
      <c r="W27" s="18"/>
      <c r="X27" s="18">
        <v>525.52</v>
      </c>
      <c r="Y27" s="17"/>
      <c r="Z27" s="21"/>
      <c r="AA27" s="18">
        <f t="shared" si="3"/>
        <v>1051.04</v>
      </c>
      <c r="AB27" s="17"/>
      <c r="AC27" s="108"/>
      <c r="AD27" s="81"/>
      <c r="AE27" s="83" t="s">
        <v>289</v>
      </c>
    </row>
    <row r="28" spans="1:31">
      <c r="A28" s="165">
        <v>2015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>
        <v>3915.78</v>
      </c>
      <c r="S28" s="18"/>
      <c r="T28" s="18">
        <v>1950.77</v>
      </c>
      <c r="U28" s="18"/>
      <c r="V28" s="18"/>
      <c r="W28" s="18"/>
      <c r="X28" s="18"/>
      <c r="Y28" s="17"/>
      <c r="Z28" s="21"/>
      <c r="AA28" s="18">
        <f t="shared" si="3"/>
        <v>5866.55</v>
      </c>
      <c r="AB28" s="17"/>
      <c r="AC28" s="108">
        <v>24664.06</v>
      </c>
      <c r="AD28" s="81">
        <v>41948</v>
      </c>
      <c r="AE28" s="83" t="s">
        <v>291</v>
      </c>
    </row>
    <row r="29" spans="1:31">
      <c r="A29" s="165">
        <v>2015</v>
      </c>
      <c r="B29" s="18">
        <v>525.52</v>
      </c>
      <c r="C29" s="18"/>
      <c r="D29" s="18">
        <v>525.52</v>
      </c>
      <c r="E29" s="18"/>
      <c r="F29" s="18">
        <v>525.52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7"/>
      <c r="Z29" s="21"/>
      <c r="AA29" s="18">
        <f t="shared" si="3"/>
        <v>1576.56</v>
      </c>
      <c r="AB29" s="17"/>
      <c r="AC29" s="108"/>
      <c r="AD29" s="81"/>
      <c r="AE29" s="83" t="s">
        <v>289</v>
      </c>
    </row>
    <row r="30" spans="1:31">
      <c r="A30" s="165">
        <v>2015</v>
      </c>
      <c r="B30" s="18"/>
      <c r="C30" s="18"/>
      <c r="D30" s="18"/>
      <c r="E30" s="18"/>
      <c r="F30" s="18"/>
      <c r="G30" s="18"/>
      <c r="H30" s="18">
        <v>220</v>
      </c>
      <c r="I30" s="18"/>
      <c r="J30" s="18"/>
      <c r="K30" s="18"/>
      <c r="L30" s="18">
        <v>250</v>
      </c>
      <c r="M30" s="18"/>
      <c r="N30" s="18">
        <v>496.36</v>
      </c>
      <c r="O30" s="18"/>
      <c r="P30" s="18"/>
      <c r="Q30" s="18"/>
      <c r="R30" s="18">
        <v>993.96</v>
      </c>
      <c r="S30" s="18"/>
      <c r="T30" s="18">
        <v>528.97</v>
      </c>
      <c r="U30" s="18"/>
      <c r="V30" s="18">
        <v>528.97</v>
      </c>
      <c r="W30" s="18"/>
      <c r="X30" s="18">
        <v>528.97</v>
      </c>
      <c r="Y30" s="17"/>
      <c r="Z30" s="21"/>
      <c r="AA30" s="18">
        <f t="shared" si="3"/>
        <v>3547.2300000000005</v>
      </c>
      <c r="AB30" s="17"/>
      <c r="AC30" s="108"/>
      <c r="AD30" s="81"/>
      <c r="AE30" s="83" t="s">
        <v>290</v>
      </c>
    </row>
    <row r="31" spans="1:31">
      <c r="A31" s="166">
        <v>2016</v>
      </c>
      <c r="B31" s="18"/>
      <c r="C31" s="18"/>
      <c r="D31" s="18">
        <v>500</v>
      </c>
      <c r="E31" s="18"/>
      <c r="F31" s="18"/>
      <c r="G31" s="18"/>
      <c r="H31" s="18">
        <v>1588.46</v>
      </c>
      <c r="I31" s="18"/>
      <c r="J31" s="18"/>
      <c r="K31" s="18"/>
      <c r="L31" s="18">
        <v>1059.23</v>
      </c>
      <c r="M31" s="18"/>
      <c r="N31" s="18">
        <v>529</v>
      </c>
      <c r="O31" s="18"/>
      <c r="P31" s="18">
        <v>528.97</v>
      </c>
      <c r="Q31" s="18"/>
      <c r="R31" s="18"/>
      <c r="S31" s="18"/>
      <c r="T31" s="18"/>
      <c r="U31" s="18"/>
      <c r="V31" s="18"/>
      <c r="W31" s="18"/>
      <c r="X31" s="18">
        <v>528.97</v>
      </c>
      <c r="Y31" s="17"/>
      <c r="Z31" s="21"/>
      <c r="AA31" s="18">
        <f t="shared" si="3"/>
        <v>4734.63</v>
      </c>
      <c r="AB31" s="17"/>
      <c r="AC31" s="108">
        <v>19085.14</v>
      </c>
      <c r="AD31" s="81">
        <v>30233</v>
      </c>
      <c r="AE31" s="83" t="s">
        <v>290</v>
      </c>
    </row>
    <row r="32" spans="1:31">
      <c r="A32" s="165">
        <v>2017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66.22</v>
      </c>
      <c r="U32" s="18"/>
      <c r="V32" s="18">
        <v>50</v>
      </c>
      <c r="W32" s="18"/>
      <c r="X32" s="18">
        <v>60</v>
      </c>
      <c r="Y32" s="17"/>
      <c r="Z32" s="21"/>
      <c r="AA32" s="18">
        <f t="shared" si="3"/>
        <v>176.22</v>
      </c>
      <c r="AB32" s="17"/>
      <c r="AC32" s="108">
        <v>8475.43</v>
      </c>
      <c r="AD32" s="81">
        <v>12519</v>
      </c>
      <c r="AE32" s="83" t="s">
        <v>292</v>
      </c>
    </row>
    <row r="33" spans="1:31">
      <c r="A33" s="166">
        <v>2018</v>
      </c>
      <c r="B33" s="18">
        <v>122.58</v>
      </c>
      <c r="C33" s="18"/>
      <c r="D33" s="18">
        <v>58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7"/>
      <c r="Z33" s="21"/>
      <c r="AA33" s="18">
        <f t="shared" si="3"/>
        <v>180.57999999999998</v>
      </c>
      <c r="AB33" s="17">
        <f t="shared" si="2"/>
        <v>0</v>
      </c>
      <c r="AC33" s="108">
        <v>27679.65</v>
      </c>
      <c r="AD33" s="81">
        <v>38128</v>
      </c>
      <c r="AE33" s="83" t="s">
        <v>292</v>
      </c>
    </row>
    <row r="34" spans="1:31">
      <c r="A34" s="165">
        <v>2019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7"/>
      <c r="Z34" s="21"/>
      <c r="AA34" s="18">
        <f t="shared" si="3"/>
        <v>0</v>
      </c>
      <c r="AB34" s="17">
        <f t="shared" si="2"/>
        <v>0</v>
      </c>
      <c r="AC34" s="108">
        <v>4018.97</v>
      </c>
      <c r="AD34" s="81">
        <v>5161</v>
      </c>
    </row>
    <row r="35" spans="1:31">
      <c r="A35" s="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7"/>
      <c r="Z35" s="21"/>
      <c r="AA35" s="18"/>
      <c r="AB35" s="17"/>
      <c r="AC35" s="108"/>
      <c r="AD35" s="81"/>
    </row>
    <row r="36" spans="1:31">
      <c r="A36" s="2">
        <v>2020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7"/>
      <c r="Z36" s="21"/>
      <c r="AA36" s="18">
        <f t="shared" si="3"/>
        <v>0</v>
      </c>
      <c r="AB36" s="17">
        <f t="shared" si="2"/>
        <v>0</v>
      </c>
      <c r="AC36" s="108">
        <v>8626.6299999999992</v>
      </c>
      <c r="AD36" s="81">
        <v>10333</v>
      </c>
    </row>
    <row r="37" spans="1:31">
      <c r="A37" s="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7"/>
      <c r="Z37" s="21"/>
      <c r="AA37" s="18"/>
      <c r="AB37" s="17"/>
      <c r="AC37" s="108"/>
      <c r="AD37" s="81"/>
    </row>
    <row r="38" spans="1:31">
      <c r="A38" s="2">
        <v>2021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7"/>
      <c r="Z38" s="21"/>
      <c r="AA38" s="18">
        <f t="shared" si="3"/>
        <v>0</v>
      </c>
      <c r="AB38" s="17">
        <f t="shared" si="2"/>
        <v>0</v>
      </c>
      <c r="AC38" s="108">
        <v>25630.85</v>
      </c>
      <c r="AD38" s="81">
        <v>28628</v>
      </c>
    </row>
    <row r="39" spans="1:31">
      <c r="A39" s="23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7"/>
      <c r="Z39" s="21"/>
      <c r="AA39" s="18"/>
      <c r="AB39" s="17"/>
      <c r="AC39" s="108"/>
      <c r="AD39" s="81"/>
    </row>
    <row r="40" spans="1:31">
      <c r="A40" s="171">
        <v>2022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7"/>
      <c r="Z40" s="21"/>
      <c r="AA40" s="18">
        <f t="shared" si="3"/>
        <v>0</v>
      </c>
      <c r="AB40" s="17">
        <f t="shared" si="2"/>
        <v>0</v>
      </c>
      <c r="AC40" s="108">
        <v>21618.15</v>
      </c>
      <c r="AD40" s="81">
        <v>22517</v>
      </c>
    </row>
    <row r="41" spans="1:31">
      <c r="A41" s="171">
        <v>2022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7"/>
      <c r="Z41" s="21"/>
      <c r="AA41" s="18">
        <f t="shared" si="3"/>
        <v>0</v>
      </c>
      <c r="AB41" s="17">
        <f t="shared" si="2"/>
        <v>0</v>
      </c>
      <c r="AC41" s="23">
        <v>864.09</v>
      </c>
      <c r="AD41" s="28"/>
      <c r="AE41" s="1" t="s">
        <v>464</v>
      </c>
    </row>
    <row r="42" spans="1:31">
      <c r="A42" s="171">
        <v>2022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7"/>
      <c r="Z42" s="21"/>
      <c r="AA42" s="17">
        <f t="shared" si="3"/>
        <v>0</v>
      </c>
      <c r="AB42" s="17">
        <f t="shared" si="2"/>
        <v>0</v>
      </c>
      <c r="AC42" s="23"/>
      <c r="AD42" s="28"/>
    </row>
    <row r="43" spans="1:31">
      <c r="A43" s="171">
        <v>2022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7"/>
      <c r="Z43" s="21"/>
      <c r="AA43" s="17">
        <f t="shared" si="3"/>
        <v>0</v>
      </c>
      <c r="AB43" s="17">
        <f t="shared" si="2"/>
        <v>0</v>
      </c>
      <c r="AC43" s="23"/>
      <c r="AD43" s="28"/>
    </row>
    <row r="44" spans="1:31">
      <c r="A44" s="171">
        <v>2022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7"/>
      <c r="Z44" s="21"/>
      <c r="AA44" s="17">
        <f t="shared" si="3"/>
        <v>0</v>
      </c>
      <c r="AB44" s="17">
        <f t="shared" si="2"/>
        <v>0</v>
      </c>
      <c r="AC44" s="23"/>
      <c r="AD44" s="28"/>
    </row>
    <row r="45" spans="1:31">
      <c r="A45" s="2">
        <v>2023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7"/>
      <c r="Z45" s="21"/>
      <c r="AA45" s="17">
        <f t="shared" si="3"/>
        <v>0</v>
      </c>
      <c r="AB45" s="17">
        <f t="shared" si="2"/>
        <v>0</v>
      </c>
      <c r="AC45" s="108"/>
      <c r="AD45" s="81"/>
    </row>
    <row r="46" spans="1:31" ht="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18">
        <f>SUM(AA3:AA45)</f>
        <v>83360.160000000018</v>
      </c>
      <c r="AB46" s="18">
        <f>SUM(AB3:AB45)</f>
        <v>0</v>
      </c>
      <c r="AC46" s="108">
        <f>SUM(AC3:AC45)</f>
        <v>315308.79000000004</v>
      </c>
      <c r="AD46" s="81">
        <f>SUM(AD3:AD45)</f>
        <v>891177</v>
      </c>
      <c r="AE46" s="384" t="s">
        <v>469</v>
      </c>
    </row>
    <row r="47" spans="1:31">
      <c r="AB47" s="5">
        <f>AA46+AB46</f>
        <v>83360.160000000018</v>
      </c>
      <c r="AC47" s="81"/>
      <c r="AD47" s="81"/>
      <c r="AE47" s="82">
        <v>45359</v>
      </c>
    </row>
    <row r="48" spans="1:31">
      <c r="AC48" s="81"/>
    </row>
    <row r="49" spans="1:31" ht="15.75">
      <c r="A49" s="432" t="s">
        <v>450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81"/>
      <c r="AD49" s="81"/>
    </row>
    <row r="50" spans="1:31">
      <c r="AC50" s="81"/>
      <c r="AD50" s="81"/>
    </row>
    <row r="51" spans="1:31">
      <c r="J51" s="23"/>
      <c r="AC51" s="108"/>
      <c r="AD51" s="108"/>
      <c r="AE51" s="23"/>
    </row>
    <row r="52" spans="1:31" ht="15.75">
      <c r="A52" s="432" t="s">
        <v>451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108"/>
      <c r="AD52" s="108"/>
      <c r="AE52" s="23"/>
    </row>
    <row r="53" spans="1:31">
      <c r="X53" s="5"/>
      <c r="AC53" s="23"/>
      <c r="AD53" s="23"/>
      <c r="AE53" s="23"/>
    </row>
    <row r="54" spans="1:31">
      <c r="E54" s="75"/>
      <c r="F54" s="75"/>
      <c r="G54" s="75"/>
      <c r="H54" s="23"/>
      <c r="L54" s="5"/>
    </row>
    <row r="55" spans="1:31" ht="15.75">
      <c r="P55" s="5"/>
      <c r="Q55" s="5"/>
      <c r="W55" s="376"/>
      <c r="X55" s="376"/>
      <c r="Y55" s="376"/>
      <c r="Z55" s="376"/>
      <c r="AA55" s="376"/>
      <c r="AB55" s="376"/>
      <c r="AC55" s="376"/>
      <c r="AD55" s="376"/>
    </row>
    <row r="57" spans="1:31">
      <c r="N57" s="75"/>
      <c r="T57" s="375"/>
      <c r="V57" s="375" t="s">
        <v>300</v>
      </c>
      <c r="W57" s="1" t="s">
        <v>300</v>
      </c>
      <c r="X57" s="1" t="s">
        <v>472</v>
      </c>
      <c r="AA57" s="1" t="s">
        <v>14</v>
      </c>
    </row>
    <row r="58" spans="1:31">
      <c r="P58" s="1" t="s">
        <v>299</v>
      </c>
      <c r="T58" s="28">
        <v>1000000</v>
      </c>
      <c r="V58" s="28">
        <v>5555</v>
      </c>
      <c r="W58" s="28">
        <v>600000</v>
      </c>
      <c r="X58" s="75">
        <f>V58*25*T58</f>
        <v>138875000000</v>
      </c>
      <c r="Y58" s="1" t="s">
        <v>300</v>
      </c>
      <c r="AA58" s="28">
        <f>AD46*X58/AC46</f>
        <v>392511118624.38086</v>
      </c>
      <c r="AB58" s="28" t="e">
        <f>W58*Y58</f>
        <v>#VALUE!</v>
      </c>
    </row>
    <row r="59" spans="1:31">
      <c r="P59" s="1" t="s">
        <v>470</v>
      </c>
      <c r="T59" s="28">
        <v>1000000</v>
      </c>
      <c r="V59" s="28">
        <v>444</v>
      </c>
      <c r="X59" s="75">
        <f t="shared" ref="X59:X60" si="4">V59*25*T59</f>
        <v>11100000000</v>
      </c>
      <c r="AA59" s="28">
        <f>AD46*X59/AC46</f>
        <v>31372625863.046822</v>
      </c>
      <c r="AB59" s="28">
        <v>11000000000</v>
      </c>
    </row>
    <row r="60" spans="1:31">
      <c r="P60" s="1" t="s">
        <v>471</v>
      </c>
      <c r="T60" s="28">
        <v>1000000</v>
      </c>
      <c r="V60" s="28">
        <v>666</v>
      </c>
      <c r="X60" s="75">
        <f t="shared" si="4"/>
        <v>16650000000</v>
      </c>
      <c r="AA60" s="28">
        <f>AD46*X60/AC46</f>
        <v>47058938794.570229</v>
      </c>
      <c r="AB60" s="75" t="e">
        <f>SUM(AB58:AB59)</f>
        <v>#VALUE!</v>
      </c>
    </row>
    <row r="61" spans="1:31">
      <c r="X61" s="75">
        <f>SUM(X58:X60)</f>
        <v>166625000000</v>
      </c>
      <c r="AA61" s="266">
        <f>SUM(AA58:AA60)</f>
        <v>470942683281.99792</v>
      </c>
    </row>
  </sheetData>
  <mergeCells count="19">
    <mergeCell ref="AD1:AD2"/>
    <mergeCell ref="F1:G1"/>
    <mergeCell ref="H1:I1"/>
    <mergeCell ref="J1:K1"/>
    <mergeCell ref="L1:M1"/>
    <mergeCell ref="A52:AB52"/>
    <mergeCell ref="A49:AB49"/>
    <mergeCell ref="B1:C1"/>
    <mergeCell ref="D1:E1"/>
    <mergeCell ref="AC1:AC2"/>
    <mergeCell ref="Z1:Z2"/>
    <mergeCell ref="AA1:AA2"/>
    <mergeCell ref="AB1:AB2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6"/>
  <sheetViews>
    <sheetView zoomScaleNormal="100" workbookViewId="0">
      <pane xSplit="1" ySplit="2" topLeftCell="J27" activePane="bottomRight" state="frozen"/>
      <selection pane="topRight" activeCell="B1" sqref="B1"/>
      <selection pane="bottomLeft" activeCell="A3" sqref="A3"/>
      <selection pane="bottomRight" activeCell="AC63" sqref="AC63"/>
    </sheetView>
  </sheetViews>
  <sheetFormatPr defaultRowHeight="11.25"/>
  <cols>
    <col min="1" max="1" width="3.44140625" style="1" bestFit="1" customWidth="1"/>
    <col min="2" max="6" width="7.33203125" style="1" bestFit="1" customWidth="1"/>
    <col min="7" max="7" width="8" style="1" bestFit="1" customWidth="1"/>
    <col min="8" max="8" width="7.33203125" style="1" bestFit="1" customWidth="1"/>
    <col min="9" max="9" width="9.5546875" style="1" bestFit="1" customWidth="1"/>
    <col min="10" max="10" width="4.5546875" style="1" customWidth="1"/>
    <col min="11" max="11" width="6.44140625" style="1" bestFit="1" customWidth="1"/>
    <col min="12" max="12" width="8.21875" style="1" customWidth="1"/>
    <col min="13" max="13" width="8" style="1" bestFit="1" customWidth="1"/>
    <col min="14" max="14" width="7.33203125" style="1" bestFit="1" customWidth="1"/>
    <col min="15" max="15" width="8" style="1" bestFit="1" customWidth="1"/>
    <col min="16" max="16" width="7.33203125" style="1" bestFit="1" customWidth="1"/>
    <col min="17" max="17" width="8" style="1" bestFit="1" customWidth="1"/>
    <col min="18" max="18" width="7.33203125" style="1" bestFit="1" customWidth="1"/>
    <col min="19" max="19" width="8" style="1" bestFit="1" customWidth="1"/>
    <col min="20" max="20" width="7.33203125" style="1" bestFit="1" customWidth="1"/>
    <col min="21" max="21" width="8" style="1" bestFit="1" customWidth="1"/>
    <col min="22" max="22" width="7.33203125" style="1" bestFit="1" customWidth="1"/>
    <col min="23" max="24" width="12.6640625" style="1" bestFit="1" customWidth="1"/>
    <col min="25" max="25" width="8" style="1" bestFit="1" customWidth="1"/>
    <col min="26" max="26" width="12.6640625" style="1" bestFit="1" customWidth="1"/>
    <col min="27" max="28" width="9.21875" style="1" customWidth="1"/>
    <col min="29" max="29" width="7" style="1" customWidth="1"/>
    <col min="30" max="30" width="11.21875" style="1" customWidth="1"/>
    <col min="31" max="31" width="8.88671875" style="1"/>
    <col min="32" max="32" width="4.77734375" style="1" bestFit="1" customWidth="1"/>
    <col min="33" max="16384" width="8.88671875" style="1"/>
  </cols>
  <sheetData>
    <row r="1" spans="1:32">
      <c r="A1" s="30"/>
      <c r="B1" s="450" t="s">
        <v>2</v>
      </c>
      <c r="C1" s="451"/>
      <c r="D1" s="452" t="s">
        <v>3</v>
      </c>
      <c r="E1" s="453"/>
      <c r="F1" s="450" t="s">
        <v>4</v>
      </c>
      <c r="G1" s="451"/>
      <c r="H1" s="455" t="s">
        <v>5</v>
      </c>
      <c r="I1" s="456"/>
      <c r="J1" s="450" t="s">
        <v>0</v>
      </c>
      <c r="K1" s="451"/>
      <c r="L1" s="452" t="s">
        <v>6</v>
      </c>
      <c r="M1" s="453"/>
      <c r="N1" s="450" t="s">
        <v>7</v>
      </c>
      <c r="O1" s="451"/>
      <c r="P1" s="455" t="s">
        <v>8</v>
      </c>
      <c r="Q1" s="456"/>
      <c r="R1" s="450" t="s">
        <v>9</v>
      </c>
      <c r="S1" s="451"/>
      <c r="T1" s="452" t="s">
        <v>10</v>
      </c>
      <c r="U1" s="453"/>
      <c r="V1" s="450" t="s">
        <v>11</v>
      </c>
      <c r="W1" s="451"/>
      <c r="X1" s="455" t="s">
        <v>12</v>
      </c>
      <c r="Y1" s="456"/>
      <c r="Z1" s="445" t="s">
        <v>109</v>
      </c>
      <c r="AA1" s="445" t="s">
        <v>13</v>
      </c>
      <c r="AB1" s="459" t="s">
        <v>106</v>
      </c>
      <c r="AC1" s="459" t="s">
        <v>251</v>
      </c>
    </row>
    <row r="2" spans="1:32">
      <c r="A2" s="30"/>
      <c r="B2" s="104" t="s">
        <v>40</v>
      </c>
      <c r="C2" s="104" t="s">
        <v>14</v>
      </c>
      <c r="D2" s="74" t="s">
        <v>40</v>
      </c>
      <c r="E2" s="74" t="s">
        <v>14</v>
      </c>
      <c r="F2" s="104" t="s">
        <v>40</v>
      </c>
      <c r="G2" s="104" t="s">
        <v>14</v>
      </c>
      <c r="H2" s="79" t="s">
        <v>40</v>
      </c>
      <c r="I2" s="79" t="s">
        <v>14</v>
      </c>
      <c r="J2" s="104" t="s">
        <v>40</v>
      </c>
      <c r="K2" s="104" t="s">
        <v>14</v>
      </c>
      <c r="L2" s="74" t="s">
        <v>40</v>
      </c>
      <c r="M2" s="74" t="s">
        <v>14</v>
      </c>
      <c r="N2" s="104" t="s">
        <v>40</v>
      </c>
      <c r="O2" s="104" t="s">
        <v>14</v>
      </c>
      <c r="P2" s="79" t="s">
        <v>40</v>
      </c>
      <c r="Q2" s="79" t="s">
        <v>14</v>
      </c>
      <c r="R2" s="104" t="s">
        <v>40</v>
      </c>
      <c r="S2" s="104" t="s">
        <v>14</v>
      </c>
      <c r="T2" s="74" t="s">
        <v>40</v>
      </c>
      <c r="U2" s="74" t="s">
        <v>14</v>
      </c>
      <c r="V2" s="104" t="s">
        <v>40</v>
      </c>
      <c r="W2" s="104" t="s">
        <v>14</v>
      </c>
      <c r="X2" s="79" t="s">
        <v>40</v>
      </c>
      <c r="Y2" s="79" t="s">
        <v>14</v>
      </c>
      <c r="Z2" s="446"/>
      <c r="AA2" s="446"/>
      <c r="AB2" s="459"/>
      <c r="AC2" s="459"/>
    </row>
    <row r="3" spans="1:32" ht="12" thickBot="1">
      <c r="A3" s="202">
        <v>2010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7"/>
      <c r="Z3" s="17"/>
      <c r="AA3" s="17"/>
      <c r="AB3" s="198">
        <v>8026.75</v>
      </c>
      <c r="AC3" s="206"/>
    </row>
    <row r="4" spans="1:32">
      <c r="A4" s="433">
        <v>2011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>
        <v>4996.2299999999996</v>
      </c>
      <c r="S4" s="85">
        <v>13542</v>
      </c>
      <c r="T4" s="85"/>
      <c r="U4" s="85"/>
      <c r="V4" s="85"/>
      <c r="W4" s="85"/>
      <c r="X4" s="85"/>
      <c r="Y4" s="85"/>
      <c r="Z4" s="85">
        <f t="shared" ref="Z4:Z45" si="0">B4+D4+F4+H4+J4+L4+N4+P4+R4+T4+V4+X4</f>
        <v>4996.2299999999996</v>
      </c>
      <c r="AA4" s="85">
        <f t="shared" ref="AA4:AA49" si="1">C4+E4+G4+I4+K4+M4+O4+Q4+S4+U4+W4+Y4</f>
        <v>13542</v>
      </c>
      <c r="AB4" s="199"/>
      <c r="AC4" s="199"/>
      <c r="AD4" s="150" t="s">
        <v>107</v>
      </c>
    </row>
    <row r="5" spans="1:32">
      <c r="A5" s="43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>
        <v>3031.52</v>
      </c>
      <c r="S5" s="18">
        <v>22318</v>
      </c>
      <c r="T5" s="18"/>
      <c r="U5" s="18"/>
      <c r="V5" s="18"/>
      <c r="W5" s="18"/>
      <c r="X5" s="18"/>
      <c r="Y5" s="17"/>
      <c r="Z5" s="17">
        <f t="shared" si="0"/>
        <v>3031.52</v>
      </c>
      <c r="AA5" s="17">
        <f t="shared" si="1"/>
        <v>22318</v>
      </c>
      <c r="AB5" s="198">
        <v>9180.74</v>
      </c>
      <c r="AC5" s="206"/>
      <c r="AD5" s="125" t="s">
        <v>108</v>
      </c>
    </row>
    <row r="6" spans="1:32" ht="12" thickBot="1">
      <c r="A6" s="43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>
        <v>2113.15</v>
      </c>
      <c r="U6" s="84">
        <v>9369</v>
      </c>
      <c r="V6" s="84"/>
      <c r="W6" s="84"/>
      <c r="X6" s="84"/>
      <c r="Y6" s="86"/>
      <c r="Z6" s="86">
        <f t="shared" si="0"/>
        <v>2113.15</v>
      </c>
      <c r="AA6" s="86">
        <f t="shared" si="1"/>
        <v>9369</v>
      </c>
      <c r="AB6" s="197"/>
      <c r="AC6" s="197"/>
      <c r="AD6" s="120" t="s">
        <v>226</v>
      </c>
      <c r="AF6" s="1" t="s">
        <v>238</v>
      </c>
    </row>
    <row r="7" spans="1:32" ht="12" thickBot="1">
      <c r="A7" s="200">
        <v>2012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>
        <f t="shared" si="0"/>
        <v>0</v>
      </c>
      <c r="AA7" s="146">
        <f t="shared" si="1"/>
        <v>0</v>
      </c>
      <c r="AB7" s="194">
        <v>5120.0200000000004</v>
      </c>
      <c r="AC7" s="209"/>
      <c r="AD7" s="153"/>
    </row>
    <row r="8" spans="1:32">
      <c r="A8" s="433">
        <v>2013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>
        <v>30</v>
      </c>
      <c r="W8" s="159"/>
      <c r="X8" s="85"/>
      <c r="Y8" s="85"/>
      <c r="Z8" s="159"/>
      <c r="AA8" s="85"/>
      <c r="AB8" s="199">
        <v>8563.0499999999993</v>
      </c>
      <c r="AC8" s="210"/>
      <c r="AD8" s="150" t="s">
        <v>233</v>
      </c>
      <c r="AF8" s="1">
        <v>183.43</v>
      </c>
    </row>
    <row r="9" spans="1:32">
      <c r="A9" s="434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40</v>
      </c>
      <c r="W9" s="155"/>
      <c r="X9" s="18"/>
      <c r="Y9" s="17"/>
      <c r="Z9" s="133"/>
      <c r="AA9" s="17"/>
      <c r="AB9" s="198"/>
      <c r="AC9" s="198"/>
      <c r="AD9" s="125" t="s">
        <v>234</v>
      </c>
      <c r="AF9" s="1">
        <v>198</v>
      </c>
    </row>
    <row r="10" spans="1:32">
      <c r="A10" s="43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>
        <v>30</v>
      </c>
      <c r="W10" s="155"/>
      <c r="X10" s="18"/>
      <c r="Y10" s="17"/>
      <c r="Z10" s="133"/>
      <c r="AA10" s="17"/>
      <c r="AB10" s="198"/>
      <c r="AC10" s="198"/>
      <c r="AD10" s="125" t="s">
        <v>235</v>
      </c>
      <c r="AF10" s="1">
        <v>183.43</v>
      </c>
    </row>
    <row r="11" spans="1:32">
      <c r="A11" s="434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>
        <v>51.26</v>
      </c>
      <c r="W11" s="201"/>
      <c r="X11" s="196"/>
      <c r="Y11" s="18"/>
      <c r="Z11" s="155"/>
      <c r="AA11" s="17"/>
      <c r="AB11" s="198"/>
      <c r="AC11" s="198"/>
      <c r="AD11" s="125" t="s">
        <v>236</v>
      </c>
      <c r="AF11" s="1">
        <v>169.9</v>
      </c>
    </row>
    <row r="12" spans="1:32" ht="12" thickBot="1">
      <c r="A12" s="435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2"/>
      <c r="N12" s="212"/>
      <c r="O12" s="212"/>
      <c r="P12" s="212"/>
      <c r="Q12" s="212"/>
      <c r="R12" s="212"/>
      <c r="S12" s="212"/>
      <c r="T12" s="212"/>
      <c r="U12" s="212"/>
      <c r="V12" s="213">
        <f>SUM(V8:V11)</f>
        <v>151.26</v>
      </c>
      <c r="W12" s="211">
        <v>563.47</v>
      </c>
      <c r="X12" s="211"/>
      <c r="Y12" s="214"/>
      <c r="Z12" s="214">
        <f>V12</f>
        <v>151.26</v>
      </c>
      <c r="AA12" s="214">
        <f>W12</f>
        <v>563.47</v>
      </c>
      <c r="AB12" s="215"/>
      <c r="AC12" s="215"/>
      <c r="AD12" s="216" t="s">
        <v>1</v>
      </c>
    </row>
    <row r="13" spans="1:32">
      <c r="A13" s="436">
        <v>2014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17"/>
      <c r="N13" s="17"/>
      <c r="O13" s="17"/>
      <c r="P13" s="17"/>
      <c r="Q13" s="17"/>
      <c r="R13" s="17"/>
      <c r="S13" s="17"/>
      <c r="T13" s="17"/>
      <c r="U13" s="17"/>
      <c r="V13" s="17">
        <v>444.12</v>
      </c>
      <c r="W13" s="159"/>
      <c r="X13" s="85">
        <v>444.12</v>
      </c>
      <c r="Y13" s="159"/>
      <c r="Z13" s="85"/>
      <c r="AA13" s="85"/>
      <c r="AB13" s="199">
        <v>10924.58</v>
      </c>
      <c r="AC13" s="198"/>
      <c r="AD13" s="1" t="s">
        <v>239</v>
      </c>
    </row>
    <row r="14" spans="1:32">
      <c r="A14" s="43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>
        <v>200</v>
      </c>
      <c r="M14" s="15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17"/>
      <c r="AA14" s="17"/>
      <c r="AB14" s="198"/>
      <c r="AC14" s="198"/>
      <c r="AD14" s="107" t="s">
        <v>237</v>
      </c>
    </row>
    <row r="15" spans="1:32">
      <c r="A15" s="43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>
        <v>200</v>
      </c>
      <c r="M15" s="15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7"/>
      <c r="Z15" s="17"/>
      <c r="AA15" s="17"/>
      <c r="AB15" s="198"/>
      <c r="AC15" s="198"/>
      <c r="AD15" s="107" t="s">
        <v>246</v>
      </c>
    </row>
    <row r="16" spans="1:32">
      <c r="A16" s="437"/>
      <c r="B16" s="18">
        <v>850</v>
      </c>
      <c r="C16" s="15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7"/>
      <c r="Z16" s="17"/>
      <c r="AA16" s="17"/>
      <c r="AB16" s="198"/>
      <c r="AC16" s="198"/>
      <c r="AD16" s="125" t="s">
        <v>240</v>
      </c>
    </row>
    <row r="17" spans="1:31">
      <c r="A17" s="437"/>
      <c r="B17" s="18">
        <v>10</v>
      </c>
      <c r="C17" s="15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7"/>
      <c r="Z17" s="17"/>
      <c r="AA17" s="17"/>
      <c r="AB17" s="198"/>
      <c r="AC17" s="206"/>
      <c r="AD17" s="125" t="s">
        <v>240</v>
      </c>
    </row>
    <row r="18" spans="1:31">
      <c r="A18" s="437"/>
      <c r="B18" s="18"/>
      <c r="C18" s="18"/>
      <c r="D18" s="18"/>
      <c r="E18" s="18"/>
      <c r="F18" s="18">
        <v>250</v>
      </c>
      <c r="G18" s="155"/>
      <c r="H18" s="18">
        <v>1215.8900000000001</v>
      </c>
      <c r="I18" s="15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7"/>
      <c r="Z18" s="17"/>
      <c r="AA18" s="17"/>
      <c r="AB18" s="198"/>
      <c r="AC18" s="198"/>
      <c r="AD18" s="1" t="s">
        <v>241</v>
      </c>
    </row>
    <row r="19" spans="1:31">
      <c r="A19" s="437"/>
      <c r="B19" s="196"/>
      <c r="C19" s="18"/>
      <c r="D19" s="18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8">
        <v>2254.0500000000002</v>
      </c>
      <c r="U19" s="155"/>
      <c r="V19" s="18"/>
      <c r="W19" s="196"/>
      <c r="X19" s="196"/>
      <c r="Y19" s="18"/>
      <c r="Z19" s="17"/>
      <c r="AA19" s="17"/>
      <c r="AB19" s="198"/>
      <c r="AC19" s="198"/>
      <c r="AD19" s="1" t="s">
        <v>242</v>
      </c>
    </row>
    <row r="20" spans="1:31" ht="12" thickBot="1">
      <c r="A20" s="438"/>
      <c r="B20" s="217">
        <f>SUM(B13:B19)</f>
        <v>860</v>
      </c>
      <c r="C20" s="217">
        <v>3162</v>
      </c>
      <c r="D20" s="217">
        <f t="shared" ref="D20:X20" si="2">SUM(D13:D19)</f>
        <v>0</v>
      </c>
      <c r="E20" s="217">
        <f t="shared" si="2"/>
        <v>0</v>
      </c>
      <c r="F20" s="217">
        <f t="shared" si="2"/>
        <v>250</v>
      </c>
      <c r="G20" s="217">
        <v>907</v>
      </c>
      <c r="H20" s="217">
        <f t="shared" si="2"/>
        <v>1215.8900000000001</v>
      </c>
      <c r="I20" s="217">
        <v>4365</v>
      </c>
      <c r="J20" s="217">
        <f t="shared" si="2"/>
        <v>0</v>
      </c>
      <c r="K20" s="217">
        <f t="shared" si="2"/>
        <v>0</v>
      </c>
      <c r="L20" s="217">
        <f t="shared" si="2"/>
        <v>400</v>
      </c>
      <c r="M20" s="217">
        <v>1425</v>
      </c>
      <c r="N20" s="217">
        <f t="shared" si="2"/>
        <v>0</v>
      </c>
      <c r="O20" s="217">
        <f t="shared" si="2"/>
        <v>0</v>
      </c>
      <c r="P20" s="217">
        <f t="shared" si="2"/>
        <v>0</v>
      </c>
      <c r="Q20" s="217">
        <f t="shared" si="2"/>
        <v>0</v>
      </c>
      <c r="R20" s="217">
        <f t="shared" si="2"/>
        <v>0</v>
      </c>
      <c r="S20" s="217">
        <f t="shared" si="2"/>
        <v>0</v>
      </c>
      <c r="T20" s="217">
        <f t="shared" si="2"/>
        <v>2254.0500000000002</v>
      </c>
      <c r="U20" s="217">
        <v>7838</v>
      </c>
      <c r="V20" s="217">
        <f t="shared" si="2"/>
        <v>444.12</v>
      </c>
      <c r="W20" s="217">
        <v>1535</v>
      </c>
      <c r="X20" s="217">
        <f t="shared" si="2"/>
        <v>444.12</v>
      </c>
      <c r="Y20" s="217">
        <v>1525</v>
      </c>
      <c r="Z20" s="217">
        <f t="shared" ref="Z20:Z24" si="3">B20+D20+F20+H20+J20+L20+N20+P20+R20+T20+V20+X20</f>
        <v>5868.18</v>
      </c>
      <c r="AA20" s="217">
        <f t="shared" si="1"/>
        <v>20757</v>
      </c>
      <c r="AB20" s="218"/>
      <c r="AC20" s="218"/>
      <c r="AD20" s="219" t="s">
        <v>1</v>
      </c>
    </row>
    <row r="21" spans="1:31">
      <c r="A21" s="433">
        <v>2015</v>
      </c>
      <c r="B21" s="85">
        <v>444.14</v>
      </c>
      <c r="C21" s="85">
        <v>1516</v>
      </c>
      <c r="D21" s="85">
        <v>444.12</v>
      </c>
      <c r="E21" s="85">
        <v>1507</v>
      </c>
      <c r="F21" s="85">
        <v>444.12</v>
      </c>
      <c r="G21" s="85">
        <v>1498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17">
        <f t="shared" si="3"/>
        <v>1332.38</v>
      </c>
      <c r="AA21" s="17">
        <f t="shared" si="1"/>
        <v>4521</v>
      </c>
      <c r="AB21" s="199">
        <v>16338.49</v>
      </c>
      <c r="AC21" s="220"/>
      <c r="AD21" s="150" t="s">
        <v>239</v>
      </c>
    </row>
    <row r="22" spans="1:31" ht="12" thickBot="1">
      <c r="A22" s="43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>
        <v>250</v>
      </c>
      <c r="M22" s="18">
        <v>828</v>
      </c>
      <c r="N22" s="18">
        <v>391.43</v>
      </c>
      <c r="O22" s="18">
        <v>1288</v>
      </c>
      <c r="P22" s="18">
        <v>391.43</v>
      </c>
      <c r="Q22" s="18">
        <v>1281</v>
      </c>
      <c r="R22" s="18">
        <v>391.43</v>
      </c>
      <c r="S22" s="18">
        <v>1273</v>
      </c>
      <c r="T22" s="18">
        <v>391.43</v>
      </c>
      <c r="U22" s="18">
        <v>1265</v>
      </c>
      <c r="V22" s="18">
        <v>418.36</v>
      </c>
      <c r="W22" s="18">
        <v>1344</v>
      </c>
      <c r="X22" s="18">
        <v>418.36</v>
      </c>
      <c r="Y22" s="18">
        <v>1336</v>
      </c>
      <c r="Z22" s="18">
        <f t="shared" si="3"/>
        <v>2652.4400000000005</v>
      </c>
      <c r="AA22" s="18">
        <f t="shared" si="1"/>
        <v>8615</v>
      </c>
      <c r="AB22" s="198"/>
      <c r="AC22" s="198"/>
      <c r="AD22" s="125" t="s">
        <v>38</v>
      </c>
    </row>
    <row r="23" spans="1:31">
      <c r="A23" s="237">
        <v>2016</v>
      </c>
      <c r="B23" s="110"/>
      <c r="C23" s="110"/>
      <c r="D23" s="207">
        <v>418.36</v>
      </c>
      <c r="E23" s="110">
        <v>1320</v>
      </c>
      <c r="F23" s="110"/>
      <c r="G23" s="110"/>
      <c r="H23" s="207">
        <v>1255.08</v>
      </c>
      <c r="I23" s="110">
        <v>3913</v>
      </c>
      <c r="J23" s="110"/>
      <c r="K23" s="110"/>
      <c r="L23" s="207">
        <v>836.72</v>
      </c>
      <c r="M23" s="110">
        <v>2577</v>
      </c>
      <c r="N23" s="207">
        <v>418.36</v>
      </c>
      <c r="O23" s="110">
        <v>1281</v>
      </c>
      <c r="P23" s="207">
        <v>418.36</v>
      </c>
      <c r="Q23" s="110">
        <v>1273</v>
      </c>
      <c r="R23" s="110"/>
      <c r="S23" s="110"/>
      <c r="T23" s="110"/>
      <c r="U23" s="110"/>
      <c r="V23" s="110"/>
      <c r="W23" s="110"/>
      <c r="X23" s="207">
        <v>418.36</v>
      </c>
      <c r="Y23" s="110">
        <v>1243</v>
      </c>
      <c r="Z23" s="110">
        <f t="shared" si="3"/>
        <v>3765.2400000000002</v>
      </c>
      <c r="AA23" s="110">
        <f t="shared" si="1"/>
        <v>11607</v>
      </c>
      <c r="AB23" s="199">
        <v>19944.060000000001</v>
      </c>
      <c r="AC23" s="220"/>
      <c r="AD23" s="150" t="s">
        <v>247</v>
      </c>
      <c r="AE23" s="1" t="s">
        <v>184</v>
      </c>
    </row>
    <row r="24" spans="1:31" ht="11.25" customHeight="1" thickBot="1">
      <c r="A24" s="238">
        <v>2016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4">
        <f t="shared" si="3"/>
        <v>0</v>
      </c>
      <c r="AA24" s="84">
        <f t="shared" si="1"/>
        <v>0</v>
      </c>
      <c r="AB24" s="197"/>
      <c r="AC24" s="197"/>
      <c r="AD24" s="120"/>
    </row>
    <row r="25" spans="1:31">
      <c r="A25" s="183">
        <v>2017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4542.84</v>
      </c>
      <c r="W25" s="17">
        <v>12662</v>
      </c>
      <c r="X25" s="17"/>
      <c r="Y25" s="17"/>
      <c r="Z25" s="17">
        <f t="shared" si="0"/>
        <v>4542.84</v>
      </c>
      <c r="AA25" s="17">
        <f t="shared" si="1"/>
        <v>12662</v>
      </c>
      <c r="AB25" s="198">
        <v>11086.07</v>
      </c>
      <c r="AC25" s="198"/>
      <c r="AD25" s="125" t="s">
        <v>243</v>
      </c>
    </row>
    <row r="26" spans="1:31">
      <c r="A26" s="165">
        <v>2017</v>
      </c>
      <c r="B26" s="111"/>
      <c r="C26" s="111"/>
      <c r="D26" s="111"/>
      <c r="E26" s="111"/>
      <c r="F26" s="1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1250</v>
      </c>
      <c r="U26" s="18">
        <v>3484</v>
      </c>
      <c r="V26" s="18">
        <v>912</v>
      </c>
      <c r="W26" s="18">
        <v>2541</v>
      </c>
      <c r="X26" s="18">
        <v>1123</v>
      </c>
      <c r="Y26" s="18">
        <v>3111</v>
      </c>
      <c r="Z26" s="17">
        <f t="shared" si="0"/>
        <v>3285</v>
      </c>
      <c r="AA26" s="17">
        <f t="shared" si="1"/>
        <v>9136</v>
      </c>
      <c r="AB26" s="198"/>
      <c r="AC26" s="198"/>
      <c r="AD26" s="125" t="s">
        <v>293</v>
      </c>
    </row>
    <row r="27" spans="1:31" ht="12" thickBot="1">
      <c r="A27" s="192">
        <v>2017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197"/>
      <c r="AC27" s="205"/>
      <c r="AD27" s="120" t="s">
        <v>184</v>
      </c>
    </row>
    <row r="28" spans="1:31">
      <c r="A28" s="167">
        <v>2018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>
        <f t="shared" si="0"/>
        <v>0</v>
      </c>
      <c r="AA28" s="17">
        <f t="shared" si="1"/>
        <v>0</v>
      </c>
      <c r="AB28" s="107">
        <v>19427.669999999998</v>
      </c>
      <c r="AC28" s="208"/>
      <c r="AD28" s="1" t="s">
        <v>184</v>
      </c>
    </row>
    <row r="29" spans="1:31">
      <c r="A29" s="166">
        <v>2018</v>
      </c>
      <c r="B29" s="18">
        <v>1073</v>
      </c>
      <c r="C29" s="18">
        <v>2956</v>
      </c>
      <c r="D29" s="18">
        <v>1073</v>
      </c>
      <c r="E29" s="18">
        <v>2938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7">
        <f t="shared" si="0"/>
        <v>2146</v>
      </c>
      <c r="AA29" s="17">
        <f t="shared" si="1"/>
        <v>5894</v>
      </c>
      <c r="AB29" s="107"/>
      <c r="AC29" s="208"/>
      <c r="AD29" s="1" t="s">
        <v>267</v>
      </c>
    </row>
    <row r="30" spans="1:31">
      <c r="A30" s="166">
        <v>2018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7">
        <f t="shared" si="0"/>
        <v>0</v>
      </c>
      <c r="AA30" s="17">
        <f t="shared" si="1"/>
        <v>0</v>
      </c>
      <c r="AB30" s="107"/>
      <c r="AC30" s="208"/>
    </row>
    <row r="31" spans="1:31" ht="12" thickBot="1">
      <c r="A31" s="184">
        <v>2018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102">
        <v>4692</v>
      </c>
      <c r="O31" s="84">
        <v>12482</v>
      </c>
      <c r="P31" s="102">
        <v>4392</v>
      </c>
      <c r="Q31" s="84">
        <v>11616</v>
      </c>
      <c r="R31" s="102">
        <v>7249</v>
      </c>
      <c r="S31" s="84">
        <v>19061</v>
      </c>
      <c r="T31" s="102">
        <v>4363</v>
      </c>
      <c r="U31" s="84">
        <v>11406</v>
      </c>
      <c r="V31" s="102"/>
      <c r="W31" s="84"/>
      <c r="X31" s="102"/>
      <c r="Y31" s="84"/>
      <c r="Z31" s="84">
        <f t="shared" si="0"/>
        <v>20696</v>
      </c>
      <c r="AA31" s="84">
        <f t="shared" si="1"/>
        <v>54565</v>
      </c>
      <c r="AB31" s="197"/>
      <c r="AC31" s="197"/>
      <c r="AD31" s="120" t="s">
        <v>248</v>
      </c>
    </row>
    <row r="32" spans="1:31">
      <c r="A32" s="183">
        <v>2019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f t="shared" si="0"/>
        <v>0</v>
      </c>
      <c r="AA32" s="17">
        <f t="shared" si="1"/>
        <v>0</v>
      </c>
      <c r="AB32" s="107">
        <v>19466.12</v>
      </c>
      <c r="AC32" s="208"/>
      <c r="AD32" s="1" t="s">
        <v>184</v>
      </c>
    </row>
    <row r="33" spans="1:30" ht="12" thickBot="1">
      <c r="A33" s="192">
        <v>2019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>
        <v>1469.06</v>
      </c>
      <c r="U33" s="86">
        <v>3581</v>
      </c>
      <c r="V33" s="86">
        <v>1469.06</v>
      </c>
      <c r="W33" s="86">
        <v>3560</v>
      </c>
      <c r="X33" s="86"/>
      <c r="Y33" s="86"/>
      <c r="Z33" s="86">
        <f t="shared" si="0"/>
        <v>2938.12</v>
      </c>
      <c r="AA33" s="86">
        <f t="shared" si="1"/>
        <v>7141</v>
      </c>
      <c r="AB33" s="197"/>
      <c r="AC33" s="197"/>
      <c r="AD33" s="120" t="s">
        <v>249</v>
      </c>
    </row>
    <row r="34" spans="1:30">
      <c r="A34" s="167">
        <v>2020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>
        <v>5600</v>
      </c>
      <c r="M34" s="17">
        <v>13030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f t="shared" si="0"/>
        <v>5600</v>
      </c>
      <c r="AA34" s="17">
        <f t="shared" si="1"/>
        <v>13030</v>
      </c>
      <c r="AB34" s="107">
        <v>16446.48</v>
      </c>
      <c r="AC34" s="107"/>
      <c r="AD34" s="1" t="s">
        <v>250</v>
      </c>
    </row>
    <row r="35" spans="1:30" ht="12" thickBot="1">
      <c r="A35" s="204">
        <v>2020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>
        <f t="shared" si="0"/>
        <v>0</v>
      </c>
      <c r="AA35" s="86">
        <f t="shared" si="1"/>
        <v>0</v>
      </c>
      <c r="AB35" s="197"/>
      <c r="AC35" s="205"/>
      <c r="AD35" s="120" t="s">
        <v>184</v>
      </c>
    </row>
    <row r="36" spans="1:30">
      <c r="A36" s="183">
        <v>2021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>
        <v>1170</v>
      </c>
      <c r="O36" s="133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1"/>
      <c r="AA36" s="17">
        <f t="shared" si="1"/>
        <v>0</v>
      </c>
      <c r="AB36" s="107">
        <v>26879.4</v>
      </c>
      <c r="AC36" s="221"/>
      <c r="AD36" s="1" t="s">
        <v>254</v>
      </c>
    </row>
    <row r="37" spans="1:30">
      <c r="A37" s="183">
        <v>2021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3332.87</v>
      </c>
      <c r="O37" s="133"/>
      <c r="P37" s="17">
        <v>1313.66</v>
      </c>
      <c r="Q37" s="133"/>
      <c r="R37" s="17"/>
      <c r="S37" s="17"/>
      <c r="T37" s="17"/>
      <c r="U37" s="17"/>
      <c r="V37" s="17"/>
      <c r="W37" s="17"/>
      <c r="X37" s="17"/>
      <c r="Y37" s="17"/>
      <c r="Z37" s="18"/>
      <c r="AA37" s="17">
        <f t="shared" si="1"/>
        <v>0</v>
      </c>
      <c r="AB37" s="107"/>
      <c r="AC37" s="107"/>
      <c r="AD37" s="1" t="s">
        <v>255</v>
      </c>
    </row>
    <row r="38" spans="1:30">
      <c r="A38" s="183">
        <v>2021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106.1</v>
      </c>
      <c r="O38" s="133"/>
      <c r="P38" s="17"/>
      <c r="Q38" s="17"/>
      <c r="R38" s="17"/>
      <c r="S38" s="17"/>
      <c r="T38" s="17"/>
      <c r="U38" s="17"/>
      <c r="V38" s="17"/>
      <c r="W38" s="17"/>
      <c r="X38" s="17">
        <v>102.4</v>
      </c>
      <c r="Y38" s="133"/>
      <c r="Z38" s="18"/>
      <c r="AA38" s="17">
        <f t="shared" si="1"/>
        <v>0</v>
      </c>
      <c r="AB38" s="107"/>
      <c r="AC38" s="107"/>
      <c r="AD38" s="1" t="s">
        <v>253</v>
      </c>
    </row>
    <row r="39" spans="1:30">
      <c r="A39" s="183">
        <v>2021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962</v>
      </c>
      <c r="Q39" s="133"/>
      <c r="R39" s="17"/>
      <c r="S39" s="17"/>
      <c r="T39" s="17"/>
      <c r="U39" s="17"/>
      <c r="V39" s="17"/>
      <c r="W39" s="17"/>
      <c r="X39" s="17"/>
      <c r="Y39" s="17"/>
      <c r="Z39" s="18"/>
      <c r="AA39" s="17">
        <f t="shared" si="1"/>
        <v>0</v>
      </c>
      <c r="AB39" s="107"/>
      <c r="AC39" s="107"/>
      <c r="AD39" s="1" t="s">
        <v>256</v>
      </c>
    </row>
    <row r="40" spans="1:30">
      <c r="A40" s="183">
        <v>2021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v>2071</v>
      </c>
      <c r="Q40" s="155"/>
      <c r="R40" s="18"/>
      <c r="S40" s="18"/>
      <c r="T40" s="18"/>
      <c r="U40" s="18"/>
      <c r="V40" s="18"/>
      <c r="W40" s="18"/>
      <c r="X40" s="18"/>
      <c r="Y40" s="17"/>
      <c r="Z40" s="18"/>
      <c r="AA40" s="17">
        <f t="shared" si="1"/>
        <v>0</v>
      </c>
      <c r="AB40" s="107"/>
      <c r="AC40" s="107"/>
      <c r="AD40" s="1" t="s">
        <v>257</v>
      </c>
    </row>
    <row r="41" spans="1:30">
      <c r="A41" s="183">
        <v>2021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>
        <v>723.12</v>
      </c>
      <c r="S41" s="155"/>
      <c r="T41" s="18"/>
      <c r="U41" s="18"/>
      <c r="V41" s="18">
        <v>1483</v>
      </c>
      <c r="W41" s="155"/>
      <c r="X41" s="18">
        <v>722.52</v>
      </c>
      <c r="Y41" s="133"/>
      <c r="Z41" s="18"/>
      <c r="AA41" s="17">
        <f t="shared" si="1"/>
        <v>0</v>
      </c>
      <c r="AB41" s="107"/>
      <c r="AC41" s="107"/>
      <c r="AD41" s="1" t="s">
        <v>258</v>
      </c>
    </row>
    <row r="42" spans="1:30">
      <c r="A42" s="183">
        <v>2021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>
        <v>3149</v>
      </c>
      <c r="W42" s="155"/>
      <c r="X42" s="18">
        <v>3147.7</v>
      </c>
      <c r="Y42" s="133"/>
      <c r="Z42" s="18"/>
      <c r="AA42" s="17">
        <f t="shared" si="1"/>
        <v>0</v>
      </c>
      <c r="AB42" s="107"/>
      <c r="AC42" s="107"/>
      <c r="AD42" s="1" t="s">
        <v>259</v>
      </c>
    </row>
    <row r="43" spans="1:30">
      <c r="A43" s="183">
        <v>2021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>
        <v>1420</v>
      </c>
      <c r="Y43" s="133"/>
      <c r="Z43" s="18"/>
      <c r="AA43" s="17">
        <f t="shared" si="1"/>
        <v>0</v>
      </c>
      <c r="AB43" s="107"/>
      <c r="AC43" s="107"/>
      <c r="AD43" s="1" t="s">
        <v>260</v>
      </c>
    </row>
    <row r="44" spans="1:30">
      <c r="A44" s="183">
        <v>2021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>
        <v>6000</v>
      </c>
      <c r="Y44" s="133"/>
      <c r="Z44" s="18"/>
      <c r="AA44" s="17">
        <f t="shared" si="1"/>
        <v>0</v>
      </c>
      <c r="AB44" s="107"/>
      <c r="AC44" s="107"/>
      <c r="AD44" s="1" t="s">
        <v>261</v>
      </c>
    </row>
    <row r="45" spans="1:30" ht="12" thickBot="1">
      <c r="A45" s="192">
        <v>2021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>
        <f>SUM(N36:N44)</f>
        <v>4608.97</v>
      </c>
      <c r="O45" s="84">
        <v>9942</v>
      </c>
      <c r="P45" s="211">
        <f t="shared" ref="P45:X45" si="4">SUM(P36:P44)</f>
        <v>4346.66</v>
      </c>
      <c r="Q45" s="84">
        <v>9322</v>
      </c>
      <c r="R45" s="211">
        <f t="shared" si="4"/>
        <v>723.12</v>
      </c>
      <c r="S45" s="84">
        <v>1541</v>
      </c>
      <c r="T45" s="211">
        <f t="shared" si="4"/>
        <v>0</v>
      </c>
      <c r="U45" s="211">
        <f t="shared" si="4"/>
        <v>0</v>
      </c>
      <c r="V45" s="211">
        <f t="shared" si="4"/>
        <v>4632</v>
      </c>
      <c r="W45" s="84">
        <v>9762</v>
      </c>
      <c r="X45" s="211">
        <f t="shared" si="4"/>
        <v>11392.619999999999</v>
      </c>
      <c r="Y45" s="86">
        <v>23871</v>
      </c>
      <c r="Z45" s="214">
        <f t="shared" si="0"/>
        <v>25703.370000000003</v>
      </c>
      <c r="AA45" s="214">
        <f t="shared" si="1"/>
        <v>54438</v>
      </c>
      <c r="AB45" s="215"/>
      <c r="AC45" s="215"/>
      <c r="AD45" s="216" t="s">
        <v>1</v>
      </c>
    </row>
    <row r="46" spans="1:30">
      <c r="A46" s="167">
        <v>2022</v>
      </c>
      <c r="B46" s="17">
        <v>3148.35</v>
      </c>
      <c r="C46" s="133"/>
      <c r="D46" s="17"/>
      <c r="E46" s="17"/>
      <c r="F46" s="17">
        <v>6454.12</v>
      </c>
      <c r="G46" s="133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f t="shared" si="1"/>
        <v>0</v>
      </c>
      <c r="AB46" s="107">
        <v>10443.709999999999</v>
      </c>
      <c r="AC46" s="208"/>
      <c r="AD46" s="1" t="s">
        <v>259</v>
      </c>
    </row>
    <row r="47" spans="1:30">
      <c r="A47" s="167">
        <v>2022</v>
      </c>
      <c r="B47" s="18">
        <v>732.12</v>
      </c>
      <c r="C47" s="155"/>
      <c r="D47" s="18"/>
      <c r="E47" s="18"/>
      <c r="F47" s="18">
        <v>1482.4</v>
      </c>
      <c r="G47" s="15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17">
        <f t="shared" si="1"/>
        <v>0</v>
      </c>
      <c r="AB47" s="107"/>
      <c r="AC47" s="107"/>
      <c r="AD47" s="1" t="s">
        <v>258</v>
      </c>
    </row>
    <row r="48" spans="1:30">
      <c r="A48" s="167">
        <v>2022</v>
      </c>
      <c r="B48" s="18"/>
      <c r="C48" s="18"/>
      <c r="D48" s="18"/>
      <c r="E48" s="18"/>
      <c r="F48" s="18">
        <v>79</v>
      </c>
      <c r="G48" s="15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7"/>
      <c r="Z48" s="17"/>
      <c r="AA48" s="17">
        <f t="shared" si="1"/>
        <v>0</v>
      </c>
      <c r="AB48" s="107"/>
      <c r="AC48" s="107"/>
      <c r="AD48" s="1" t="s">
        <v>260</v>
      </c>
    </row>
    <row r="49" spans="1:30">
      <c r="A49" s="167">
        <v>2022</v>
      </c>
      <c r="B49" s="18"/>
      <c r="C49" s="18"/>
      <c r="D49" s="18"/>
      <c r="E49" s="18"/>
      <c r="F49" s="18">
        <v>1050</v>
      </c>
      <c r="G49" s="15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7"/>
      <c r="Z49" s="17"/>
      <c r="AA49" s="17">
        <f t="shared" si="1"/>
        <v>0</v>
      </c>
      <c r="AB49" s="107"/>
      <c r="AC49" s="107"/>
      <c r="AD49" s="1" t="s">
        <v>262</v>
      </c>
    </row>
    <row r="50" spans="1:30">
      <c r="A50" s="167">
        <v>2022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>
        <v>6457</v>
      </c>
      <c r="O50" s="155"/>
      <c r="P50" s="18"/>
      <c r="Q50" s="18"/>
      <c r="R50" s="18"/>
      <c r="S50" s="18"/>
      <c r="T50" s="18"/>
      <c r="U50" s="18"/>
      <c r="V50" s="18"/>
      <c r="W50" s="18"/>
      <c r="X50" s="18"/>
      <c r="Y50" s="17"/>
      <c r="Z50" s="17"/>
      <c r="AA50" s="17"/>
      <c r="AB50" s="107"/>
      <c r="AC50" s="107"/>
      <c r="AD50" s="1" t="s">
        <v>248</v>
      </c>
    </row>
    <row r="51" spans="1:30" ht="12" thickBot="1">
      <c r="A51" s="204">
        <v>2022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>
        <v>3692</v>
      </c>
      <c r="Q51" s="413"/>
      <c r="R51" s="84"/>
      <c r="S51" s="84"/>
      <c r="T51" s="84"/>
      <c r="U51" s="84"/>
      <c r="V51" s="84"/>
      <c r="W51" s="84"/>
      <c r="X51" s="84"/>
      <c r="Y51" s="86"/>
      <c r="Z51" s="86"/>
      <c r="AA51" s="86"/>
      <c r="AB51" s="197"/>
      <c r="AC51" s="197"/>
      <c r="AD51" s="120"/>
    </row>
    <row r="52" spans="1:30">
      <c r="A52" s="183">
        <v>2023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07">
        <v>23210</v>
      </c>
      <c r="AC52" s="107"/>
    </row>
    <row r="53" spans="1:30">
      <c r="A53" s="183">
        <v>2023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07"/>
      <c r="AC53" s="107"/>
    </row>
    <row r="54" spans="1:30">
      <c r="A54" s="183">
        <v>2023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07"/>
      <c r="AC54" s="107"/>
    </row>
    <row r="55" spans="1:30">
      <c r="A55" s="16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7"/>
      <c r="Z55" s="17"/>
      <c r="AA55" s="17"/>
      <c r="AB55" s="107"/>
      <c r="AC55" s="107"/>
    </row>
    <row r="56" spans="1:30" ht="12" thickBot="1">
      <c r="A56" s="184"/>
      <c r="B56" s="217">
        <f>SUM(B46:B55)</f>
        <v>3880.47</v>
      </c>
      <c r="C56" s="84">
        <v>8083</v>
      </c>
      <c r="D56" s="217">
        <f t="shared" ref="D56:Y56" si="5">SUM(D46:D55)</f>
        <v>0</v>
      </c>
      <c r="E56" s="217">
        <f t="shared" si="5"/>
        <v>0</v>
      </c>
      <c r="F56" s="217">
        <f t="shared" si="5"/>
        <v>9065.52</v>
      </c>
      <c r="G56" s="84">
        <v>18668</v>
      </c>
      <c r="H56" s="217">
        <f t="shared" si="5"/>
        <v>0</v>
      </c>
      <c r="I56" s="217">
        <f t="shared" si="5"/>
        <v>0</v>
      </c>
      <c r="J56" s="217">
        <f t="shared" si="5"/>
        <v>0</v>
      </c>
      <c r="K56" s="217">
        <f t="shared" si="5"/>
        <v>0</v>
      </c>
      <c r="L56" s="217">
        <f t="shared" si="5"/>
        <v>0</v>
      </c>
      <c r="M56" s="217">
        <f t="shared" si="5"/>
        <v>0</v>
      </c>
      <c r="N56" s="217">
        <f t="shared" si="5"/>
        <v>6457</v>
      </c>
      <c r="O56" s="84">
        <v>12989</v>
      </c>
      <c r="P56" s="217">
        <f t="shared" si="5"/>
        <v>3692</v>
      </c>
      <c r="Q56" s="84">
        <v>7384</v>
      </c>
      <c r="R56" s="217">
        <f t="shared" si="5"/>
        <v>0</v>
      </c>
      <c r="S56" s="217">
        <f t="shared" si="5"/>
        <v>0</v>
      </c>
      <c r="T56" s="217">
        <f t="shared" si="5"/>
        <v>0</v>
      </c>
      <c r="U56" s="217">
        <f t="shared" si="5"/>
        <v>0</v>
      </c>
      <c r="V56" s="217">
        <f t="shared" si="5"/>
        <v>0</v>
      </c>
      <c r="W56" s="217">
        <f t="shared" si="5"/>
        <v>0</v>
      </c>
      <c r="X56" s="217">
        <f t="shared" si="5"/>
        <v>0</v>
      </c>
      <c r="Y56" s="217">
        <f t="shared" si="5"/>
        <v>0</v>
      </c>
      <c r="Z56" s="84"/>
      <c r="AA56" s="84"/>
      <c r="AB56" s="222"/>
      <c r="AC56" s="197"/>
      <c r="AD56" s="120" t="s">
        <v>1</v>
      </c>
    </row>
    <row r="57" spans="1:30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17">
        <f>SUM(Z3:Z56)</f>
        <v>88821.73000000001</v>
      </c>
      <c r="AA57" s="17">
        <f>SUM(AA3:AA56)</f>
        <v>248158.47</v>
      </c>
      <c r="AB57" s="107">
        <f>SUM(AB3:AB56)</f>
        <v>205057.13999999998</v>
      </c>
      <c r="AC57" s="107">
        <f>SUM(AC3:AC56)</f>
        <v>0</v>
      </c>
    </row>
    <row r="58" spans="1:30">
      <c r="AA58" s="5"/>
      <c r="AB58" s="81"/>
      <c r="AC58" s="81">
        <f>AB57+AC57</f>
        <v>205057.13999999998</v>
      </c>
    </row>
    <row r="59" spans="1:30">
      <c r="AB59" s="379" t="s">
        <v>477</v>
      </c>
      <c r="AC59" s="81"/>
    </row>
    <row r="60" spans="1:30" ht="15.75">
      <c r="A60" s="432" t="s">
        <v>103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181">
        <v>187043</v>
      </c>
      <c r="AC60" s="378">
        <v>577451</v>
      </c>
      <c r="AD60" s="1" t="s">
        <v>488</v>
      </c>
    </row>
    <row r="61" spans="1:30">
      <c r="I61" s="1" t="s">
        <v>102</v>
      </c>
      <c r="AA61" s="1" t="s">
        <v>478</v>
      </c>
      <c r="AB61" s="81">
        <v>6750</v>
      </c>
      <c r="AC61" s="378">
        <v>249129</v>
      </c>
      <c r="AD61" s="1" t="s">
        <v>495</v>
      </c>
    </row>
    <row r="62" spans="1:30">
      <c r="I62" s="1" t="s">
        <v>104</v>
      </c>
      <c r="J62" s="23"/>
      <c r="AB62" s="378">
        <f>AB60+AB61</f>
        <v>193793</v>
      </c>
      <c r="AC62" s="81"/>
    </row>
    <row r="63" spans="1:30" ht="15.75">
      <c r="A63" s="432" t="s">
        <v>105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81"/>
      <c r="AC63" s="82">
        <v>45359</v>
      </c>
    </row>
    <row r="64" spans="1:30">
      <c r="X64" s="5"/>
      <c r="AB64" s="181"/>
      <c r="AC64" s="378"/>
    </row>
    <row r="65" spans="1:29" ht="15.75">
      <c r="A65" s="432" t="s">
        <v>252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14"/>
      <c r="AB65" s="81"/>
      <c r="AC65" s="81"/>
    </row>
    <row r="66" spans="1:29">
      <c r="AB66" s="378"/>
      <c r="AC66" s="81"/>
    </row>
    <row r="67" spans="1:29" ht="15.75">
      <c r="S67" s="458" t="s">
        <v>110</v>
      </c>
      <c r="T67" s="458"/>
      <c r="U67" s="458"/>
      <c r="V67" s="458"/>
      <c r="W67" s="458"/>
      <c r="X67" s="458"/>
      <c r="Y67" s="458"/>
      <c r="Z67" s="458"/>
    </row>
    <row r="68" spans="1:29">
      <c r="L68" s="5"/>
    </row>
    <row r="70" spans="1:29">
      <c r="R70" s="1" t="s">
        <v>299</v>
      </c>
      <c r="S70" s="28">
        <v>600000</v>
      </c>
      <c r="T70" s="1" t="s">
        <v>300</v>
      </c>
      <c r="U70" s="28">
        <v>66600</v>
      </c>
      <c r="V70" s="1" t="s">
        <v>473</v>
      </c>
      <c r="W70" s="28"/>
      <c r="X70" s="28">
        <f>S70*U70</f>
        <v>39960000000</v>
      </c>
      <c r="Y70" s="1" t="s">
        <v>14</v>
      </c>
      <c r="Z70" s="28">
        <f>AC60*X70/AB60</f>
        <v>123367043727.91283</v>
      </c>
    </row>
    <row r="71" spans="1:29">
      <c r="V71" s="1" t="s">
        <v>474</v>
      </c>
      <c r="X71" s="28">
        <v>22000000000</v>
      </c>
      <c r="Z71" s="28">
        <v>222000000000</v>
      </c>
      <c r="AA71" s="1" t="s">
        <v>475</v>
      </c>
    </row>
    <row r="72" spans="1:29">
      <c r="V72" s="1" t="s">
        <v>302</v>
      </c>
      <c r="X72" s="28">
        <v>11000000000</v>
      </c>
      <c r="Z72" s="28">
        <v>333000000000</v>
      </c>
      <c r="AA72" s="1" t="s">
        <v>476</v>
      </c>
    </row>
    <row r="73" spans="1:29">
      <c r="X73" s="75">
        <f>SUM(X70:X71)</f>
        <v>61960000000</v>
      </c>
      <c r="Z73" s="75">
        <f>SUM(Z70:Z72)</f>
        <v>678367043727.91284</v>
      </c>
    </row>
    <row r="75" spans="1:29">
      <c r="Z75" s="239"/>
    </row>
    <row r="76" spans="1:29">
      <c r="Q76" s="5"/>
    </row>
  </sheetData>
  <mergeCells count="24">
    <mergeCell ref="AC1:AC2"/>
    <mergeCell ref="B1:C1"/>
    <mergeCell ref="D1:E1"/>
    <mergeCell ref="A8:A12"/>
    <mergeCell ref="F1:G1"/>
    <mergeCell ref="H1:I1"/>
    <mergeCell ref="J1:K1"/>
    <mergeCell ref="AB1:AB2"/>
    <mergeCell ref="A4:A6"/>
    <mergeCell ref="S67:Z67"/>
    <mergeCell ref="A60:AA60"/>
    <mergeCell ref="A63:AA63"/>
    <mergeCell ref="X1:Y1"/>
    <mergeCell ref="Z1:Z2"/>
    <mergeCell ref="AA1:AA2"/>
    <mergeCell ref="L1:M1"/>
    <mergeCell ref="N1:O1"/>
    <mergeCell ref="P1:Q1"/>
    <mergeCell ref="R1:S1"/>
    <mergeCell ref="T1:U1"/>
    <mergeCell ref="V1:W1"/>
    <mergeCell ref="A13:A20"/>
    <mergeCell ref="A21:A22"/>
    <mergeCell ref="A65:Z6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8"/>
  <sheetViews>
    <sheetView workbookViewId="0">
      <pane ySplit="2" topLeftCell="A27" activePane="bottomLeft" state="frozen"/>
      <selection pane="bottomLeft" activeCell="AL56" sqref="AL56"/>
    </sheetView>
  </sheetViews>
  <sheetFormatPr defaultRowHeight="11.25"/>
  <cols>
    <col min="1" max="1" width="3.44140625" style="1" bestFit="1" customWidth="1"/>
    <col min="2" max="2" width="7.33203125" style="1" bestFit="1" customWidth="1"/>
    <col min="3" max="3" width="6.44140625" style="1" bestFit="1" customWidth="1"/>
    <col min="4" max="4" width="6.33203125" style="1" bestFit="1" customWidth="1"/>
    <col min="5" max="5" width="7.33203125" style="1" bestFit="1" customWidth="1"/>
    <col min="6" max="6" width="6.33203125" style="1" bestFit="1" customWidth="1"/>
    <col min="7" max="7" width="7.33203125" style="1" bestFit="1" customWidth="1"/>
    <col min="8" max="8" width="6.33203125" style="1" bestFit="1" customWidth="1"/>
    <col min="9" max="9" width="6.44140625" style="1" bestFit="1" customWidth="1"/>
    <col min="10" max="10" width="6.33203125" style="1" bestFit="1" customWidth="1"/>
    <col min="11" max="11" width="6.44140625" style="1" bestFit="1" customWidth="1"/>
    <col min="12" max="12" width="8" style="1" bestFit="1" customWidth="1"/>
    <col min="13" max="13" width="6.44140625" style="1" bestFit="1" customWidth="1"/>
    <col min="14" max="15" width="7.33203125" style="1" bestFit="1" customWidth="1"/>
    <col min="16" max="16" width="4.44140625" style="1" bestFit="1" customWidth="1"/>
    <col min="17" max="17" width="11" style="1" bestFit="1" customWidth="1"/>
    <col min="18" max="18" width="7.33203125" style="1" bestFit="1" customWidth="1"/>
    <col min="19" max="19" width="11.6640625" style="1" bestFit="1" customWidth="1"/>
    <col min="20" max="20" width="6.33203125" style="1" bestFit="1" customWidth="1"/>
    <col min="21" max="23" width="7.33203125" style="1" bestFit="1" customWidth="1"/>
    <col min="24" max="24" width="8.109375" style="1" bestFit="1" customWidth="1"/>
    <col min="25" max="25" width="7.33203125" style="1" bestFit="1" customWidth="1"/>
    <col min="26" max="26" width="4.88671875" style="1" bestFit="1" customWidth="1"/>
    <col min="27" max="28" width="8" style="1" bestFit="1" customWidth="1"/>
    <col min="29" max="16384" width="8.88671875" style="1"/>
  </cols>
  <sheetData>
    <row r="1" spans="1:31">
      <c r="A1" s="30"/>
      <c r="B1" s="450" t="s">
        <v>2</v>
      </c>
      <c r="C1" s="451"/>
      <c r="D1" s="452" t="s">
        <v>3</v>
      </c>
      <c r="E1" s="453"/>
      <c r="F1" s="450" t="s">
        <v>4</v>
      </c>
      <c r="G1" s="451"/>
      <c r="H1" s="455" t="s">
        <v>5</v>
      </c>
      <c r="I1" s="456"/>
      <c r="J1" s="450" t="s">
        <v>0</v>
      </c>
      <c r="K1" s="451"/>
      <c r="L1" s="452" t="s">
        <v>6</v>
      </c>
      <c r="M1" s="453"/>
      <c r="N1" s="450" t="s">
        <v>7</v>
      </c>
      <c r="O1" s="451"/>
      <c r="P1" s="455" t="s">
        <v>8</v>
      </c>
      <c r="Q1" s="456"/>
      <c r="R1" s="450" t="s">
        <v>9</v>
      </c>
      <c r="S1" s="451"/>
      <c r="T1" s="452" t="s">
        <v>10</v>
      </c>
      <c r="U1" s="453"/>
      <c r="V1" s="450" t="s">
        <v>11</v>
      </c>
      <c r="W1" s="451"/>
      <c r="X1" s="455" t="s">
        <v>12</v>
      </c>
      <c r="Y1" s="456"/>
      <c r="Z1" s="445" t="s">
        <v>28</v>
      </c>
      <c r="AA1" s="445" t="s">
        <v>25</v>
      </c>
      <c r="AB1" s="445" t="s">
        <v>13</v>
      </c>
      <c r="AC1" s="460" t="s">
        <v>205</v>
      </c>
    </row>
    <row r="2" spans="1:31">
      <c r="A2" s="30"/>
      <c r="B2" s="92" t="s">
        <v>40</v>
      </c>
      <c r="C2" s="92" t="s">
        <v>14</v>
      </c>
      <c r="D2" s="74" t="s">
        <v>40</v>
      </c>
      <c r="E2" s="74" t="s">
        <v>14</v>
      </c>
      <c r="F2" s="92" t="s">
        <v>40</v>
      </c>
      <c r="G2" s="92" t="s">
        <v>14</v>
      </c>
      <c r="H2" s="79" t="s">
        <v>40</v>
      </c>
      <c r="I2" s="79" t="s">
        <v>14</v>
      </c>
      <c r="J2" s="92" t="s">
        <v>40</v>
      </c>
      <c r="K2" s="92" t="s">
        <v>14</v>
      </c>
      <c r="L2" s="74" t="s">
        <v>40</v>
      </c>
      <c r="M2" s="74" t="s">
        <v>14</v>
      </c>
      <c r="N2" s="92" t="s">
        <v>40</v>
      </c>
      <c r="O2" s="92" t="s">
        <v>14</v>
      </c>
      <c r="P2" s="79" t="s">
        <v>40</v>
      </c>
      <c r="Q2" s="79" t="s">
        <v>14</v>
      </c>
      <c r="R2" s="92" t="s">
        <v>40</v>
      </c>
      <c r="S2" s="92" t="s">
        <v>14</v>
      </c>
      <c r="T2" s="74" t="s">
        <v>40</v>
      </c>
      <c r="U2" s="74" t="s">
        <v>14</v>
      </c>
      <c r="V2" s="92" t="s">
        <v>40</v>
      </c>
      <c r="W2" s="92" t="s">
        <v>14</v>
      </c>
      <c r="X2" s="79" t="s">
        <v>40</v>
      </c>
      <c r="Y2" s="79" t="s">
        <v>14</v>
      </c>
      <c r="Z2" s="446"/>
      <c r="AA2" s="446"/>
      <c r="AB2" s="446"/>
      <c r="AC2" s="460"/>
    </row>
    <row r="3" spans="1:31">
      <c r="A3" s="12">
        <v>1998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71"/>
      <c r="Q3" s="71"/>
      <c r="R3" s="71"/>
      <c r="S3" s="71"/>
      <c r="T3" s="71"/>
      <c r="U3" s="71"/>
      <c r="V3" s="71"/>
      <c r="W3" s="71"/>
      <c r="X3" s="71"/>
      <c r="Y3" s="71"/>
      <c r="Z3" s="71">
        <f>B3+D3+F3+H3+J3+L3+N3+P3+R3+T3+V3+X3</f>
        <v>0</v>
      </c>
      <c r="AA3" s="17">
        <f>Z3/340.75</f>
        <v>0</v>
      </c>
      <c r="AB3" s="17">
        <f>C3+E3+G3+I3+K3+M3+O3+Q3+S3+U3+W3+Y3</f>
        <v>0</v>
      </c>
      <c r="AC3" s="23"/>
      <c r="AE3" s="1">
        <v>189.9</v>
      </c>
    </row>
    <row r="4" spans="1:31">
      <c r="A4" s="165">
        <v>1999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1">
        <f t="shared" ref="Z4:Z6" si="0">B4+D4+F4+H4+J4+L4+N4+P4+R4+T4+V4+X4</f>
        <v>0</v>
      </c>
      <c r="AA4" s="17">
        <f t="shared" ref="AA4:AA6" si="1">Z4/340.75</f>
        <v>0</v>
      </c>
      <c r="AB4" s="17">
        <f t="shared" ref="AB4:AB51" si="2">C4+E4+G4+I4+K4+M4+O4+Q4+S4+U4+W4+Y4</f>
        <v>0</v>
      </c>
      <c r="AC4" s="23"/>
      <c r="AE4" s="1">
        <v>6</v>
      </c>
    </row>
    <row r="5" spans="1:31">
      <c r="A5" s="2">
        <v>2000</v>
      </c>
      <c r="B5" s="31"/>
      <c r="C5" s="31"/>
      <c r="D5" s="31"/>
      <c r="E5" s="31"/>
      <c r="F5" s="31"/>
      <c r="G5" s="7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71"/>
      <c r="Z5" s="71">
        <f t="shared" si="0"/>
        <v>0</v>
      </c>
      <c r="AA5" s="17">
        <f t="shared" si="1"/>
        <v>0</v>
      </c>
      <c r="AB5" s="17">
        <f t="shared" si="2"/>
        <v>0</v>
      </c>
      <c r="AC5" s="23"/>
      <c r="AE5" s="1">
        <f>AE3*AE4</f>
        <v>1139.4000000000001</v>
      </c>
    </row>
    <row r="6" spans="1:31">
      <c r="A6" s="165">
        <v>2001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71"/>
      <c r="Z6" s="71">
        <f t="shared" si="0"/>
        <v>0</v>
      </c>
      <c r="AA6" s="17">
        <f t="shared" si="1"/>
        <v>0</v>
      </c>
      <c r="AB6" s="17">
        <f t="shared" si="2"/>
        <v>0</v>
      </c>
      <c r="AC6" s="23"/>
    </row>
    <row r="7" spans="1:31">
      <c r="A7" s="2">
        <v>2002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"/>
      <c r="Z7" s="193"/>
      <c r="AA7" s="17">
        <f>B7+D7+F7+H7+J7+L7+N7+P7+R7+T7+V7+X7</f>
        <v>0</v>
      </c>
      <c r="AB7" s="17">
        <f t="shared" si="2"/>
        <v>0</v>
      </c>
      <c r="AC7" s="23"/>
    </row>
    <row r="8" spans="1:31">
      <c r="A8" s="165">
        <v>2003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80"/>
      <c r="Z8" s="193"/>
      <c r="AA8" s="17">
        <f t="shared" ref="AA8:AA51" si="3">B8+D8+F8+H8+J8+L8+N8+P8+R8+T8+V8+X8</f>
        <v>0</v>
      </c>
      <c r="AB8" s="17">
        <f t="shared" si="2"/>
        <v>0</v>
      </c>
      <c r="AC8" s="23"/>
    </row>
    <row r="9" spans="1:31">
      <c r="A9" s="2">
        <v>2004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80"/>
      <c r="Z9" s="193"/>
      <c r="AA9" s="17">
        <f t="shared" si="3"/>
        <v>0</v>
      </c>
      <c r="AB9" s="17">
        <f t="shared" si="2"/>
        <v>0</v>
      </c>
      <c r="AC9" s="108"/>
    </row>
    <row r="10" spans="1:31">
      <c r="A10" s="461">
        <v>2005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21"/>
      <c r="AA10" s="17">
        <f t="shared" si="3"/>
        <v>0</v>
      </c>
      <c r="AB10" s="17">
        <f t="shared" si="2"/>
        <v>0</v>
      </c>
      <c r="AC10" s="108"/>
    </row>
    <row r="11" spans="1:31">
      <c r="A11" s="43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21"/>
      <c r="AA11" s="17">
        <f t="shared" si="3"/>
        <v>0</v>
      </c>
      <c r="AB11" s="17">
        <f t="shared" si="2"/>
        <v>0</v>
      </c>
      <c r="AC11" s="108"/>
    </row>
    <row r="12" spans="1:31">
      <c r="A12" s="46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7"/>
      <c r="Z12" s="21"/>
      <c r="AA12" s="17">
        <f t="shared" si="3"/>
        <v>0</v>
      </c>
      <c r="AB12" s="17">
        <f t="shared" si="2"/>
        <v>0</v>
      </c>
      <c r="AC12" s="108"/>
    </row>
    <row r="13" spans="1:31">
      <c r="A13" s="449">
        <v>2006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7"/>
      <c r="Z13" s="21"/>
      <c r="AA13" s="17">
        <f t="shared" si="3"/>
        <v>0</v>
      </c>
      <c r="AB13" s="17">
        <f t="shared" si="2"/>
        <v>0</v>
      </c>
      <c r="AC13" s="108"/>
    </row>
    <row r="14" spans="1:31">
      <c r="A14" s="43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21"/>
      <c r="AA14" s="17">
        <f t="shared" si="3"/>
        <v>0</v>
      </c>
      <c r="AB14" s="17">
        <f t="shared" si="2"/>
        <v>0</v>
      </c>
      <c r="AC14" s="108"/>
    </row>
    <row r="15" spans="1:31">
      <c r="A15" s="46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7"/>
      <c r="Z15" s="21"/>
      <c r="AA15" s="17">
        <f t="shared" si="3"/>
        <v>0</v>
      </c>
      <c r="AB15" s="17">
        <f t="shared" si="2"/>
        <v>0</v>
      </c>
      <c r="AC15" s="108"/>
    </row>
    <row r="16" spans="1:31">
      <c r="A16" s="165">
        <v>2007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7"/>
      <c r="Z16" s="21"/>
      <c r="AA16" s="17">
        <f t="shared" si="3"/>
        <v>0</v>
      </c>
      <c r="AB16" s="17">
        <f t="shared" si="2"/>
        <v>0</v>
      </c>
      <c r="AC16" s="177"/>
    </row>
    <row r="17" spans="1:39">
      <c r="A17" s="449">
        <v>2008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7"/>
      <c r="Z17" s="21"/>
      <c r="AA17" s="17">
        <f t="shared" si="3"/>
        <v>0</v>
      </c>
      <c r="AB17" s="17">
        <f t="shared" si="2"/>
        <v>0</v>
      </c>
      <c r="AC17" s="177"/>
    </row>
    <row r="18" spans="1:39">
      <c r="A18" s="43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7"/>
      <c r="Z18" s="21"/>
      <c r="AA18" s="17">
        <f t="shared" si="3"/>
        <v>0</v>
      </c>
      <c r="AB18" s="17">
        <f t="shared" si="2"/>
        <v>0</v>
      </c>
      <c r="AC18" s="177"/>
    </row>
    <row r="19" spans="1:39">
      <c r="A19" s="43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7"/>
      <c r="Z19" s="21"/>
      <c r="AA19" s="17">
        <f t="shared" si="3"/>
        <v>0</v>
      </c>
      <c r="AB19" s="17">
        <f t="shared" si="2"/>
        <v>0</v>
      </c>
      <c r="AC19" s="177"/>
    </row>
    <row r="20" spans="1:39">
      <c r="A20" s="100">
        <v>2009</v>
      </c>
      <c r="B20" s="9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1000</v>
      </c>
      <c r="O20" s="18">
        <v>2876</v>
      </c>
      <c r="P20" s="18"/>
      <c r="Q20" s="18"/>
      <c r="R20" s="18">
        <v>1000</v>
      </c>
      <c r="S20" s="18">
        <v>2918</v>
      </c>
      <c r="T20" s="18"/>
      <c r="U20" s="18"/>
      <c r="V20" s="18">
        <v>1000</v>
      </c>
      <c r="W20" s="18">
        <v>2834</v>
      </c>
      <c r="X20" s="18"/>
      <c r="Y20" s="17"/>
      <c r="Z20" s="21"/>
      <c r="AA20" s="133">
        <f t="shared" si="3"/>
        <v>3000</v>
      </c>
      <c r="AB20" s="133">
        <f t="shared" si="2"/>
        <v>8628</v>
      </c>
      <c r="AC20" s="180">
        <v>3000</v>
      </c>
      <c r="AD20" s="163" t="s">
        <v>194</v>
      </c>
      <c r="AI20" s="1" t="s">
        <v>479</v>
      </c>
      <c r="AJ20" s="1" t="s">
        <v>13</v>
      </c>
      <c r="AK20" s="1" t="s">
        <v>184</v>
      </c>
      <c r="AL20" s="1" t="s">
        <v>13</v>
      </c>
    </row>
    <row r="21" spans="1:39">
      <c r="A21" s="167">
        <v>2010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7"/>
      <c r="Z21" s="21"/>
      <c r="AA21" s="17">
        <f t="shared" si="3"/>
        <v>0</v>
      </c>
      <c r="AB21" s="21">
        <f t="shared" si="2"/>
        <v>0</v>
      </c>
      <c r="AC21" s="180">
        <v>169.1</v>
      </c>
      <c r="AD21" s="163" t="s">
        <v>210</v>
      </c>
      <c r="AH21" s="1" t="s">
        <v>480</v>
      </c>
      <c r="AI21" s="2">
        <v>0</v>
      </c>
      <c r="AJ21" s="32"/>
      <c r="AK21" s="2">
        <v>0</v>
      </c>
      <c r="AL21" s="381"/>
      <c r="AM21" s="1">
        <v>2010</v>
      </c>
    </row>
    <row r="22" spans="1:39">
      <c r="A22" s="165">
        <v>2011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7"/>
      <c r="Z22" s="21"/>
      <c r="AA22" s="17">
        <f t="shared" si="3"/>
        <v>0</v>
      </c>
      <c r="AB22" s="21">
        <f t="shared" si="2"/>
        <v>0</v>
      </c>
      <c r="AC22" s="180">
        <v>182.43</v>
      </c>
      <c r="AD22" s="163" t="s">
        <v>207</v>
      </c>
      <c r="AH22" s="1" t="s">
        <v>480</v>
      </c>
      <c r="AI22" s="3">
        <v>188.1</v>
      </c>
      <c r="AJ22" s="32">
        <v>471</v>
      </c>
      <c r="AK22" s="2">
        <v>0</v>
      </c>
      <c r="AL22" s="381"/>
      <c r="AM22" s="1">
        <v>2011</v>
      </c>
    </row>
    <row r="23" spans="1:39" ht="12" thickBot="1">
      <c r="A23" s="184">
        <v>2012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6"/>
      <c r="Z23" s="148"/>
      <c r="AA23" s="84">
        <f t="shared" si="3"/>
        <v>0</v>
      </c>
      <c r="AB23" s="148">
        <f t="shared" si="2"/>
        <v>0</v>
      </c>
      <c r="AC23" s="191">
        <v>182.93</v>
      </c>
      <c r="AD23" s="170" t="s">
        <v>208</v>
      </c>
      <c r="AH23" s="1" t="s">
        <v>480</v>
      </c>
      <c r="AI23" s="3">
        <v>182.93</v>
      </c>
      <c r="AJ23" s="32">
        <v>413</v>
      </c>
      <c r="AK23" s="2">
        <v>0</v>
      </c>
      <c r="AL23" s="381"/>
      <c r="AM23" s="1">
        <v>2012</v>
      </c>
    </row>
    <row r="24" spans="1:39">
      <c r="A24" s="190">
        <v>2013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f t="shared" si="3"/>
        <v>0</v>
      </c>
      <c r="AB24" s="17">
        <f t="shared" si="2"/>
        <v>0</v>
      </c>
      <c r="AC24" s="180">
        <v>1138.77</v>
      </c>
      <c r="AD24" s="163" t="s">
        <v>209</v>
      </c>
      <c r="AH24" s="1" t="s">
        <v>480</v>
      </c>
      <c r="AI24" s="3">
        <v>182.93</v>
      </c>
      <c r="AJ24" s="32">
        <v>380</v>
      </c>
      <c r="AK24" s="2">
        <v>0</v>
      </c>
      <c r="AL24" s="381"/>
      <c r="AM24" s="1">
        <v>2013</v>
      </c>
    </row>
    <row r="25" spans="1:39">
      <c r="A25" s="171">
        <v>2013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182.93</v>
      </c>
      <c r="W25" s="18">
        <v>738</v>
      </c>
      <c r="X25" s="18"/>
      <c r="Y25" s="17"/>
      <c r="Z25" s="17"/>
      <c r="AA25" s="17">
        <f t="shared" si="3"/>
        <v>182.93</v>
      </c>
      <c r="AB25" s="17">
        <f t="shared" si="2"/>
        <v>738</v>
      </c>
      <c r="AC25" s="177"/>
      <c r="AD25" s="181" t="s">
        <v>208</v>
      </c>
      <c r="AH25" s="1" t="s">
        <v>481</v>
      </c>
      <c r="AI25" s="3">
        <v>1138.77</v>
      </c>
      <c r="AJ25" s="32">
        <v>2188</v>
      </c>
      <c r="AK25" s="3">
        <v>448.81</v>
      </c>
      <c r="AL25" s="381">
        <v>862</v>
      </c>
      <c r="AM25" s="1">
        <v>2014</v>
      </c>
    </row>
    <row r="26" spans="1:39">
      <c r="A26" s="171">
        <v>2013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>
        <v>182.43</v>
      </c>
      <c r="S26" s="18">
        <v>730</v>
      </c>
      <c r="T26" s="18"/>
      <c r="U26" s="18"/>
      <c r="V26" s="18"/>
      <c r="W26" s="18"/>
      <c r="X26" s="18"/>
      <c r="Y26" s="17"/>
      <c r="Z26" s="17"/>
      <c r="AA26" s="17">
        <f t="shared" si="3"/>
        <v>182.43</v>
      </c>
      <c r="AB26" s="17">
        <f t="shared" si="2"/>
        <v>730</v>
      </c>
      <c r="AC26" s="177"/>
      <c r="AD26" s="181" t="s">
        <v>207</v>
      </c>
      <c r="AH26" s="1" t="s">
        <v>481</v>
      </c>
      <c r="AI26" s="3">
        <v>1138.77</v>
      </c>
      <c r="AJ26" s="32">
        <v>2035</v>
      </c>
      <c r="AK26" s="3">
        <v>448.81</v>
      </c>
      <c r="AL26" s="381">
        <v>802</v>
      </c>
      <c r="AM26" s="1">
        <v>2015</v>
      </c>
    </row>
    <row r="27" spans="1:39" ht="12" thickBot="1">
      <c r="A27" s="188">
        <v>2013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>
        <v>169.1</v>
      </c>
      <c r="S27" s="84">
        <v>367</v>
      </c>
      <c r="T27" s="84"/>
      <c r="U27" s="84"/>
      <c r="V27" s="84"/>
      <c r="W27" s="84"/>
      <c r="X27" s="84"/>
      <c r="Y27" s="86"/>
      <c r="Z27" s="86"/>
      <c r="AA27" s="84">
        <f t="shared" si="3"/>
        <v>169.1</v>
      </c>
      <c r="AB27" s="86">
        <f t="shared" si="2"/>
        <v>367</v>
      </c>
      <c r="AC27" s="187"/>
      <c r="AD27" s="189" t="s">
        <v>206</v>
      </c>
      <c r="AH27" s="1" t="s">
        <v>481</v>
      </c>
      <c r="AI27" s="3">
        <v>1211.8</v>
      </c>
      <c r="AJ27" s="32">
        <v>2013</v>
      </c>
      <c r="AK27" s="3">
        <v>448.81</v>
      </c>
      <c r="AL27" s="381">
        <v>745</v>
      </c>
      <c r="AM27" s="1">
        <v>2016</v>
      </c>
    </row>
    <row r="28" spans="1:39">
      <c r="A28" s="167">
        <v>2014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80">
        <v>1138.77</v>
      </c>
      <c r="AD28" s="163" t="s">
        <v>211</v>
      </c>
      <c r="AH28" s="1" t="s">
        <v>481</v>
      </c>
      <c r="AI28" s="3">
        <v>1211.8</v>
      </c>
      <c r="AJ28" s="32">
        <v>1886</v>
      </c>
      <c r="AK28" s="3">
        <v>486.08</v>
      </c>
      <c r="AL28" s="381">
        <v>756</v>
      </c>
      <c r="AM28" s="1">
        <v>2017</v>
      </c>
    </row>
    <row r="29" spans="1:39">
      <c r="A29" s="179">
        <v>2014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11">
        <v>195</v>
      </c>
      <c r="W29" s="154"/>
      <c r="X29" s="111"/>
      <c r="Y29" s="111"/>
      <c r="Z29" s="111"/>
      <c r="AA29" s="17"/>
      <c r="AB29" s="17"/>
      <c r="AC29" s="177"/>
      <c r="AD29" s="163" t="s">
        <v>244</v>
      </c>
      <c r="AH29" s="1" t="s">
        <v>481</v>
      </c>
      <c r="AI29" s="3">
        <v>1600.81</v>
      </c>
      <c r="AJ29" s="32">
        <v>2337</v>
      </c>
      <c r="AK29" s="3">
        <v>631.84</v>
      </c>
      <c r="AL29" s="381">
        <v>922</v>
      </c>
      <c r="AM29" s="1">
        <v>2018</v>
      </c>
    </row>
    <row r="30" spans="1:39">
      <c r="A30" s="166">
        <v>2014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>
        <v>155</v>
      </c>
      <c r="W30" s="155"/>
      <c r="X30" s="18">
        <v>75</v>
      </c>
      <c r="Y30" s="155"/>
      <c r="Z30" s="18"/>
      <c r="AA30" s="17"/>
      <c r="AB30" s="17"/>
      <c r="AC30" s="177"/>
      <c r="AD30" s="163" t="s">
        <v>245</v>
      </c>
      <c r="AH30" s="1" t="s">
        <v>481</v>
      </c>
      <c r="AI30" s="3">
        <v>1280.6500000000001</v>
      </c>
      <c r="AJ30" s="32">
        <v>1743</v>
      </c>
      <c r="AK30" s="3">
        <v>426.66</v>
      </c>
      <c r="AL30" s="381">
        <v>580</v>
      </c>
      <c r="AM30" s="1">
        <v>2019</v>
      </c>
    </row>
    <row r="31" spans="1:39">
      <c r="A31" s="166">
        <v>2014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189.8</v>
      </c>
      <c r="S31" s="155"/>
      <c r="T31" s="18">
        <v>189.8</v>
      </c>
      <c r="U31" s="155"/>
      <c r="V31" s="18">
        <v>189.8</v>
      </c>
      <c r="W31" s="155"/>
      <c r="X31" s="18">
        <v>189.8</v>
      </c>
      <c r="Y31" s="155"/>
      <c r="Z31" s="18"/>
      <c r="AA31" s="111"/>
      <c r="AB31" s="111"/>
      <c r="AC31" s="177"/>
      <c r="AD31" s="163" t="s">
        <v>209</v>
      </c>
      <c r="AH31" s="1" t="s">
        <v>481</v>
      </c>
      <c r="AI31" s="3">
        <v>1280.6500000000001</v>
      </c>
      <c r="AJ31" s="32">
        <v>1625</v>
      </c>
      <c r="AK31" s="3">
        <v>426.66</v>
      </c>
      <c r="AL31" s="381">
        <v>541</v>
      </c>
      <c r="AM31" s="1">
        <v>2020</v>
      </c>
    </row>
    <row r="32" spans="1:39" ht="12" thickBot="1">
      <c r="A32" s="204">
        <v>2014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>
        <f>SUM(R29:R31)</f>
        <v>189.8</v>
      </c>
      <c r="S32" s="86">
        <v>782</v>
      </c>
      <c r="T32" s="86">
        <f t="shared" ref="T32:X32" si="4">SUM(T29:T31)</f>
        <v>189.8</v>
      </c>
      <c r="U32" s="86">
        <v>712</v>
      </c>
      <c r="V32" s="86">
        <f t="shared" si="4"/>
        <v>539.79999999999995</v>
      </c>
      <c r="W32" s="86">
        <v>2000</v>
      </c>
      <c r="X32" s="86">
        <f t="shared" si="4"/>
        <v>264.8</v>
      </c>
      <c r="Y32" s="86">
        <v>975</v>
      </c>
      <c r="Z32" s="86"/>
      <c r="AA32" s="84">
        <f t="shared" si="3"/>
        <v>1184.2</v>
      </c>
      <c r="AB32" s="86">
        <f t="shared" si="2"/>
        <v>4469</v>
      </c>
      <c r="AC32" s="187"/>
      <c r="AD32" s="232" t="s">
        <v>1</v>
      </c>
      <c r="AH32" s="1" t="s">
        <v>481</v>
      </c>
      <c r="AI32" s="3">
        <v>1280.6500000000001</v>
      </c>
      <c r="AJ32" s="32">
        <v>1516</v>
      </c>
      <c r="AK32" s="3">
        <v>488.83</v>
      </c>
      <c r="AL32" s="381">
        <v>578</v>
      </c>
      <c r="AM32" s="1">
        <v>2021</v>
      </c>
    </row>
    <row r="33" spans="1:39">
      <c r="A33" s="183">
        <v>2015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227.75</v>
      </c>
      <c r="U33" s="133"/>
      <c r="V33" s="17">
        <v>227.75</v>
      </c>
      <c r="W33" s="133"/>
      <c r="X33" s="17">
        <v>227.75</v>
      </c>
      <c r="Y33" s="133"/>
      <c r="Z33" s="17"/>
      <c r="AA33" s="17"/>
      <c r="AB33" s="17"/>
      <c r="AC33" s="177"/>
      <c r="AD33" s="181" t="s">
        <v>211</v>
      </c>
      <c r="AH33" s="1" t="s">
        <v>481</v>
      </c>
      <c r="AI33" s="3">
        <v>1008.18</v>
      </c>
      <c r="AJ33" s="32">
        <v>1113</v>
      </c>
      <c r="AK33" s="3">
        <v>352.5</v>
      </c>
      <c r="AL33" s="381">
        <v>389</v>
      </c>
      <c r="AM33" s="1">
        <v>2022</v>
      </c>
    </row>
    <row r="34" spans="1:39">
      <c r="A34" s="165">
        <v>2015</v>
      </c>
      <c r="B34" s="18">
        <v>189.8</v>
      </c>
      <c r="C34" s="155"/>
      <c r="D34" s="18">
        <v>189.8</v>
      </c>
      <c r="E34" s="15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228</v>
      </c>
      <c r="W34" s="155"/>
      <c r="X34" s="18">
        <v>228</v>
      </c>
      <c r="Y34" s="133"/>
      <c r="Z34" s="17"/>
      <c r="AA34" s="17"/>
      <c r="AB34" s="17"/>
      <c r="AC34" s="177"/>
      <c r="AD34" s="181" t="s">
        <v>209</v>
      </c>
      <c r="AH34" s="1" t="s">
        <v>481</v>
      </c>
      <c r="AI34" s="3">
        <v>1008.18</v>
      </c>
      <c r="AJ34" s="32">
        <v>1044</v>
      </c>
      <c r="AK34" s="3">
        <v>352.5</v>
      </c>
      <c r="AL34" s="381">
        <v>365</v>
      </c>
      <c r="AM34" s="1">
        <v>2023</v>
      </c>
    </row>
    <row r="35" spans="1:39">
      <c r="A35" s="223">
        <v>2015</v>
      </c>
      <c r="B35" s="196">
        <v>75</v>
      </c>
      <c r="C35" s="201"/>
      <c r="D35" s="196">
        <v>75</v>
      </c>
      <c r="E35" s="201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>
        <v>90</v>
      </c>
      <c r="U35" s="201"/>
      <c r="V35" s="196">
        <v>90</v>
      </c>
      <c r="W35" s="201"/>
      <c r="X35" s="196">
        <v>90</v>
      </c>
      <c r="Y35" s="155"/>
      <c r="Z35" s="18"/>
      <c r="AA35" s="17"/>
      <c r="AB35" s="17"/>
      <c r="AC35" s="177"/>
      <c r="AD35" s="163" t="s">
        <v>245</v>
      </c>
      <c r="AI35" s="2"/>
      <c r="AJ35" s="32"/>
      <c r="AK35" s="2"/>
      <c r="AL35" s="381"/>
      <c r="AM35" s="1">
        <v>2024</v>
      </c>
    </row>
    <row r="36" spans="1:39">
      <c r="A36" s="223">
        <v>2015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244">
        <v>484.72</v>
      </c>
      <c r="Y36" s="155"/>
      <c r="Z36" s="18"/>
      <c r="AA36" s="111"/>
      <c r="AB36" s="17"/>
      <c r="AC36" s="180">
        <v>1222.42</v>
      </c>
      <c r="AD36" s="163" t="s">
        <v>212</v>
      </c>
      <c r="AI36" s="2"/>
      <c r="AJ36" s="32"/>
      <c r="AK36" s="2"/>
      <c r="AL36" s="381"/>
      <c r="AM36" s="1">
        <v>2025</v>
      </c>
    </row>
    <row r="37" spans="1:39" ht="12" thickBot="1">
      <c r="A37" s="185">
        <v>2015</v>
      </c>
      <c r="B37" s="84">
        <f>SUM(B33:B36)</f>
        <v>264.8</v>
      </c>
      <c r="C37" s="84">
        <v>969</v>
      </c>
      <c r="D37" s="84">
        <f t="shared" ref="D37:X37" si="5">SUM(D33:D36)</f>
        <v>264.8</v>
      </c>
      <c r="E37" s="84">
        <v>963</v>
      </c>
      <c r="F37" s="84">
        <f t="shared" si="5"/>
        <v>0</v>
      </c>
      <c r="G37" s="84">
        <f t="shared" si="5"/>
        <v>0</v>
      </c>
      <c r="H37" s="84">
        <f t="shared" si="5"/>
        <v>0</v>
      </c>
      <c r="I37" s="84">
        <f t="shared" si="5"/>
        <v>0</v>
      </c>
      <c r="J37" s="84">
        <f t="shared" si="5"/>
        <v>0</v>
      </c>
      <c r="K37" s="84">
        <f t="shared" si="5"/>
        <v>0</v>
      </c>
      <c r="L37" s="84">
        <f t="shared" si="5"/>
        <v>0</v>
      </c>
      <c r="M37" s="84">
        <f t="shared" si="5"/>
        <v>0</v>
      </c>
      <c r="N37" s="84">
        <f t="shared" si="5"/>
        <v>0</v>
      </c>
      <c r="O37" s="84">
        <f t="shared" si="5"/>
        <v>0</v>
      </c>
      <c r="P37" s="84">
        <f t="shared" si="5"/>
        <v>0</v>
      </c>
      <c r="Q37" s="84">
        <f t="shared" si="5"/>
        <v>0</v>
      </c>
      <c r="R37" s="84">
        <f t="shared" si="5"/>
        <v>0</v>
      </c>
      <c r="S37" s="84">
        <f t="shared" si="5"/>
        <v>0</v>
      </c>
      <c r="T37" s="84">
        <f t="shared" si="5"/>
        <v>317.75</v>
      </c>
      <c r="U37" s="84">
        <v>1101</v>
      </c>
      <c r="V37" s="84">
        <f t="shared" si="5"/>
        <v>545.75</v>
      </c>
      <c r="W37" s="84">
        <v>1880</v>
      </c>
      <c r="X37" s="84">
        <f t="shared" si="5"/>
        <v>1030.47</v>
      </c>
      <c r="Y37" s="84">
        <v>3530</v>
      </c>
      <c r="Z37" s="86"/>
      <c r="AA37" s="84">
        <f t="shared" si="3"/>
        <v>2423.5699999999997</v>
      </c>
      <c r="AB37" s="86">
        <f t="shared" si="2"/>
        <v>8443</v>
      </c>
      <c r="AC37" s="191">
        <v>1222.42</v>
      </c>
      <c r="AD37" s="232" t="s">
        <v>1</v>
      </c>
      <c r="AI37" s="2"/>
      <c r="AJ37" s="32"/>
      <c r="AK37" s="2"/>
      <c r="AL37" s="381"/>
      <c r="AM37" s="1">
        <v>2026</v>
      </c>
    </row>
    <row r="38" spans="1:39">
      <c r="A38" s="167">
        <v>2016</v>
      </c>
      <c r="B38" s="17"/>
      <c r="C38" s="17"/>
      <c r="D38" s="17"/>
      <c r="E38" s="17"/>
      <c r="F38" s="130">
        <v>227.75</v>
      </c>
      <c r="G38" s="133"/>
      <c r="H38" s="17"/>
      <c r="I38" s="17"/>
      <c r="J38" s="130">
        <v>227.75</v>
      </c>
      <c r="K38" s="133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238</v>
      </c>
      <c r="Y38" s="133"/>
      <c r="Z38" s="17"/>
      <c r="AA38" s="17"/>
      <c r="AB38" s="17">
        <f t="shared" si="2"/>
        <v>0</v>
      </c>
      <c r="AC38" s="177"/>
      <c r="AD38" s="181" t="s">
        <v>211</v>
      </c>
      <c r="AI38" s="2"/>
      <c r="AJ38" s="32"/>
      <c r="AK38" s="2"/>
      <c r="AL38" s="381"/>
      <c r="AM38" s="1">
        <v>2027</v>
      </c>
    </row>
    <row r="39" spans="1:39">
      <c r="A39" s="166">
        <v>2016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5">
        <v>249.34</v>
      </c>
      <c r="U39" s="155"/>
      <c r="V39" s="76">
        <v>237.7</v>
      </c>
      <c r="W39" s="155"/>
      <c r="X39" s="18">
        <v>250.66</v>
      </c>
      <c r="Y39" s="133"/>
      <c r="Z39" s="17"/>
      <c r="AA39" s="17"/>
      <c r="AB39" s="18">
        <f t="shared" si="2"/>
        <v>0</v>
      </c>
      <c r="AC39" s="224"/>
      <c r="AD39" s="186" t="s">
        <v>212</v>
      </c>
      <c r="AI39" s="2"/>
      <c r="AJ39" s="32"/>
      <c r="AK39" s="2"/>
      <c r="AL39" s="381"/>
      <c r="AM39" s="1">
        <v>2028</v>
      </c>
    </row>
    <row r="40" spans="1:39">
      <c r="A40" s="179">
        <v>2016</v>
      </c>
      <c r="B40" s="196"/>
      <c r="C40" s="196"/>
      <c r="D40" s="196">
        <v>90</v>
      </c>
      <c r="E40" s="201"/>
      <c r="F40" s="196">
        <v>90</v>
      </c>
      <c r="G40" s="201"/>
      <c r="H40" s="196">
        <v>90</v>
      </c>
      <c r="I40" s="201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>
        <v>373</v>
      </c>
      <c r="Y40" s="155"/>
      <c r="Z40" s="18"/>
      <c r="AA40" s="17"/>
      <c r="AB40" s="17">
        <f t="shared" si="2"/>
        <v>0</v>
      </c>
      <c r="AC40" s="224"/>
      <c r="AD40" s="163" t="s">
        <v>245</v>
      </c>
      <c r="AI40" s="2"/>
      <c r="AJ40" s="32"/>
      <c r="AK40" s="2"/>
      <c r="AL40" s="381"/>
      <c r="AM40" s="1">
        <v>2029</v>
      </c>
    </row>
    <row r="41" spans="1:39" s="115" customFormat="1">
      <c r="A41" s="179">
        <v>2016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11"/>
      <c r="Z41" s="18"/>
      <c r="AA41" s="111"/>
      <c r="AB41" s="111"/>
      <c r="AC41" s="224">
        <v>1211.8</v>
      </c>
      <c r="AD41" s="169" t="s">
        <v>219</v>
      </c>
      <c r="AI41" s="380"/>
      <c r="AJ41" s="31"/>
      <c r="AK41" s="380"/>
      <c r="AL41" s="382"/>
      <c r="AM41" s="1">
        <v>2030</v>
      </c>
    </row>
    <row r="42" spans="1:39" ht="12" thickBot="1">
      <c r="A42" s="184">
        <v>2016</v>
      </c>
      <c r="B42" s="84">
        <f>SUM(B38:B41)</f>
        <v>0</v>
      </c>
      <c r="C42" s="84">
        <f t="shared" ref="C42:X42" si="6">SUM(C38:C41)</f>
        <v>0</v>
      </c>
      <c r="D42" s="84">
        <f t="shared" si="6"/>
        <v>90</v>
      </c>
      <c r="E42" s="84">
        <v>304</v>
      </c>
      <c r="F42" s="84">
        <f t="shared" si="6"/>
        <v>317.75</v>
      </c>
      <c r="G42" s="84">
        <v>1068</v>
      </c>
      <c r="H42" s="84">
        <f t="shared" si="6"/>
        <v>90</v>
      </c>
      <c r="I42" s="84">
        <v>300</v>
      </c>
      <c r="J42" s="84">
        <f t="shared" si="6"/>
        <v>227.75</v>
      </c>
      <c r="K42" s="84">
        <v>757</v>
      </c>
      <c r="L42" s="84">
        <f t="shared" si="6"/>
        <v>0</v>
      </c>
      <c r="M42" s="84">
        <f t="shared" si="6"/>
        <v>0</v>
      </c>
      <c r="N42" s="84">
        <f t="shared" si="6"/>
        <v>0</v>
      </c>
      <c r="O42" s="84">
        <f t="shared" si="6"/>
        <v>0</v>
      </c>
      <c r="P42" s="84">
        <f t="shared" si="6"/>
        <v>0</v>
      </c>
      <c r="Q42" s="84">
        <f t="shared" si="6"/>
        <v>0</v>
      </c>
      <c r="R42" s="84">
        <f t="shared" si="6"/>
        <v>0</v>
      </c>
      <c r="S42" s="84">
        <f t="shared" si="6"/>
        <v>0</v>
      </c>
      <c r="T42" s="84">
        <f t="shared" si="6"/>
        <v>249.34</v>
      </c>
      <c r="U42" s="84">
        <v>804</v>
      </c>
      <c r="V42" s="84">
        <f t="shared" si="6"/>
        <v>237.7</v>
      </c>
      <c r="W42" s="84">
        <v>762</v>
      </c>
      <c r="X42" s="84">
        <f t="shared" si="6"/>
        <v>861.66</v>
      </c>
      <c r="Y42" s="84">
        <v>2745</v>
      </c>
      <c r="Z42" s="86"/>
      <c r="AA42" s="84">
        <f t="shared" si="3"/>
        <v>2074.1999999999998</v>
      </c>
      <c r="AB42" s="84">
        <f t="shared" si="2"/>
        <v>6740</v>
      </c>
      <c r="AC42" s="233"/>
      <c r="AD42" s="232" t="s">
        <v>1</v>
      </c>
      <c r="AI42" s="2"/>
      <c r="AJ42" s="32"/>
      <c r="AK42" s="2"/>
      <c r="AL42" s="381"/>
      <c r="AM42" s="1">
        <v>2031</v>
      </c>
    </row>
    <row r="43" spans="1:39">
      <c r="A43" s="190">
        <v>2017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7">
        <f t="shared" si="3"/>
        <v>0</v>
      </c>
      <c r="AB43" s="17">
        <f t="shared" si="2"/>
        <v>0</v>
      </c>
      <c r="AC43" s="225">
        <v>1211.8</v>
      </c>
      <c r="AD43" s="134" t="s">
        <v>220</v>
      </c>
      <c r="AI43" s="2"/>
      <c r="AJ43" s="32"/>
      <c r="AK43" s="2"/>
      <c r="AL43" s="381"/>
      <c r="AM43" s="1">
        <v>2032</v>
      </c>
    </row>
    <row r="44" spans="1:39">
      <c r="A44" s="165">
        <v>2017</v>
      </c>
      <c r="B44" s="18">
        <v>93</v>
      </c>
      <c r="C44" s="18">
        <v>294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>
        <v>386</v>
      </c>
      <c r="Y44" s="18">
        <v>1147</v>
      </c>
      <c r="Z44" s="18"/>
      <c r="AA44" s="17">
        <f t="shared" si="3"/>
        <v>479</v>
      </c>
      <c r="AB44" s="17">
        <f t="shared" si="2"/>
        <v>1441</v>
      </c>
      <c r="AC44" s="225"/>
      <c r="AD44" s="163" t="s">
        <v>245</v>
      </c>
      <c r="AI44" s="2"/>
      <c r="AJ44" s="32"/>
      <c r="AK44" s="2"/>
      <c r="AL44" s="381"/>
      <c r="AM44" s="1">
        <v>2033</v>
      </c>
    </row>
    <row r="45" spans="1:39">
      <c r="A45" s="166">
        <v>2018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7">
        <f t="shared" si="3"/>
        <v>0</v>
      </c>
      <c r="AB45" s="17">
        <f t="shared" si="2"/>
        <v>0</v>
      </c>
      <c r="AC45" s="225">
        <v>1600.81</v>
      </c>
      <c r="AD45" s="134" t="s">
        <v>221</v>
      </c>
      <c r="AI45" s="2"/>
      <c r="AJ45" s="32"/>
      <c r="AK45" s="2"/>
      <c r="AL45" s="381"/>
      <c r="AM45" s="1">
        <v>2034</v>
      </c>
    </row>
    <row r="46" spans="1:39">
      <c r="A46" s="166">
        <v>2018</v>
      </c>
      <c r="B46" s="18">
        <v>93</v>
      </c>
      <c r="C46" s="18">
        <v>274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7"/>
      <c r="Z46" s="17"/>
      <c r="AA46" s="17"/>
      <c r="AB46" s="17"/>
      <c r="AC46" s="225"/>
      <c r="AD46" s="163" t="s">
        <v>245</v>
      </c>
      <c r="AI46" s="2"/>
      <c r="AJ46" s="32"/>
      <c r="AK46" s="2"/>
      <c r="AL46" s="381"/>
      <c r="AM46" s="1">
        <v>2035</v>
      </c>
    </row>
    <row r="47" spans="1:39">
      <c r="A47" s="165">
        <v>2019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17">
        <f t="shared" si="3"/>
        <v>0</v>
      </c>
      <c r="AB47" s="17">
        <f t="shared" si="2"/>
        <v>0</v>
      </c>
      <c r="AC47" s="225">
        <v>1280.6500000000001</v>
      </c>
      <c r="AD47" s="134" t="s">
        <v>222</v>
      </c>
      <c r="AI47" s="2"/>
      <c r="AJ47" s="32"/>
      <c r="AK47" s="2"/>
      <c r="AL47" s="381"/>
      <c r="AM47" s="1">
        <v>2036</v>
      </c>
    </row>
    <row r="48" spans="1:39">
      <c r="A48" s="166">
        <v>2020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7"/>
      <c r="Z48" s="17"/>
      <c r="AA48" s="17">
        <f t="shared" si="3"/>
        <v>0</v>
      </c>
      <c r="AB48" s="111">
        <f t="shared" si="2"/>
        <v>0</v>
      </c>
      <c r="AC48" s="180">
        <v>1280.6500000000001</v>
      </c>
      <c r="AD48" s="134" t="s">
        <v>223</v>
      </c>
      <c r="AI48" s="2"/>
      <c r="AJ48" s="32"/>
      <c r="AK48" s="2"/>
      <c r="AL48" s="381"/>
      <c r="AM48" s="1">
        <v>2037</v>
      </c>
    </row>
    <row r="49" spans="1:39">
      <c r="A49" s="165">
        <v>2021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7"/>
      <c r="Z49" s="17"/>
      <c r="AA49" s="17">
        <f t="shared" si="3"/>
        <v>0</v>
      </c>
      <c r="AB49" s="17">
        <f t="shared" si="2"/>
        <v>0</v>
      </c>
      <c r="AC49" s="182">
        <v>1280.6500000000001</v>
      </c>
      <c r="AD49" s="134" t="s">
        <v>224</v>
      </c>
      <c r="AI49" s="2"/>
      <c r="AJ49" s="32"/>
      <c r="AK49" s="2"/>
      <c r="AL49" s="381"/>
      <c r="AM49" s="1">
        <v>2038</v>
      </c>
    </row>
    <row r="50" spans="1:39">
      <c r="A50" s="164">
        <v>2022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7"/>
      <c r="Z50" s="17"/>
      <c r="AA50" s="17">
        <f t="shared" si="3"/>
        <v>0</v>
      </c>
      <c r="AB50" s="17">
        <f t="shared" si="2"/>
        <v>0</v>
      </c>
      <c r="AC50" s="182">
        <v>1008.18</v>
      </c>
      <c r="AD50" s="134" t="s">
        <v>225</v>
      </c>
      <c r="AI50" s="2"/>
      <c r="AJ50" s="32"/>
      <c r="AK50" s="2"/>
      <c r="AL50" s="381"/>
      <c r="AM50" s="1">
        <v>2039</v>
      </c>
    </row>
    <row r="51" spans="1:39">
      <c r="A51" s="2">
        <v>2023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7"/>
      <c r="Z51" s="17"/>
      <c r="AA51" s="17">
        <f t="shared" si="3"/>
        <v>0</v>
      </c>
      <c r="AB51" s="17">
        <f t="shared" si="2"/>
        <v>0</v>
      </c>
      <c r="AC51" s="108"/>
      <c r="AD51" s="134"/>
      <c r="AI51" s="2"/>
      <c r="AJ51" s="32"/>
      <c r="AK51" s="2"/>
      <c r="AL51" s="381"/>
      <c r="AM51" s="1">
        <v>2040</v>
      </c>
    </row>
    <row r="52" spans="1:39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18">
        <f>SUM(AA3:AA51)</f>
        <v>9695.43</v>
      </c>
      <c r="AB52" s="18">
        <f>SUM(AB3:AB51)</f>
        <v>31556</v>
      </c>
      <c r="AC52" s="178">
        <f>SUM(AC3:AC51)</f>
        <v>17131.379999999997</v>
      </c>
      <c r="AI52" s="383">
        <f t="shared" ref="AI52:AJ52" si="7">SUM(AI21:AI51)</f>
        <v>12714.22</v>
      </c>
      <c r="AJ52" s="263">
        <f t="shared" si="7"/>
        <v>18764</v>
      </c>
      <c r="AK52" s="383">
        <f>SUM(AK21:AK51)</f>
        <v>4511.5</v>
      </c>
      <c r="AL52" s="263">
        <f>SUM(AL21:AL51)</f>
        <v>6540</v>
      </c>
    </row>
    <row r="53" spans="1:39">
      <c r="AB53" s="5"/>
      <c r="AC53" s="81"/>
      <c r="AK53" s="291">
        <f>AI52+AK52</f>
        <v>17225.72</v>
      </c>
      <c r="AL53" s="266">
        <f>AJ52+AL52</f>
        <v>25304</v>
      </c>
    </row>
    <row r="54" spans="1:39">
      <c r="AC54" s="81"/>
    </row>
    <row r="55" spans="1:39" ht="15.75">
      <c r="A55" s="432" t="s">
        <v>214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2"/>
      <c r="AC55" s="81"/>
      <c r="AK55" s="291">
        <f>AA20+AK53</f>
        <v>20225.72</v>
      </c>
      <c r="AL55" s="266">
        <f>AB20+AL53</f>
        <v>33932</v>
      </c>
    </row>
    <row r="56" spans="1:39" ht="15.75">
      <c r="A56" s="432" t="s">
        <v>215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81"/>
      <c r="AL56" s="384" t="s">
        <v>469</v>
      </c>
    </row>
    <row r="57" spans="1:39" ht="15.75">
      <c r="A57" s="432" t="s">
        <v>217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81"/>
    </row>
    <row r="58" spans="1:39" ht="15.75">
      <c r="A58" s="432" t="s">
        <v>218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81"/>
    </row>
    <row r="59" spans="1:39">
      <c r="X59" s="5"/>
      <c r="AC59" s="163"/>
    </row>
    <row r="60" spans="1:39">
      <c r="E60" s="75"/>
      <c r="F60" s="75"/>
      <c r="G60" s="75"/>
      <c r="H60" s="23"/>
      <c r="L60" s="5"/>
    </row>
    <row r="61" spans="1:39">
      <c r="P61" s="5"/>
      <c r="Q61" s="5"/>
    </row>
    <row r="63" spans="1:39">
      <c r="L63" s="1" t="s">
        <v>319</v>
      </c>
      <c r="N63" s="1" t="s">
        <v>300</v>
      </c>
      <c r="Q63" s="1" t="s">
        <v>333</v>
      </c>
      <c r="S63" s="1" t="s">
        <v>14</v>
      </c>
    </row>
    <row r="64" spans="1:39">
      <c r="L64" s="28">
        <v>6000000</v>
      </c>
      <c r="N64" s="28">
        <v>12345</v>
      </c>
      <c r="P64" s="28"/>
      <c r="Q64" s="28">
        <f>L64*N64</f>
        <v>74070000000</v>
      </c>
      <c r="S64" s="240">
        <f>AL55*Q64/AK55</f>
        <v>124264710477.55035</v>
      </c>
    </row>
    <row r="65" spans="10:19">
      <c r="Q65" s="28"/>
      <c r="S65" s="28"/>
    </row>
    <row r="66" spans="10:19">
      <c r="Q66" s="75"/>
      <c r="S66" s="75"/>
    </row>
    <row r="67" spans="10:19" ht="23.25">
      <c r="J67" s="226" t="s">
        <v>362</v>
      </c>
    </row>
    <row r="68" spans="10:19">
      <c r="S68" s="239"/>
    </row>
  </sheetData>
  <mergeCells count="23">
    <mergeCell ref="AC1:AC2"/>
    <mergeCell ref="H1:I1"/>
    <mergeCell ref="J1:K1"/>
    <mergeCell ref="L1:M1"/>
    <mergeCell ref="A55:AB55"/>
    <mergeCell ref="Z1:Z2"/>
    <mergeCell ref="AA1:AA2"/>
    <mergeCell ref="AB1:AB2"/>
    <mergeCell ref="A10:A12"/>
    <mergeCell ref="A13:A15"/>
    <mergeCell ref="A17:A19"/>
    <mergeCell ref="N1:O1"/>
    <mergeCell ref="A56:AB56"/>
    <mergeCell ref="A57:AB57"/>
    <mergeCell ref="A58:AB58"/>
    <mergeCell ref="P1:Q1"/>
    <mergeCell ref="R1:S1"/>
    <mergeCell ref="T1:U1"/>
    <mergeCell ref="V1:W1"/>
    <mergeCell ref="X1:Y1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4"/>
  <sheetViews>
    <sheetView zoomScaleNormal="100" workbookViewId="0">
      <pane ySplit="2" topLeftCell="A27" activePane="bottomLeft" state="frozen"/>
      <selection pane="bottomLeft" activeCell="AB49" sqref="AB49"/>
    </sheetView>
  </sheetViews>
  <sheetFormatPr defaultRowHeight="11.25"/>
  <cols>
    <col min="1" max="1" width="3.44140625" style="1" bestFit="1" customWidth="1"/>
    <col min="2" max="3" width="7.33203125" style="1" bestFit="1" customWidth="1"/>
    <col min="4" max="4" width="5.6640625" style="1" bestFit="1" customWidth="1"/>
    <col min="5" max="8" width="6.33203125" style="1" bestFit="1" customWidth="1"/>
    <col min="9" max="9" width="6.33203125" style="1" customWidth="1"/>
    <col min="10" max="11" width="7.33203125" style="1" bestFit="1" customWidth="1"/>
    <col min="12" max="12" width="8" style="1" bestFit="1" customWidth="1"/>
    <col min="13" max="13" width="6.6640625" style="1" customWidth="1"/>
    <col min="14" max="14" width="7" style="1" bestFit="1" customWidth="1"/>
    <col min="15" max="15" width="6.33203125" style="1" bestFit="1" customWidth="1"/>
    <col min="16" max="16" width="6.109375" style="1" customWidth="1"/>
    <col min="17" max="17" width="13.44140625" style="1" customWidth="1"/>
    <col min="18" max="18" width="6.33203125" style="1" bestFit="1" customWidth="1"/>
    <col min="19" max="19" width="12.6640625" style="1" bestFit="1" customWidth="1"/>
    <col min="20" max="21" width="7.33203125" style="1" bestFit="1" customWidth="1"/>
    <col min="22" max="25" width="6.33203125" style="1" bestFit="1" customWidth="1"/>
    <col min="26" max="27" width="8" style="1" bestFit="1" customWidth="1"/>
    <col min="28" max="28" width="7.33203125" style="1" customWidth="1"/>
    <col min="29" max="16384" width="8.88671875" style="1"/>
  </cols>
  <sheetData>
    <row r="1" spans="1:28">
      <c r="A1" s="30"/>
      <c r="B1" s="450" t="s">
        <v>2</v>
      </c>
      <c r="C1" s="451"/>
      <c r="D1" s="452" t="s">
        <v>3</v>
      </c>
      <c r="E1" s="453"/>
      <c r="F1" s="450" t="s">
        <v>4</v>
      </c>
      <c r="G1" s="451"/>
      <c r="H1" s="455" t="s">
        <v>5</v>
      </c>
      <c r="I1" s="456"/>
      <c r="J1" s="450" t="s">
        <v>0</v>
      </c>
      <c r="K1" s="451"/>
      <c r="L1" s="452" t="s">
        <v>6</v>
      </c>
      <c r="M1" s="453"/>
      <c r="N1" s="450" t="s">
        <v>7</v>
      </c>
      <c r="O1" s="451"/>
      <c r="P1" s="455" t="s">
        <v>8</v>
      </c>
      <c r="Q1" s="456"/>
      <c r="R1" s="450" t="s">
        <v>9</v>
      </c>
      <c r="S1" s="451"/>
      <c r="T1" s="452" t="s">
        <v>10</v>
      </c>
      <c r="U1" s="453"/>
      <c r="V1" s="450" t="s">
        <v>11</v>
      </c>
      <c r="W1" s="451"/>
      <c r="X1" s="455" t="s">
        <v>12</v>
      </c>
      <c r="Y1" s="456"/>
      <c r="Z1" s="465" t="s">
        <v>28</v>
      </c>
      <c r="AA1" s="445" t="s">
        <v>13</v>
      </c>
      <c r="AB1" s="454" t="s">
        <v>387</v>
      </c>
    </row>
    <row r="2" spans="1:28">
      <c r="A2" s="30"/>
      <c r="B2" s="175" t="s">
        <v>40</v>
      </c>
      <c r="C2" s="175" t="s">
        <v>14</v>
      </c>
      <c r="D2" s="74" t="s">
        <v>40</v>
      </c>
      <c r="E2" s="275" t="s">
        <v>14</v>
      </c>
      <c r="F2" s="175" t="s">
        <v>40</v>
      </c>
      <c r="G2" s="276" t="s">
        <v>14</v>
      </c>
      <c r="H2" s="79" t="s">
        <v>40</v>
      </c>
      <c r="I2" s="277" t="s">
        <v>14</v>
      </c>
      <c r="J2" s="175" t="s">
        <v>40</v>
      </c>
      <c r="K2" s="276" t="s">
        <v>14</v>
      </c>
      <c r="L2" s="74" t="s">
        <v>40</v>
      </c>
      <c r="M2" s="275" t="s">
        <v>14</v>
      </c>
      <c r="N2" s="175" t="s">
        <v>40</v>
      </c>
      <c r="O2" s="276" t="s">
        <v>14</v>
      </c>
      <c r="P2" s="79" t="s">
        <v>40</v>
      </c>
      <c r="Q2" s="277" t="s">
        <v>14</v>
      </c>
      <c r="R2" s="175" t="s">
        <v>40</v>
      </c>
      <c r="S2" s="276" t="s">
        <v>14</v>
      </c>
      <c r="T2" s="74" t="s">
        <v>40</v>
      </c>
      <c r="U2" s="275" t="s">
        <v>14</v>
      </c>
      <c r="V2" s="175" t="s">
        <v>40</v>
      </c>
      <c r="W2" s="276" t="s">
        <v>14</v>
      </c>
      <c r="X2" s="79" t="s">
        <v>40</v>
      </c>
      <c r="Y2" s="277" t="s">
        <v>14</v>
      </c>
      <c r="Z2" s="466"/>
      <c r="AA2" s="446"/>
      <c r="AB2" s="454"/>
    </row>
    <row r="3" spans="1:28">
      <c r="A3" s="12">
        <v>1998</v>
      </c>
      <c r="B3" s="252"/>
      <c r="C3" s="252"/>
      <c r="D3" s="252"/>
      <c r="E3" s="252"/>
      <c r="F3" s="252"/>
      <c r="G3" s="252"/>
      <c r="H3" s="252"/>
      <c r="I3" s="17"/>
      <c r="J3" s="17"/>
      <c r="K3" s="17"/>
      <c r="L3" s="17"/>
      <c r="M3" s="17"/>
      <c r="N3" s="17"/>
      <c r="O3" s="17"/>
      <c r="P3" s="71"/>
      <c r="Q3" s="71"/>
      <c r="R3" s="71"/>
      <c r="S3" s="71"/>
      <c r="T3" s="71"/>
      <c r="U3" s="71"/>
      <c r="V3" s="71"/>
      <c r="W3" s="71"/>
      <c r="X3" s="71"/>
      <c r="Y3" s="71"/>
      <c r="Z3" s="17">
        <f t="shared" ref="Z3:Z6" si="0">B3+D3+F3+H3+J3+L3+N3+P3+R3+T3+V3+X3</f>
        <v>0</v>
      </c>
      <c r="AA3" s="17">
        <f t="shared" ref="Z3:AA45" si="1">C3+E3+G3+I3+K3+M3+O3+Q3+S3+U3+W3+Y3</f>
        <v>0</v>
      </c>
      <c r="AB3" s="23"/>
    </row>
    <row r="4" spans="1:28">
      <c r="A4" s="165">
        <v>1999</v>
      </c>
      <c r="B4" s="253"/>
      <c r="C4" s="253"/>
      <c r="D4" s="253"/>
      <c r="E4" s="253"/>
      <c r="F4" s="253"/>
      <c r="G4" s="253"/>
      <c r="H4" s="25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17">
        <f t="shared" si="0"/>
        <v>0</v>
      </c>
      <c r="AA4" s="17">
        <f t="shared" si="1"/>
        <v>0</v>
      </c>
      <c r="AB4" s="23"/>
    </row>
    <row r="5" spans="1:28">
      <c r="A5" s="2">
        <v>2000</v>
      </c>
      <c r="B5" s="253"/>
      <c r="C5" s="253"/>
      <c r="D5" s="253"/>
      <c r="E5" s="253"/>
      <c r="F5" s="253"/>
      <c r="G5" s="254"/>
      <c r="H5" s="253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71"/>
      <c r="Z5" s="17">
        <f t="shared" si="0"/>
        <v>0</v>
      </c>
      <c r="AA5" s="17">
        <f t="shared" si="1"/>
        <v>0</v>
      </c>
      <c r="AB5" s="23"/>
    </row>
    <row r="6" spans="1:28">
      <c r="A6" s="165">
        <v>2001</v>
      </c>
      <c r="B6" s="253"/>
      <c r="C6" s="253"/>
      <c r="D6" s="253"/>
      <c r="E6" s="253"/>
      <c r="F6" s="253"/>
      <c r="G6" s="253"/>
      <c r="H6" s="253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71"/>
      <c r="Z6" s="17">
        <f t="shared" si="0"/>
        <v>0</v>
      </c>
      <c r="AA6" s="17">
        <f t="shared" si="1"/>
        <v>0</v>
      </c>
      <c r="AB6" s="23"/>
    </row>
    <row r="7" spans="1:28">
      <c r="A7" s="2">
        <v>2002</v>
      </c>
      <c r="B7" s="20"/>
      <c r="C7" s="20"/>
      <c r="D7" s="20"/>
      <c r="E7" s="20"/>
      <c r="F7" s="20"/>
      <c r="G7" s="20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7"/>
      <c r="Z7" s="17">
        <f>B7+D7+F7+H7+J7+L7+N7+P7+R7+T7+V7+X7</f>
        <v>0</v>
      </c>
      <c r="AA7" s="17">
        <f t="shared" si="1"/>
        <v>0</v>
      </c>
      <c r="AB7" s="23"/>
    </row>
    <row r="8" spans="1:28">
      <c r="A8" s="165">
        <v>2003</v>
      </c>
      <c r="B8" s="255"/>
      <c r="C8" s="255"/>
      <c r="D8" s="255"/>
      <c r="E8" s="255"/>
      <c r="F8" s="255"/>
      <c r="G8" s="255"/>
      <c r="H8" s="255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80"/>
      <c r="Z8" s="17">
        <f t="shared" ref="Z8:Z21" si="2">B8+D8+F8+H8+J8+L8+N8+P8+R8+T8+V8+X8</f>
        <v>0</v>
      </c>
      <c r="AA8" s="17">
        <f t="shared" si="1"/>
        <v>0</v>
      </c>
      <c r="AB8" s="23"/>
    </row>
    <row r="9" spans="1:28">
      <c r="A9" s="2">
        <v>2004</v>
      </c>
      <c r="B9" s="255"/>
      <c r="C9" s="255"/>
      <c r="D9" s="255"/>
      <c r="E9" s="255"/>
      <c r="F9" s="255"/>
      <c r="G9" s="255"/>
      <c r="H9" s="25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80"/>
      <c r="Z9" s="17">
        <f t="shared" si="2"/>
        <v>0</v>
      </c>
      <c r="AA9" s="17">
        <f t="shared" si="1"/>
        <v>0</v>
      </c>
      <c r="AB9" s="108"/>
    </row>
    <row r="10" spans="1:28">
      <c r="A10" s="461">
        <v>2005</v>
      </c>
      <c r="B10" s="20"/>
      <c r="C10" s="20"/>
      <c r="D10" s="20"/>
      <c r="E10" s="20"/>
      <c r="F10" s="20"/>
      <c r="G10" s="20"/>
      <c r="H10" s="20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7">
        <f t="shared" si="2"/>
        <v>0</v>
      </c>
      <c r="AA10" s="17">
        <f t="shared" si="1"/>
        <v>0</v>
      </c>
      <c r="AB10" s="108"/>
    </row>
    <row r="11" spans="1:28">
      <c r="A11" s="434"/>
      <c r="B11" s="20"/>
      <c r="C11" s="20"/>
      <c r="D11" s="20"/>
      <c r="E11" s="20"/>
      <c r="F11" s="20"/>
      <c r="G11" s="20"/>
      <c r="H11" s="2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7">
        <f t="shared" si="2"/>
        <v>0</v>
      </c>
      <c r="AA11" s="17">
        <f t="shared" si="1"/>
        <v>0</v>
      </c>
      <c r="AB11" s="108"/>
    </row>
    <row r="12" spans="1:28">
      <c r="A12" s="462"/>
      <c r="B12" s="20"/>
      <c r="C12" s="20"/>
      <c r="D12" s="20"/>
      <c r="E12" s="20"/>
      <c r="F12" s="20"/>
      <c r="G12" s="20"/>
      <c r="H12" s="20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7"/>
      <c r="Z12" s="17">
        <f t="shared" si="2"/>
        <v>0</v>
      </c>
      <c r="AA12" s="17">
        <f t="shared" si="1"/>
        <v>0</v>
      </c>
      <c r="AB12" s="108"/>
    </row>
    <row r="13" spans="1:28">
      <c r="A13" s="449">
        <v>2006</v>
      </c>
      <c r="B13" s="20"/>
      <c r="C13" s="20"/>
      <c r="D13" s="20"/>
      <c r="E13" s="20"/>
      <c r="F13" s="20"/>
      <c r="G13" s="20"/>
      <c r="H13" s="20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7"/>
      <c r="Z13" s="17">
        <f t="shared" si="2"/>
        <v>0</v>
      </c>
      <c r="AA13" s="17">
        <f t="shared" si="1"/>
        <v>0</v>
      </c>
      <c r="AB13" s="108"/>
    </row>
    <row r="14" spans="1:28">
      <c r="A14" s="437"/>
      <c r="B14" s="20"/>
      <c r="C14" s="20"/>
      <c r="D14" s="20"/>
      <c r="E14" s="20"/>
      <c r="F14" s="20"/>
      <c r="G14" s="20"/>
      <c r="H14" s="2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17">
        <f t="shared" si="2"/>
        <v>0</v>
      </c>
      <c r="AA14" s="17">
        <f t="shared" si="1"/>
        <v>0</v>
      </c>
      <c r="AB14" s="108"/>
    </row>
    <row r="15" spans="1:28">
      <c r="A15" s="463"/>
      <c r="B15" s="20"/>
      <c r="C15" s="20"/>
      <c r="D15" s="20"/>
      <c r="E15" s="20"/>
      <c r="F15" s="20"/>
      <c r="G15" s="20"/>
      <c r="H15" s="2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7"/>
      <c r="Z15" s="17">
        <f t="shared" si="2"/>
        <v>0</v>
      </c>
      <c r="AA15" s="17">
        <f t="shared" si="1"/>
        <v>0</v>
      </c>
      <c r="AB15" s="108"/>
    </row>
    <row r="16" spans="1:28">
      <c r="A16" s="165">
        <v>2007</v>
      </c>
      <c r="B16" s="20"/>
      <c r="C16" s="20"/>
      <c r="D16" s="20"/>
      <c r="E16" s="20"/>
      <c r="F16" s="20"/>
      <c r="G16" s="20"/>
      <c r="H16" s="2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7"/>
      <c r="Z16" s="17">
        <f t="shared" si="2"/>
        <v>0</v>
      </c>
      <c r="AA16" s="17">
        <f t="shared" si="1"/>
        <v>0</v>
      </c>
      <c r="AB16" s="177"/>
    </row>
    <row r="17" spans="1:29">
      <c r="A17" s="449">
        <v>2008</v>
      </c>
      <c r="B17" s="20"/>
      <c r="C17" s="20"/>
      <c r="D17" s="20"/>
      <c r="E17" s="20"/>
      <c r="F17" s="20"/>
      <c r="G17" s="20"/>
      <c r="H17" s="20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7"/>
      <c r="Z17" s="17">
        <f t="shared" si="2"/>
        <v>0</v>
      </c>
      <c r="AA17" s="17">
        <f t="shared" si="1"/>
        <v>0</v>
      </c>
      <c r="AB17" s="177"/>
    </row>
    <row r="18" spans="1:29">
      <c r="A18" s="437"/>
      <c r="B18" s="20"/>
      <c r="C18" s="20"/>
      <c r="D18" s="20"/>
      <c r="E18" s="20"/>
      <c r="F18" s="20"/>
      <c r="G18" s="20"/>
      <c r="H18" s="20"/>
      <c r="I18" s="27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7"/>
      <c r="Z18" s="17">
        <f t="shared" si="2"/>
        <v>0</v>
      </c>
      <c r="AA18" s="17"/>
      <c r="AB18" s="177"/>
    </row>
    <row r="19" spans="1:29">
      <c r="A19" s="43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2"/>
      <c r="Z19" s="17">
        <f t="shared" si="2"/>
        <v>0</v>
      </c>
      <c r="AA19" s="17">
        <f t="shared" si="1"/>
        <v>0</v>
      </c>
      <c r="AB19" s="177"/>
    </row>
    <row r="20" spans="1:29">
      <c r="A20" s="100">
        <v>2009</v>
      </c>
      <c r="B20" s="25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7">
        <f t="shared" si="2"/>
        <v>0</v>
      </c>
      <c r="AA20" s="17">
        <f t="shared" si="1"/>
        <v>0</v>
      </c>
      <c r="AB20" s="177"/>
    </row>
    <row r="21" spans="1:29">
      <c r="A21" s="166">
        <v>2010</v>
      </c>
      <c r="B21" s="18">
        <v>52.13</v>
      </c>
      <c r="C21" s="18">
        <v>148</v>
      </c>
      <c r="D21" s="18"/>
      <c r="E21" s="18"/>
      <c r="F21" s="18">
        <v>11.11</v>
      </c>
      <c r="G21" s="18">
        <v>31</v>
      </c>
      <c r="H21" s="18"/>
      <c r="I21" s="18"/>
      <c r="J21" s="18">
        <v>28.65</v>
      </c>
      <c r="K21" s="18">
        <v>79</v>
      </c>
      <c r="L21" s="18"/>
      <c r="M21" s="18"/>
      <c r="N21" s="18">
        <v>20.350000000000001</v>
      </c>
      <c r="O21" s="18">
        <v>55</v>
      </c>
      <c r="P21" s="18"/>
      <c r="Q21" s="18"/>
      <c r="R21" s="18">
        <v>30.81</v>
      </c>
      <c r="S21" s="18">
        <v>83</v>
      </c>
      <c r="T21" s="18"/>
      <c r="U21" s="18"/>
      <c r="V21" s="18">
        <v>8.08</v>
      </c>
      <c r="W21" s="18">
        <v>21</v>
      </c>
      <c r="X21" s="18"/>
      <c r="Y21" s="18"/>
      <c r="Z21" s="17">
        <f t="shared" si="2"/>
        <v>151.13000000000002</v>
      </c>
      <c r="AA21" s="18">
        <f t="shared" si="1"/>
        <v>417</v>
      </c>
      <c r="AB21" s="225">
        <v>196</v>
      </c>
      <c r="AC21" s="169" t="s">
        <v>277</v>
      </c>
    </row>
    <row r="22" spans="1:29" ht="12" thickBot="1">
      <c r="A22" s="185">
        <v>2011</v>
      </c>
      <c r="B22" s="84">
        <v>34.21</v>
      </c>
      <c r="C22" s="84">
        <v>89</v>
      </c>
      <c r="D22" s="84"/>
      <c r="E22" s="84"/>
      <c r="F22" s="84"/>
      <c r="G22" s="84"/>
      <c r="H22" s="84"/>
      <c r="I22" s="84"/>
      <c r="J22" s="84"/>
      <c r="K22" s="84"/>
      <c r="L22" s="84">
        <v>28.31</v>
      </c>
      <c r="M22" s="84">
        <v>71</v>
      </c>
      <c r="N22" s="84"/>
      <c r="O22" s="84"/>
      <c r="P22" s="84"/>
      <c r="Q22" s="84"/>
      <c r="R22" s="84"/>
      <c r="S22" s="84"/>
      <c r="T22" s="84">
        <v>204.13</v>
      </c>
      <c r="U22" s="84">
        <v>498</v>
      </c>
      <c r="V22" s="84">
        <v>180</v>
      </c>
      <c r="W22" s="84">
        <v>435</v>
      </c>
      <c r="X22" s="84"/>
      <c r="Y22" s="84"/>
      <c r="Z22" s="84">
        <f t="shared" ref="Z22:Z25" si="3">B22+D22+F22+H22+J22+L22+N22+P22+R22+T22+V22+X22</f>
        <v>446.65</v>
      </c>
      <c r="AA22" s="84">
        <f t="shared" si="1"/>
        <v>1093</v>
      </c>
      <c r="AB22" s="280">
        <v>360</v>
      </c>
      <c r="AC22" s="120" t="s">
        <v>371</v>
      </c>
    </row>
    <row r="23" spans="1:29">
      <c r="A23" s="179">
        <v>2012</v>
      </c>
      <c r="B23" s="196"/>
      <c r="C23" s="196"/>
      <c r="D23" s="196"/>
      <c r="E23" s="196"/>
      <c r="F23" s="196"/>
      <c r="G23" s="196"/>
      <c r="H23" s="196"/>
      <c r="I23" s="196"/>
      <c r="J23" s="196">
        <v>180</v>
      </c>
      <c r="K23" s="196">
        <v>417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8"/>
      <c r="Z23" s="18">
        <f t="shared" si="3"/>
        <v>180</v>
      </c>
      <c r="AA23" s="18">
        <f t="shared" ref="AA23:AA25" si="4">C23+E23+G23+I23+K23+M23+O23+Q23+S23+U23+W23+Y23</f>
        <v>417</v>
      </c>
      <c r="AB23" s="108"/>
      <c r="AC23" s="163" t="s">
        <v>273</v>
      </c>
    </row>
    <row r="24" spans="1:29">
      <c r="A24" s="179">
        <v>2012</v>
      </c>
      <c r="B24" s="282">
        <v>55.55</v>
      </c>
      <c r="C24" s="196">
        <v>132</v>
      </c>
      <c r="D24" s="196"/>
      <c r="E24" s="196"/>
      <c r="F24" s="282">
        <v>22.22</v>
      </c>
      <c r="G24" s="196">
        <v>52</v>
      </c>
      <c r="H24" s="196"/>
      <c r="I24" s="196"/>
      <c r="J24" s="282">
        <v>45.98</v>
      </c>
      <c r="K24" s="196">
        <v>106</v>
      </c>
      <c r="L24" s="196"/>
      <c r="M24" s="196"/>
      <c r="N24" s="282">
        <v>22.22</v>
      </c>
      <c r="O24" s="196">
        <v>51</v>
      </c>
      <c r="P24" s="196"/>
      <c r="Q24" s="196"/>
      <c r="R24" s="282">
        <v>33.33</v>
      </c>
      <c r="S24" s="196">
        <v>75</v>
      </c>
      <c r="T24" s="196"/>
      <c r="U24" s="196"/>
      <c r="V24" s="282">
        <v>11.11</v>
      </c>
      <c r="W24" s="196">
        <v>25</v>
      </c>
      <c r="X24" s="196"/>
      <c r="Y24" s="196"/>
      <c r="Z24" s="18">
        <f t="shared" si="3"/>
        <v>190.41000000000003</v>
      </c>
      <c r="AA24" s="18">
        <f t="shared" si="4"/>
        <v>441</v>
      </c>
      <c r="AB24" s="108"/>
      <c r="AC24" s="1" t="s">
        <v>344</v>
      </c>
    </row>
    <row r="25" spans="1:29" ht="12" thickBot="1">
      <c r="A25" s="184">
        <v>2012</v>
      </c>
      <c r="B25" s="84"/>
      <c r="C25" s="84"/>
      <c r="D25" s="84"/>
      <c r="E25" s="84"/>
      <c r="F25" s="84"/>
      <c r="G25" s="84"/>
      <c r="H25" s="84">
        <v>180</v>
      </c>
      <c r="I25" s="84">
        <v>420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>
        <f t="shared" si="3"/>
        <v>180</v>
      </c>
      <c r="AA25" s="84">
        <f t="shared" si="4"/>
        <v>420</v>
      </c>
      <c r="AB25" s="271"/>
      <c r="AC25" s="170" t="s">
        <v>268</v>
      </c>
    </row>
    <row r="26" spans="1:29">
      <c r="A26" s="278">
        <v>2013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3">
        <v>196</v>
      </c>
      <c r="W26" s="17">
        <v>401</v>
      </c>
      <c r="X26" s="17"/>
      <c r="Y26" s="17"/>
      <c r="Z26" s="17">
        <f t="shared" ref="Z26:Z34" si="5">B26+D26+F26+H26+J26+L26+N26+P26+R26+T26+V26+X26</f>
        <v>196</v>
      </c>
      <c r="AA26" s="17">
        <f t="shared" si="1"/>
        <v>401</v>
      </c>
      <c r="AB26" s="225">
        <v>360</v>
      </c>
      <c r="AC26" s="186" t="s">
        <v>200</v>
      </c>
    </row>
    <row r="27" spans="1:29" ht="12" thickBot="1">
      <c r="A27" s="188">
        <v>2013</v>
      </c>
      <c r="B27" s="211">
        <v>199.09</v>
      </c>
      <c r="C27" s="84">
        <v>436</v>
      </c>
      <c r="D27" s="84"/>
      <c r="E27" s="84"/>
      <c r="F27" s="84">
        <v>81.11</v>
      </c>
      <c r="G27" s="84">
        <v>175</v>
      </c>
      <c r="H27" s="84"/>
      <c r="I27" s="84"/>
      <c r="J27" s="84">
        <v>199.09</v>
      </c>
      <c r="K27" s="84">
        <v>424</v>
      </c>
      <c r="L27" s="84"/>
      <c r="M27" s="84"/>
      <c r="N27" s="84">
        <v>71.11</v>
      </c>
      <c r="O27" s="84">
        <v>149</v>
      </c>
      <c r="P27" s="84"/>
      <c r="Q27" s="84"/>
      <c r="R27" s="84">
        <v>167.16</v>
      </c>
      <c r="S27" s="84">
        <v>346</v>
      </c>
      <c r="T27" s="84"/>
      <c r="U27" s="84"/>
      <c r="V27" s="84">
        <v>71.64</v>
      </c>
      <c r="W27" s="84">
        <v>147</v>
      </c>
      <c r="X27" s="84"/>
      <c r="Y27" s="84"/>
      <c r="Z27" s="84">
        <f t="shared" ref="Z27" si="6">B27+D27+F27+H27+J27+L27+N27+P27+R27+T27+V27+X27</f>
        <v>789.19999999999993</v>
      </c>
      <c r="AA27" s="84">
        <f t="shared" ref="AA27" si="7">C27+E27+G27+I27+K27+M27+O27+Q27+S27+U27+W27+Y27</f>
        <v>1677</v>
      </c>
      <c r="AB27" s="187"/>
      <c r="AC27" s="120" t="s">
        <v>344</v>
      </c>
    </row>
    <row r="28" spans="1:29">
      <c r="A28" s="167">
        <v>2014</v>
      </c>
      <c r="B28" s="17"/>
      <c r="C28" s="17"/>
      <c r="D28" s="17"/>
      <c r="E28" s="17"/>
      <c r="F28" s="17"/>
      <c r="G28" s="17"/>
      <c r="H28" s="17">
        <v>139.82</v>
      </c>
      <c r="I28" s="17">
        <v>534</v>
      </c>
      <c r="J28" s="17"/>
      <c r="K28" s="17"/>
      <c r="L28" s="17"/>
      <c r="M28" s="17"/>
      <c r="N28" s="17"/>
      <c r="O28" s="17"/>
      <c r="P28" s="17"/>
      <c r="Q28" s="17"/>
      <c r="R28" s="17">
        <v>77.760000000000005</v>
      </c>
      <c r="S28" s="17">
        <v>149</v>
      </c>
      <c r="T28" s="17"/>
      <c r="U28" s="17"/>
      <c r="V28" s="17"/>
      <c r="W28" s="17"/>
      <c r="X28" s="17"/>
      <c r="Y28" s="17"/>
      <c r="Z28" s="17">
        <f t="shared" si="5"/>
        <v>217.57999999999998</v>
      </c>
      <c r="AA28" s="17">
        <f t="shared" si="1"/>
        <v>683</v>
      </c>
      <c r="AB28" s="180">
        <v>77.760000000000005</v>
      </c>
      <c r="AC28" s="163" t="s">
        <v>269</v>
      </c>
    </row>
    <row r="29" spans="1:29">
      <c r="A29" s="269">
        <v>2014</v>
      </c>
      <c r="B29" s="111">
        <v>187.5</v>
      </c>
      <c r="C29" s="111">
        <v>379</v>
      </c>
      <c r="D29" s="111"/>
      <c r="E29" s="111"/>
      <c r="F29" s="279">
        <v>70.11</v>
      </c>
      <c r="G29" s="283">
        <v>140</v>
      </c>
      <c r="H29" s="111"/>
      <c r="I29" s="111"/>
      <c r="J29" s="36">
        <v>111.11</v>
      </c>
      <c r="K29" s="111">
        <v>277</v>
      </c>
      <c r="L29" s="111"/>
      <c r="M29" s="111"/>
      <c r="N29" s="279">
        <v>8.8800000000000008</v>
      </c>
      <c r="O29" s="111">
        <v>16</v>
      </c>
      <c r="P29" s="111"/>
      <c r="Q29" s="111"/>
      <c r="R29" s="111">
        <v>108.01</v>
      </c>
      <c r="S29" s="111">
        <v>207</v>
      </c>
      <c r="T29" s="111"/>
      <c r="U29" s="111"/>
      <c r="V29" s="279">
        <v>8.8800000000000008</v>
      </c>
      <c r="W29" s="111">
        <v>17</v>
      </c>
      <c r="X29" s="111"/>
      <c r="Y29" s="111"/>
      <c r="Z29" s="18">
        <f t="shared" si="5"/>
        <v>494.49</v>
      </c>
      <c r="AA29" s="18">
        <f t="shared" si="1"/>
        <v>1036</v>
      </c>
      <c r="AB29" s="177"/>
      <c r="AC29" s="1" t="s">
        <v>370</v>
      </c>
    </row>
    <row r="30" spans="1:29" ht="12" thickBot="1">
      <c r="A30" s="184">
        <v>2014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>
        <v>128</v>
      </c>
      <c r="S30" s="84">
        <v>246</v>
      </c>
      <c r="T30" s="84"/>
      <c r="U30" s="84"/>
      <c r="V30" s="84"/>
      <c r="W30" s="84"/>
      <c r="X30" s="84"/>
      <c r="Y30" s="86"/>
      <c r="Z30" s="86">
        <f t="shared" si="5"/>
        <v>128</v>
      </c>
      <c r="AA30" s="86">
        <f t="shared" si="1"/>
        <v>246</v>
      </c>
      <c r="AB30" s="191">
        <v>306</v>
      </c>
      <c r="AC30" s="189" t="s">
        <v>263</v>
      </c>
    </row>
    <row r="31" spans="1:29">
      <c r="A31" s="183">
        <v>2015</v>
      </c>
      <c r="B31" s="17"/>
      <c r="C31" s="17"/>
      <c r="D31" s="17"/>
      <c r="E31" s="17"/>
      <c r="F31" s="17"/>
      <c r="G31" s="17"/>
      <c r="H31" s="203">
        <v>139.82</v>
      </c>
      <c r="I31" s="17">
        <v>257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03">
        <v>116.68</v>
      </c>
      <c r="U31" s="17">
        <v>207</v>
      </c>
      <c r="V31" s="17"/>
      <c r="W31" s="17"/>
      <c r="X31" s="17"/>
      <c r="Y31" s="17"/>
      <c r="Z31" s="111">
        <f t="shared" si="5"/>
        <v>256.5</v>
      </c>
      <c r="AA31" s="17">
        <f t="shared" ref="AA31:AA34" si="8">C31+E31+G31+I31+K31+M31+O31+Q31+S31+U31+W31+Y31</f>
        <v>464</v>
      </c>
      <c r="AB31" s="180">
        <f>H31+T31</f>
        <v>256.5</v>
      </c>
      <c r="AC31" s="181" t="s">
        <v>388</v>
      </c>
    </row>
    <row r="32" spans="1:29">
      <c r="A32" s="165">
        <v>2015</v>
      </c>
      <c r="B32" s="18">
        <v>206.14</v>
      </c>
      <c r="C32" s="18">
        <v>386</v>
      </c>
      <c r="D32" s="18"/>
      <c r="E32" s="18"/>
      <c r="F32" s="18">
        <v>16.13</v>
      </c>
      <c r="G32" s="18">
        <v>30</v>
      </c>
      <c r="H32" s="18"/>
      <c r="I32" s="18"/>
      <c r="J32" s="18">
        <v>186.16</v>
      </c>
      <c r="K32" s="18">
        <v>341</v>
      </c>
      <c r="L32" s="18"/>
      <c r="M32" s="18"/>
      <c r="N32" s="18">
        <v>11.2</v>
      </c>
      <c r="O32" s="18">
        <v>20</v>
      </c>
      <c r="P32" s="18"/>
      <c r="Q32" s="18"/>
      <c r="R32" s="18">
        <v>127.01</v>
      </c>
      <c r="S32" s="18">
        <v>227</v>
      </c>
      <c r="T32" s="18"/>
      <c r="U32" s="18"/>
      <c r="V32" s="18">
        <v>8.08</v>
      </c>
      <c r="W32" s="18">
        <v>14</v>
      </c>
      <c r="X32" s="18"/>
      <c r="Y32" s="18"/>
      <c r="Z32" s="18">
        <f t="shared" si="5"/>
        <v>554.72</v>
      </c>
      <c r="AA32" s="17">
        <f t="shared" si="8"/>
        <v>1018</v>
      </c>
      <c r="AB32" s="177"/>
      <c r="AC32" s="1" t="s">
        <v>344</v>
      </c>
    </row>
    <row r="33" spans="1:29">
      <c r="A33" s="165">
        <v>2015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76">
        <v>1064.68</v>
      </c>
      <c r="U33" s="18">
        <v>1890</v>
      </c>
      <c r="V33" s="76">
        <v>127.76</v>
      </c>
      <c r="W33" s="18">
        <v>225</v>
      </c>
      <c r="X33" s="18"/>
      <c r="Y33" s="18"/>
      <c r="Z33" s="18">
        <f t="shared" si="5"/>
        <v>1192.44</v>
      </c>
      <c r="AA33" s="17">
        <f t="shared" si="8"/>
        <v>2115</v>
      </c>
      <c r="AB33" s="180">
        <f>T33+V33</f>
        <v>1192.44</v>
      </c>
      <c r="AC33" s="181" t="s">
        <v>389</v>
      </c>
    </row>
    <row r="34" spans="1:29">
      <c r="A34" s="165">
        <v>2015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v>73</v>
      </c>
      <c r="O34" s="18">
        <v>132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f t="shared" si="5"/>
        <v>73</v>
      </c>
      <c r="AA34" s="17">
        <f t="shared" si="8"/>
        <v>132</v>
      </c>
      <c r="AB34" s="177"/>
      <c r="AC34" s="181" t="s">
        <v>265</v>
      </c>
    </row>
    <row r="35" spans="1:29" ht="12" thickBot="1">
      <c r="A35" s="185">
        <v>2015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>
        <v>180</v>
      </c>
      <c r="M35" s="84">
        <v>327</v>
      </c>
      <c r="N35" s="84"/>
      <c r="O35" s="84"/>
      <c r="P35" s="84"/>
      <c r="Q35" s="84"/>
      <c r="R35" s="84"/>
      <c r="S35" s="84"/>
      <c r="T35" s="84">
        <v>1419</v>
      </c>
      <c r="U35" s="84">
        <v>2519</v>
      </c>
      <c r="V35" s="84"/>
      <c r="W35" s="84"/>
      <c r="X35" s="84"/>
      <c r="Y35" s="86"/>
      <c r="Z35" s="86">
        <f t="shared" ref="Z35" si="9">B35+D35+F35+H35+J35+L35+N35+P35+R35+T35+V35+X35</f>
        <v>1599</v>
      </c>
      <c r="AA35" s="86">
        <f t="shared" ref="AA35" si="10">C35+E35+G35+I35+K35+M35+O35+Q35+S35+U35+W35+Y35</f>
        <v>2846</v>
      </c>
      <c r="AB35" s="187"/>
      <c r="AC35" s="120" t="s">
        <v>266</v>
      </c>
    </row>
    <row r="36" spans="1:29">
      <c r="A36" s="167">
        <v>2016</v>
      </c>
      <c r="B36" s="17">
        <v>186.99</v>
      </c>
      <c r="C36" s="17">
        <v>326</v>
      </c>
      <c r="D36" s="17"/>
      <c r="E36" s="17"/>
      <c r="F36" s="17">
        <v>13.25</v>
      </c>
      <c r="G36" s="17">
        <v>23</v>
      </c>
      <c r="H36" s="17"/>
      <c r="I36" s="17"/>
      <c r="J36" s="17">
        <v>164.98</v>
      </c>
      <c r="K36" s="17">
        <v>281</v>
      </c>
      <c r="L36" s="17"/>
      <c r="M36" s="17"/>
      <c r="N36" s="17">
        <v>9.23</v>
      </c>
      <c r="O36" s="17">
        <v>16</v>
      </c>
      <c r="P36" s="17"/>
      <c r="Q36" s="17"/>
      <c r="R36" s="17">
        <v>150.22</v>
      </c>
      <c r="S36" s="17">
        <v>250</v>
      </c>
      <c r="T36" s="17"/>
      <c r="U36" s="17"/>
      <c r="V36" s="17">
        <v>7.36</v>
      </c>
      <c r="W36" s="17">
        <v>12</v>
      </c>
      <c r="X36" s="17"/>
      <c r="Y36" s="17"/>
      <c r="Z36" s="111">
        <f t="shared" si="1"/>
        <v>532.03000000000009</v>
      </c>
      <c r="AA36" s="17">
        <f t="shared" si="1"/>
        <v>908</v>
      </c>
      <c r="AB36" s="177"/>
      <c r="AC36" s="1" t="s">
        <v>344</v>
      </c>
    </row>
    <row r="37" spans="1:29">
      <c r="A37" s="165">
        <v>2017</v>
      </c>
      <c r="B37" s="18">
        <v>175.19</v>
      </c>
      <c r="C37" s="18">
        <v>284</v>
      </c>
      <c r="D37" s="18"/>
      <c r="E37" s="18"/>
      <c r="F37" s="18">
        <v>7.5</v>
      </c>
      <c r="G37" s="18">
        <v>12</v>
      </c>
      <c r="H37" s="18"/>
      <c r="I37" s="18"/>
      <c r="J37" s="18">
        <v>186.71</v>
      </c>
      <c r="K37" s="18">
        <v>296</v>
      </c>
      <c r="L37" s="18"/>
      <c r="M37" s="18"/>
      <c r="N37" s="18">
        <v>8.81</v>
      </c>
      <c r="O37" s="18">
        <v>14</v>
      </c>
      <c r="P37" s="18"/>
      <c r="Q37" s="18"/>
      <c r="R37" s="18">
        <v>188.18</v>
      </c>
      <c r="S37" s="18">
        <v>291</v>
      </c>
      <c r="T37" s="18"/>
      <c r="U37" s="18"/>
      <c r="V37" s="18">
        <v>9.9</v>
      </c>
      <c r="W37" s="18">
        <v>15</v>
      </c>
      <c r="X37" s="18"/>
      <c r="Y37" s="17"/>
      <c r="Z37" s="18">
        <f t="shared" si="1"/>
        <v>576.29</v>
      </c>
      <c r="AA37" s="17">
        <f t="shared" si="1"/>
        <v>912</v>
      </c>
      <c r="AB37" s="177"/>
      <c r="AC37" s="1" t="s">
        <v>344</v>
      </c>
    </row>
    <row r="38" spans="1:29">
      <c r="A38" s="166">
        <v>2018</v>
      </c>
      <c r="B38" s="18">
        <v>182.85</v>
      </c>
      <c r="C38" s="18">
        <v>276</v>
      </c>
      <c r="D38" s="18"/>
      <c r="E38" s="18"/>
      <c r="F38" s="36">
        <v>11.11</v>
      </c>
      <c r="G38" s="18">
        <v>16</v>
      </c>
      <c r="H38" s="18"/>
      <c r="I38" s="18"/>
      <c r="J38" s="36">
        <v>123</v>
      </c>
      <c r="K38" s="18">
        <v>182</v>
      </c>
      <c r="L38" s="18"/>
      <c r="M38" s="18"/>
      <c r="N38" s="18">
        <v>11.52</v>
      </c>
      <c r="O38" s="18">
        <v>17</v>
      </c>
      <c r="P38" s="18"/>
      <c r="Q38" s="18"/>
      <c r="R38" s="18">
        <v>163.03</v>
      </c>
      <c r="S38" s="18">
        <v>235</v>
      </c>
      <c r="T38" s="18"/>
      <c r="U38" s="18"/>
      <c r="V38" s="18">
        <v>10.11</v>
      </c>
      <c r="W38" s="18">
        <v>14</v>
      </c>
      <c r="X38" s="18"/>
      <c r="Y38" s="17"/>
      <c r="Z38" s="18">
        <f t="shared" si="1"/>
        <v>501.62</v>
      </c>
      <c r="AA38" s="17">
        <f t="shared" si="1"/>
        <v>740</v>
      </c>
      <c r="AB38" s="177"/>
      <c r="AC38" s="1" t="s">
        <v>344</v>
      </c>
    </row>
    <row r="39" spans="1:29">
      <c r="A39" s="165">
        <v>2019</v>
      </c>
      <c r="B39" s="18">
        <v>186.91</v>
      </c>
      <c r="C39" s="18">
        <v>264</v>
      </c>
      <c r="D39" s="18"/>
      <c r="E39" s="18"/>
      <c r="F39" s="18">
        <v>84.03</v>
      </c>
      <c r="G39" s="18">
        <v>117</v>
      </c>
      <c r="H39" s="18"/>
      <c r="I39" s="18"/>
      <c r="J39" s="18">
        <v>300.61</v>
      </c>
      <c r="K39" s="18">
        <v>414</v>
      </c>
      <c r="L39" s="18"/>
      <c r="M39" s="18"/>
      <c r="N39" s="18">
        <v>88.97</v>
      </c>
      <c r="O39" s="18">
        <v>121</v>
      </c>
      <c r="P39" s="18"/>
      <c r="Q39" s="18"/>
      <c r="R39" s="18">
        <v>164.04</v>
      </c>
      <c r="S39" s="18">
        <v>221</v>
      </c>
      <c r="T39" s="18"/>
      <c r="U39" s="18"/>
      <c r="V39" s="36">
        <v>111</v>
      </c>
      <c r="W39" s="18">
        <v>148</v>
      </c>
      <c r="X39" s="18"/>
      <c r="Y39" s="17"/>
      <c r="Z39" s="18">
        <f t="shared" si="1"/>
        <v>935.56</v>
      </c>
      <c r="AA39" s="17">
        <f t="shared" si="1"/>
        <v>1285</v>
      </c>
      <c r="AB39" s="177"/>
      <c r="AC39" s="1" t="s">
        <v>344</v>
      </c>
    </row>
    <row r="40" spans="1:29">
      <c r="A40" s="166">
        <v>2020</v>
      </c>
      <c r="B40" s="18">
        <v>190.41</v>
      </c>
      <c r="C40" s="18">
        <v>250</v>
      </c>
      <c r="D40" s="18"/>
      <c r="E40" s="18"/>
      <c r="F40" s="36">
        <v>81.5</v>
      </c>
      <c r="G40" s="18">
        <v>106</v>
      </c>
      <c r="H40" s="18"/>
      <c r="I40" s="18"/>
      <c r="J40" s="36">
        <v>111.11</v>
      </c>
      <c r="K40" s="18">
        <v>143</v>
      </c>
      <c r="L40" s="18"/>
      <c r="M40" s="18"/>
      <c r="N40" s="36">
        <v>111.11</v>
      </c>
      <c r="O40" s="18">
        <v>141</v>
      </c>
      <c r="P40" s="18"/>
      <c r="Q40" s="18"/>
      <c r="R40" s="18">
        <v>156.37</v>
      </c>
      <c r="S40" s="18">
        <v>196</v>
      </c>
      <c r="T40" s="18"/>
      <c r="U40" s="18"/>
      <c r="V40" s="18">
        <v>80.83</v>
      </c>
      <c r="W40" s="18">
        <v>100</v>
      </c>
      <c r="X40" s="18"/>
      <c r="Y40" s="17"/>
      <c r="Z40" s="18">
        <f t="shared" si="1"/>
        <v>731.33</v>
      </c>
      <c r="AA40" s="17">
        <f t="shared" si="1"/>
        <v>936</v>
      </c>
      <c r="AB40" s="177"/>
      <c r="AC40" s="1" t="s">
        <v>344</v>
      </c>
    </row>
    <row r="41" spans="1:29">
      <c r="A41" s="165">
        <v>2021</v>
      </c>
      <c r="B41" s="18">
        <v>213.94</v>
      </c>
      <c r="C41" s="18">
        <v>262</v>
      </c>
      <c r="D41" s="18">
        <v>58.67</v>
      </c>
      <c r="E41" s="18">
        <v>72</v>
      </c>
      <c r="F41" s="18">
        <v>66.19</v>
      </c>
      <c r="G41" s="18">
        <v>80</v>
      </c>
      <c r="H41" s="18">
        <v>71.819999999999993</v>
      </c>
      <c r="I41" s="18">
        <v>87</v>
      </c>
      <c r="J41" s="18">
        <v>264.27999999999997</v>
      </c>
      <c r="K41" s="18">
        <v>317</v>
      </c>
      <c r="L41" s="18">
        <v>14.42</v>
      </c>
      <c r="M41" s="18">
        <v>17</v>
      </c>
      <c r="N41" s="18">
        <v>11.95</v>
      </c>
      <c r="O41" s="18">
        <v>14</v>
      </c>
      <c r="P41" s="36">
        <v>22</v>
      </c>
      <c r="Q41" s="18">
        <v>26</v>
      </c>
      <c r="R41" s="18">
        <v>74.540000000000006</v>
      </c>
      <c r="S41" s="18">
        <v>87</v>
      </c>
      <c r="T41" s="18">
        <v>46.79</v>
      </c>
      <c r="U41" s="18">
        <v>54</v>
      </c>
      <c r="V41" s="18">
        <v>34.21</v>
      </c>
      <c r="W41" s="18">
        <v>40</v>
      </c>
      <c r="X41" s="18">
        <v>36.51</v>
      </c>
      <c r="Y41" s="17">
        <v>42</v>
      </c>
      <c r="Z41" s="18">
        <f t="shared" si="1"/>
        <v>915.31999999999994</v>
      </c>
      <c r="AA41" s="17">
        <f t="shared" si="1"/>
        <v>1098</v>
      </c>
      <c r="AB41" s="108"/>
      <c r="AC41" s="1" t="s">
        <v>344</v>
      </c>
    </row>
    <row r="42" spans="1:29">
      <c r="A42" s="176">
        <v>2022</v>
      </c>
      <c r="B42" s="18">
        <v>1072.01</v>
      </c>
      <c r="C42" s="18">
        <v>1226</v>
      </c>
      <c r="D42" s="18">
        <v>40.18</v>
      </c>
      <c r="E42" s="18">
        <v>46</v>
      </c>
      <c r="F42" s="18">
        <v>366.98</v>
      </c>
      <c r="G42" s="18">
        <v>415</v>
      </c>
      <c r="H42" s="18">
        <v>410.24</v>
      </c>
      <c r="I42" s="18">
        <v>461</v>
      </c>
      <c r="J42" s="18">
        <v>2013.85</v>
      </c>
      <c r="K42" s="18">
        <v>2249</v>
      </c>
      <c r="L42" s="18">
        <v>321.29000000000002</v>
      </c>
      <c r="M42" s="18">
        <v>357</v>
      </c>
      <c r="N42" s="18">
        <v>143.96</v>
      </c>
      <c r="O42" s="18">
        <v>159</v>
      </c>
      <c r="P42" s="18">
        <v>18.190000000000001</v>
      </c>
      <c r="Q42" s="18">
        <v>20</v>
      </c>
      <c r="R42" s="18">
        <v>73.150000000000006</v>
      </c>
      <c r="S42" s="18">
        <v>80</v>
      </c>
      <c r="T42" s="18">
        <v>55.61</v>
      </c>
      <c r="U42" s="18">
        <v>60</v>
      </c>
      <c r="V42" s="18">
        <v>51.27</v>
      </c>
      <c r="W42" s="18">
        <v>55</v>
      </c>
      <c r="X42" s="18">
        <v>52.27</v>
      </c>
      <c r="Y42" s="17">
        <v>56</v>
      </c>
      <c r="Z42" s="18">
        <f t="shared" si="1"/>
        <v>4619</v>
      </c>
      <c r="AA42" s="17">
        <f t="shared" si="1"/>
        <v>5184</v>
      </c>
      <c r="AB42" s="108"/>
      <c r="AC42" s="1" t="s">
        <v>344</v>
      </c>
    </row>
    <row r="43" spans="1:29">
      <c r="A43" s="285">
        <v>2023</v>
      </c>
      <c r="B43" s="18">
        <v>145.38999999999999</v>
      </c>
      <c r="C43" s="18">
        <v>155</v>
      </c>
      <c r="D43" s="18">
        <v>51.54</v>
      </c>
      <c r="E43" s="18">
        <v>55</v>
      </c>
      <c r="F43" s="18">
        <v>71.3</v>
      </c>
      <c r="G43" s="18">
        <v>75</v>
      </c>
      <c r="H43" s="18">
        <v>67.22</v>
      </c>
      <c r="I43" s="18">
        <v>70</v>
      </c>
      <c r="J43" s="18">
        <v>208.37</v>
      </c>
      <c r="K43" s="18">
        <v>217</v>
      </c>
      <c r="L43" s="18">
        <v>64.48</v>
      </c>
      <c r="M43" s="18">
        <v>67</v>
      </c>
      <c r="N43" s="18">
        <v>17.45</v>
      </c>
      <c r="O43" s="18">
        <v>18</v>
      </c>
      <c r="P43" s="18">
        <v>17.45</v>
      </c>
      <c r="Q43" s="18">
        <v>18</v>
      </c>
      <c r="R43" s="18">
        <v>83.43</v>
      </c>
      <c r="S43" s="18">
        <v>85</v>
      </c>
      <c r="T43" s="18">
        <v>31.27</v>
      </c>
      <c r="U43" s="18">
        <v>32</v>
      </c>
      <c r="V43" s="18">
        <v>30.23</v>
      </c>
      <c r="W43" s="18">
        <v>30</v>
      </c>
      <c r="X43" s="18">
        <v>31.27</v>
      </c>
      <c r="Y43" s="17">
        <v>31</v>
      </c>
      <c r="Z43" s="18">
        <f t="shared" si="1"/>
        <v>819.40000000000009</v>
      </c>
      <c r="AA43" s="17">
        <f t="shared" si="1"/>
        <v>853</v>
      </c>
      <c r="AB43" s="108"/>
      <c r="AC43" s="1" t="s">
        <v>344</v>
      </c>
    </row>
    <row r="44" spans="1:29">
      <c r="A44" s="284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7"/>
      <c r="Z44" s="18"/>
      <c r="AA44" s="17"/>
      <c r="AB44" s="108"/>
    </row>
    <row r="45" spans="1:29">
      <c r="A45" s="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7"/>
      <c r="Z45" s="18">
        <f t="shared" si="1"/>
        <v>0</v>
      </c>
      <c r="AA45" s="17">
        <f t="shared" si="1"/>
        <v>0</v>
      </c>
      <c r="AB45" s="108"/>
    </row>
    <row r="46" spans="1:29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18">
        <f>SUM(Z3:Z45)</f>
        <v>16279.67</v>
      </c>
      <c r="AA46" s="18">
        <f>SUM(AA3:AA45)</f>
        <v>25322</v>
      </c>
      <c r="AB46" s="178">
        <f>SUM(AB3:AB45)</f>
        <v>2748.7</v>
      </c>
    </row>
    <row r="47" spans="1:29">
      <c r="B47" s="5"/>
      <c r="F47" s="5"/>
      <c r="J47" s="5"/>
      <c r="N47" s="5"/>
      <c r="R47" s="5"/>
      <c r="AA47" s="5"/>
      <c r="AB47" s="81"/>
    </row>
    <row r="48" spans="1:29">
      <c r="F48" s="5"/>
      <c r="J48" s="5"/>
      <c r="K48" s="5"/>
      <c r="L48" s="5"/>
      <c r="AB48" s="81"/>
    </row>
    <row r="49" spans="1:29" ht="15.75">
      <c r="A49" s="432" t="s">
        <v>216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384" t="s">
        <v>469</v>
      </c>
    </row>
    <row r="50" spans="1:29" ht="15.75">
      <c r="A50" s="432" t="s">
        <v>213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81"/>
    </row>
    <row r="51" spans="1:29" ht="15.75">
      <c r="A51" s="432" t="s">
        <v>270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81"/>
    </row>
    <row r="52" spans="1:29" ht="15.75">
      <c r="A52" s="432" t="s">
        <v>271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81"/>
    </row>
    <row r="53" spans="1:29" ht="15.75">
      <c r="A53" s="432" t="s">
        <v>272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81"/>
    </row>
    <row r="54" spans="1:29" ht="23.25">
      <c r="B54" s="77"/>
      <c r="C54" s="73"/>
      <c r="D54" s="77"/>
      <c r="E54" s="73"/>
      <c r="F54" s="73"/>
      <c r="G54" s="73"/>
      <c r="J54" s="5"/>
      <c r="K54" s="464" t="s">
        <v>204</v>
      </c>
      <c r="L54" s="464"/>
      <c r="M54" s="464"/>
      <c r="N54" s="464"/>
      <c r="O54" s="464"/>
      <c r="P54" s="464"/>
      <c r="Q54" s="464"/>
      <c r="R54" s="464"/>
      <c r="S54" s="464"/>
      <c r="AB54" s="81"/>
      <c r="AC54" s="181"/>
    </row>
    <row r="55" spans="1:29">
      <c r="X55" s="5"/>
      <c r="AB55" s="163"/>
    </row>
    <row r="56" spans="1:29" ht="23.25">
      <c r="E56" s="75"/>
      <c r="F56" s="75"/>
      <c r="G56" s="75"/>
      <c r="H56" s="23"/>
      <c r="L56" s="5"/>
      <c r="M56" s="226" t="s">
        <v>363</v>
      </c>
      <c r="N56" s="227"/>
    </row>
    <row r="57" spans="1:29" ht="23.25">
      <c r="M57" s="226" t="s">
        <v>364</v>
      </c>
      <c r="N57" s="227"/>
      <c r="P57" s="5"/>
      <c r="Q57" s="5"/>
    </row>
    <row r="58" spans="1:29">
      <c r="H58" s="5"/>
    </row>
    <row r="59" spans="1:29">
      <c r="L59" s="250" t="s">
        <v>319</v>
      </c>
      <c r="M59" s="250"/>
      <c r="N59" s="250" t="s">
        <v>300</v>
      </c>
      <c r="O59" s="257"/>
      <c r="P59" s="250"/>
      <c r="Q59" s="250" t="s">
        <v>304</v>
      </c>
      <c r="R59" s="257"/>
      <c r="S59" s="250" t="s">
        <v>14</v>
      </c>
    </row>
    <row r="60" spans="1:29">
      <c r="L60" s="28">
        <v>6000000</v>
      </c>
      <c r="N60" s="28">
        <v>22000</v>
      </c>
      <c r="P60" s="28"/>
      <c r="Q60" s="28">
        <f>L60*N60</f>
        <v>132000000000</v>
      </c>
      <c r="S60" s="240">
        <f>AA46*Q60/Z46</f>
        <v>205317675358.2843</v>
      </c>
    </row>
    <row r="64" spans="1:29" ht="25.5">
      <c r="I64" s="267" t="s">
        <v>360</v>
      </c>
    </row>
    <row r="65" spans="9:19" ht="25.5">
      <c r="I65" s="267"/>
    </row>
    <row r="66" spans="9:19" ht="25.5">
      <c r="I66" s="267" t="s">
        <v>361</v>
      </c>
    </row>
    <row r="68" spans="9:19">
      <c r="L68" s="281" t="s">
        <v>319</v>
      </c>
      <c r="M68" s="281"/>
      <c r="N68" s="281" t="s">
        <v>300</v>
      </c>
      <c r="O68" s="257"/>
      <c r="P68" s="281"/>
      <c r="Q68" s="281" t="s">
        <v>304</v>
      </c>
      <c r="R68" s="257"/>
      <c r="S68" s="281" t="s">
        <v>14</v>
      </c>
    </row>
    <row r="69" spans="9:19">
      <c r="K69" s="1" t="s">
        <v>390</v>
      </c>
      <c r="L69" s="28">
        <v>400000</v>
      </c>
      <c r="N69" s="28">
        <v>22000</v>
      </c>
      <c r="P69" s="28"/>
      <c r="Q69" s="28">
        <f t="shared" ref="Q69:Q73" si="11">L69*N69</f>
        <v>8800000000</v>
      </c>
      <c r="S69" s="240">
        <f>AA46*Q69/Z46</f>
        <v>13687845023.88562</v>
      </c>
    </row>
    <row r="70" spans="9:19">
      <c r="K70" s="1" t="s">
        <v>391</v>
      </c>
      <c r="L70" s="28">
        <v>300000</v>
      </c>
      <c r="N70" s="28">
        <v>66666</v>
      </c>
      <c r="Q70" s="28">
        <f t="shared" si="11"/>
        <v>19999800000</v>
      </c>
      <c r="S70" s="240">
        <f>AA46*Q70/Z46</f>
        <v>31108427603.26223</v>
      </c>
    </row>
    <row r="71" spans="9:19">
      <c r="K71" s="1" t="s">
        <v>392</v>
      </c>
      <c r="L71" s="28">
        <v>200000</v>
      </c>
      <c r="N71" s="28">
        <v>111111</v>
      </c>
      <c r="Q71" s="28">
        <f t="shared" si="11"/>
        <v>22222200000</v>
      </c>
      <c r="S71" s="240">
        <f>AA46*Q71/Z46</f>
        <v>34565230646.567162</v>
      </c>
    </row>
    <row r="72" spans="9:19">
      <c r="K72" s="1" t="s">
        <v>393</v>
      </c>
      <c r="L72" s="28">
        <v>5000000</v>
      </c>
      <c r="N72" s="28">
        <v>33333</v>
      </c>
      <c r="Q72" s="28">
        <f t="shared" si="11"/>
        <v>166665000000</v>
      </c>
      <c r="S72" s="240">
        <f>AA46*Q72/Z46</f>
        <v>259236896693.8519</v>
      </c>
    </row>
    <row r="73" spans="9:19">
      <c r="K73" s="1" t="s">
        <v>394</v>
      </c>
      <c r="L73" s="28">
        <v>3000000</v>
      </c>
      <c r="N73" s="28">
        <v>11111</v>
      </c>
      <c r="Q73" s="28">
        <f t="shared" si="11"/>
        <v>33333000000</v>
      </c>
      <c r="S73" s="240">
        <f>AA46*Q73/Z46</f>
        <v>51847379338.770378</v>
      </c>
    </row>
    <row r="74" spans="9:19">
      <c r="Q74" s="260">
        <f>SUM(Q69:Q73)</f>
        <v>251020000000</v>
      </c>
      <c r="S74" s="266">
        <f>SUM(S69:S73)</f>
        <v>390445779306.33728</v>
      </c>
    </row>
  </sheetData>
  <mergeCells count="24">
    <mergeCell ref="AB1:AB2"/>
    <mergeCell ref="A10:A12"/>
    <mergeCell ref="A13:A15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17:A19"/>
    <mergeCell ref="A49:AA49"/>
    <mergeCell ref="K54:S54"/>
    <mergeCell ref="A50:AA50"/>
    <mergeCell ref="Z1:Z2"/>
    <mergeCell ref="AA1:AA2"/>
    <mergeCell ref="A51:AA51"/>
    <mergeCell ref="A52:AA52"/>
    <mergeCell ref="A53:AA5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workbookViewId="0">
      <pane ySplit="2" topLeftCell="A18" activePane="bottomLeft" state="frozen"/>
      <selection pane="bottomLeft" activeCell="AA61" sqref="AA61"/>
    </sheetView>
  </sheetViews>
  <sheetFormatPr defaultRowHeight="11.25"/>
  <cols>
    <col min="1" max="1" width="3.44140625" style="1" bestFit="1" customWidth="1"/>
    <col min="2" max="13" width="5.44140625" style="28" customWidth="1"/>
    <col min="14" max="14" width="7.109375" style="28" customWidth="1"/>
    <col min="15" max="15" width="5.44140625" style="28" customWidth="1"/>
    <col min="16" max="16" width="6.33203125" style="28" bestFit="1" customWidth="1"/>
    <col min="17" max="18" width="5.44140625" style="28" customWidth="1"/>
    <col min="19" max="19" width="10.33203125" style="28" bestFit="1" customWidth="1"/>
    <col min="20" max="20" width="5.44140625" style="28" customWidth="1"/>
    <col min="21" max="21" width="11" style="28" bestFit="1" customWidth="1"/>
    <col min="22" max="25" width="5.44140625" style="28" customWidth="1"/>
    <col min="26" max="26" width="8" style="1" bestFit="1" customWidth="1"/>
    <col min="27" max="27" width="8" style="1" customWidth="1"/>
    <col min="28" max="28" width="4.44140625" style="1" customWidth="1"/>
    <col min="29" max="16384" width="8.88671875" style="1"/>
  </cols>
  <sheetData>
    <row r="1" spans="1:31" ht="11.25" customHeight="1">
      <c r="A1" s="30"/>
      <c r="B1" s="467" t="s">
        <v>2</v>
      </c>
      <c r="C1" s="468"/>
      <c r="D1" s="471" t="s">
        <v>3</v>
      </c>
      <c r="E1" s="472"/>
      <c r="F1" s="467" t="s">
        <v>4</v>
      </c>
      <c r="G1" s="468"/>
      <c r="H1" s="469" t="s">
        <v>5</v>
      </c>
      <c r="I1" s="470"/>
      <c r="J1" s="467" t="s">
        <v>0</v>
      </c>
      <c r="K1" s="468"/>
      <c r="L1" s="471" t="s">
        <v>6</v>
      </c>
      <c r="M1" s="472"/>
      <c r="N1" s="467" t="s">
        <v>7</v>
      </c>
      <c r="O1" s="468"/>
      <c r="P1" s="469" t="s">
        <v>8</v>
      </c>
      <c r="Q1" s="470"/>
      <c r="R1" s="467" t="s">
        <v>9</v>
      </c>
      <c r="S1" s="468"/>
      <c r="T1" s="471" t="s">
        <v>10</v>
      </c>
      <c r="U1" s="472"/>
      <c r="V1" s="467" t="s">
        <v>11</v>
      </c>
      <c r="W1" s="468"/>
      <c r="X1" s="469" t="s">
        <v>12</v>
      </c>
      <c r="Y1" s="470"/>
      <c r="Z1" s="445" t="s">
        <v>25</v>
      </c>
      <c r="AA1" s="445" t="s">
        <v>13</v>
      </c>
    </row>
    <row r="2" spans="1:31">
      <c r="A2" s="30"/>
      <c r="B2" s="403" t="s">
        <v>40</v>
      </c>
      <c r="C2" s="403" t="s">
        <v>486</v>
      </c>
      <c r="D2" s="404" t="s">
        <v>40</v>
      </c>
      <c r="E2" s="404" t="s">
        <v>487</v>
      </c>
      <c r="F2" s="403" t="s">
        <v>40</v>
      </c>
      <c r="G2" s="403" t="s">
        <v>14</v>
      </c>
      <c r="H2" s="405" t="s">
        <v>40</v>
      </c>
      <c r="I2" s="405" t="s">
        <v>14</v>
      </c>
      <c r="J2" s="403" t="s">
        <v>40</v>
      </c>
      <c r="K2" s="403" t="s">
        <v>14</v>
      </c>
      <c r="L2" s="404" t="s">
        <v>40</v>
      </c>
      <c r="M2" s="404" t="s">
        <v>14</v>
      </c>
      <c r="N2" s="403" t="s">
        <v>40</v>
      </c>
      <c r="O2" s="403" t="s">
        <v>14</v>
      </c>
      <c r="P2" s="405" t="s">
        <v>40</v>
      </c>
      <c r="Q2" s="405" t="s">
        <v>14</v>
      </c>
      <c r="R2" s="403" t="s">
        <v>40</v>
      </c>
      <c r="S2" s="403" t="s">
        <v>14</v>
      </c>
      <c r="T2" s="404" t="s">
        <v>40</v>
      </c>
      <c r="U2" s="404" t="s">
        <v>14</v>
      </c>
      <c r="V2" s="403" t="s">
        <v>40</v>
      </c>
      <c r="W2" s="403" t="s">
        <v>14</v>
      </c>
      <c r="X2" s="405" t="s">
        <v>40</v>
      </c>
      <c r="Y2" s="405" t="s">
        <v>14</v>
      </c>
      <c r="Z2" s="446"/>
      <c r="AA2" s="446"/>
    </row>
    <row r="3" spans="1:31">
      <c r="A3" s="12">
        <v>1998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400">
        <v>10</v>
      </c>
      <c r="Q3" s="71">
        <v>121</v>
      </c>
      <c r="R3" s="71"/>
      <c r="S3" s="71"/>
      <c r="T3" s="400">
        <v>20</v>
      </c>
      <c r="U3" s="71">
        <v>233</v>
      </c>
      <c r="V3" s="71"/>
      <c r="W3" s="71"/>
      <c r="X3" s="400">
        <v>20</v>
      </c>
      <c r="Y3" s="71">
        <v>224</v>
      </c>
      <c r="Z3" s="17">
        <f t="shared" ref="Z3:Z6" si="0">B3+D3+F3+H3+J3+L3+N3+P3+R3+T3+V3+X3</f>
        <v>50</v>
      </c>
      <c r="AA3" s="17">
        <f t="shared" ref="AA3:AA6" si="1">C3+E3+G3+I3+K3+M3+O3+Q3+S3+U3+W3+Y3</f>
        <v>578</v>
      </c>
      <c r="AD3" s="28">
        <v>9660</v>
      </c>
    </row>
    <row r="4" spans="1:31">
      <c r="A4" s="2">
        <v>1999</v>
      </c>
      <c r="B4" s="31"/>
      <c r="C4" s="31"/>
      <c r="D4" s="31">
        <v>19.78</v>
      </c>
      <c r="E4" s="31">
        <v>210</v>
      </c>
      <c r="F4" s="31"/>
      <c r="G4" s="31"/>
      <c r="H4" s="31">
        <v>29.2</v>
      </c>
      <c r="I4" s="31">
        <v>299</v>
      </c>
      <c r="J4" s="31"/>
      <c r="K4" s="31"/>
      <c r="L4" s="31">
        <v>25.21</v>
      </c>
      <c r="M4" s="31">
        <v>249</v>
      </c>
      <c r="N4" s="31"/>
      <c r="O4" s="31"/>
      <c r="P4" s="31">
        <v>21.88</v>
      </c>
      <c r="Q4" s="31">
        <v>209</v>
      </c>
      <c r="R4" s="31"/>
      <c r="S4" s="31"/>
      <c r="T4" s="31">
        <v>28.25</v>
      </c>
      <c r="U4" s="31">
        <v>261</v>
      </c>
      <c r="V4" s="31"/>
      <c r="W4" s="31"/>
      <c r="X4" s="31">
        <v>30.2</v>
      </c>
      <c r="Y4" s="71">
        <v>269</v>
      </c>
      <c r="Z4" s="17">
        <f t="shared" si="0"/>
        <v>154.51999999999998</v>
      </c>
      <c r="AA4" s="17">
        <f t="shared" si="1"/>
        <v>1497</v>
      </c>
      <c r="AD4" s="23">
        <v>340.75</v>
      </c>
    </row>
    <row r="5" spans="1:31">
      <c r="A5" s="2">
        <v>2000</v>
      </c>
      <c r="B5" s="31"/>
      <c r="C5" s="31"/>
      <c r="D5" s="31">
        <v>19.510000000000002</v>
      </c>
      <c r="E5" s="31">
        <v>169</v>
      </c>
      <c r="F5" s="31"/>
      <c r="G5" s="31"/>
      <c r="H5" s="31">
        <v>14.22</v>
      </c>
      <c r="I5" s="31">
        <v>120</v>
      </c>
      <c r="J5" s="31"/>
      <c r="K5" s="31"/>
      <c r="L5" s="31">
        <v>11.28</v>
      </c>
      <c r="M5" s="31">
        <v>92</v>
      </c>
      <c r="N5" s="31"/>
      <c r="O5" s="31"/>
      <c r="P5" s="31">
        <v>16.28</v>
      </c>
      <c r="Q5" s="31">
        <v>130</v>
      </c>
      <c r="R5" s="31"/>
      <c r="S5" s="31"/>
      <c r="T5" s="31">
        <v>17.41</v>
      </c>
      <c r="U5" s="31">
        <v>136</v>
      </c>
      <c r="V5" s="31"/>
      <c r="W5" s="31"/>
      <c r="X5" s="31">
        <v>26.28</v>
      </c>
      <c r="Y5" s="31">
        <v>200</v>
      </c>
      <c r="Z5" s="17">
        <f t="shared" si="0"/>
        <v>104.98</v>
      </c>
      <c r="AA5" s="17">
        <f t="shared" si="1"/>
        <v>847</v>
      </c>
      <c r="AD5" s="23">
        <f>AD3/AD4</f>
        <v>28.349229640498901</v>
      </c>
    </row>
    <row r="6" spans="1:31">
      <c r="A6" s="2">
        <v>2001</v>
      </c>
      <c r="B6" s="31"/>
      <c r="C6" s="31"/>
      <c r="D6" s="31">
        <v>18.32</v>
      </c>
      <c r="E6" s="31">
        <v>140</v>
      </c>
      <c r="F6" s="31"/>
      <c r="G6" s="31"/>
      <c r="H6" s="31">
        <v>21.91</v>
      </c>
      <c r="I6" s="31">
        <v>163</v>
      </c>
      <c r="J6" s="31"/>
      <c r="K6" s="31"/>
      <c r="L6" s="31">
        <v>18.579999999999998</v>
      </c>
      <c r="M6" s="31">
        <v>135</v>
      </c>
      <c r="N6" s="31"/>
      <c r="O6" s="31"/>
      <c r="P6" s="31">
        <v>23.42</v>
      </c>
      <c r="Q6" s="31">
        <v>166</v>
      </c>
      <c r="R6" s="31"/>
      <c r="S6" s="31"/>
      <c r="T6" s="31">
        <v>18.739999999999998</v>
      </c>
      <c r="U6" s="31">
        <v>129</v>
      </c>
      <c r="V6" s="31"/>
      <c r="W6" s="31"/>
      <c r="X6" s="31">
        <v>79.42</v>
      </c>
      <c r="Y6" s="31">
        <v>535</v>
      </c>
      <c r="Z6" s="17">
        <f t="shared" si="0"/>
        <v>180.39</v>
      </c>
      <c r="AA6" s="17">
        <f t="shared" si="1"/>
        <v>1268</v>
      </c>
      <c r="AE6" s="5"/>
    </row>
    <row r="7" spans="1:31">
      <c r="A7" s="2">
        <v>2002</v>
      </c>
      <c r="B7" s="31"/>
      <c r="C7" s="31"/>
      <c r="D7" s="321">
        <v>18.7</v>
      </c>
      <c r="E7" s="31">
        <v>128</v>
      </c>
      <c r="F7" s="31"/>
      <c r="G7" s="31"/>
      <c r="H7" s="321">
        <v>21.91</v>
      </c>
      <c r="I7" s="31">
        <v>146</v>
      </c>
      <c r="J7" s="31"/>
      <c r="K7" s="31"/>
      <c r="L7" s="321">
        <v>18.579999999999998</v>
      </c>
      <c r="M7" s="31">
        <v>121</v>
      </c>
      <c r="N7" s="31"/>
      <c r="O7" s="31"/>
      <c r="P7" s="321">
        <v>23.42</v>
      </c>
      <c r="Q7" s="31">
        <v>148</v>
      </c>
      <c r="R7" s="31"/>
      <c r="S7" s="31"/>
      <c r="T7" s="321">
        <v>18.739999999999998</v>
      </c>
      <c r="U7" s="31">
        <v>116</v>
      </c>
      <c r="V7" s="31"/>
      <c r="W7" s="31"/>
      <c r="X7" s="31">
        <v>79.33</v>
      </c>
      <c r="Y7" s="31">
        <v>479</v>
      </c>
      <c r="Z7" s="17">
        <f>B7+D7+F7+H7+J7+L7+N7+P7+R7+T7+V7+X7</f>
        <v>180.68</v>
      </c>
      <c r="AA7" s="17">
        <f>C7+E7+G7+I7+K7+M7+O7+Q7+S7+U7+W7+Y7</f>
        <v>1138</v>
      </c>
    </row>
    <row r="8" spans="1:31">
      <c r="A8" s="2">
        <v>2003</v>
      </c>
      <c r="B8" s="394"/>
      <c r="C8" s="394"/>
      <c r="D8" s="321">
        <v>18.7</v>
      </c>
      <c r="E8" s="31">
        <v>115</v>
      </c>
      <c r="F8" s="31"/>
      <c r="G8" s="31"/>
      <c r="H8" s="321">
        <v>21.91</v>
      </c>
      <c r="I8" s="31">
        <v>132</v>
      </c>
      <c r="J8" s="31"/>
      <c r="K8" s="31"/>
      <c r="L8" s="321">
        <v>18.579999999999998</v>
      </c>
      <c r="M8" s="31">
        <v>109</v>
      </c>
      <c r="N8" s="31"/>
      <c r="O8" s="31"/>
      <c r="P8" s="321">
        <v>23.42</v>
      </c>
      <c r="Q8" s="31">
        <v>133</v>
      </c>
      <c r="R8" s="31"/>
      <c r="S8" s="31"/>
      <c r="T8" s="321">
        <v>18.739999999999998</v>
      </c>
      <c r="U8" s="31">
        <v>104</v>
      </c>
      <c r="V8" s="31"/>
      <c r="W8" s="31"/>
      <c r="X8" s="321">
        <v>79.33</v>
      </c>
      <c r="Y8" s="31">
        <v>432</v>
      </c>
      <c r="Z8" s="17">
        <f t="shared" ref="Z8:Z58" si="2">B8+D8+F8+H8+J8+L8+N8+P8+R8+T8+V8+X8</f>
        <v>180.68</v>
      </c>
      <c r="AA8" s="17">
        <f t="shared" ref="AA8:AA58" si="3">C8+E8+G8+I8+K8+M8+O8+Q8+S8+U8+W8+Y8</f>
        <v>1025</v>
      </c>
    </row>
    <row r="9" spans="1:31">
      <c r="A9" s="2">
        <v>2004</v>
      </c>
      <c r="B9" s="394"/>
      <c r="C9" s="394"/>
      <c r="D9" s="394">
        <v>3.66</v>
      </c>
      <c r="E9" s="394">
        <v>20</v>
      </c>
      <c r="F9" s="394"/>
      <c r="G9" s="394"/>
      <c r="H9" s="394">
        <v>4.6900000000000004</v>
      </c>
      <c r="I9" s="394">
        <v>25</v>
      </c>
      <c r="J9" s="394"/>
      <c r="K9" s="394"/>
      <c r="L9" s="394">
        <v>3.66</v>
      </c>
      <c r="M9" s="394">
        <v>19</v>
      </c>
      <c r="N9" s="394"/>
      <c r="O9" s="394"/>
      <c r="P9" s="401">
        <v>3.66</v>
      </c>
      <c r="Q9" s="394">
        <v>19</v>
      </c>
      <c r="R9" s="394"/>
      <c r="S9" s="394"/>
      <c r="T9" s="394">
        <v>3.65</v>
      </c>
      <c r="U9" s="394">
        <v>18</v>
      </c>
      <c r="V9" s="394"/>
      <c r="W9" s="394"/>
      <c r="X9" s="394">
        <v>269.48</v>
      </c>
      <c r="Y9" s="31">
        <v>1328</v>
      </c>
      <c r="Z9" s="17">
        <f t="shared" si="2"/>
        <v>288.8</v>
      </c>
      <c r="AA9" s="17">
        <f t="shared" si="3"/>
        <v>1429</v>
      </c>
      <c r="AE9" s="5"/>
    </row>
    <row r="10" spans="1:31" ht="12" thickBot="1">
      <c r="A10" s="15">
        <v>2005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86">
        <v>230.71</v>
      </c>
      <c r="AA10" s="86">
        <v>1029</v>
      </c>
      <c r="AB10" s="120" t="s">
        <v>147</v>
      </c>
      <c r="AC10" s="120"/>
    </row>
    <row r="11" spans="1:31">
      <c r="A11" s="355">
        <v>2006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17">
        <v>198.97</v>
      </c>
      <c r="AA11" s="361"/>
      <c r="AB11" s="1" t="s">
        <v>147</v>
      </c>
    </row>
    <row r="12" spans="1:31">
      <c r="A12" s="352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17">
        <v>222</v>
      </c>
      <c r="AA12" s="361"/>
      <c r="AB12" s="1" t="s">
        <v>462</v>
      </c>
    </row>
    <row r="13" spans="1:31" ht="12" thickBot="1">
      <c r="A13" s="353"/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86">
        <f>SUM(Z11:Z12)</f>
        <v>420.97</v>
      </c>
      <c r="AA13" s="86">
        <v>1684</v>
      </c>
      <c r="AB13" s="120"/>
      <c r="AC13" s="120"/>
    </row>
    <row r="14" spans="1:31">
      <c r="A14" s="357">
        <v>2007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71">
        <v>30</v>
      </c>
      <c r="Y14" s="71"/>
      <c r="Z14" s="17">
        <v>230</v>
      </c>
      <c r="AA14" s="361"/>
      <c r="AB14" s="83" t="s">
        <v>151</v>
      </c>
    </row>
    <row r="15" spans="1:31">
      <c r="A15" s="354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1"/>
      <c r="Y15" s="31"/>
      <c r="Z15" s="17">
        <v>222</v>
      </c>
      <c r="AA15" s="361"/>
      <c r="AB15" s="358" t="s">
        <v>461</v>
      </c>
    </row>
    <row r="16" spans="1:31" ht="12" thickBot="1">
      <c r="A16" s="356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07"/>
      <c r="Y16" s="307"/>
      <c r="Z16" s="86">
        <f>SUM(Z14:Z15)</f>
        <v>452</v>
      </c>
      <c r="AA16" s="86">
        <v>1626</v>
      </c>
      <c r="AB16" s="359"/>
      <c r="AC16" s="120"/>
    </row>
    <row r="17" spans="1:30">
      <c r="A17" s="355">
        <v>2008</v>
      </c>
      <c r="B17" s="71"/>
      <c r="C17" s="71"/>
      <c r="D17" s="71">
        <v>52.38</v>
      </c>
      <c r="E17" s="71">
        <v>183</v>
      </c>
      <c r="F17" s="71"/>
      <c r="G17" s="71"/>
      <c r="H17" s="71">
        <v>66.25</v>
      </c>
      <c r="I17" s="71">
        <v>226</v>
      </c>
      <c r="J17" s="71"/>
      <c r="K17" s="71"/>
      <c r="L17" s="71">
        <v>52.38</v>
      </c>
      <c r="M17" s="71">
        <v>176</v>
      </c>
      <c r="N17" s="71"/>
      <c r="O17" s="71"/>
      <c r="P17" s="71">
        <v>52.38</v>
      </c>
      <c r="Q17" s="71">
        <v>172</v>
      </c>
      <c r="R17" s="71"/>
      <c r="S17" s="71"/>
      <c r="T17" s="71">
        <v>82.38</v>
      </c>
      <c r="U17" s="71">
        <v>265</v>
      </c>
      <c r="V17" s="71"/>
      <c r="W17" s="71"/>
      <c r="X17" s="71">
        <v>281.8</v>
      </c>
      <c r="Y17" s="71">
        <v>905</v>
      </c>
      <c r="Z17" s="17">
        <f t="shared" si="2"/>
        <v>587.56999999999994</v>
      </c>
      <c r="AA17" s="361"/>
    </row>
    <row r="18" spans="1:30">
      <c r="A18" s="35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17">
        <v>444</v>
      </c>
      <c r="AA18" s="361"/>
      <c r="AB18" s="1" t="s">
        <v>460</v>
      </c>
    </row>
    <row r="19" spans="1:30" ht="12" thickBot="1">
      <c r="A19" s="353"/>
      <c r="B19" s="307">
        <f>SUM(B17:B18)</f>
        <v>0</v>
      </c>
      <c r="C19" s="307">
        <f t="shared" ref="C19:Y19" si="4">SUM(C17:C18)</f>
        <v>0</v>
      </c>
      <c r="D19" s="307">
        <f t="shared" si="4"/>
        <v>52.38</v>
      </c>
      <c r="E19" s="307">
        <f t="shared" si="4"/>
        <v>183</v>
      </c>
      <c r="F19" s="307">
        <f t="shared" si="4"/>
        <v>0</v>
      </c>
      <c r="G19" s="307">
        <f t="shared" si="4"/>
        <v>0</v>
      </c>
      <c r="H19" s="307">
        <f t="shared" si="4"/>
        <v>66.25</v>
      </c>
      <c r="I19" s="307">
        <f t="shared" si="4"/>
        <v>226</v>
      </c>
      <c r="J19" s="307">
        <f t="shared" si="4"/>
        <v>0</v>
      </c>
      <c r="K19" s="307">
        <f t="shared" si="4"/>
        <v>0</v>
      </c>
      <c r="L19" s="307">
        <f t="shared" si="4"/>
        <v>52.38</v>
      </c>
      <c r="M19" s="307">
        <f t="shared" si="4"/>
        <v>176</v>
      </c>
      <c r="N19" s="307">
        <f t="shared" si="4"/>
        <v>0</v>
      </c>
      <c r="O19" s="307">
        <f t="shared" si="4"/>
        <v>0</v>
      </c>
      <c r="P19" s="307">
        <f t="shared" si="4"/>
        <v>52.38</v>
      </c>
      <c r="Q19" s="307">
        <f t="shared" si="4"/>
        <v>172</v>
      </c>
      <c r="R19" s="307">
        <f t="shared" si="4"/>
        <v>0</v>
      </c>
      <c r="S19" s="307">
        <f t="shared" si="4"/>
        <v>0</v>
      </c>
      <c r="T19" s="307">
        <f t="shared" si="4"/>
        <v>82.38</v>
      </c>
      <c r="U19" s="307">
        <f t="shared" si="4"/>
        <v>265</v>
      </c>
      <c r="V19" s="307">
        <f t="shared" si="4"/>
        <v>0</v>
      </c>
      <c r="W19" s="307">
        <f t="shared" si="4"/>
        <v>0</v>
      </c>
      <c r="X19" s="307">
        <f t="shared" si="4"/>
        <v>281.8</v>
      </c>
      <c r="Y19" s="307">
        <f t="shared" si="4"/>
        <v>905</v>
      </c>
      <c r="Z19" s="84">
        <f>SUM(Z17:Z18)</f>
        <v>1031.57</v>
      </c>
      <c r="AA19" s="17">
        <f t="shared" si="3"/>
        <v>1927</v>
      </c>
      <c r="AB19" s="120"/>
      <c r="AC19" s="120"/>
    </row>
    <row r="20" spans="1:30">
      <c r="A20" s="357">
        <v>2009</v>
      </c>
      <c r="B20" s="71"/>
      <c r="C20" s="71"/>
      <c r="D20" s="71">
        <v>101.18</v>
      </c>
      <c r="E20" s="71">
        <v>315</v>
      </c>
      <c r="F20" s="71"/>
      <c r="G20" s="71"/>
      <c r="H20" s="71">
        <v>127.75</v>
      </c>
      <c r="I20" s="71">
        <v>392</v>
      </c>
      <c r="J20" s="71"/>
      <c r="K20" s="71"/>
      <c r="L20" s="71">
        <v>101.18</v>
      </c>
      <c r="M20" s="71">
        <v>306</v>
      </c>
      <c r="N20" s="71"/>
      <c r="O20" s="71"/>
      <c r="P20" s="71">
        <v>101.18</v>
      </c>
      <c r="Q20" s="71">
        <v>301</v>
      </c>
      <c r="R20" s="71"/>
      <c r="S20" s="71"/>
      <c r="T20" s="71">
        <v>133.56</v>
      </c>
      <c r="U20" s="71">
        <v>392</v>
      </c>
      <c r="V20" s="71"/>
      <c r="W20" s="71"/>
      <c r="X20" s="71">
        <v>540.19000000000005</v>
      </c>
      <c r="Y20" s="71">
        <v>1563</v>
      </c>
      <c r="Z20" s="17">
        <f t="shared" si="2"/>
        <v>1105.04</v>
      </c>
      <c r="AA20" s="17">
        <f t="shared" si="3"/>
        <v>3269</v>
      </c>
    </row>
    <row r="21" spans="1:30">
      <c r="A21" s="352">
        <v>2010</v>
      </c>
      <c r="B21" s="31"/>
      <c r="C21" s="31"/>
      <c r="D21" s="31">
        <v>133.57</v>
      </c>
      <c r="E21" s="31">
        <v>381</v>
      </c>
      <c r="F21" s="31"/>
      <c r="G21" s="31"/>
      <c r="H21" s="31">
        <v>204.46</v>
      </c>
      <c r="I21" s="31">
        <v>575</v>
      </c>
      <c r="J21" s="31"/>
      <c r="K21" s="31"/>
      <c r="L21" s="31">
        <v>149.43</v>
      </c>
      <c r="M21" s="31">
        <v>414</v>
      </c>
      <c r="N21" s="31"/>
      <c r="O21" s="31"/>
      <c r="P21" s="31">
        <v>149.43</v>
      </c>
      <c r="Q21" s="31">
        <v>408</v>
      </c>
      <c r="R21" s="31"/>
      <c r="S21" s="31"/>
      <c r="T21" s="31">
        <v>149.44</v>
      </c>
      <c r="U21" s="31">
        <v>402</v>
      </c>
      <c r="V21" s="31"/>
      <c r="W21" s="31"/>
      <c r="X21" s="31">
        <v>598.30999999999995</v>
      </c>
      <c r="Y21" s="71">
        <v>1587</v>
      </c>
      <c r="Z21" s="17">
        <f t="shared" si="2"/>
        <v>1384.6399999999999</v>
      </c>
      <c r="AA21" s="17">
        <f t="shared" si="3"/>
        <v>3767</v>
      </c>
    </row>
    <row r="22" spans="1:30" s="115" customFormat="1">
      <c r="A22" s="166">
        <v>2011</v>
      </c>
      <c r="B22" s="31"/>
      <c r="C22" s="31"/>
      <c r="D22" s="31">
        <v>149.43</v>
      </c>
      <c r="E22" s="31">
        <v>390</v>
      </c>
      <c r="F22" s="31"/>
      <c r="G22" s="31"/>
      <c r="H22" s="31">
        <v>188.58</v>
      </c>
      <c r="I22" s="31">
        <v>485</v>
      </c>
      <c r="J22" s="31"/>
      <c r="K22" s="31"/>
      <c r="L22" s="31">
        <v>149.44</v>
      </c>
      <c r="M22" s="31">
        <v>379</v>
      </c>
      <c r="N22" s="31"/>
      <c r="O22" s="31"/>
      <c r="P22" s="31">
        <v>149.44</v>
      </c>
      <c r="Q22" s="31">
        <v>373</v>
      </c>
      <c r="R22" s="31"/>
      <c r="S22" s="31"/>
      <c r="T22" s="31">
        <v>149.44</v>
      </c>
      <c r="U22" s="31">
        <v>368</v>
      </c>
      <c r="V22" s="31"/>
      <c r="W22" s="31"/>
      <c r="X22" s="31">
        <v>538.30999999999995</v>
      </c>
      <c r="Y22" s="71">
        <v>1306</v>
      </c>
      <c r="Z22" s="17">
        <f t="shared" si="2"/>
        <v>1324.6399999999999</v>
      </c>
      <c r="AA22" s="17">
        <f t="shared" si="3"/>
        <v>3301</v>
      </c>
      <c r="AB22" s="115" t="s">
        <v>149</v>
      </c>
      <c r="AD22" s="360"/>
    </row>
    <row r="23" spans="1:30" ht="12" thickBot="1">
      <c r="A23" s="185">
        <v>2012</v>
      </c>
      <c r="B23" s="307"/>
      <c r="C23" s="307"/>
      <c r="D23" s="307"/>
      <c r="E23" s="307"/>
      <c r="F23" s="307"/>
      <c r="G23" s="307"/>
      <c r="H23" s="307"/>
      <c r="I23" s="307"/>
      <c r="J23" s="307">
        <v>88</v>
      </c>
      <c r="K23" s="307">
        <v>207</v>
      </c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11"/>
      <c r="Z23" s="86"/>
      <c r="AA23" s="86"/>
      <c r="AB23" s="120"/>
      <c r="AC23" s="120"/>
    </row>
    <row r="24" spans="1:30">
      <c r="A24" s="167">
        <v>2013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>
        <v>51.26</v>
      </c>
      <c r="U24" s="71"/>
      <c r="V24" s="71">
        <v>554.32000000000005</v>
      </c>
      <c r="W24" s="71"/>
      <c r="X24" s="71"/>
      <c r="Y24" s="71"/>
      <c r="Z24" s="17"/>
      <c r="AA24" s="17"/>
      <c r="AB24" s="1" t="s">
        <v>278</v>
      </c>
    </row>
    <row r="25" spans="1:30">
      <c r="A25" s="16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>
        <v>473.29</v>
      </c>
      <c r="W25" s="31"/>
      <c r="X25" s="31"/>
      <c r="Y25" s="71"/>
      <c r="Z25" s="17"/>
      <c r="AA25" s="17"/>
      <c r="AB25" s="1" t="s">
        <v>279</v>
      </c>
      <c r="AD25" s="5">
        <f>Z24+Z25</f>
        <v>0</v>
      </c>
    </row>
    <row r="26" spans="1:30">
      <c r="A26" s="179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>
        <v>555</v>
      </c>
      <c r="Y26" s="31"/>
      <c r="Z26" s="18"/>
      <c r="AA26" s="18"/>
      <c r="AD26" s="5"/>
    </row>
    <row r="27" spans="1:30">
      <c r="A27" s="179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>
        <v>444</v>
      </c>
      <c r="Y27" s="346"/>
      <c r="Z27" s="111"/>
      <c r="AA27" s="111"/>
      <c r="AB27" s="1" t="s">
        <v>459</v>
      </c>
      <c r="AD27" s="5"/>
    </row>
    <row r="28" spans="1:30" ht="12" thickBot="1">
      <c r="A28" s="184"/>
      <c r="B28" s="307">
        <f t="shared" ref="B28:T28" si="5">SUM(B24:B27)</f>
        <v>0</v>
      </c>
      <c r="C28" s="307">
        <f t="shared" si="5"/>
        <v>0</v>
      </c>
      <c r="D28" s="307">
        <f t="shared" si="5"/>
        <v>0</v>
      </c>
      <c r="E28" s="307">
        <f t="shared" si="5"/>
        <v>0</v>
      </c>
      <c r="F28" s="307">
        <f t="shared" si="5"/>
        <v>0</v>
      </c>
      <c r="G28" s="307">
        <f t="shared" si="5"/>
        <v>0</v>
      </c>
      <c r="H28" s="307">
        <f t="shared" si="5"/>
        <v>0</v>
      </c>
      <c r="I28" s="307">
        <f t="shared" si="5"/>
        <v>0</v>
      </c>
      <c r="J28" s="307">
        <f t="shared" si="5"/>
        <v>0</v>
      </c>
      <c r="K28" s="307">
        <f t="shared" si="5"/>
        <v>0</v>
      </c>
      <c r="L28" s="307">
        <f t="shared" si="5"/>
        <v>0</v>
      </c>
      <c r="M28" s="307">
        <f t="shared" si="5"/>
        <v>0</v>
      </c>
      <c r="N28" s="307">
        <f t="shared" si="5"/>
        <v>0</v>
      </c>
      <c r="O28" s="307">
        <f t="shared" si="5"/>
        <v>0</v>
      </c>
      <c r="P28" s="307">
        <f t="shared" si="5"/>
        <v>0</v>
      </c>
      <c r="Q28" s="307">
        <f t="shared" si="5"/>
        <v>0</v>
      </c>
      <c r="R28" s="307">
        <f t="shared" si="5"/>
        <v>0</v>
      </c>
      <c r="S28" s="307">
        <f t="shared" si="5"/>
        <v>0</v>
      </c>
      <c r="T28" s="307">
        <f t="shared" si="5"/>
        <v>51.26</v>
      </c>
      <c r="U28" s="307">
        <v>107</v>
      </c>
      <c r="V28" s="307">
        <f>SUM(V24:V27)</f>
        <v>1027.6100000000001</v>
      </c>
      <c r="W28" s="307">
        <v>2140</v>
      </c>
      <c r="X28" s="307">
        <f t="shared" ref="X28" si="6">SUM(X24:X27)</f>
        <v>999</v>
      </c>
      <c r="Y28" s="307">
        <v>2066</v>
      </c>
      <c r="Z28" s="84">
        <f t="shared" si="2"/>
        <v>2077.87</v>
      </c>
      <c r="AA28" s="84">
        <f t="shared" si="3"/>
        <v>4313</v>
      </c>
      <c r="AB28" s="120"/>
      <c r="AC28" s="120"/>
      <c r="AD28" s="5"/>
    </row>
    <row r="29" spans="1:30">
      <c r="A29" s="183">
        <v>2014</v>
      </c>
      <c r="B29" s="71">
        <v>252</v>
      </c>
      <c r="C29" s="71"/>
      <c r="D29" s="71">
        <v>64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>
        <v>365</v>
      </c>
      <c r="S29" s="71"/>
      <c r="T29" s="71"/>
      <c r="U29" s="71"/>
      <c r="V29" s="71">
        <v>190</v>
      </c>
      <c r="W29" s="71"/>
      <c r="X29" s="71">
        <v>108</v>
      </c>
      <c r="Y29" s="71"/>
      <c r="Z29" s="17"/>
      <c r="AA29" s="17"/>
      <c r="AB29" s="1" t="s">
        <v>264</v>
      </c>
    </row>
    <row r="30" spans="1:30">
      <c r="A30" s="18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>
        <v>444</v>
      </c>
      <c r="Y30" s="71"/>
      <c r="Z30" s="17"/>
      <c r="AA30" s="17"/>
      <c r="AB30" s="1" t="s">
        <v>463</v>
      </c>
    </row>
    <row r="31" spans="1:30" ht="12" thickBot="1">
      <c r="A31" s="192"/>
      <c r="B31" s="311">
        <f>SUM(B29:B30)</f>
        <v>252</v>
      </c>
      <c r="C31" s="311">
        <v>518</v>
      </c>
      <c r="D31" s="311">
        <f t="shared" ref="D31:X31" si="7">SUM(D29:D30)</f>
        <v>64</v>
      </c>
      <c r="E31" s="311">
        <v>131</v>
      </c>
      <c r="F31" s="311">
        <f t="shared" si="7"/>
        <v>0</v>
      </c>
      <c r="G31" s="311">
        <f t="shared" si="7"/>
        <v>0</v>
      </c>
      <c r="H31" s="311">
        <f t="shared" si="7"/>
        <v>0</v>
      </c>
      <c r="I31" s="311">
        <f t="shared" si="7"/>
        <v>0</v>
      </c>
      <c r="J31" s="311">
        <f t="shared" si="7"/>
        <v>0</v>
      </c>
      <c r="K31" s="311">
        <f t="shared" si="7"/>
        <v>0</v>
      </c>
      <c r="L31" s="311">
        <f t="shared" si="7"/>
        <v>0</v>
      </c>
      <c r="M31" s="311">
        <f t="shared" si="7"/>
        <v>0</v>
      </c>
      <c r="N31" s="311">
        <f t="shared" si="7"/>
        <v>0</v>
      </c>
      <c r="O31" s="311">
        <f t="shared" si="7"/>
        <v>0</v>
      </c>
      <c r="P31" s="311">
        <f t="shared" si="7"/>
        <v>0</v>
      </c>
      <c r="Q31" s="311">
        <f t="shared" si="7"/>
        <v>0</v>
      </c>
      <c r="R31" s="311">
        <f t="shared" si="7"/>
        <v>365</v>
      </c>
      <c r="S31" s="311">
        <v>713</v>
      </c>
      <c r="T31" s="311">
        <f t="shared" si="7"/>
        <v>0</v>
      </c>
      <c r="U31" s="311">
        <f t="shared" si="7"/>
        <v>0</v>
      </c>
      <c r="V31" s="311">
        <f t="shared" si="7"/>
        <v>190</v>
      </c>
      <c r="W31" s="311">
        <v>367</v>
      </c>
      <c r="X31" s="311">
        <f t="shared" si="7"/>
        <v>552</v>
      </c>
      <c r="Y31" s="311">
        <v>1059</v>
      </c>
      <c r="Z31" s="84">
        <f t="shared" si="2"/>
        <v>1423</v>
      </c>
      <c r="AA31" s="84">
        <f t="shared" si="3"/>
        <v>2788</v>
      </c>
      <c r="AB31" s="120"/>
      <c r="AC31" s="120"/>
    </row>
    <row r="32" spans="1:30">
      <c r="A32" s="167">
        <v>2015</v>
      </c>
      <c r="B32" s="71">
        <v>80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>
        <v>380</v>
      </c>
      <c r="O32" s="71"/>
      <c r="P32" s="71"/>
      <c r="Q32" s="71"/>
      <c r="R32" s="71"/>
      <c r="S32" s="71"/>
      <c r="T32" s="71">
        <v>107</v>
      </c>
      <c r="U32" s="71"/>
      <c r="V32" s="71">
        <v>55</v>
      </c>
      <c r="W32" s="71"/>
      <c r="X32" s="71">
        <v>55</v>
      </c>
      <c r="Y32" s="71"/>
      <c r="Z32" s="17"/>
      <c r="AA32" s="17">
        <f t="shared" si="3"/>
        <v>0</v>
      </c>
      <c r="AB32" s="1" t="s">
        <v>264</v>
      </c>
    </row>
    <row r="33" spans="1:30">
      <c r="A33" s="166"/>
      <c r="B33" s="31"/>
      <c r="C33" s="31"/>
      <c r="D33" s="31"/>
      <c r="E33" s="31"/>
      <c r="F33" s="31"/>
      <c r="G33" s="31"/>
      <c r="H33" s="31">
        <v>50.98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71"/>
      <c r="Z33" s="17"/>
      <c r="AA33" s="17"/>
      <c r="AB33" s="1" t="s">
        <v>314</v>
      </c>
      <c r="AD33" s="5">
        <f>Z32+Z33</f>
        <v>0</v>
      </c>
    </row>
    <row r="34" spans="1:30">
      <c r="A34" s="16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>
        <v>666</v>
      </c>
      <c r="Y34" s="71"/>
      <c r="Z34" s="17"/>
      <c r="AA34" s="17"/>
      <c r="AB34" s="1" t="s">
        <v>184</v>
      </c>
      <c r="AD34" s="5"/>
    </row>
    <row r="35" spans="1:30" ht="12" thickBot="1">
      <c r="A35" s="184"/>
      <c r="B35" s="307">
        <f>SUM(B32:B34)</f>
        <v>80</v>
      </c>
      <c r="C35" s="307">
        <v>153</v>
      </c>
      <c r="D35" s="307">
        <f t="shared" ref="D35:X35" si="8">SUM(D32:D34)</f>
        <v>0</v>
      </c>
      <c r="E35" s="307">
        <f t="shared" si="8"/>
        <v>0</v>
      </c>
      <c r="F35" s="307">
        <f t="shared" si="8"/>
        <v>0</v>
      </c>
      <c r="G35" s="307">
        <f t="shared" si="8"/>
        <v>0</v>
      </c>
      <c r="H35" s="307">
        <f t="shared" si="8"/>
        <v>50.98</v>
      </c>
      <c r="I35" s="307">
        <v>96</v>
      </c>
      <c r="J35" s="307">
        <f t="shared" si="8"/>
        <v>0</v>
      </c>
      <c r="K35" s="307">
        <f t="shared" si="8"/>
        <v>0</v>
      </c>
      <c r="L35" s="307">
        <f t="shared" si="8"/>
        <v>0</v>
      </c>
      <c r="M35" s="307">
        <f t="shared" si="8"/>
        <v>0</v>
      </c>
      <c r="N35" s="307">
        <f t="shared" si="8"/>
        <v>380</v>
      </c>
      <c r="O35" s="307">
        <v>699</v>
      </c>
      <c r="P35" s="307">
        <f t="shared" si="8"/>
        <v>0</v>
      </c>
      <c r="Q35" s="307">
        <f t="shared" si="8"/>
        <v>0</v>
      </c>
      <c r="R35" s="307">
        <f t="shared" si="8"/>
        <v>0</v>
      </c>
      <c r="S35" s="307">
        <f t="shared" si="8"/>
        <v>0</v>
      </c>
      <c r="T35" s="307">
        <f t="shared" si="8"/>
        <v>107</v>
      </c>
      <c r="U35" s="307">
        <v>193</v>
      </c>
      <c r="V35" s="307">
        <f t="shared" si="8"/>
        <v>55</v>
      </c>
      <c r="W35" s="307">
        <v>99</v>
      </c>
      <c r="X35" s="307">
        <f t="shared" si="8"/>
        <v>721</v>
      </c>
      <c r="Y35" s="307">
        <v>1287</v>
      </c>
      <c r="Z35" s="84">
        <f t="shared" ref="Z35" si="9">B35+D35+F35+H35+J35+L35+N35+P35+R35+T35+V35+X35</f>
        <v>1393.98</v>
      </c>
      <c r="AA35" s="84">
        <f t="shared" ref="AA35" si="10">C35+E35+G35+I35+K35+M35+O35+Q35+S35+U35+W35+Y35</f>
        <v>2527</v>
      </c>
      <c r="AB35" s="120"/>
      <c r="AC35" s="120"/>
      <c r="AD35" s="5"/>
    </row>
    <row r="36" spans="1:30">
      <c r="A36" s="183">
        <v>2016</v>
      </c>
      <c r="B36" s="71"/>
      <c r="C36" s="71"/>
      <c r="D36" s="71">
        <v>77</v>
      </c>
      <c r="E36" s="71"/>
      <c r="F36" s="71"/>
      <c r="G36" s="71"/>
      <c r="H36" s="71">
        <v>221</v>
      </c>
      <c r="I36" s="71"/>
      <c r="J36" s="71"/>
      <c r="K36" s="71"/>
      <c r="L36" s="71">
        <v>135</v>
      </c>
      <c r="M36" s="71"/>
      <c r="N36" s="71"/>
      <c r="O36" s="71"/>
      <c r="P36" s="71">
        <v>90</v>
      </c>
      <c r="Q36" s="71"/>
      <c r="R36" s="71"/>
      <c r="S36" s="71"/>
      <c r="T36" s="71"/>
      <c r="U36" s="71"/>
      <c r="V36" s="71"/>
      <c r="W36" s="71"/>
      <c r="X36" s="71">
        <v>152</v>
      </c>
      <c r="Y36" s="71"/>
      <c r="Z36" s="17"/>
      <c r="AA36" s="17"/>
    </row>
    <row r="37" spans="1:30">
      <c r="A37" s="18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>
        <v>666</v>
      </c>
      <c r="Y37" s="71"/>
      <c r="Z37" s="17"/>
      <c r="AA37" s="17"/>
      <c r="AB37" s="1" t="s">
        <v>464</v>
      </c>
    </row>
    <row r="38" spans="1:30" ht="12" thickBot="1">
      <c r="A38" s="192"/>
      <c r="B38" s="311"/>
      <c r="C38" s="311"/>
      <c r="D38" s="311">
        <f>SUM(D36:D37)</f>
        <v>77</v>
      </c>
      <c r="E38" s="311">
        <v>137</v>
      </c>
      <c r="F38" s="311">
        <f t="shared" ref="F38:X38" si="11">SUM(F36:F37)</f>
        <v>0</v>
      </c>
      <c r="G38" s="311">
        <f t="shared" si="11"/>
        <v>0</v>
      </c>
      <c r="H38" s="311">
        <f t="shared" si="11"/>
        <v>221</v>
      </c>
      <c r="I38" s="311">
        <v>385</v>
      </c>
      <c r="J38" s="311">
        <f t="shared" si="11"/>
        <v>0</v>
      </c>
      <c r="K38" s="311">
        <f t="shared" si="11"/>
        <v>0</v>
      </c>
      <c r="L38" s="311">
        <f t="shared" si="11"/>
        <v>135</v>
      </c>
      <c r="M38" s="311">
        <v>232</v>
      </c>
      <c r="N38" s="311">
        <f t="shared" si="11"/>
        <v>0</v>
      </c>
      <c r="O38" s="311">
        <f t="shared" si="11"/>
        <v>0</v>
      </c>
      <c r="P38" s="311">
        <f t="shared" si="11"/>
        <v>90</v>
      </c>
      <c r="Q38" s="311">
        <v>153</v>
      </c>
      <c r="R38" s="311">
        <f t="shared" si="11"/>
        <v>0</v>
      </c>
      <c r="S38" s="311">
        <f t="shared" si="11"/>
        <v>0</v>
      </c>
      <c r="T38" s="311">
        <f t="shared" si="11"/>
        <v>0</v>
      </c>
      <c r="U38" s="311">
        <f t="shared" si="11"/>
        <v>0</v>
      </c>
      <c r="V38" s="311">
        <f t="shared" si="11"/>
        <v>0</v>
      </c>
      <c r="W38" s="311">
        <f t="shared" si="11"/>
        <v>0</v>
      </c>
      <c r="X38" s="311">
        <f t="shared" si="11"/>
        <v>818</v>
      </c>
      <c r="Y38" s="311">
        <v>1358</v>
      </c>
      <c r="Z38" s="84">
        <f t="shared" ref="Z38" si="12">B38+D38+F38+H38+J38+L38+N38+P38+R38+T38+V38+X38</f>
        <v>1341</v>
      </c>
      <c r="AA38" s="84">
        <f t="shared" ref="AA38" si="13">C38+E38+G38+I38+K38+M38+O38+Q38+S38+U38+W38+Y38</f>
        <v>2265</v>
      </c>
      <c r="AB38" s="120"/>
      <c r="AC38" s="120"/>
    </row>
    <row r="39" spans="1:30">
      <c r="A39" s="167">
        <v>2017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>
        <v>76</v>
      </c>
      <c r="Y39" s="71"/>
      <c r="Z39" s="17"/>
      <c r="AA39" s="17"/>
      <c r="AB39" s="1" t="s">
        <v>264</v>
      </c>
    </row>
    <row r="40" spans="1:30">
      <c r="A40" s="166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>
        <v>406.17</v>
      </c>
      <c r="W40" s="31"/>
      <c r="X40" s="31"/>
      <c r="Y40" s="71"/>
      <c r="Z40" s="17"/>
      <c r="AA40" s="17"/>
      <c r="AB40" s="1" t="s">
        <v>316</v>
      </c>
      <c r="AD40" s="5">
        <f>Z39+Z40</f>
        <v>0</v>
      </c>
    </row>
    <row r="41" spans="1:30">
      <c r="A41" s="166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>
        <v>666</v>
      </c>
      <c r="Y41" s="71"/>
      <c r="Z41" s="17"/>
      <c r="AA41" s="17"/>
      <c r="AB41" s="1" t="s">
        <v>464</v>
      </c>
      <c r="AD41" s="5"/>
    </row>
    <row r="42" spans="1:30" ht="12" thickBot="1">
      <c r="A42" s="184"/>
      <c r="B42" s="307">
        <f>SUM(B39:B41)</f>
        <v>0</v>
      </c>
      <c r="C42" s="307">
        <f t="shared" ref="C42:X42" si="14">SUM(C39:C41)</f>
        <v>0</v>
      </c>
      <c r="D42" s="307">
        <f t="shared" si="14"/>
        <v>0</v>
      </c>
      <c r="E42" s="307">
        <f t="shared" si="14"/>
        <v>0</v>
      </c>
      <c r="F42" s="307">
        <f t="shared" si="14"/>
        <v>0</v>
      </c>
      <c r="G42" s="307">
        <f t="shared" si="14"/>
        <v>0</v>
      </c>
      <c r="H42" s="307">
        <f t="shared" si="14"/>
        <v>0</v>
      </c>
      <c r="I42" s="307">
        <f t="shared" si="14"/>
        <v>0</v>
      </c>
      <c r="J42" s="307">
        <f t="shared" si="14"/>
        <v>0</v>
      </c>
      <c r="K42" s="307">
        <f t="shared" si="14"/>
        <v>0</v>
      </c>
      <c r="L42" s="307">
        <f t="shared" si="14"/>
        <v>0</v>
      </c>
      <c r="M42" s="307">
        <f t="shared" si="14"/>
        <v>0</v>
      </c>
      <c r="N42" s="307">
        <f t="shared" si="14"/>
        <v>0</v>
      </c>
      <c r="O42" s="307">
        <f t="shared" si="14"/>
        <v>0</v>
      </c>
      <c r="P42" s="307">
        <f t="shared" si="14"/>
        <v>0</v>
      </c>
      <c r="Q42" s="307">
        <f t="shared" si="14"/>
        <v>0</v>
      </c>
      <c r="R42" s="307">
        <f t="shared" si="14"/>
        <v>0</v>
      </c>
      <c r="S42" s="307">
        <f t="shared" si="14"/>
        <v>0</v>
      </c>
      <c r="T42" s="307">
        <f t="shared" si="14"/>
        <v>0</v>
      </c>
      <c r="U42" s="307">
        <f t="shared" si="14"/>
        <v>0</v>
      </c>
      <c r="V42" s="307">
        <f t="shared" si="14"/>
        <v>406.17</v>
      </c>
      <c r="W42" s="307">
        <v>632</v>
      </c>
      <c r="X42" s="307">
        <f t="shared" si="14"/>
        <v>742</v>
      </c>
      <c r="Y42" s="307">
        <v>1148</v>
      </c>
      <c r="Z42" s="84">
        <f t="shared" ref="Z42" si="15">B42+D42+F42+H42+J42+L42+N42+P42+R42+T42+V42+X42</f>
        <v>1148.17</v>
      </c>
      <c r="AA42" s="84">
        <f t="shared" ref="AA42" si="16">C42+E42+G42+I42+K42+M42+O42+Q42+S42+U42+W42+Y42</f>
        <v>1780</v>
      </c>
      <c r="AB42" s="120"/>
      <c r="AC42" s="120"/>
      <c r="AD42" s="5"/>
    </row>
    <row r="43" spans="1:30" ht="12" thickBot="1">
      <c r="A43" s="95">
        <v>2018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>
        <v>333</v>
      </c>
      <c r="Y43" s="319">
        <v>481</v>
      </c>
      <c r="Z43" s="146">
        <f t="shared" si="2"/>
        <v>333</v>
      </c>
      <c r="AA43" s="146"/>
      <c r="AB43" s="153" t="s">
        <v>464</v>
      </c>
      <c r="AC43" s="153"/>
    </row>
    <row r="44" spans="1:30" ht="12" thickBot="1">
      <c r="A44" s="200">
        <v>2019</v>
      </c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>
        <v>333</v>
      </c>
      <c r="Y44" s="319">
        <v>448</v>
      </c>
      <c r="Z44" s="146">
        <f t="shared" si="2"/>
        <v>333</v>
      </c>
      <c r="AA44" s="146">
        <f t="shared" si="3"/>
        <v>448</v>
      </c>
      <c r="AB44" s="153" t="s">
        <v>464</v>
      </c>
      <c r="AC44" s="153"/>
    </row>
    <row r="45" spans="1:30" ht="12" thickBot="1">
      <c r="A45" s="392">
        <v>2020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146">
        <f t="shared" si="2"/>
        <v>0</v>
      </c>
      <c r="AA45" s="146">
        <f t="shared" si="3"/>
        <v>0</v>
      </c>
      <c r="AB45" s="153"/>
      <c r="AC45" s="153"/>
    </row>
    <row r="46" spans="1:30" ht="12" thickBot="1">
      <c r="A46" s="204">
        <v>2021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>
        <v>4.33</v>
      </c>
      <c r="O46" s="311">
        <v>5</v>
      </c>
      <c r="P46" s="311">
        <v>8.15</v>
      </c>
      <c r="Q46" s="311">
        <v>10</v>
      </c>
      <c r="R46" s="311"/>
      <c r="S46" s="311"/>
      <c r="T46" s="311"/>
      <c r="U46" s="311"/>
      <c r="V46" s="311"/>
      <c r="W46" s="311"/>
      <c r="X46" s="311"/>
      <c r="Y46" s="311"/>
      <c r="Z46" s="86">
        <f t="shared" si="2"/>
        <v>12.48</v>
      </c>
      <c r="AA46" s="86">
        <f t="shared" si="3"/>
        <v>15</v>
      </c>
      <c r="AB46" s="120"/>
      <c r="AC46" s="120"/>
    </row>
    <row r="47" spans="1:30">
      <c r="A47" s="355">
        <v>2022</v>
      </c>
      <c r="B47" s="71">
        <v>30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17"/>
      <c r="AA47" s="17"/>
    </row>
    <row r="48" spans="1:30">
      <c r="A48" s="35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>
        <v>333</v>
      </c>
      <c r="Y48" s="71"/>
      <c r="Z48" s="17"/>
      <c r="AA48" s="17"/>
      <c r="AB48" s="1" t="s">
        <v>464</v>
      </c>
    </row>
    <row r="49" spans="1:30" ht="12" thickBot="1">
      <c r="A49" s="353"/>
      <c r="B49" s="307">
        <f>SUM(B47:B48)</f>
        <v>30</v>
      </c>
      <c r="C49" s="307">
        <v>35</v>
      </c>
      <c r="D49" s="307">
        <f t="shared" ref="D49:X49" si="17">SUM(D47:D48)</f>
        <v>0</v>
      </c>
      <c r="E49" s="307">
        <f t="shared" si="17"/>
        <v>0</v>
      </c>
      <c r="F49" s="307">
        <f t="shared" si="17"/>
        <v>0</v>
      </c>
      <c r="G49" s="307">
        <f t="shared" si="17"/>
        <v>0</v>
      </c>
      <c r="H49" s="307">
        <f t="shared" si="17"/>
        <v>0</v>
      </c>
      <c r="I49" s="307">
        <f t="shared" si="17"/>
        <v>0</v>
      </c>
      <c r="J49" s="307">
        <f t="shared" si="17"/>
        <v>0</v>
      </c>
      <c r="K49" s="307">
        <f t="shared" si="17"/>
        <v>0</v>
      </c>
      <c r="L49" s="307">
        <f t="shared" si="17"/>
        <v>0</v>
      </c>
      <c r="M49" s="307">
        <f t="shared" si="17"/>
        <v>0</v>
      </c>
      <c r="N49" s="307">
        <f t="shared" si="17"/>
        <v>0</v>
      </c>
      <c r="O49" s="307">
        <f t="shared" si="17"/>
        <v>0</v>
      </c>
      <c r="P49" s="307">
        <f t="shared" si="17"/>
        <v>0</v>
      </c>
      <c r="Q49" s="307">
        <f t="shared" si="17"/>
        <v>0</v>
      </c>
      <c r="R49" s="307">
        <f t="shared" si="17"/>
        <v>0</v>
      </c>
      <c r="S49" s="307">
        <f t="shared" si="17"/>
        <v>0</v>
      </c>
      <c r="T49" s="307">
        <f t="shared" si="17"/>
        <v>0</v>
      </c>
      <c r="U49" s="307">
        <f t="shared" si="17"/>
        <v>0</v>
      </c>
      <c r="V49" s="307">
        <f t="shared" si="17"/>
        <v>0</v>
      </c>
      <c r="W49" s="307">
        <f t="shared" si="17"/>
        <v>0</v>
      </c>
      <c r="X49" s="307">
        <f t="shared" si="17"/>
        <v>333</v>
      </c>
      <c r="Y49" s="307">
        <v>363</v>
      </c>
      <c r="Z49" s="86">
        <f t="shared" ref="Z49" si="18">B49+D49+F49+H49+J49+L49+N49+P49+R49+T49+V49+X49</f>
        <v>363</v>
      </c>
      <c r="AA49" s="86">
        <f t="shared" ref="AA49" si="19">C49+E49+G49+I49+K49+M49+O49+Q49+S49+U49+W49+Y49</f>
        <v>398</v>
      </c>
      <c r="AB49" s="120"/>
      <c r="AC49" s="120"/>
    </row>
    <row r="50" spans="1:30">
      <c r="A50" s="183">
        <v>2023</v>
      </c>
      <c r="B50" s="71">
        <v>20</v>
      </c>
      <c r="C50" s="71"/>
      <c r="D50" s="71">
        <v>78</v>
      </c>
      <c r="E50" s="71"/>
      <c r="F50" s="71">
        <v>20</v>
      </c>
      <c r="G50" s="71"/>
      <c r="H50" s="71">
        <v>14</v>
      </c>
      <c r="I50" s="71"/>
      <c r="J50" s="71">
        <v>23</v>
      </c>
      <c r="K50" s="71"/>
      <c r="L50" s="71">
        <v>64</v>
      </c>
      <c r="M50" s="71"/>
      <c r="N50" s="71">
        <v>52</v>
      </c>
      <c r="O50" s="71"/>
      <c r="P50" s="71">
        <v>45</v>
      </c>
      <c r="Q50" s="71"/>
      <c r="R50" s="71">
        <v>40</v>
      </c>
      <c r="S50" s="71"/>
      <c r="T50" s="71">
        <v>44</v>
      </c>
      <c r="U50" s="71"/>
      <c r="V50" s="71">
        <v>90</v>
      </c>
      <c r="W50" s="71"/>
      <c r="X50" s="71"/>
      <c r="Y50" s="71"/>
      <c r="Z50" s="17"/>
      <c r="AA50" s="17"/>
    </row>
    <row r="51" spans="1:30">
      <c r="A51" s="18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>
        <v>31</v>
      </c>
      <c r="Q51" s="71"/>
      <c r="R51" s="71">
        <v>34</v>
      </c>
      <c r="S51" s="71"/>
      <c r="T51" s="71">
        <v>46</v>
      </c>
      <c r="U51" s="71"/>
      <c r="V51" s="71">
        <v>40</v>
      </c>
      <c r="W51" s="71"/>
      <c r="X51" s="71"/>
      <c r="Y51" s="71"/>
      <c r="Z51" s="17"/>
      <c r="AA51" s="17"/>
      <c r="AB51" s="1" t="s">
        <v>464</v>
      </c>
    </row>
    <row r="52" spans="1:30" ht="12" thickBot="1">
      <c r="A52" s="185"/>
      <c r="B52" s="307">
        <f>SUM(B50:B51)</f>
        <v>20</v>
      </c>
      <c r="C52" s="307">
        <v>22</v>
      </c>
      <c r="D52" s="307">
        <f t="shared" ref="D52:Y52" si="20">SUM(D50:D51)</f>
        <v>78</v>
      </c>
      <c r="E52" s="307">
        <v>84</v>
      </c>
      <c r="F52" s="307">
        <f t="shared" si="20"/>
        <v>20</v>
      </c>
      <c r="G52" s="307">
        <v>21</v>
      </c>
      <c r="H52" s="307">
        <f t="shared" si="20"/>
        <v>14</v>
      </c>
      <c r="I52" s="307">
        <v>15</v>
      </c>
      <c r="J52" s="307">
        <f t="shared" si="20"/>
        <v>23</v>
      </c>
      <c r="K52" s="307">
        <v>24</v>
      </c>
      <c r="L52" s="307">
        <f t="shared" si="20"/>
        <v>64</v>
      </c>
      <c r="M52" s="307">
        <v>67</v>
      </c>
      <c r="N52" s="307">
        <f t="shared" si="20"/>
        <v>52</v>
      </c>
      <c r="O52" s="307">
        <v>54</v>
      </c>
      <c r="P52" s="307">
        <f t="shared" si="20"/>
        <v>76</v>
      </c>
      <c r="Q52" s="307">
        <v>79</v>
      </c>
      <c r="R52" s="307">
        <f t="shared" si="20"/>
        <v>74</v>
      </c>
      <c r="S52" s="307">
        <v>77</v>
      </c>
      <c r="T52" s="307">
        <f t="shared" si="20"/>
        <v>90</v>
      </c>
      <c r="U52" s="307">
        <v>93</v>
      </c>
      <c r="V52" s="307">
        <f t="shared" si="20"/>
        <v>130</v>
      </c>
      <c r="W52" s="307">
        <v>133</v>
      </c>
      <c r="X52" s="307">
        <f t="shared" si="20"/>
        <v>0</v>
      </c>
      <c r="Y52" s="307">
        <f t="shared" si="20"/>
        <v>0</v>
      </c>
      <c r="Z52" s="84">
        <f t="shared" ref="Z52" si="21">B52+D52+F52+H52+J52+L52+N52+P52+R52+T52+V52+X52</f>
        <v>641</v>
      </c>
      <c r="AA52" s="84">
        <f t="shared" ref="AA52" si="22">C52+E52+G52+I52+K52+M52+O52+Q52+S52+U52+W52+Y52</f>
        <v>669</v>
      </c>
      <c r="AB52" s="120"/>
      <c r="AC52" s="120"/>
    </row>
    <row r="53" spans="1:30">
      <c r="A53" s="355">
        <v>2024</v>
      </c>
      <c r="B53" s="71">
        <v>116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17"/>
      <c r="AA53" s="17"/>
      <c r="AB53" s="125"/>
      <c r="AC53" s="125"/>
    </row>
    <row r="54" spans="1:30">
      <c r="A54" s="352"/>
      <c r="B54" s="31">
        <v>89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18"/>
      <c r="AA54" s="18"/>
      <c r="AB54" s="125" t="s">
        <v>464</v>
      </c>
      <c r="AC54" s="125"/>
    </row>
    <row r="55" spans="1:30" ht="12" thickBot="1">
      <c r="A55" s="353"/>
      <c r="B55" s="307">
        <f>SUM(B53:B54)</f>
        <v>205</v>
      </c>
      <c r="C55" s="307">
        <v>207</v>
      </c>
      <c r="D55" s="307">
        <f t="shared" ref="D55:Y55" si="23">SUM(D53:D54)</f>
        <v>0</v>
      </c>
      <c r="E55" s="307">
        <f t="shared" si="23"/>
        <v>0</v>
      </c>
      <c r="F55" s="307">
        <f t="shared" si="23"/>
        <v>0</v>
      </c>
      <c r="G55" s="307">
        <f t="shared" si="23"/>
        <v>0</v>
      </c>
      <c r="H55" s="307">
        <f t="shared" si="23"/>
        <v>0</v>
      </c>
      <c r="I55" s="307">
        <f t="shared" si="23"/>
        <v>0</v>
      </c>
      <c r="J55" s="307">
        <f t="shared" si="23"/>
        <v>0</v>
      </c>
      <c r="K55" s="307">
        <f t="shared" si="23"/>
        <v>0</v>
      </c>
      <c r="L55" s="307">
        <f t="shared" si="23"/>
        <v>0</v>
      </c>
      <c r="M55" s="307">
        <f t="shared" si="23"/>
        <v>0</v>
      </c>
      <c r="N55" s="307">
        <f t="shared" si="23"/>
        <v>0</v>
      </c>
      <c r="O55" s="307">
        <f t="shared" si="23"/>
        <v>0</v>
      </c>
      <c r="P55" s="307">
        <f t="shared" si="23"/>
        <v>0</v>
      </c>
      <c r="Q55" s="307">
        <f t="shared" si="23"/>
        <v>0</v>
      </c>
      <c r="R55" s="307">
        <f t="shared" si="23"/>
        <v>0</v>
      </c>
      <c r="S55" s="307">
        <f t="shared" si="23"/>
        <v>0</v>
      </c>
      <c r="T55" s="307">
        <f t="shared" si="23"/>
        <v>0</v>
      </c>
      <c r="U55" s="307">
        <f t="shared" si="23"/>
        <v>0</v>
      </c>
      <c r="V55" s="307">
        <f t="shared" si="23"/>
        <v>0</v>
      </c>
      <c r="W55" s="307">
        <f t="shared" si="23"/>
        <v>0</v>
      </c>
      <c r="X55" s="307">
        <f t="shared" si="23"/>
        <v>0</v>
      </c>
      <c r="Y55" s="307">
        <f t="shared" si="23"/>
        <v>0</v>
      </c>
      <c r="Z55" s="84">
        <f t="shared" ref="Z55" si="24">B55+D55+F55+H55+J55+L55+N55+P55+R55+T55+V55+X55</f>
        <v>205</v>
      </c>
      <c r="AA55" s="84">
        <f t="shared" ref="AA55" si="25">C55+E55+G55+I55+K55+M55+O55+Q55+S55+U55+W55+Y55</f>
        <v>207</v>
      </c>
      <c r="AB55" s="120"/>
      <c r="AC55" s="120"/>
    </row>
    <row r="56" spans="1:30">
      <c r="A56" s="39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17"/>
      <c r="AA56" s="17"/>
      <c r="AB56" s="125"/>
      <c r="AC56" s="125"/>
    </row>
    <row r="57" spans="1:30">
      <c r="A57" s="38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18"/>
      <c r="AA57" s="18"/>
      <c r="AB57" s="125"/>
      <c r="AC57" s="125"/>
    </row>
    <row r="58" spans="1:30">
      <c r="A58" s="38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8">
        <f t="shared" si="2"/>
        <v>0</v>
      </c>
      <c r="AA58" s="18">
        <f t="shared" si="3"/>
        <v>0</v>
      </c>
    </row>
    <row r="59" spans="1:30">
      <c r="Z59" s="18">
        <f>Z3+Z4+Z5+Z6+Z7+Z8+Z9+Z10+Z13+Z16+Z19+Z20+Z21+Z22+Z28+Z31+Z35+Z38+Z42+Z43+Z44+Z46+Z49+Z52+Z55</f>
        <v>16361.119999999997</v>
      </c>
      <c r="AA59" s="18">
        <f>AA3+AA4+AA5+AA6+AA7+AA8+AA9+AA10+AA13+AA16+AA19+AA20+AA21+AA22+AA28+AA31+AA35+AA38+AA42+AA43+AA44+AA46+AA49+AA52+AA55</f>
        <v>39795</v>
      </c>
    </row>
    <row r="60" spans="1:30">
      <c r="Z60" s="5"/>
      <c r="AA60" s="5"/>
    </row>
    <row r="61" spans="1:30" ht="15">
      <c r="AA61" s="384" t="s">
        <v>469</v>
      </c>
      <c r="AD61" s="82">
        <v>45351</v>
      </c>
    </row>
    <row r="62" spans="1:30" ht="15.75">
      <c r="A62" s="432" t="s">
        <v>227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</row>
    <row r="65" spans="2:21" ht="23.25">
      <c r="B65" s="399"/>
      <c r="C65" s="399"/>
      <c r="D65" s="399"/>
      <c r="E65" s="399"/>
      <c r="F65" s="399"/>
      <c r="G65" s="399"/>
      <c r="K65" s="402" t="s">
        <v>365</v>
      </c>
    </row>
    <row r="68" spans="2:21">
      <c r="N68" s="28" t="s">
        <v>299</v>
      </c>
      <c r="P68" s="28" t="s">
        <v>300</v>
      </c>
      <c r="U68" s="28" t="s">
        <v>14</v>
      </c>
    </row>
    <row r="69" spans="2:21">
      <c r="N69" s="28">
        <v>200000</v>
      </c>
      <c r="P69" s="28">
        <v>13333</v>
      </c>
      <c r="Q69" s="28" t="s">
        <v>301</v>
      </c>
      <c r="S69" s="28">
        <f>N69*P69</f>
        <v>2666600000</v>
      </c>
      <c r="U69" s="28">
        <f>AA59*S69/Z59</f>
        <v>6485946377.7540913</v>
      </c>
    </row>
    <row r="70" spans="2:21">
      <c r="Q70" s="28" t="s">
        <v>302</v>
      </c>
      <c r="S70" s="28">
        <v>1111111111</v>
      </c>
      <c r="U70" s="28">
        <v>16666666666</v>
      </c>
    </row>
    <row r="71" spans="2:21">
      <c r="S71" s="28">
        <f>SUM(S69:S70)</f>
        <v>3777711111</v>
      </c>
      <c r="U71" s="28">
        <f>SUM(U69:U70)</f>
        <v>23152613043.754089</v>
      </c>
    </row>
    <row r="73" spans="2:21">
      <c r="U73" s="240">
        <f>S71+U71</f>
        <v>26930324154.754089</v>
      </c>
    </row>
  </sheetData>
  <mergeCells count="15">
    <mergeCell ref="A62:AA62"/>
    <mergeCell ref="Z1:Z2"/>
    <mergeCell ref="AA1:AA2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47</vt:i4>
      </vt:variant>
    </vt:vector>
  </HeadingPairs>
  <TitlesOfParts>
    <vt:vector size="47" baseType="lpstr">
      <vt:lpstr>το ΤΕΡΑΣ</vt:lpstr>
      <vt:lpstr>241β</vt:lpstr>
      <vt:lpstr>241γ</vt:lpstr>
      <vt:lpstr>241δ</vt:lpstr>
      <vt:lpstr>241θ1(α-β</vt:lpstr>
      <vt:lpstr>241θ2α-β-γ</vt:lpstr>
      <vt:lpstr>241θ3α</vt:lpstr>
      <vt:lpstr>241θ3β</vt:lpstr>
      <vt:lpstr>241θ9</vt:lpstr>
      <vt:lpstr>241ι1</vt:lpstr>
      <vt:lpstr>241ι21β</vt:lpstr>
      <vt:lpstr>241ι21γ</vt:lpstr>
      <vt:lpstr>241ι22α</vt:lpstr>
      <vt:lpstr>241ι23α</vt:lpstr>
      <vt:lpstr>241ι23β</vt:lpstr>
      <vt:lpstr>241ι23γ</vt:lpstr>
      <vt:lpstr>241ι23δ</vt:lpstr>
      <vt:lpstr>241ι23ζ</vt:lpstr>
      <vt:lpstr>241ι23θ</vt:lpstr>
      <vt:lpstr>241ι23ι</vt:lpstr>
      <vt:lpstr>241ι23κ</vt:lpstr>
      <vt:lpstr>241ι23λ</vt:lpstr>
      <vt:lpstr>241ι23μ</vt:lpstr>
      <vt:lpstr>241ι23ν</vt:lpstr>
      <vt:lpstr>241ι23ξ</vt:lpstr>
      <vt:lpstr>241ι23π</vt:lpstr>
      <vt:lpstr>241ι23ρ</vt:lpstr>
      <vt:lpstr>241ι23τ</vt:lpstr>
      <vt:lpstr>241ι23υ</vt:lpstr>
      <vt:lpstr>241ι24β</vt:lpstr>
      <vt:lpstr>241ι24β1-2</vt:lpstr>
      <vt:lpstr>241ι24γ</vt:lpstr>
      <vt:lpstr>241ι24δ</vt:lpstr>
      <vt:lpstr>241ι24ζ</vt:lpstr>
      <vt:lpstr>241κ</vt:lpstr>
      <vt:lpstr>241λ</vt:lpstr>
      <vt:lpstr>242β</vt:lpstr>
      <vt:lpstr>242δ</vt:lpstr>
      <vt:lpstr>243</vt:lpstr>
      <vt:lpstr>244α1</vt:lpstr>
      <vt:lpstr>244β1</vt:lpstr>
      <vt:lpstr>244β2</vt:lpstr>
      <vt:lpstr>244β3</vt:lpstr>
      <vt:lpstr>244δ1</vt:lpstr>
      <vt:lpstr>244δ2</vt:lpstr>
      <vt:lpstr>244δ3</vt:lpstr>
      <vt:lpstr>244ζ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2022-05-25T08:36:57Z</cp:lastPrinted>
  <dcterms:created xsi:type="dcterms:W3CDTF">2019-08-29T15:23:37Z</dcterms:created>
  <dcterms:modified xsi:type="dcterms:W3CDTF">2024-03-11T20:42:18Z</dcterms:modified>
</cp:coreProperties>
</file>