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tabRatio="946"/>
  </bookViews>
  <sheets>
    <sheet name="λάθηΑΓΑΠΕ" sheetId="4" r:id="rId1"/>
    <sheet name="283α21" sheetId="46" r:id="rId2"/>
    <sheet name="283α23" sheetId="51" r:id="rId3"/>
    <sheet name="283α24-25" sheetId="54" r:id="rId4"/>
    <sheet name="283β" sheetId="80" r:id="rId5"/>
    <sheet name="283β-11" sheetId="55" r:id="rId6"/>
    <sheet name="283γ" sheetId="57" r:id="rId7"/>
    <sheet name="283δ" sheetId="48" r:id="rId8"/>
    <sheet name="283ε" sheetId="58" r:id="rId9"/>
    <sheet name="283ζ" sheetId="59" r:id="rId10"/>
    <sheet name="283η" sheetId="60" r:id="rId11"/>
    <sheet name="283θ" sheetId="61" r:id="rId12"/>
    <sheet name="283ι" sheetId="62" r:id="rId13"/>
    <sheet name="283κ" sheetId="63" r:id="rId14"/>
    <sheet name="283λ" sheetId="65" r:id="rId15"/>
    <sheet name="283μ" sheetId="66" r:id="rId16"/>
    <sheet name="283ν" sheetId="64" r:id="rId17"/>
    <sheet name="283ξ" sheetId="67" r:id="rId18"/>
    <sheet name="283ο" sheetId="68" r:id="rId19"/>
    <sheet name="283π" sheetId="69" r:id="rId20"/>
    <sheet name="283ρ" sheetId="70" r:id="rId21"/>
    <sheet name="283σ(11-12)β" sheetId="89" r:id="rId22"/>
    <sheet name="283σ(11-12)γ" sheetId="88" r:id="rId23"/>
    <sheet name="283σ(11-12)δ" sheetId="87" r:id="rId24"/>
    <sheet name="283σ(11-12)ζ" sheetId="86" r:id="rId25"/>
    <sheet name="283τ1" sheetId="85" r:id="rId26"/>
    <sheet name="283τ2" sheetId="84" r:id="rId27"/>
    <sheet name="283τ(3-4)" sheetId="83" r:id="rId28"/>
    <sheet name="283τ(5-6)" sheetId="82" r:id="rId29"/>
    <sheet name="283τ(7-8)" sheetId="81" r:id="rId30"/>
  </sheets>
  <calcPr calcId="125725"/>
</workbook>
</file>

<file path=xl/calcChain.xml><?xml version="1.0" encoding="utf-8"?>
<calcChain xmlns="http://schemas.openxmlformats.org/spreadsheetml/2006/main">
  <c r="AP11" i="88"/>
  <c r="AN45" i="87"/>
  <c r="AN26"/>
  <c r="AM26"/>
  <c r="AM25"/>
  <c r="AK25"/>
  <c r="AJ25"/>
  <c r="AI25"/>
  <c r="AH25"/>
  <c r="AG25"/>
  <c r="AE25"/>
  <c r="AD25"/>
  <c r="AN25"/>
  <c r="C24"/>
  <c r="D24"/>
  <c r="F24"/>
  <c r="G24"/>
  <c r="AM10"/>
  <c r="AM9"/>
  <c r="AU10" i="61"/>
  <c r="AU155"/>
  <c r="AV155"/>
  <c r="AV10" s="1"/>
  <c r="AT155"/>
  <c r="AT10" s="1"/>
  <c r="AB41" i="84"/>
  <c r="AP10" i="61"/>
  <c r="AP152"/>
  <c r="AQ152"/>
  <c r="AQ10" s="1"/>
  <c r="AR152"/>
  <c r="AR10" s="1"/>
  <c r="AA41" i="84" l="1"/>
  <c r="AL10" i="61"/>
  <c r="AM156"/>
  <c r="AM10" s="1"/>
  <c r="AN156"/>
  <c r="AN10" s="1"/>
  <c r="AL156"/>
  <c r="Z41" i="84" l="1"/>
  <c r="AM9" i="89"/>
  <c r="AI155" i="61"/>
  <c r="AI10" s="1"/>
  <c r="AJ155"/>
  <c r="AJ10" s="1"/>
  <c r="AH155"/>
  <c r="AH10" s="1"/>
  <c r="Y41" i="84" l="1"/>
  <c r="AE10" i="61"/>
  <c r="AF10"/>
  <c r="AD10"/>
  <c r="X41" i="84" l="1"/>
  <c r="W41" l="1"/>
  <c r="V41" l="1"/>
  <c r="S10" i="61"/>
  <c r="T10"/>
  <c r="R10"/>
  <c r="U41" i="84"/>
  <c r="O152" i="61"/>
  <c r="O10" s="1"/>
  <c r="P152"/>
  <c r="P10" s="1"/>
  <c r="N152"/>
  <c r="N10" s="1"/>
  <c r="D9" i="84"/>
  <c r="M9"/>
  <c r="T41"/>
  <c r="J10" i="61"/>
  <c r="K154"/>
  <c r="K10" s="1"/>
  <c r="L154"/>
  <c r="L10" s="1"/>
  <c r="J154"/>
  <c r="C9" i="84"/>
  <c r="S41"/>
  <c r="G10" i="61"/>
  <c r="H10"/>
  <c r="F10"/>
  <c r="M9" i="82" l="1"/>
  <c r="B9"/>
  <c r="S40"/>
  <c r="C9" s="1"/>
  <c r="T40"/>
  <c r="D9" s="1"/>
  <c r="U40"/>
  <c r="E9" s="1"/>
  <c r="V40"/>
  <c r="F9" s="1"/>
  <c r="W40"/>
  <c r="G9" s="1"/>
  <c r="X40"/>
  <c r="H9" s="1"/>
  <c r="Y40"/>
  <c r="I9" s="1"/>
  <c r="Z40"/>
  <c r="J9" s="1"/>
  <c r="AA40"/>
  <c r="K9" s="1"/>
  <c r="AB40"/>
  <c r="L9" s="1"/>
  <c r="AC40"/>
  <c r="R40"/>
  <c r="C9" i="83"/>
  <c r="D9"/>
  <c r="E9"/>
  <c r="F9"/>
  <c r="G9"/>
  <c r="H9"/>
  <c r="I9"/>
  <c r="J9"/>
  <c r="K9"/>
  <c r="L9"/>
  <c r="M9"/>
  <c r="B9"/>
  <c r="N36" i="84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35"/>
  <c r="N34"/>
  <c r="E9"/>
  <c r="F9"/>
  <c r="G9"/>
  <c r="H9"/>
  <c r="I9"/>
  <c r="J9"/>
  <c r="K9"/>
  <c r="L9"/>
  <c r="AC41"/>
  <c r="B9"/>
  <c r="R41"/>
  <c r="AJ36" i="89"/>
  <c r="AJ37"/>
  <c r="AJ38"/>
  <c r="AJ39"/>
  <c r="AJ40"/>
  <c r="AJ41"/>
  <c r="AJ42"/>
  <c r="AJ43"/>
  <c r="AJ44"/>
  <c r="AJ45"/>
  <c r="AJ35"/>
  <c r="AG36"/>
  <c r="AG37"/>
  <c r="AG38"/>
  <c r="AG39"/>
  <c r="AG40"/>
  <c r="AG41"/>
  <c r="AG42"/>
  <c r="AG43"/>
  <c r="AG44"/>
  <c r="AG45"/>
  <c r="AG35"/>
  <c r="AD45"/>
  <c r="AD36"/>
  <c r="AD37"/>
  <c r="AD38"/>
  <c r="AD39"/>
  <c r="AD40"/>
  <c r="AD41"/>
  <c r="AD42"/>
  <c r="AD43"/>
  <c r="AD44"/>
  <c r="AD35"/>
  <c r="AA36"/>
  <c r="AA37"/>
  <c r="AA38"/>
  <c r="AA39"/>
  <c r="AA40"/>
  <c r="AA41"/>
  <c r="AA42"/>
  <c r="AA43"/>
  <c r="AA44"/>
  <c r="AA45"/>
  <c r="AA35"/>
  <c r="X36"/>
  <c r="X37"/>
  <c r="X38"/>
  <c r="X39"/>
  <c r="X40"/>
  <c r="X41"/>
  <c r="X42"/>
  <c r="X43"/>
  <c r="X44"/>
  <c r="X45"/>
  <c r="X35"/>
  <c r="U36"/>
  <c r="U37"/>
  <c r="U38"/>
  <c r="U39"/>
  <c r="U40"/>
  <c r="U41"/>
  <c r="U42"/>
  <c r="U43"/>
  <c r="U44"/>
  <c r="U45"/>
  <c r="U35"/>
  <c r="R36"/>
  <c r="R37"/>
  <c r="R38"/>
  <c r="R39"/>
  <c r="R40"/>
  <c r="R41"/>
  <c r="R42"/>
  <c r="R43"/>
  <c r="R44"/>
  <c r="R45"/>
  <c r="R35"/>
  <c r="O36"/>
  <c r="O37"/>
  <c r="O38"/>
  <c r="O39"/>
  <c r="O40"/>
  <c r="O41"/>
  <c r="O42"/>
  <c r="O43"/>
  <c r="O44"/>
  <c r="O45"/>
  <c r="O35"/>
  <c r="L36"/>
  <c r="L37"/>
  <c r="L38"/>
  <c r="L39"/>
  <c r="L40"/>
  <c r="L41"/>
  <c r="L42"/>
  <c r="L43"/>
  <c r="L44"/>
  <c r="L45"/>
  <c r="L35"/>
  <c r="I36"/>
  <c r="I37"/>
  <c r="I38"/>
  <c r="I39"/>
  <c r="I40"/>
  <c r="I41"/>
  <c r="I42"/>
  <c r="I43"/>
  <c r="I44"/>
  <c r="I45"/>
  <c r="I35"/>
  <c r="F36"/>
  <c r="F37"/>
  <c r="F38"/>
  <c r="F39"/>
  <c r="F40"/>
  <c r="F41"/>
  <c r="F42"/>
  <c r="F43"/>
  <c r="F44"/>
  <c r="F45"/>
  <c r="F35"/>
  <c r="D35"/>
  <c r="C36"/>
  <c r="C37"/>
  <c r="C38"/>
  <c r="C39"/>
  <c r="C40"/>
  <c r="C41"/>
  <c r="C42"/>
  <c r="C43"/>
  <c r="C44"/>
  <c r="C45"/>
  <c r="C35"/>
  <c r="AK45"/>
  <c r="AH45"/>
  <c r="AE45"/>
  <c r="AB45"/>
  <c r="Y45"/>
  <c r="V45"/>
  <c r="S45"/>
  <c r="P45"/>
  <c r="M45"/>
  <c r="J45"/>
  <c r="G45"/>
  <c r="D45"/>
  <c r="AK44"/>
  <c r="AH44"/>
  <c r="AE44"/>
  <c r="AB44"/>
  <c r="Y44"/>
  <c r="V44"/>
  <c r="S44"/>
  <c r="P44"/>
  <c r="M44"/>
  <c r="J44"/>
  <c r="G44"/>
  <c r="D44"/>
  <c r="AK43"/>
  <c r="AH43"/>
  <c r="AE43"/>
  <c r="AB43"/>
  <c r="Y43"/>
  <c r="V43"/>
  <c r="S43"/>
  <c r="P43"/>
  <c r="M43"/>
  <c r="J43"/>
  <c r="G43"/>
  <c r="D43"/>
  <c r="AK42"/>
  <c r="AH42"/>
  <c r="AE42"/>
  <c r="AB42"/>
  <c r="Y42"/>
  <c r="V42"/>
  <c r="S42"/>
  <c r="P42"/>
  <c r="M42"/>
  <c r="J42"/>
  <c r="G42"/>
  <c r="D42"/>
  <c r="AK41"/>
  <c r="AH41"/>
  <c r="AE41"/>
  <c r="AB41"/>
  <c r="Y41"/>
  <c r="V41"/>
  <c r="S41"/>
  <c r="P41"/>
  <c r="M41"/>
  <c r="J41"/>
  <c r="G41"/>
  <c r="D41"/>
  <c r="AK40"/>
  <c r="AH40"/>
  <c r="AE40"/>
  <c r="AB40"/>
  <c r="Y40"/>
  <c r="V40"/>
  <c r="S40"/>
  <c r="P40"/>
  <c r="M40"/>
  <c r="J40"/>
  <c r="G40"/>
  <c r="D40"/>
  <c r="AK39"/>
  <c r="AH39"/>
  <c r="AE39"/>
  <c r="AB39"/>
  <c r="Y39"/>
  <c r="V39"/>
  <c r="S39"/>
  <c r="P39"/>
  <c r="M39"/>
  <c r="J39"/>
  <c r="G39"/>
  <c r="D39"/>
  <c r="AK38"/>
  <c r="AH38"/>
  <c r="AE38"/>
  <c r="AB38"/>
  <c r="Y38"/>
  <c r="V38"/>
  <c r="S38"/>
  <c r="P38"/>
  <c r="M38"/>
  <c r="J38"/>
  <c r="G38"/>
  <c r="D38"/>
  <c r="AK37"/>
  <c r="AH37"/>
  <c r="AE37"/>
  <c r="AB37"/>
  <c r="Y37"/>
  <c r="V37"/>
  <c r="S37"/>
  <c r="P37"/>
  <c r="M37"/>
  <c r="J37"/>
  <c r="G37"/>
  <c r="D37"/>
  <c r="AK36"/>
  <c r="AH36"/>
  <c r="AE36"/>
  <c r="AB36"/>
  <c r="Y36"/>
  <c r="V36"/>
  <c r="S36"/>
  <c r="P36"/>
  <c r="M36"/>
  <c r="J36"/>
  <c r="G36"/>
  <c r="D36"/>
  <c r="AK35"/>
  <c r="AH35"/>
  <c r="AE35"/>
  <c r="AB35"/>
  <c r="Y35"/>
  <c r="V35"/>
  <c r="S35"/>
  <c r="P35"/>
  <c r="M35"/>
  <c r="J35"/>
  <c r="G35"/>
  <c r="AL24" i="83"/>
  <c r="AL23"/>
  <c r="AL22"/>
  <c r="AL25" s="1"/>
  <c r="AY31" i="85"/>
  <c r="AY30"/>
  <c r="AY29"/>
  <c r="AW6" i="88"/>
  <c r="AW5"/>
  <c r="R18" i="81"/>
  <c r="R19"/>
  <c r="R20"/>
  <c r="R21"/>
  <c r="R22"/>
  <c r="R23"/>
  <c r="R24"/>
  <c r="R25"/>
  <c r="R26"/>
  <c r="R27"/>
  <c r="R17"/>
  <c r="Q18"/>
  <c r="Q19"/>
  <c r="Q20"/>
  <c r="Q21"/>
  <c r="Q22"/>
  <c r="Q23"/>
  <c r="Q24"/>
  <c r="Q25"/>
  <c r="Q26"/>
  <c r="Q27"/>
  <c r="Q17"/>
  <c r="R7" i="85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AK14" i="86"/>
  <c r="AK15"/>
  <c r="AK16"/>
  <c r="AK17"/>
  <c r="AK13"/>
  <c r="AI14"/>
  <c r="AI15"/>
  <c r="AI16"/>
  <c r="AI13"/>
  <c r="AH14"/>
  <c r="AH15"/>
  <c r="AH16"/>
  <c r="AH17"/>
  <c r="AH13"/>
  <c r="AF14"/>
  <c r="AF15"/>
  <c r="AF16"/>
  <c r="AF13"/>
  <c r="AE14"/>
  <c r="AE15"/>
  <c r="AE16"/>
  <c r="AE17"/>
  <c r="AE13"/>
  <c r="AC14"/>
  <c r="AC15"/>
  <c r="AC16"/>
  <c r="AC13"/>
  <c r="AB14"/>
  <c r="AB15"/>
  <c r="AB16"/>
  <c r="AB17"/>
  <c r="AB18"/>
  <c r="AB13"/>
  <c r="Z14"/>
  <c r="Z15"/>
  <c r="Z16"/>
  <c r="Z13"/>
  <c r="Y14"/>
  <c r="Y15"/>
  <c r="Y16"/>
  <c r="Y17"/>
  <c r="Y18"/>
  <c r="Y13"/>
  <c r="W14"/>
  <c r="W15"/>
  <c r="W16"/>
  <c r="W13"/>
  <c r="V15"/>
  <c r="V16"/>
  <c r="V17"/>
  <c r="V18"/>
  <c r="V14"/>
  <c r="T15"/>
  <c r="T16"/>
  <c r="T14"/>
  <c r="S15"/>
  <c r="S16"/>
  <c r="S17"/>
  <c r="S18"/>
  <c r="S14"/>
  <c r="Q15"/>
  <c r="Q16"/>
  <c r="Q14"/>
  <c r="P15"/>
  <c r="P16"/>
  <c r="P17"/>
  <c r="P18"/>
  <c r="P14"/>
  <c r="N15"/>
  <c r="N16"/>
  <c r="N14"/>
  <c r="M15"/>
  <c r="M16"/>
  <c r="M17"/>
  <c r="M18"/>
  <c r="M14"/>
  <c r="K15"/>
  <c r="K16"/>
  <c r="K14"/>
  <c r="J15"/>
  <c r="J16"/>
  <c r="J17"/>
  <c r="J18"/>
  <c r="J14"/>
  <c r="H15"/>
  <c r="H16"/>
  <c r="H14"/>
  <c r="G15"/>
  <c r="G16"/>
  <c r="G17"/>
  <c r="G18"/>
  <c r="G14"/>
  <c r="E15"/>
  <c r="E16"/>
  <c r="E14"/>
  <c r="D15"/>
  <c r="D16"/>
  <c r="D17"/>
  <c r="D18"/>
  <c r="D14"/>
  <c r="B15"/>
  <c r="B16"/>
  <c r="B14"/>
  <c r="AI29" i="89"/>
  <c r="AI30"/>
  <c r="AI31"/>
  <c r="AI28"/>
  <c r="AF29"/>
  <c r="AF30"/>
  <c r="AF31"/>
  <c r="AF28"/>
  <c r="AC29"/>
  <c r="AC30"/>
  <c r="AC31"/>
  <c r="AC28"/>
  <c r="Z29"/>
  <c r="Z30"/>
  <c r="Z31"/>
  <c r="Z28"/>
  <c r="W29"/>
  <c r="W30"/>
  <c r="W31"/>
  <c r="W28"/>
  <c r="T30"/>
  <c r="T31"/>
  <c r="T29"/>
  <c r="Q30"/>
  <c r="Q31"/>
  <c r="Q29"/>
  <c r="N30"/>
  <c r="N31"/>
  <c r="N29"/>
  <c r="K30"/>
  <c r="K31"/>
  <c r="K29"/>
  <c r="H30"/>
  <c r="H31"/>
  <c r="H29"/>
  <c r="E30"/>
  <c r="E31"/>
  <c r="E29"/>
  <c r="B30"/>
  <c r="B31"/>
  <c r="B29"/>
  <c r="B20" i="87"/>
  <c r="B21"/>
  <c r="B19"/>
  <c r="E20"/>
  <c r="E21"/>
  <c r="E19"/>
  <c r="H20"/>
  <c r="H21"/>
  <c r="H19"/>
  <c r="K20"/>
  <c r="K21"/>
  <c r="K19"/>
  <c r="N20"/>
  <c r="N21"/>
  <c r="N19"/>
  <c r="Q20"/>
  <c r="R20" s="1"/>
  <c r="Q21"/>
  <c r="R21" s="1"/>
  <c r="Q19"/>
  <c r="T20"/>
  <c r="T21"/>
  <c r="T19"/>
  <c r="AI19"/>
  <c r="AI20"/>
  <c r="AI21"/>
  <c r="AI18"/>
  <c r="AF19"/>
  <c r="AF20"/>
  <c r="AF21"/>
  <c r="AF18"/>
  <c r="AC19"/>
  <c r="AC20"/>
  <c r="AC21"/>
  <c r="AC18"/>
  <c r="Z19"/>
  <c r="Z20"/>
  <c r="Z21"/>
  <c r="Z18"/>
  <c r="W19"/>
  <c r="W20"/>
  <c r="W21"/>
  <c r="W18"/>
  <c r="D20"/>
  <c r="D21"/>
  <c r="D22"/>
  <c r="D23"/>
  <c r="D19"/>
  <c r="G20"/>
  <c r="G21"/>
  <c r="G22"/>
  <c r="G23"/>
  <c r="G19"/>
  <c r="J20"/>
  <c r="J21"/>
  <c r="J22"/>
  <c r="J23"/>
  <c r="J24"/>
  <c r="J19"/>
  <c r="M20"/>
  <c r="M21"/>
  <c r="M22"/>
  <c r="M23"/>
  <c r="M24"/>
  <c r="M19"/>
  <c r="P20"/>
  <c r="P21"/>
  <c r="P22"/>
  <c r="P23"/>
  <c r="P24"/>
  <c r="P19"/>
  <c r="S20"/>
  <c r="S21"/>
  <c r="S22"/>
  <c r="S23"/>
  <c r="S24"/>
  <c r="R22"/>
  <c r="AM22" s="1"/>
  <c r="R23"/>
  <c r="AM23" s="1"/>
  <c r="R24"/>
  <c r="S19"/>
  <c r="V20"/>
  <c r="V21"/>
  <c r="V22"/>
  <c r="V23"/>
  <c r="V24"/>
  <c r="V19"/>
  <c r="AK19"/>
  <c r="AK20"/>
  <c r="AK21"/>
  <c r="AK22"/>
  <c r="AK23"/>
  <c r="AK24"/>
  <c r="AK18"/>
  <c r="AH19"/>
  <c r="AH20"/>
  <c r="AH21"/>
  <c r="AH22"/>
  <c r="AH23"/>
  <c r="AH24"/>
  <c r="AH18"/>
  <c r="AE19"/>
  <c r="AE20"/>
  <c r="AE21"/>
  <c r="AE22"/>
  <c r="AE23"/>
  <c r="AE24"/>
  <c r="AE18"/>
  <c r="AB19"/>
  <c r="AB20"/>
  <c r="AB21"/>
  <c r="AB22"/>
  <c r="AB23"/>
  <c r="AB24"/>
  <c r="AB18"/>
  <c r="Y19"/>
  <c r="Y20"/>
  <c r="Y21"/>
  <c r="Y22"/>
  <c r="Y23"/>
  <c r="Y24"/>
  <c r="Y18"/>
  <c r="AN39"/>
  <c r="AN40"/>
  <c r="AN41"/>
  <c r="AN42"/>
  <c r="AM39"/>
  <c r="AM40"/>
  <c r="AM41"/>
  <c r="AM42"/>
  <c r="AL39"/>
  <c r="AL40"/>
  <c r="AL41"/>
  <c r="AL42"/>
  <c r="AN7"/>
  <c r="AN8"/>
  <c r="AM24"/>
  <c r="AM7"/>
  <c r="AM8"/>
  <c r="BF4" i="61"/>
  <c r="BF5"/>
  <c r="BF6"/>
  <c r="BF7"/>
  <c r="BF8"/>
  <c r="BF9"/>
  <c r="BF10"/>
  <c r="BF11"/>
  <c r="BF12"/>
  <c r="BF13"/>
  <c r="BF14"/>
  <c r="BF15"/>
  <c r="BF16"/>
  <c r="BF17"/>
  <c r="BE4"/>
  <c r="BE11"/>
  <c r="BE12"/>
  <c r="BE13"/>
  <c r="BE14"/>
  <c r="BE15"/>
  <c r="BE16"/>
  <c r="BE17"/>
  <c r="BE18"/>
  <c r="BE3"/>
  <c r="AC40" i="84"/>
  <c r="AU147" i="61"/>
  <c r="AU9" s="1"/>
  <c r="AV147"/>
  <c r="AV9" s="1"/>
  <c r="AT147"/>
  <c r="AT9" s="1"/>
  <c r="AN44" i="89" l="1"/>
  <c r="AM42"/>
  <c r="AM43"/>
  <c r="AM37"/>
  <c r="AM38"/>
  <c r="AM44"/>
  <c r="AM39"/>
  <c r="AM40"/>
  <c r="AM36"/>
  <c r="AM35"/>
  <c r="AM41"/>
  <c r="AN35"/>
  <c r="AN36"/>
  <c r="AN37"/>
  <c r="AN38"/>
  <c r="AN39"/>
  <c r="AN40"/>
  <c r="AN41"/>
  <c r="AN42"/>
  <c r="AN43"/>
  <c r="AM45"/>
  <c r="AN45"/>
  <c r="AY32" i="85"/>
  <c r="AN23" i="87"/>
  <c r="AN22"/>
  <c r="AN21"/>
  <c r="AN24"/>
  <c r="AN20"/>
  <c r="AB40" i="84"/>
  <c r="AC34" l="1"/>
  <c r="M2" s="1"/>
  <c r="AB34"/>
  <c r="L2" s="1"/>
  <c r="AA34"/>
  <c r="K2" s="1"/>
  <c r="J2"/>
  <c r="I2"/>
  <c r="Z34"/>
  <c r="Y34"/>
  <c r="AC35"/>
  <c r="M3" s="1"/>
  <c r="AB35"/>
  <c r="L3" s="1"/>
  <c r="AA35"/>
  <c r="Z35"/>
  <c r="J3" s="1"/>
  <c r="Y35"/>
  <c r="I3" s="1"/>
  <c r="X35"/>
  <c r="H3" s="1"/>
  <c r="W35"/>
  <c r="V35"/>
  <c r="F3" s="1"/>
  <c r="U35"/>
  <c r="T35"/>
  <c r="C3"/>
  <c r="D3"/>
  <c r="E3"/>
  <c r="G3"/>
  <c r="K3"/>
  <c r="B3"/>
  <c r="S35"/>
  <c r="R35"/>
  <c r="AB36"/>
  <c r="W36"/>
  <c r="O5"/>
  <c r="AC37"/>
  <c r="AB37"/>
  <c r="Z37"/>
  <c r="Y37"/>
  <c r="W37"/>
  <c r="V37"/>
  <c r="U37"/>
  <c r="T37"/>
  <c r="S37"/>
  <c r="R37"/>
  <c r="AB38"/>
  <c r="AA38"/>
  <c r="Y38"/>
  <c r="X38"/>
  <c r="W38"/>
  <c r="V38"/>
  <c r="U38"/>
  <c r="T38"/>
  <c r="S38"/>
  <c r="R38"/>
  <c r="AC39"/>
  <c r="AB39"/>
  <c r="AA39"/>
  <c r="Y39"/>
  <c r="W39"/>
  <c r="V39"/>
  <c r="T39"/>
  <c r="S39"/>
  <c r="R39"/>
  <c r="AA40"/>
  <c r="AM147" i="61"/>
  <c r="AM9" s="1"/>
  <c r="AN147"/>
  <c r="AN9" s="1"/>
  <c r="AL147"/>
  <c r="AL9" s="1"/>
  <c r="Z40" i="84" l="1"/>
  <c r="AA34" i="89"/>
  <c r="AI9" i="61"/>
  <c r="AJ9"/>
  <c r="AH9"/>
  <c r="Y40" i="84" l="1"/>
  <c r="X40" l="1"/>
  <c r="U34" i="89"/>
  <c r="W40" i="84" l="1"/>
  <c r="V40" l="1"/>
  <c r="S9" i="61"/>
  <c r="T9"/>
  <c r="R9"/>
  <c r="G9"/>
  <c r="H9"/>
  <c r="F9"/>
  <c r="U40" i="84" l="1"/>
  <c r="AL10" i="87"/>
  <c r="AJ24"/>
  <c r="AI24"/>
  <c r="AG24"/>
  <c r="AD24"/>
  <c r="AA24"/>
  <c r="X24"/>
  <c r="U24"/>
  <c r="O24"/>
  <c r="L24"/>
  <c r="I24"/>
  <c r="L34" i="89"/>
  <c r="O146" i="61"/>
  <c r="O9" s="1"/>
  <c r="P146"/>
  <c r="P9" s="1"/>
  <c r="N146"/>
  <c r="N9" s="1"/>
  <c r="T40" i="84" l="1"/>
  <c r="I34" i="89"/>
  <c r="C8" i="82" l="1"/>
  <c r="S40" i="84"/>
  <c r="B8" i="82" l="1"/>
  <c r="S39"/>
  <c r="T39"/>
  <c r="D8" s="1"/>
  <c r="U39"/>
  <c r="E8" s="1"/>
  <c r="V39"/>
  <c r="F8" s="1"/>
  <c r="W39"/>
  <c r="G8" s="1"/>
  <c r="X39"/>
  <c r="H8" s="1"/>
  <c r="Y39"/>
  <c r="I8" s="1"/>
  <c r="Z39"/>
  <c r="J8" s="1"/>
  <c r="AA39"/>
  <c r="K8" s="1"/>
  <c r="AB39"/>
  <c r="L8" s="1"/>
  <c r="AC39"/>
  <c r="M8" s="1"/>
  <c r="R39"/>
  <c r="C8" i="83"/>
  <c r="D8"/>
  <c r="E8"/>
  <c r="F8"/>
  <c r="G8"/>
  <c r="H8"/>
  <c r="I8"/>
  <c r="J8"/>
  <c r="K8"/>
  <c r="L8"/>
  <c r="M8"/>
  <c r="B8"/>
  <c r="D8" i="84"/>
  <c r="F8"/>
  <c r="G8"/>
  <c r="H8"/>
  <c r="I8"/>
  <c r="J8"/>
  <c r="K8"/>
  <c r="L8"/>
  <c r="M8"/>
  <c r="C8"/>
  <c r="E8"/>
  <c r="B8"/>
  <c r="R40"/>
  <c r="AK34" i="89"/>
  <c r="AJ34"/>
  <c r="AH34"/>
  <c r="AG34"/>
  <c r="AE34"/>
  <c r="AD34"/>
  <c r="AB34"/>
  <c r="Y34"/>
  <c r="X34"/>
  <c r="V34"/>
  <c r="S34"/>
  <c r="R34"/>
  <c r="P34"/>
  <c r="O34"/>
  <c r="M34"/>
  <c r="J34"/>
  <c r="G34"/>
  <c r="F34"/>
  <c r="D34"/>
  <c r="C34"/>
  <c r="AN8"/>
  <c r="AM8"/>
  <c r="AN34" l="1"/>
  <c r="AM34"/>
  <c r="AM7"/>
  <c r="R9" i="82" l="1"/>
  <c r="R10"/>
  <c r="R11"/>
  <c r="R12"/>
  <c r="R13"/>
  <c r="R14"/>
  <c r="R15"/>
  <c r="R16"/>
  <c r="R17"/>
  <c r="R18"/>
  <c r="R19"/>
  <c r="R20"/>
  <c r="R3"/>
  <c r="R4"/>
  <c r="R5"/>
  <c r="R6"/>
  <c r="R7"/>
  <c r="R8"/>
  <c r="R2"/>
  <c r="Q4"/>
  <c r="Q5"/>
  <c r="Q6"/>
  <c r="Q7"/>
  <c r="Q10"/>
  <c r="Q11"/>
  <c r="Q12"/>
  <c r="Q13"/>
  <c r="Q14"/>
  <c r="Q15"/>
  <c r="Q16"/>
  <c r="Q17"/>
  <c r="Q18"/>
  <c r="Q19"/>
  <c r="Q20"/>
  <c r="Q3"/>
  <c r="R3" i="8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"/>
  <c r="Q3"/>
  <c r="Q4"/>
  <c r="Q5"/>
  <c r="Q6"/>
  <c r="Q7"/>
  <c r="Q10"/>
  <c r="Q11"/>
  <c r="Q12"/>
  <c r="Q13"/>
  <c r="Q14"/>
  <c r="Q15"/>
  <c r="Q16"/>
  <c r="Q17"/>
  <c r="Q18"/>
  <c r="Q19"/>
  <c r="Q20"/>
  <c r="Q21"/>
  <c r="Q22"/>
  <c r="Q23"/>
  <c r="Q24"/>
  <c r="Q2"/>
  <c r="R7" i="84"/>
  <c r="R8"/>
  <c r="R9"/>
  <c r="R10"/>
  <c r="R11"/>
  <c r="R12"/>
  <c r="R13"/>
  <c r="R14"/>
  <c r="R15"/>
  <c r="R16"/>
  <c r="R17"/>
  <c r="R18"/>
  <c r="R19"/>
  <c r="R20"/>
  <c r="R21"/>
  <c r="R22"/>
  <c r="R23"/>
  <c r="R24"/>
  <c r="Q10"/>
  <c r="Q11"/>
  <c r="Q12"/>
  <c r="Q13"/>
  <c r="Q14"/>
  <c r="Q15"/>
  <c r="Q16"/>
  <c r="Q17"/>
  <c r="Q18"/>
  <c r="Q19"/>
  <c r="Q20"/>
  <c r="Q21"/>
  <c r="Q22"/>
  <c r="Q23"/>
  <c r="Q24"/>
  <c r="R3" l="1"/>
  <c r="R4"/>
  <c r="R5"/>
  <c r="R6"/>
  <c r="R2"/>
  <c r="Q5"/>
  <c r="R3" i="85"/>
  <c r="R4"/>
  <c r="R5"/>
  <c r="R6"/>
  <c r="R2"/>
  <c r="D15" i="88"/>
  <c r="G15"/>
  <c r="J16"/>
  <c r="J17"/>
  <c r="J18"/>
  <c r="J15"/>
  <c r="M15"/>
  <c r="P15"/>
  <c r="S16"/>
  <c r="S17"/>
  <c r="S18"/>
  <c r="S15"/>
  <c r="V16"/>
  <c r="V17"/>
  <c r="V18"/>
  <c r="V15"/>
  <c r="Y15"/>
  <c r="Y16"/>
  <c r="Y17"/>
  <c r="Y18"/>
  <c r="Y14"/>
  <c r="AB15"/>
  <c r="AB16"/>
  <c r="AB17"/>
  <c r="AB14"/>
  <c r="AE15"/>
  <c r="AE16"/>
  <c r="AE17"/>
  <c r="AE14"/>
  <c r="AH15"/>
  <c r="AH16"/>
  <c r="AH17"/>
  <c r="AH18"/>
  <c r="AH14"/>
  <c r="AK15"/>
  <c r="AK16"/>
  <c r="AK17"/>
  <c r="AK18"/>
  <c r="AK14"/>
  <c r="AN7" i="89"/>
  <c r="AK29"/>
  <c r="AK30"/>
  <c r="AK31"/>
  <c r="AK32"/>
  <c r="AK33"/>
  <c r="AK28"/>
  <c r="AH29"/>
  <c r="AH30"/>
  <c r="AH31"/>
  <c r="AH32"/>
  <c r="AH33"/>
  <c r="AH28"/>
  <c r="AE29"/>
  <c r="AE30"/>
  <c r="AE31"/>
  <c r="AE32"/>
  <c r="AE33"/>
  <c r="AE28"/>
  <c r="AB29"/>
  <c r="AB30"/>
  <c r="AB31"/>
  <c r="AB32"/>
  <c r="AB33"/>
  <c r="AB28"/>
  <c r="Y29"/>
  <c r="Y30"/>
  <c r="Y31"/>
  <c r="Y32"/>
  <c r="Y33"/>
  <c r="Y28"/>
  <c r="V30"/>
  <c r="V31"/>
  <c r="V32"/>
  <c r="V33"/>
  <c r="V29"/>
  <c r="S30"/>
  <c r="S31"/>
  <c r="S32"/>
  <c r="S33"/>
  <c r="S29"/>
  <c r="P30"/>
  <c r="P31"/>
  <c r="P32"/>
  <c r="P33"/>
  <c r="P29"/>
  <c r="M30"/>
  <c r="M31"/>
  <c r="M32"/>
  <c r="M33"/>
  <c r="M29"/>
  <c r="J30"/>
  <c r="J31"/>
  <c r="J32"/>
  <c r="J33"/>
  <c r="J29"/>
  <c r="G30"/>
  <c r="G31"/>
  <c r="G32"/>
  <c r="G33"/>
  <c r="G29"/>
  <c r="D30"/>
  <c r="D31"/>
  <c r="D32"/>
  <c r="D33"/>
  <c r="D29"/>
  <c r="BD19" i="61"/>
  <c r="BF18"/>
  <c r="BF3"/>
  <c r="AC44" i="83"/>
  <c r="AJ33" i="89"/>
  <c r="AV8" i="61"/>
  <c r="AQ134" l="1"/>
  <c r="AQ8" s="1"/>
  <c r="AR134"/>
  <c r="AR8" s="1"/>
  <c r="AP134"/>
  <c r="AP8" s="1"/>
  <c r="AB44" i="83"/>
  <c r="AG33" i="89"/>
  <c r="AA44" i="83"/>
  <c r="AD33" i="89"/>
  <c r="AM141" i="61"/>
  <c r="AM8" s="1"/>
  <c r="AN141"/>
  <c r="AN8" s="1"/>
  <c r="AL141"/>
  <c r="AL8" s="1"/>
  <c r="Z44" i="83"/>
  <c r="AI8" i="61"/>
  <c r="AJ8"/>
  <c r="AH8"/>
  <c r="Y44" i="83"/>
  <c r="X33" i="89"/>
  <c r="AE133" i="61"/>
  <c r="AE8" s="1"/>
  <c r="AF133"/>
  <c r="AF8" s="1"/>
  <c r="AD133"/>
  <c r="AD8" s="1"/>
  <c r="X44" i="83"/>
  <c r="AA8" i="61"/>
  <c r="AB8"/>
  <c r="Z8"/>
  <c r="W44" i="83"/>
  <c r="R33" i="89" l="1"/>
  <c r="W133" i="61"/>
  <c r="W8" s="1"/>
  <c r="X133"/>
  <c r="X8" s="1"/>
  <c r="V133"/>
  <c r="V8" s="1"/>
  <c r="V44" i="83"/>
  <c r="O33" i="89"/>
  <c r="S8" i="61"/>
  <c r="T8"/>
  <c r="R8"/>
  <c r="U44" i="83"/>
  <c r="AJ23" i="87"/>
  <c r="AG23"/>
  <c r="AD23"/>
  <c r="AA23"/>
  <c r="X23"/>
  <c r="U23"/>
  <c r="L23"/>
  <c r="N133" i="61"/>
  <c r="N8" s="1"/>
  <c r="O133"/>
  <c r="O8" s="1"/>
  <c r="P133"/>
  <c r="P8" s="1"/>
  <c r="T44" i="83"/>
  <c r="C17" i="86"/>
  <c r="F17"/>
  <c r="I17"/>
  <c r="K133" i="61"/>
  <c r="J133"/>
  <c r="C7" i="83"/>
  <c r="D7"/>
  <c r="E7"/>
  <c r="F7"/>
  <c r="G7"/>
  <c r="H7"/>
  <c r="I7"/>
  <c r="J7"/>
  <c r="K7"/>
  <c r="L7"/>
  <c r="M7"/>
  <c r="C7" i="84"/>
  <c r="E7"/>
  <c r="F7"/>
  <c r="G7"/>
  <c r="H7"/>
  <c r="B7"/>
  <c r="D7"/>
  <c r="U39"/>
  <c r="X39"/>
  <c r="I7"/>
  <c r="Z39"/>
  <c r="J7" s="1"/>
  <c r="K7"/>
  <c r="L7"/>
  <c r="M7"/>
  <c r="F33" i="89"/>
  <c r="Q2" i="82"/>
  <c r="C7"/>
  <c r="D7"/>
  <c r="F7"/>
  <c r="G7"/>
  <c r="S38"/>
  <c r="T38"/>
  <c r="U38"/>
  <c r="E7" s="1"/>
  <c r="V38"/>
  <c r="W38"/>
  <c r="X38"/>
  <c r="H7" s="1"/>
  <c r="Y38"/>
  <c r="I7" s="1"/>
  <c r="Z38"/>
  <c r="J7" s="1"/>
  <c r="AA38"/>
  <c r="K7" s="1"/>
  <c r="AB38"/>
  <c r="L7" s="1"/>
  <c r="AC38"/>
  <c r="M7" s="1"/>
  <c r="B7"/>
  <c r="R38"/>
  <c r="B7" i="83"/>
  <c r="B6" i="85"/>
  <c r="O52" i="87"/>
  <c r="L52"/>
  <c r="K49"/>
  <c r="E49"/>
  <c r="I23"/>
  <c r="F23"/>
  <c r="C23"/>
  <c r="C22"/>
  <c r="F22"/>
  <c r="I22"/>
  <c r="L22"/>
  <c r="O22"/>
  <c r="U22"/>
  <c r="X22"/>
  <c r="AA22"/>
  <c r="AD22"/>
  <c r="AG22"/>
  <c r="AJ22"/>
  <c r="C33" i="89"/>
  <c r="C32"/>
  <c r="F32"/>
  <c r="I32"/>
  <c r="L32"/>
  <c r="O32"/>
  <c r="R32"/>
  <c r="U32"/>
  <c r="X32"/>
  <c r="AD32"/>
  <c r="AG32"/>
  <c r="W17" i="88"/>
  <c r="H17"/>
  <c r="W16"/>
  <c r="T16"/>
  <c r="AI15"/>
  <c r="AF15"/>
  <c r="AC15"/>
  <c r="Z15"/>
  <c r="W15"/>
  <c r="T15"/>
  <c r="Q15"/>
  <c r="N15"/>
  <c r="K15"/>
  <c r="H15"/>
  <c r="F15"/>
  <c r="B15"/>
  <c r="AN33" i="89"/>
  <c r="AU7" i="88"/>
  <c r="AU6"/>
  <c r="AU5"/>
  <c r="AU6" i="89"/>
  <c r="AU5"/>
  <c r="AU4"/>
  <c r="AW4" s="1"/>
  <c r="AM33" l="1"/>
  <c r="AU8" i="88"/>
  <c r="AU7" i="89"/>
  <c r="P52" i="87" l="1"/>
  <c r="P41"/>
  <c r="M41"/>
  <c r="AM18" i="88"/>
  <c r="AL18"/>
  <c r="AJ32" i="89"/>
  <c r="AU127" i="61"/>
  <c r="AU7" s="1"/>
  <c r="AV127"/>
  <c r="AV7" s="1"/>
  <c r="AT127"/>
  <c r="AT7" s="1"/>
  <c r="AE7" l="1"/>
  <c r="AF7"/>
  <c r="AD7"/>
  <c r="AM7"/>
  <c r="AN7"/>
  <c r="AL7"/>
  <c r="AA32" i="89" l="1"/>
  <c r="AM32" s="1"/>
  <c r="H6" i="85" l="1"/>
  <c r="I6"/>
  <c r="J6"/>
  <c r="K6"/>
  <c r="L6"/>
  <c r="M6"/>
  <c r="AA128" i="61"/>
  <c r="AA7" s="1"/>
  <c r="AB128"/>
  <c r="AB7" s="1"/>
  <c r="Z128"/>
  <c r="Z7" s="1"/>
  <c r="G6" i="85" l="1"/>
  <c r="W127" i="61"/>
  <c r="W7" s="1"/>
  <c r="X127"/>
  <c r="X7" s="1"/>
  <c r="V127"/>
  <c r="V7" s="1"/>
  <c r="C6" i="83"/>
  <c r="D6"/>
  <c r="E6"/>
  <c r="F6"/>
  <c r="B6"/>
  <c r="S43"/>
  <c r="T43"/>
  <c r="U43"/>
  <c r="V43"/>
  <c r="W43"/>
  <c r="G6" s="1"/>
  <c r="X43"/>
  <c r="H6" s="1"/>
  <c r="Y43"/>
  <c r="I6" s="1"/>
  <c r="Z43"/>
  <c r="J6" s="1"/>
  <c r="AA43"/>
  <c r="K6" s="1"/>
  <c r="AB43"/>
  <c r="L6" s="1"/>
  <c r="AC43"/>
  <c r="M6" s="1"/>
  <c r="R43"/>
  <c r="R42" i="84"/>
  <c r="R43"/>
  <c r="R44"/>
  <c r="R45"/>
  <c r="R46"/>
  <c r="R47"/>
  <c r="R48"/>
  <c r="R49"/>
  <c r="D6"/>
  <c r="E6"/>
  <c r="F6"/>
  <c r="G6"/>
  <c r="H6"/>
  <c r="K6"/>
  <c r="I6"/>
  <c r="Z38"/>
  <c r="J6" s="1"/>
  <c r="L6"/>
  <c r="AC38"/>
  <c r="M6" s="1"/>
  <c r="F6" i="85"/>
  <c r="S7" i="61"/>
  <c r="T7"/>
  <c r="R7"/>
  <c r="D6" i="85" l="1"/>
  <c r="E6"/>
  <c r="O127" i="61"/>
  <c r="O7" s="1"/>
  <c r="P127"/>
  <c r="P7" s="1"/>
  <c r="N127"/>
  <c r="N7" s="1"/>
  <c r="M6" i="82" l="1"/>
  <c r="S37"/>
  <c r="C6" s="1"/>
  <c r="T37"/>
  <c r="D6" s="1"/>
  <c r="U37"/>
  <c r="E6" s="1"/>
  <c r="V37"/>
  <c r="F6" s="1"/>
  <c r="W37"/>
  <c r="G6" s="1"/>
  <c r="X37"/>
  <c r="H6" s="1"/>
  <c r="Y37"/>
  <c r="I6" s="1"/>
  <c r="Z37"/>
  <c r="J6" s="1"/>
  <c r="AA37"/>
  <c r="K6" s="1"/>
  <c r="AB37"/>
  <c r="L6" s="1"/>
  <c r="AC37"/>
  <c r="C6" i="84"/>
  <c r="C6" i="85"/>
  <c r="B6" i="82" l="1"/>
  <c r="R37"/>
  <c r="B6" i="84"/>
  <c r="O6" s="1"/>
  <c r="Q6" s="1"/>
  <c r="AC39" i="85" l="1"/>
  <c r="AN53" i="87"/>
  <c r="AC36" i="82"/>
  <c r="M5" s="1"/>
  <c r="B5"/>
  <c r="S36"/>
  <c r="C5" s="1"/>
  <c r="T36"/>
  <c r="D5" s="1"/>
  <c r="U36"/>
  <c r="E5" s="1"/>
  <c r="V36"/>
  <c r="F5" s="1"/>
  <c r="W36"/>
  <c r="G5" s="1"/>
  <c r="X36"/>
  <c r="H5" s="1"/>
  <c r="Y36"/>
  <c r="I5" s="1"/>
  <c r="Z36"/>
  <c r="J5" s="1"/>
  <c r="AA36"/>
  <c r="K5" s="1"/>
  <c r="AB36"/>
  <c r="L5" s="1"/>
  <c r="B5" i="83"/>
  <c r="S42"/>
  <c r="C5" s="1"/>
  <c r="T42"/>
  <c r="D5" s="1"/>
  <c r="U42"/>
  <c r="E5" s="1"/>
  <c r="V42"/>
  <c r="F5" s="1"/>
  <c r="W42"/>
  <c r="G5" s="1"/>
  <c r="X42"/>
  <c r="H5" s="1"/>
  <c r="Y42"/>
  <c r="I5" s="1"/>
  <c r="Z42"/>
  <c r="J5" s="1"/>
  <c r="AA42"/>
  <c r="K5" s="1"/>
  <c r="AB42"/>
  <c r="L5" s="1"/>
  <c r="AC42"/>
  <c r="M5" s="1"/>
  <c r="S39" i="85"/>
  <c r="T39"/>
  <c r="U39"/>
  <c r="V39"/>
  <c r="W39"/>
  <c r="X39"/>
  <c r="Y39"/>
  <c r="Z39"/>
  <c r="AA39"/>
  <c r="AB39"/>
  <c r="D5" i="84"/>
  <c r="E5"/>
  <c r="I5"/>
  <c r="C5"/>
  <c r="F5"/>
  <c r="G5"/>
  <c r="X37"/>
  <c r="H5" s="1"/>
  <c r="J5"/>
  <c r="AA37"/>
  <c r="K5" s="1"/>
  <c r="L5"/>
  <c r="M5"/>
  <c r="B5"/>
  <c r="AU117" i="61"/>
  <c r="AV117"/>
  <c r="AT117"/>
  <c r="AU115"/>
  <c r="AU116" s="1"/>
  <c r="AV115"/>
  <c r="AV116" s="1"/>
  <c r="AT115"/>
  <c r="AT116" s="1"/>
  <c r="AQ112"/>
  <c r="AQ6" s="1"/>
  <c r="AR112"/>
  <c r="AR6" s="1"/>
  <c r="AP112"/>
  <c r="AP6" s="1"/>
  <c r="W112"/>
  <c r="W6" s="1"/>
  <c r="X112"/>
  <c r="X6" s="1"/>
  <c r="V112"/>
  <c r="V6" s="1"/>
  <c r="O6"/>
  <c r="P6"/>
  <c r="N6"/>
  <c r="G120"/>
  <c r="G121" s="1"/>
  <c r="G122" s="1"/>
  <c r="G6" s="1"/>
  <c r="H120"/>
  <c r="H121" s="1"/>
  <c r="H122" s="1"/>
  <c r="H6" s="1"/>
  <c r="K113"/>
  <c r="K114" s="1"/>
  <c r="K115" s="1"/>
  <c r="K6" s="1"/>
  <c r="L113"/>
  <c r="L114" s="1"/>
  <c r="L115" s="1"/>
  <c r="L6" s="1"/>
  <c r="J113"/>
  <c r="J114" s="1"/>
  <c r="J115" s="1"/>
  <c r="J6" s="1"/>
  <c r="F120"/>
  <c r="F121" s="1"/>
  <c r="F122" s="1"/>
  <c r="F6" s="1"/>
  <c r="C6"/>
  <c r="D6"/>
  <c r="E6"/>
  <c r="B6"/>
  <c r="AV118" l="1"/>
  <c r="AV6" s="1"/>
  <c r="AT118"/>
  <c r="AT6" s="1"/>
  <c r="AU118"/>
  <c r="AU6" s="1"/>
  <c r="O25" i="83"/>
  <c r="AB37" i="87"/>
  <c r="AB48" s="1"/>
  <c r="K39"/>
  <c r="L39"/>
  <c r="M39"/>
  <c r="G39"/>
  <c r="G50" s="1"/>
  <c r="H39"/>
  <c r="I39"/>
  <c r="J39"/>
  <c r="J50" s="1"/>
  <c r="C39"/>
  <c r="D39"/>
  <c r="E39"/>
  <c r="F39"/>
  <c r="B39"/>
  <c r="AF38"/>
  <c r="AG38"/>
  <c r="AH38"/>
  <c r="AH49" s="1"/>
  <c r="AD38"/>
  <c r="AE38"/>
  <c r="AE49" s="1"/>
  <c r="AC38"/>
  <c r="L38"/>
  <c r="M38"/>
  <c r="M49" s="1"/>
  <c r="N38"/>
  <c r="O38"/>
  <c r="P38"/>
  <c r="P49" s="1"/>
  <c r="K38"/>
  <c r="F38"/>
  <c r="G38"/>
  <c r="G49" s="1"/>
  <c r="E38"/>
  <c r="AI37"/>
  <c r="AJ37"/>
  <c r="AK37"/>
  <c r="AK48" s="1"/>
  <c r="AF37"/>
  <c r="AG37"/>
  <c r="AH37"/>
  <c r="AH48" s="1"/>
  <c r="AC37"/>
  <c r="AD37"/>
  <c r="AE37"/>
  <c r="AE48" s="1"/>
  <c r="AA37"/>
  <c r="Z37"/>
  <c r="Z48" s="1"/>
  <c r="AA48" s="1"/>
  <c r="AC5" i="82"/>
  <c r="AD5"/>
  <c r="AE5"/>
  <c r="AC4"/>
  <c r="AD4"/>
  <c r="AE4"/>
  <c r="AC3"/>
  <c r="AD3"/>
  <c r="AE3"/>
  <c r="AQ102" i="61"/>
  <c r="AQ103" s="1"/>
  <c r="AR102"/>
  <c r="AR103" s="1"/>
  <c r="AS102"/>
  <c r="AS103" s="1"/>
  <c r="AP102"/>
  <c r="AP103" s="1"/>
  <c r="AM98"/>
  <c r="AN98"/>
  <c r="AO98"/>
  <c r="AL98"/>
  <c r="AG105"/>
  <c r="AG106" s="1"/>
  <c r="AF105"/>
  <c r="AF106" s="1"/>
  <c r="AE105"/>
  <c r="AE106" s="1"/>
  <c r="AD105"/>
  <c r="AD106" s="1"/>
  <c r="AC100"/>
  <c r="AC101" s="1"/>
  <c r="AB100"/>
  <c r="AB101" s="1"/>
  <c r="AA100"/>
  <c r="AA101" s="1"/>
  <c r="Z100"/>
  <c r="Z101" s="1"/>
  <c r="S99"/>
  <c r="S5" s="1"/>
  <c r="T99"/>
  <c r="T5" s="1"/>
  <c r="U99"/>
  <c r="U5" s="1"/>
  <c r="R99"/>
  <c r="R5" s="1"/>
  <c r="C4" i="84"/>
  <c r="D4"/>
  <c r="V4" s="1"/>
  <c r="K4"/>
  <c r="AC4" s="1"/>
  <c r="L4"/>
  <c r="AD4" s="1"/>
  <c r="B4"/>
  <c r="C4" i="83"/>
  <c r="W4" s="1"/>
  <c r="D4"/>
  <c r="X4" s="1"/>
  <c r="E4"/>
  <c r="F4"/>
  <c r="Z4" s="1"/>
  <c r="G4"/>
  <c r="AA4" s="1"/>
  <c r="H4"/>
  <c r="AB4" s="1"/>
  <c r="I4"/>
  <c r="AC4" s="1"/>
  <c r="K4"/>
  <c r="AE4" s="1"/>
  <c r="B4"/>
  <c r="C4" i="82"/>
  <c r="E4"/>
  <c r="W4" s="1"/>
  <c r="F4"/>
  <c r="G4"/>
  <c r="Y4" s="1"/>
  <c r="H4"/>
  <c r="Z4" s="1"/>
  <c r="I4"/>
  <c r="AA4" s="1"/>
  <c r="L4"/>
  <c r="S41" i="83"/>
  <c r="T41"/>
  <c r="U41"/>
  <c r="V41"/>
  <c r="W41"/>
  <c r="X41"/>
  <c r="Y41"/>
  <c r="Z41"/>
  <c r="J4" s="1"/>
  <c r="AD4" s="1"/>
  <c r="AA41"/>
  <c r="AB41"/>
  <c r="L4" s="1"/>
  <c r="AF4" s="1"/>
  <c r="AC41"/>
  <c r="M4" s="1"/>
  <c r="AG4" s="1"/>
  <c r="T36" i="84"/>
  <c r="U36"/>
  <c r="E4" s="1"/>
  <c r="W4" s="1"/>
  <c r="V36"/>
  <c r="F4" s="1"/>
  <c r="X4" s="1"/>
  <c r="G4"/>
  <c r="Y4" s="1"/>
  <c r="X36"/>
  <c r="H4" s="1"/>
  <c r="Z4" s="1"/>
  <c r="Y36"/>
  <c r="I4" s="1"/>
  <c r="AA4" s="1"/>
  <c r="Z36"/>
  <c r="J4" s="1"/>
  <c r="AB4" s="1"/>
  <c r="AA36"/>
  <c r="AC36"/>
  <c r="M4" s="1"/>
  <c r="AE4" s="1"/>
  <c r="S35" i="82"/>
  <c r="T35"/>
  <c r="D4" s="1"/>
  <c r="V4" s="1"/>
  <c r="U35"/>
  <c r="V35"/>
  <c r="W35"/>
  <c r="X35"/>
  <c r="Y35"/>
  <c r="Z35"/>
  <c r="J4" s="1"/>
  <c r="AB4" s="1"/>
  <c r="AA35"/>
  <c r="K4" s="1"/>
  <c r="AB35"/>
  <c r="AC35"/>
  <c r="M4" s="1"/>
  <c r="AS3" i="85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"/>
  <c r="U5"/>
  <c r="V5"/>
  <c r="W5"/>
  <c r="X5"/>
  <c r="Y5"/>
  <c r="Z5"/>
  <c r="AA5"/>
  <c r="AB5"/>
  <c r="AC5"/>
  <c r="AD5"/>
  <c r="AE5"/>
  <c r="U4"/>
  <c r="V4"/>
  <c r="W4"/>
  <c r="X4"/>
  <c r="Y4"/>
  <c r="Z4"/>
  <c r="AA4"/>
  <c r="AB4"/>
  <c r="AC4"/>
  <c r="AD4"/>
  <c r="AE4"/>
  <c r="U3"/>
  <c r="V3"/>
  <c r="W3"/>
  <c r="X3"/>
  <c r="Y3"/>
  <c r="Z3"/>
  <c r="AA3"/>
  <c r="AB3"/>
  <c r="AC3"/>
  <c r="AD3"/>
  <c r="AE3"/>
  <c r="T3"/>
  <c r="T4"/>
  <c r="T5"/>
  <c r="U2"/>
  <c r="V2"/>
  <c r="W2"/>
  <c r="X2"/>
  <c r="Y2"/>
  <c r="Z2"/>
  <c r="AA2"/>
  <c r="AB2"/>
  <c r="AC2"/>
  <c r="AD2"/>
  <c r="AE2"/>
  <c r="T2"/>
  <c r="AU37" i="61"/>
  <c r="AV37"/>
  <c r="AW37"/>
  <c r="AT37"/>
  <c r="AQ29"/>
  <c r="AR29"/>
  <c r="AS29"/>
  <c r="AP29"/>
  <c r="AQ94"/>
  <c r="AR94"/>
  <c r="AS94"/>
  <c r="AP94"/>
  <c r="AI86"/>
  <c r="AJ86"/>
  <c r="AK86"/>
  <c r="AH86"/>
  <c r="AE78"/>
  <c r="AF78"/>
  <c r="AG78"/>
  <c r="AD78"/>
  <c r="W61"/>
  <c r="X61"/>
  <c r="Y61"/>
  <c r="V61"/>
  <c r="O51"/>
  <c r="P51"/>
  <c r="Q51"/>
  <c r="N51"/>
  <c r="AE49"/>
  <c r="I47"/>
  <c r="H47"/>
  <c r="G47"/>
  <c r="F47"/>
  <c r="S34" i="82"/>
  <c r="T34"/>
  <c r="U34"/>
  <c r="V34"/>
  <c r="W34"/>
  <c r="X34"/>
  <c r="Y34"/>
  <c r="Z34"/>
  <c r="AA34"/>
  <c r="AB34"/>
  <c r="AC34"/>
  <c r="R34"/>
  <c r="R35"/>
  <c r="B4" s="1"/>
  <c r="T4" s="1"/>
  <c r="R36"/>
  <c r="R41"/>
  <c r="R42"/>
  <c r="R43"/>
  <c r="R44"/>
  <c r="R45"/>
  <c r="R46"/>
  <c r="R47"/>
  <c r="R48"/>
  <c r="R41" i="83"/>
  <c r="R42"/>
  <c r="R45"/>
  <c r="R46"/>
  <c r="R47"/>
  <c r="R48"/>
  <c r="R49"/>
  <c r="S40"/>
  <c r="T40"/>
  <c r="U40"/>
  <c r="V40"/>
  <c r="W40"/>
  <c r="X40"/>
  <c r="Y40"/>
  <c r="Z40"/>
  <c r="AA40"/>
  <c r="AB40"/>
  <c r="AC40"/>
  <c r="R36" i="84"/>
  <c r="C3" i="87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M52"/>
  <c r="AK51"/>
  <c r="AI51"/>
  <c r="AJ51" s="1"/>
  <c r="AH51"/>
  <c r="AF51"/>
  <c r="AG51" s="1"/>
  <c r="AE51"/>
  <c r="AD51"/>
  <c r="AC51"/>
  <c r="AB51"/>
  <c r="Z51"/>
  <c r="AA51" s="1"/>
  <c r="Y51"/>
  <c r="W51"/>
  <c r="X51" s="1"/>
  <c r="V51"/>
  <c r="T51"/>
  <c r="U51" s="1"/>
  <c r="S51"/>
  <c r="Q51"/>
  <c r="R51" s="1"/>
  <c r="P51"/>
  <c r="N51"/>
  <c r="O51" s="1"/>
  <c r="M51"/>
  <c r="K51"/>
  <c r="L51" s="1"/>
  <c r="J51"/>
  <c r="H51"/>
  <c r="I51" s="1"/>
  <c r="G51"/>
  <c r="E51"/>
  <c r="F51" s="1"/>
  <c r="D51"/>
  <c r="B51"/>
  <c r="C51" s="1"/>
  <c r="AK50"/>
  <c r="AI50"/>
  <c r="AJ50" s="1"/>
  <c r="AH50"/>
  <c r="AF50"/>
  <c r="AG50" s="1"/>
  <c r="AE50"/>
  <c r="AD50"/>
  <c r="AC50"/>
  <c r="AB50"/>
  <c r="AA50"/>
  <c r="Z50"/>
  <c r="Y50"/>
  <c r="W50"/>
  <c r="X50" s="1"/>
  <c r="V50"/>
  <c r="U50"/>
  <c r="T50"/>
  <c r="S50"/>
  <c r="Q50"/>
  <c r="R50" s="1"/>
  <c r="P50"/>
  <c r="N50"/>
  <c r="O50" s="1"/>
  <c r="M50"/>
  <c r="K50"/>
  <c r="L50" s="1"/>
  <c r="H50"/>
  <c r="I50" s="1"/>
  <c r="E50"/>
  <c r="F50" s="1"/>
  <c r="D50"/>
  <c r="AK49"/>
  <c r="AJ49"/>
  <c r="AI49"/>
  <c r="AF49"/>
  <c r="AG49" s="1"/>
  <c r="AC49"/>
  <c r="AD49" s="1"/>
  <c r="AB49"/>
  <c r="Z49"/>
  <c r="AA49" s="1"/>
  <c r="Y49"/>
  <c r="W49"/>
  <c r="X49" s="1"/>
  <c r="V49"/>
  <c r="T49"/>
  <c r="U49" s="1"/>
  <c r="S49"/>
  <c r="Q49"/>
  <c r="R49" s="1"/>
  <c r="N49"/>
  <c r="O49" s="1"/>
  <c r="L49"/>
  <c r="J49"/>
  <c r="H49"/>
  <c r="I49" s="1"/>
  <c r="D49"/>
  <c r="B49"/>
  <c r="C49" s="1"/>
  <c r="AI48"/>
  <c r="AJ48" s="1"/>
  <c r="AF48"/>
  <c r="AG48" s="1"/>
  <c r="AC48"/>
  <c r="AD48" s="1"/>
  <c r="Y48"/>
  <c r="W48"/>
  <c r="X48" s="1"/>
  <c r="AJ40"/>
  <c r="AG40"/>
  <c r="AD40"/>
  <c r="AA40"/>
  <c r="X40"/>
  <c r="U40"/>
  <c r="R40"/>
  <c r="O40"/>
  <c r="L40"/>
  <c r="I40"/>
  <c r="F40"/>
  <c r="C40"/>
  <c r="AJ39"/>
  <c r="AG39"/>
  <c r="AD39"/>
  <c r="AA39"/>
  <c r="X39"/>
  <c r="U39"/>
  <c r="R39"/>
  <c r="O39"/>
  <c r="AJ38"/>
  <c r="AA38"/>
  <c r="X38"/>
  <c r="U38"/>
  <c r="R38"/>
  <c r="AL37"/>
  <c r="X37"/>
  <c r="U2" i="82"/>
  <c r="V2"/>
  <c r="W2"/>
  <c r="X2"/>
  <c r="Y2"/>
  <c r="Z2"/>
  <c r="AA2"/>
  <c r="AB2"/>
  <c r="AC2"/>
  <c r="AD2"/>
  <c r="AE2"/>
  <c r="T3"/>
  <c r="T5"/>
  <c r="AC33"/>
  <c r="R39" i="83"/>
  <c r="Z39"/>
  <c r="AA39"/>
  <c r="AB39"/>
  <c r="AC39"/>
  <c r="R40"/>
  <c r="Y39"/>
  <c r="X39"/>
  <c r="W39"/>
  <c r="V39"/>
  <c r="U39"/>
  <c r="T39"/>
  <c r="S39"/>
  <c r="S36" i="84"/>
  <c r="T34"/>
  <c r="U34"/>
  <c r="V34"/>
  <c r="W34"/>
  <c r="X34"/>
  <c r="S34"/>
  <c r="S38" i="85"/>
  <c r="T38"/>
  <c r="U38"/>
  <c r="V38"/>
  <c r="W38"/>
  <c r="X38"/>
  <c r="Y38"/>
  <c r="Z38"/>
  <c r="AA38"/>
  <c r="AB38"/>
  <c r="AC38"/>
  <c r="S37"/>
  <c r="T37"/>
  <c r="U37"/>
  <c r="V37"/>
  <c r="W37"/>
  <c r="X37"/>
  <c r="Y37"/>
  <c r="Z37"/>
  <c r="AA37"/>
  <c r="AB37"/>
  <c r="AC37"/>
  <c r="R39"/>
  <c r="AB36"/>
  <c r="AC36"/>
  <c r="R37"/>
  <c r="R38"/>
  <c r="S36"/>
  <c r="T36"/>
  <c r="U36"/>
  <c r="V36"/>
  <c r="W36"/>
  <c r="X36"/>
  <c r="Y36"/>
  <c r="Z36"/>
  <c r="AA36"/>
  <c r="R36"/>
  <c r="S33" i="82"/>
  <c r="T33"/>
  <c r="U33"/>
  <c r="V33"/>
  <c r="W33"/>
  <c r="X33"/>
  <c r="Y33"/>
  <c r="Z33"/>
  <c r="AA33"/>
  <c r="AB33"/>
  <c r="R33"/>
  <c r="U5"/>
  <c r="V5"/>
  <c r="W5"/>
  <c r="X5"/>
  <c r="Y5"/>
  <c r="Z5"/>
  <c r="AA5"/>
  <c r="AB5"/>
  <c r="U4"/>
  <c r="X4"/>
  <c r="U3"/>
  <c r="V3"/>
  <c r="W3"/>
  <c r="X3"/>
  <c r="Y3"/>
  <c r="Z3"/>
  <c r="AA3"/>
  <c r="AB3"/>
  <c r="T2"/>
  <c r="AC5" i="84"/>
  <c r="AD5"/>
  <c r="AE5"/>
  <c r="AC3"/>
  <c r="AD3"/>
  <c r="AE3"/>
  <c r="U5"/>
  <c r="V5"/>
  <c r="W5"/>
  <c r="X5"/>
  <c r="Y5"/>
  <c r="Z5"/>
  <c r="AA5"/>
  <c r="AB5"/>
  <c r="U3"/>
  <c r="V3"/>
  <c r="W3"/>
  <c r="X3"/>
  <c r="Y3"/>
  <c r="Z3"/>
  <c r="AA3"/>
  <c r="AB3"/>
  <c r="U2"/>
  <c r="V2"/>
  <c r="W2"/>
  <c r="X2"/>
  <c r="Y2"/>
  <c r="Z2"/>
  <c r="AA2"/>
  <c r="AB2"/>
  <c r="AC2"/>
  <c r="AD2"/>
  <c r="AE2"/>
  <c r="T3"/>
  <c r="T4"/>
  <c r="T5"/>
  <c r="T2"/>
  <c r="W5" i="83"/>
  <c r="X5"/>
  <c r="Y5"/>
  <c r="Z5"/>
  <c r="AA5"/>
  <c r="AB5"/>
  <c r="AC5"/>
  <c r="AD5"/>
  <c r="AE5"/>
  <c r="AF5"/>
  <c r="AG5"/>
  <c r="Y4"/>
  <c r="W3"/>
  <c r="X3"/>
  <c r="Y3"/>
  <c r="Z3"/>
  <c r="AA3"/>
  <c r="AB3"/>
  <c r="AC3"/>
  <c r="AD3"/>
  <c r="AE3"/>
  <c r="AF3"/>
  <c r="AG3"/>
  <c r="V3"/>
  <c r="V4"/>
  <c r="V5"/>
  <c r="AG2"/>
  <c r="AD2"/>
  <c r="AE2"/>
  <c r="AF2"/>
  <c r="AB2"/>
  <c r="AC2"/>
  <c r="W2"/>
  <c r="X2"/>
  <c r="Y2"/>
  <c r="Z2"/>
  <c r="AA2"/>
  <c r="V2"/>
  <c r="AS28" i="4"/>
  <c r="AS47" s="1"/>
  <c r="AQ44"/>
  <c r="O25" i="85"/>
  <c r="Q25" s="1"/>
  <c r="AR44" i="4"/>
  <c r="AR45"/>
  <c r="AR46"/>
  <c r="AM47"/>
  <c r="AN47"/>
  <c r="AO47"/>
  <c r="AP47"/>
  <c r="AS53"/>
  <c r="AS52"/>
  <c r="AS51"/>
  <c r="AR40"/>
  <c r="AR41"/>
  <c r="AR6"/>
  <c r="AR9"/>
  <c r="AR13"/>
  <c r="AR17"/>
  <c r="AL32" i="89"/>
  <c r="AJ31"/>
  <c r="AG31"/>
  <c r="AD31"/>
  <c r="AA31"/>
  <c r="X31"/>
  <c r="U31"/>
  <c r="R31"/>
  <c r="O31"/>
  <c r="L31"/>
  <c r="I31"/>
  <c r="F31"/>
  <c r="AJ30"/>
  <c r="AG30"/>
  <c r="AD30"/>
  <c r="AA30"/>
  <c r="X30"/>
  <c r="U30"/>
  <c r="R30"/>
  <c r="O30"/>
  <c r="L30"/>
  <c r="I30"/>
  <c r="F30"/>
  <c r="AJ29"/>
  <c r="AG29"/>
  <c r="AD29"/>
  <c r="AA29"/>
  <c r="X29"/>
  <c r="U29"/>
  <c r="R29"/>
  <c r="O29"/>
  <c r="L29"/>
  <c r="I29"/>
  <c r="F29"/>
  <c r="AJ28"/>
  <c r="AG28"/>
  <c r="AD28"/>
  <c r="AA28"/>
  <c r="AN6"/>
  <c r="AN5"/>
  <c r="AL5"/>
  <c r="AJ5"/>
  <c r="AG5"/>
  <c r="AD5"/>
  <c r="AA5"/>
  <c r="X5"/>
  <c r="U5"/>
  <c r="R5"/>
  <c r="O5"/>
  <c r="L5"/>
  <c r="I5"/>
  <c r="F5"/>
  <c r="C5"/>
  <c r="C31" s="1"/>
  <c r="AN4"/>
  <c r="AL4"/>
  <c r="AJ4"/>
  <c r="AG4"/>
  <c r="AD4"/>
  <c r="AA4"/>
  <c r="X4"/>
  <c r="U4"/>
  <c r="R4"/>
  <c r="O4"/>
  <c r="L4"/>
  <c r="I4"/>
  <c r="F4"/>
  <c r="C4"/>
  <c r="C30" s="1"/>
  <c r="AN3"/>
  <c r="AL3"/>
  <c r="AJ3"/>
  <c r="AG3"/>
  <c r="AD3"/>
  <c r="AA3"/>
  <c r="X3"/>
  <c r="U3"/>
  <c r="R3"/>
  <c r="O3"/>
  <c r="L3"/>
  <c r="I3"/>
  <c r="F3"/>
  <c r="C3"/>
  <c r="C29" s="1"/>
  <c r="AN2"/>
  <c r="AN20" s="1"/>
  <c r="AL2"/>
  <c r="AJ2"/>
  <c r="AG2"/>
  <c r="AD2"/>
  <c r="AA2"/>
  <c r="X2"/>
  <c r="AM19" i="88"/>
  <c r="M18"/>
  <c r="L18"/>
  <c r="I18"/>
  <c r="G18"/>
  <c r="F18"/>
  <c r="D18"/>
  <c r="C18"/>
  <c r="AJ17"/>
  <c r="AI17"/>
  <c r="AF17"/>
  <c r="AG17" s="1"/>
  <c r="AC17"/>
  <c r="AD17" s="1"/>
  <c r="Z17"/>
  <c r="AA17" s="1"/>
  <c r="X17"/>
  <c r="T17"/>
  <c r="U17" s="1"/>
  <c r="Q17"/>
  <c r="R17" s="1"/>
  <c r="P17"/>
  <c r="O17"/>
  <c r="N17"/>
  <c r="M17"/>
  <c r="L17"/>
  <c r="K17"/>
  <c r="I17"/>
  <c r="G17"/>
  <c r="E17"/>
  <c r="F17" s="1"/>
  <c r="D17"/>
  <c r="B17"/>
  <c r="AI16"/>
  <c r="AJ16" s="1"/>
  <c r="AF16"/>
  <c r="AG16" s="1"/>
  <c r="AD16"/>
  <c r="AC16"/>
  <c r="AA16"/>
  <c r="Z16"/>
  <c r="X16"/>
  <c r="U16"/>
  <c r="R16"/>
  <c r="Q16"/>
  <c r="P16"/>
  <c r="N16"/>
  <c r="O16" s="1"/>
  <c r="M16"/>
  <c r="K16"/>
  <c r="L16" s="1"/>
  <c r="H16"/>
  <c r="I16" s="1"/>
  <c r="G16"/>
  <c r="F16"/>
  <c r="E16"/>
  <c r="D16"/>
  <c r="C16"/>
  <c r="B16"/>
  <c r="AJ15"/>
  <c r="AG15"/>
  <c r="AD15"/>
  <c r="AA15"/>
  <c r="X15"/>
  <c r="U15"/>
  <c r="R15"/>
  <c r="O15"/>
  <c r="L15"/>
  <c r="I15"/>
  <c r="E15"/>
  <c r="AJ14"/>
  <c r="AI14"/>
  <c r="AG14"/>
  <c r="AF14"/>
  <c r="AC14"/>
  <c r="AD14" s="1"/>
  <c r="Z14"/>
  <c r="AA14" s="1"/>
  <c r="X14"/>
  <c r="AM14" s="1"/>
  <c r="W14"/>
  <c r="AM7"/>
  <c r="AN6"/>
  <c r="AL6"/>
  <c r="L6"/>
  <c r="F6"/>
  <c r="C6"/>
  <c r="AN5"/>
  <c r="AL5"/>
  <c r="AJ5"/>
  <c r="AG5"/>
  <c r="AD5"/>
  <c r="AA5"/>
  <c r="X5"/>
  <c r="U5"/>
  <c r="R5"/>
  <c r="O5"/>
  <c r="L5"/>
  <c r="I5"/>
  <c r="F5"/>
  <c r="C5"/>
  <c r="AN4"/>
  <c r="AL4"/>
  <c r="AJ4"/>
  <c r="AG4"/>
  <c r="AD4"/>
  <c r="AA4"/>
  <c r="X4"/>
  <c r="U4"/>
  <c r="R4"/>
  <c r="O4"/>
  <c r="L4"/>
  <c r="I4"/>
  <c r="F4"/>
  <c r="C4"/>
  <c r="AN3"/>
  <c r="AL3"/>
  <c r="AJ3"/>
  <c r="AG3"/>
  <c r="AD3"/>
  <c r="AA3"/>
  <c r="X3"/>
  <c r="U3"/>
  <c r="R3"/>
  <c r="O3"/>
  <c r="L3"/>
  <c r="I3"/>
  <c r="F3"/>
  <c r="C3"/>
  <c r="AN2"/>
  <c r="AL2"/>
  <c r="AJ2"/>
  <c r="AG2"/>
  <c r="AD2"/>
  <c r="AA2"/>
  <c r="X2"/>
  <c r="AM2" s="1"/>
  <c r="AI23" i="87"/>
  <c r="O23"/>
  <c r="AJ21"/>
  <c r="AG21"/>
  <c r="AD21"/>
  <c r="AA21"/>
  <c r="X21"/>
  <c r="U21"/>
  <c r="O21"/>
  <c r="L21"/>
  <c r="I21"/>
  <c r="F21"/>
  <c r="AJ20"/>
  <c r="AG20"/>
  <c r="AD20"/>
  <c r="AA20"/>
  <c r="X20"/>
  <c r="U20"/>
  <c r="O20"/>
  <c r="L20"/>
  <c r="I20"/>
  <c r="F20"/>
  <c r="C20"/>
  <c r="AJ19"/>
  <c r="AG19"/>
  <c r="AD19"/>
  <c r="AA19"/>
  <c r="X19"/>
  <c r="U19"/>
  <c r="R19"/>
  <c r="O19"/>
  <c r="L19"/>
  <c r="I19"/>
  <c r="F19"/>
  <c r="C19"/>
  <c r="AJ18"/>
  <c r="AG18"/>
  <c r="AD18"/>
  <c r="AA18"/>
  <c r="AN6"/>
  <c r="AM6"/>
  <c r="AN5"/>
  <c r="AL5"/>
  <c r="AJ5"/>
  <c r="AG5"/>
  <c r="AD5"/>
  <c r="AA5"/>
  <c r="X5"/>
  <c r="U5"/>
  <c r="R5"/>
  <c r="O5"/>
  <c r="L5"/>
  <c r="I5"/>
  <c r="F5"/>
  <c r="C5"/>
  <c r="AN4"/>
  <c r="AL4"/>
  <c r="AJ4"/>
  <c r="AG4"/>
  <c r="AD4"/>
  <c r="AA4"/>
  <c r="X4"/>
  <c r="U4"/>
  <c r="R4"/>
  <c r="O4"/>
  <c r="L4"/>
  <c r="I4"/>
  <c r="F4"/>
  <c r="C4"/>
  <c r="AN3"/>
  <c r="AL3"/>
  <c r="AJ3"/>
  <c r="AG3"/>
  <c r="AD3"/>
  <c r="AA3"/>
  <c r="X3"/>
  <c r="U3"/>
  <c r="R3"/>
  <c r="O3"/>
  <c r="L3"/>
  <c r="I3"/>
  <c r="F3"/>
  <c r="AN2"/>
  <c r="AL2"/>
  <c r="AJ2"/>
  <c r="AG2"/>
  <c r="AD2"/>
  <c r="AA2"/>
  <c r="X2"/>
  <c r="AK18" i="86"/>
  <c r="AJ18"/>
  <c r="AI18"/>
  <c r="AH18"/>
  <c r="AG18"/>
  <c r="AE18"/>
  <c r="AD18"/>
  <c r="AA18"/>
  <c r="X18"/>
  <c r="U18"/>
  <c r="R18"/>
  <c r="O18"/>
  <c r="L18"/>
  <c r="I18"/>
  <c r="F18"/>
  <c r="C18"/>
  <c r="O17"/>
  <c r="L17"/>
  <c r="AJ16"/>
  <c r="AG16"/>
  <c r="AD16"/>
  <c r="AA16"/>
  <c r="X16"/>
  <c r="U16"/>
  <c r="R16"/>
  <c r="O16"/>
  <c r="L16"/>
  <c r="I16"/>
  <c r="F16"/>
  <c r="AJ15"/>
  <c r="AG15"/>
  <c r="AD15"/>
  <c r="AA15"/>
  <c r="X15"/>
  <c r="U15"/>
  <c r="R15"/>
  <c r="O15"/>
  <c r="L15"/>
  <c r="I15"/>
  <c r="F15"/>
  <c r="C15"/>
  <c r="AJ14"/>
  <c r="AG14"/>
  <c r="AD14"/>
  <c r="AA14"/>
  <c r="X14"/>
  <c r="U14"/>
  <c r="R14"/>
  <c r="O14"/>
  <c r="L14"/>
  <c r="I14"/>
  <c r="F14"/>
  <c r="C14"/>
  <c r="AJ13"/>
  <c r="AG13"/>
  <c r="AD13"/>
  <c r="X13"/>
  <c r="AM7"/>
  <c r="AN6"/>
  <c r="AN5"/>
  <c r="AL5"/>
  <c r="AJ5"/>
  <c r="AG5"/>
  <c r="AD5"/>
  <c r="AA5"/>
  <c r="X5"/>
  <c r="U5"/>
  <c r="R5"/>
  <c r="O5"/>
  <c r="L5"/>
  <c r="I5"/>
  <c r="F5"/>
  <c r="C5"/>
  <c r="AN4"/>
  <c r="AL4"/>
  <c r="AJ4"/>
  <c r="AG4"/>
  <c r="AD4"/>
  <c r="AA4"/>
  <c r="X4"/>
  <c r="U4"/>
  <c r="R4"/>
  <c r="O4"/>
  <c r="L4"/>
  <c r="I4"/>
  <c r="F4"/>
  <c r="C4"/>
  <c r="AN3"/>
  <c r="AL3"/>
  <c r="AJ3"/>
  <c r="AG3"/>
  <c r="AD3"/>
  <c r="AA3"/>
  <c r="X3"/>
  <c r="U3"/>
  <c r="R3"/>
  <c r="O3"/>
  <c r="L3"/>
  <c r="I3"/>
  <c r="F3"/>
  <c r="C3"/>
  <c r="AN2"/>
  <c r="AL2"/>
  <c r="AJ2"/>
  <c r="AG2"/>
  <c r="AD2"/>
  <c r="AA2"/>
  <c r="X2"/>
  <c r="R27" i="85"/>
  <c r="P28"/>
  <c r="O6"/>
  <c r="Q6" s="1"/>
  <c r="N58"/>
  <c r="N57"/>
  <c r="N56"/>
  <c r="N55"/>
  <c r="N54"/>
  <c r="N53"/>
  <c r="N52"/>
  <c r="N51"/>
  <c r="N50"/>
  <c r="N49"/>
  <c r="N48"/>
  <c r="N47"/>
  <c r="N46"/>
  <c r="N45"/>
  <c r="N44"/>
  <c r="N42"/>
  <c r="N40"/>
  <c r="N39"/>
  <c r="N38"/>
  <c r="N37"/>
  <c r="N36"/>
  <c r="O27"/>
  <c r="Q27" s="1"/>
  <c r="O24"/>
  <c r="Q24" s="1"/>
  <c r="O23"/>
  <c r="Q23" s="1"/>
  <c r="O22"/>
  <c r="Q22" s="1"/>
  <c r="O21"/>
  <c r="Q21" s="1"/>
  <c r="O20"/>
  <c r="Q20" s="1"/>
  <c r="O19"/>
  <c r="O18"/>
  <c r="O17"/>
  <c r="Q17" s="1"/>
  <c r="D16"/>
  <c r="O16" s="1"/>
  <c r="Q16" s="1"/>
  <c r="D15"/>
  <c r="O15" s="1"/>
  <c r="D14"/>
  <c r="O14" s="1"/>
  <c r="Q14" s="1"/>
  <c r="D13"/>
  <c r="O13" s="1"/>
  <c r="Q13" s="1"/>
  <c r="O12"/>
  <c r="Q12" s="1"/>
  <c r="D12"/>
  <c r="D11"/>
  <c r="O11" s="1"/>
  <c r="D10"/>
  <c r="O10" s="1"/>
  <c r="Q10" s="1"/>
  <c r="O9"/>
  <c r="Q9" s="1"/>
  <c r="O8"/>
  <c r="Q8" s="1"/>
  <c r="O7"/>
  <c r="Q7" s="1"/>
  <c r="N5"/>
  <c r="O5" s="1"/>
  <c r="Q5" s="1"/>
  <c r="N4"/>
  <c r="O4" s="1"/>
  <c r="Q4" s="1"/>
  <c r="N3"/>
  <c r="O3" s="1"/>
  <c r="Q3" s="1"/>
  <c r="N2"/>
  <c r="O2" s="1"/>
  <c r="Q2" s="1"/>
  <c r="R3" i="81"/>
  <c r="R4"/>
  <c r="R5"/>
  <c r="R6"/>
  <c r="R7"/>
  <c r="R8"/>
  <c r="R9"/>
  <c r="R10"/>
  <c r="R11"/>
  <c r="R12"/>
  <c r="R13"/>
  <c r="R14"/>
  <c r="R15"/>
  <c r="R16"/>
  <c r="R2"/>
  <c r="R21" i="82"/>
  <c r="R22"/>
  <c r="R23"/>
  <c r="R24"/>
  <c r="R25"/>
  <c r="R27" i="83"/>
  <c r="Q27" i="84"/>
  <c r="P28"/>
  <c r="R27"/>
  <c r="O24"/>
  <c r="O23"/>
  <c r="O22"/>
  <c r="O21"/>
  <c r="O20"/>
  <c r="O19"/>
  <c r="O18"/>
  <c r="O17"/>
  <c r="D16"/>
  <c r="O16" s="1"/>
  <c r="O15"/>
  <c r="D15"/>
  <c r="D14"/>
  <c r="O14" s="1"/>
  <c r="O13"/>
  <c r="D13"/>
  <c r="D12"/>
  <c r="O12" s="1"/>
  <c r="O11"/>
  <c r="D11"/>
  <c r="D10"/>
  <c r="O10" s="1"/>
  <c r="O9"/>
  <c r="Q9" s="1"/>
  <c r="O8"/>
  <c r="Q8" s="1"/>
  <c r="O7"/>
  <c r="Q7" s="1"/>
  <c r="N5"/>
  <c r="N3"/>
  <c r="O3" s="1"/>
  <c r="Q3" s="1"/>
  <c r="N2"/>
  <c r="O2" s="1"/>
  <c r="Q2" s="1"/>
  <c r="P28" i="83"/>
  <c r="Q27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O27"/>
  <c r="O24"/>
  <c r="O23"/>
  <c r="O22"/>
  <c r="O21"/>
  <c r="O20"/>
  <c r="O19"/>
  <c r="O18"/>
  <c r="O17"/>
  <c r="O16"/>
  <c r="O15"/>
  <c r="O14"/>
  <c r="O13"/>
  <c r="O12"/>
  <c r="O11"/>
  <c r="O10"/>
  <c r="O9"/>
  <c r="Q9" s="1"/>
  <c r="O8"/>
  <c r="Q8" s="1"/>
  <c r="O7"/>
  <c r="O6"/>
  <c r="N5"/>
  <c r="O5" s="1"/>
  <c r="N3"/>
  <c r="O3" s="1"/>
  <c r="N2"/>
  <c r="O2" s="1"/>
  <c r="Q22" i="82"/>
  <c r="Q23"/>
  <c r="Q25"/>
  <c r="P2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O25"/>
  <c r="O24"/>
  <c r="Q24" s="1"/>
  <c r="O23"/>
  <c r="O22"/>
  <c r="O21"/>
  <c r="Q21" s="1"/>
  <c r="O20"/>
  <c r="O19"/>
  <c r="O18"/>
  <c r="O17"/>
  <c r="O16"/>
  <c r="O15"/>
  <c r="O14"/>
  <c r="O13"/>
  <c r="O12"/>
  <c r="O11"/>
  <c r="O10"/>
  <c r="O9"/>
  <c r="Q9" s="1"/>
  <c r="O8"/>
  <c r="Q8" s="1"/>
  <c r="O7"/>
  <c r="O6"/>
  <c r="N5"/>
  <c r="O5" s="1"/>
  <c r="N3"/>
  <c r="O3" s="1"/>
  <c r="N2"/>
  <c r="O2" s="1"/>
  <c r="P28" i="81"/>
  <c r="Q4"/>
  <c r="Q9"/>
  <c r="Q13"/>
  <c r="O27"/>
  <c r="O24"/>
  <c r="AR43" i="4" s="1"/>
  <c r="O23" i="81"/>
  <c r="AR42" i="4" s="1"/>
  <c r="O22" i="81"/>
  <c r="O21"/>
  <c r="O20"/>
  <c r="O19"/>
  <c r="AR38" i="4" s="1"/>
  <c r="O18" i="81"/>
  <c r="AR37" i="4" s="1"/>
  <c r="O17" i="81"/>
  <c r="AR20" i="4" s="1"/>
  <c r="O16" i="81"/>
  <c r="AR19" i="4" s="1"/>
  <c r="O15" i="81"/>
  <c r="Q15" s="1"/>
  <c r="O14"/>
  <c r="Q14" s="1"/>
  <c r="O13"/>
  <c r="AR16" i="4" s="1"/>
  <c r="O12" i="81"/>
  <c r="AR15" i="4" s="1"/>
  <c r="O11" i="81"/>
  <c r="Q11" s="1"/>
  <c r="O10"/>
  <c r="Q10" s="1"/>
  <c r="O9"/>
  <c r="AR12" i="4" s="1"/>
  <c r="O8" i="81"/>
  <c r="AR11" i="4" s="1"/>
  <c r="O7" i="81"/>
  <c r="Q7" s="1"/>
  <c r="O6"/>
  <c r="Q6" s="1"/>
  <c r="N5"/>
  <c r="O5" s="1"/>
  <c r="N4"/>
  <c r="O4" s="1"/>
  <c r="AR7" i="4" s="1"/>
  <c r="O3" i="81"/>
  <c r="Q3" s="1"/>
  <c r="N3"/>
  <c r="N2"/>
  <c r="O2" s="1"/>
  <c r="J15" i="4"/>
  <c r="J16"/>
  <c r="J17"/>
  <c r="J18"/>
  <c r="J19"/>
  <c r="J20"/>
  <c r="J14"/>
  <c r="J6"/>
  <c r="J7"/>
  <c r="J8"/>
  <c r="J9"/>
  <c r="J5"/>
  <c r="I15"/>
  <c r="I16"/>
  <c r="I17"/>
  <c r="I18"/>
  <c r="I19"/>
  <c r="I20"/>
  <c r="I14"/>
  <c r="I6"/>
  <c r="I7"/>
  <c r="I8"/>
  <c r="I9"/>
  <c r="I5"/>
  <c r="H15"/>
  <c r="H16"/>
  <c r="H17"/>
  <c r="H18"/>
  <c r="H19"/>
  <c r="H20"/>
  <c r="H14"/>
  <c r="H6"/>
  <c r="H7"/>
  <c r="H8"/>
  <c r="H9"/>
  <c r="H5"/>
  <c r="L28" i="80"/>
  <c r="H28"/>
  <c r="P3" s="1"/>
  <c r="P19" s="1"/>
  <c r="G28"/>
  <c r="F28"/>
  <c r="X19"/>
  <c r="V19"/>
  <c r="T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O11"/>
  <c r="N11"/>
  <c r="P10"/>
  <c r="O10"/>
  <c r="N10"/>
  <c r="P9"/>
  <c r="O9"/>
  <c r="N9"/>
  <c r="P8"/>
  <c r="O8"/>
  <c r="N8"/>
  <c r="P7"/>
  <c r="O7"/>
  <c r="N7"/>
  <c r="P6"/>
  <c r="O6"/>
  <c r="N6"/>
  <c r="P5"/>
  <c r="O5"/>
  <c r="N5"/>
  <c r="P4"/>
  <c r="O4"/>
  <c r="N4"/>
  <c r="O3"/>
  <c r="O19" s="1"/>
  <c r="N3"/>
  <c r="N19" s="1"/>
  <c r="W30" i="55"/>
  <c r="X30"/>
  <c r="Y30"/>
  <c r="Z30"/>
  <c r="AA30"/>
  <c r="AB30"/>
  <c r="R30"/>
  <c r="S30"/>
  <c r="R29"/>
  <c r="S29"/>
  <c r="T29"/>
  <c r="U29"/>
  <c r="V29"/>
  <c r="W29"/>
  <c r="X29"/>
  <c r="Y29"/>
  <c r="Z29"/>
  <c r="AA29"/>
  <c r="AB29"/>
  <c r="R28"/>
  <c r="S28"/>
  <c r="T28"/>
  <c r="U28"/>
  <c r="V28"/>
  <c r="W28"/>
  <c r="X28"/>
  <c r="Y28"/>
  <c r="Z28"/>
  <c r="AA28"/>
  <c r="AB28"/>
  <c r="R27"/>
  <c r="S27"/>
  <c r="T27"/>
  <c r="U27"/>
  <c r="V27"/>
  <c r="W27"/>
  <c r="X27"/>
  <c r="Y27"/>
  <c r="Z27"/>
  <c r="AA27"/>
  <c r="AB27"/>
  <c r="Q30"/>
  <c r="AC30" s="1"/>
  <c r="Q29"/>
  <c r="Q28"/>
  <c r="Q27"/>
  <c r="Y26"/>
  <c r="Z26"/>
  <c r="AA26"/>
  <c r="AB26"/>
  <c r="X26"/>
  <c r="C32"/>
  <c r="D32"/>
  <c r="E32"/>
  <c r="F32"/>
  <c r="G32"/>
  <c r="H32"/>
  <c r="I32"/>
  <c r="J32"/>
  <c r="K32"/>
  <c r="L32"/>
  <c r="M32"/>
  <c r="N32"/>
  <c r="C31"/>
  <c r="D31"/>
  <c r="E31"/>
  <c r="F31"/>
  <c r="G31"/>
  <c r="H31"/>
  <c r="I31"/>
  <c r="J31"/>
  <c r="K31"/>
  <c r="L31"/>
  <c r="M31"/>
  <c r="N31"/>
  <c r="C30"/>
  <c r="D30"/>
  <c r="E30"/>
  <c r="F30"/>
  <c r="G30"/>
  <c r="H30"/>
  <c r="I30"/>
  <c r="J30"/>
  <c r="K30"/>
  <c r="L30"/>
  <c r="M30"/>
  <c r="N30"/>
  <c r="C29"/>
  <c r="D29"/>
  <c r="E29"/>
  <c r="F29"/>
  <c r="G29"/>
  <c r="H29"/>
  <c r="I29"/>
  <c r="J29"/>
  <c r="K29"/>
  <c r="L29"/>
  <c r="M29"/>
  <c r="N29"/>
  <c r="C28"/>
  <c r="D28"/>
  <c r="E28"/>
  <c r="F28"/>
  <c r="G28"/>
  <c r="H28"/>
  <c r="I28"/>
  <c r="J28"/>
  <c r="K28"/>
  <c r="L28"/>
  <c r="M28"/>
  <c r="N28"/>
  <c r="C27"/>
  <c r="D27"/>
  <c r="E27"/>
  <c r="F27"/>
  <c r="G27"/>
  <c r="H27"/>
  <c r="I27"/>
  <c r="J27"/>
  <c r="K27"/>
  <c r="L27"/>
  <c r="M27"/>
  <c r="N27"/>
  <c r="B41"/>
  <c r="B40"/>
  <c r="B39"/>
  <c r="B38"/>
  <c r="B37"/>
  <c r="B36"/>
  <c r="B35"/>
  <c r="B34"/>
  <c r="B33"/>
  <c r="B32"/>
  <c r="B31"/>
  <c r="B30"/>
  <c r="B29"/>
  <c r="B28"/>
  <c r="B27"/>
  <c r="J26"/>
  <c r="K26"/>
  <c r="L26"/>
  <c r="M26"/>
  <c r="N26"/>
  <c r="I26"/>
  <c r="AC28"/>
  <c r="AC26"/>
  <c r="O18"/>
  <c r="N17"/>
  <c r="N16"/>
  <c r="N15"/>
  <c r="N14"/>
  <c r="N13"/>
  <c r="N12"/>
  <c r="N11"/>
  <c r="N10"/>
  <c r="N9"/>
  <c r="N8"/>
  <c r="N7"/>
  <c r="AC6"/>
  <c r="N6"/>
  <c r="AC5"/>
  <c r="N5"/>
  <c r="AC4"/>
  <c r="N4"/>
  <c r="AC3"/>
  <c r="N3"/>
  <c r="AC2"/>
  <c r="N2"/>
  <c r="AM2" i="89" l="1"/>
  <c r="X28"/>
  <c r="AM28" s="1"/>
  <c r="AQ12" i="4"/>
  <c r="AQ15"/>
  <c r="AQ14"/>
  <c r="Q11" i="85"/>
  <c r="AQ18" i="4"/>
  <c r="Q15" i="85"/>
  <c r="AQ37" i="4"/>
  <c r="Q18" i="85"/>
  <c r="AQ40" i="4"/>
  <c r="AQ38"/>
  <c r="Q19" i="85"/>
  <c r="AQ20" i="4"/>
  <c r="AM20" i="87"/>
  <c r="AN10"/>
  <c r="AQ10" i="4"/>
  <c r="AN32" i="89"/>
  <c r="AN52" i="87"/>
  <c r="AQ9" i="4"/>
  <c r="AL16" i="86"/>
  <c r="AM5" i="89"/>
  <c r="AL17" i="88"/>
  <c r="AQ8" i="4"/>
  <c r="B50" i="87"/>
  <c r="C50" s="1"/>
  <c r="AM50" s="1"/>
  <c r="AL38"/>
  <c r="AL43" s="1"/>
  <c r="AN38"/>
  <c r="F49"/>
  <c r="AM49" s="1"/>
  <c r="AN37"/>
  <c r="AN16" i="88"/>
  <c r="AM3" i="87"/>
  <c r="N4" i="83"/>
  <c r="O4" s="1"/>
  <c r="N4" i="84"/>
  <c r="O4" s="1"/>
  <c r="Q4" s="1"/>
  <c r="U4"/>
  <c r="AM4" i="86"/>
  <c r="N4" i="82"/>
  <c r="O4" s="1"/>
  <c r="Q26" s="1"/>
  <c r="AL21" i="87"/>
  <c r="AL18"/>
  <c r="AM37"/>
  <c r="AN51"/>
  <c r="AL48"/>
  <c r="AN50"/>
  <c r="AM52"/>
  <c r="AL51"/>
  <c r="AL52"/>
  <c r="R26" i="82"/>
  <c r="AQ42" i="4"/>
  <c r="AQ39"/>
  <c r="R28" i="83"/>
  <c r="R28" i="84"/>
  <c r="AQ17" i="4"/>
  <c r="AQ43"/>
  <c r="AQ41"/>
  <c r="AQ19"/>
  <c r="AQ11"/>
  <c r="AQ16"/>
  <c r="AQ13"/>
  <c r="AN14" i="86"/>
  <c r="AN49" i="87"/>
  <c r="AN48"/>
  <c r="AN8" i="88"/>
  <c r="AN28" i="89"/>
  <c r="AM3" i="88"/>
  <c r="AL15"/>
  <c r="AM38" i="87"/>
  <c r="BF19" i="61"/>
  <c r="AL8" i="86"/>
  <c r="AQ6" i="4"/>
  <c r="AM48" i="87"/>
  <c r="AM51"/>
  <c r="AM53"/>
  <c r="AR8" i="4"/>
  <c r="Q5" i="81"/>
  <c r="O28"/>
  <c r="Q16"/>
  <c r="AR5" i="4"/>
  <c r="AR21" s="1"/>
  <c r="AR18"/>
  <c r="AR14"/>
  <c r="AR10"/>
  <c r="Q2" i="81"/>
  <c r="Q28" s="1"/>
  <c r="AR39" i="4"/>
  <c r="AR47" s="1"/>
  <c r="Q12" i="81"/>
  <c r="Q8"/>
  <c r="AQ5" i="4"/>
  <c r="AM15" i="86"/>
  <c r="AM6"/>
  <c r="AL13"/>
  <c r="AM14"/>
  <c r="AL15"/>
  <c r="AP10" i="4"/>
  <c r="AM2" i="86"/>
  <c r="AN13"/>
  <c r="AN15"/>
  <c r="C16"/>
  <c r="AM16" s="1"/>
  <c r="AM18"/>
  <c r="AN8"/>
  <c r="AM3"/>
  <c r="AM5"/>
  <c r="AL14"/>
  <c r="AN16"/>
  <c r="AM17"/>
  <c r="AM4" i="87"/>
  <c r="AN19"/>
  <c r="AL20"/>
  <c r="AN18"/>
  <c r="AM19"/>
  <c r="AM2"/>
  <c r="AM5"/>
  <c r="X18"/>
  <c r="AM18" s="1"/>
  <c r="C21"/>
  <c r="AM21" s="1"/>
  <c r="AM5" i="88"/>
  <c r="AM4"/>
  <c r="AL16"/>
  <c r="AN17"/>
  <c r="AL8"/>
  <c r="AM6"/>
  <c r="AN14"/>
  <c r="AN15"/>
  <c r="C17"/>
  <c r="AM17" s="1"/>
  <c r="AM31" i="89"/>
  <c r="AM3"/>
  <c r="AL28"/>
  <c r="AN29"/>
  <c r="AN30"/>
  <c r="AL31"/>
  <c r="AM6"/>
  <c r="AL29"/>
  <c r="AN31"/>
  <c r="AM4"/>
  <c r="AM29"/>
  <c r="AM30"/>
  <c r="AL30"/>
  <c r="AM16" i="88"/>
  <c r="AL14"/>
  <c r="AL20" s="1"/>
  <c r="C15"/>
  <c r="AM15" s="1"/>
  <c r="AL19" i="87"/>
  <c r="AA13" i="86"/>
  <c r="AM13" s="1"/>
  <c r="R28" i="85"/>
  <c r="O28"/>
  <c r="BA29" s="1"/>
  <c r="BA32" s="1"/>
  <c r="R28" i="81"/>
  <c r="AC29" i="55"/>
  <c r="AC27"/>
  <c r="O42"/>
  <c r="N42"/>
  <c r="N18"/>
  <c r="AM20" i="89" l="1"/>
  <c r="Q28" i="85"/>
  <c r="Q28" i="84"/>
  <c r="AM8" i="86"/>
  <c r="AP8" i="4"/>
  <c r="AN43" i="87"/>
  <c r="AL50"/>
  <c r="AL49"/>
  <c r="O26" i="82"/>
  <c r="O28" i="83"/>
  <c r="AN22" s="1"/>
  <c r="AN25" s="1"/>
  <c r="Q28"/>
  <c r="O28" i="84"/>
  <c r="AQ7" i="4"/>
  <c r="AM43" i="87"/>
  <c r="AN54"/>
  <c r="AQ47" i="4"/>
  <c r="AN19" i="86"/>
  <c r="AM8" i="88"/>
  <c r="AL19" i="86"/>
  <c r="AM54" i="87"/>
  <c r="AP5" i="4"/>
  <c r="AM19" i="86"/>
  <c r="AL26" i="87"/>
  <c r="AM20" i="88"/>
  <c r="AP7" i="4"/>
  <c r="AP9"/>
  <c r="AN20" i="88"/>
  <c r="AW7" i="89"/>
  <c r="AP6" i="4"/>
  <c r="Q16" i="59"/>
  <c r="Q17"/>
  <c r="Q18"/>
  <c r="S16"/>
  <c r="S17"/>
  <c r="S18"/>
  <c r="Q15"/>
  <c r="S15"/>
  <c r="Q12"/>
  <c r="Q13"/>
  <c r="Q14"/>
  <c r="Q11"/>
  <c r="S12"/>
  <c r="S13"/>
  <c r="S14"/>
  <c r="S11"/>
  <c r="AL54" i="87" l="1"/>
  <c r="V18" i="59"/>
  <c r="V17"/>
  <c r="V16"/>
  <c r="V15"/>
  <c r="V14"/>
  <c r="V13"/>
  <c r="V12"/>
  <c r="V11"/>
  <c r="V10"/>
  <c r="V9"/>
  <c r="V8"/>
  <c r="V7"/>
  <c r="V6"/>
  <c r="V5"/>
  <c r="V4"/>
  <c r="AG6" i="4"/>
  <c r="AG7"/>
  <c r="AG8"/>
  <c r="AG9"/>
  <c r="AG10"/>
  <c r="AG11"/>
  <c r="AG12"/>
  <c r="AG13"/>
  <c r="AG14"/>
  <c r="AG15"/>
  <c r="AG16"/>
  <c r="AG17"/>
  <c r="AG18"/>
  <c r="AG19"/>
  <c r="AG20"/>
  <c r="AG5"/>
  <c r="AF6"/>
  <c r="AF7"/>
  <c r="AF8"/>
  <c r="AF9"/>
  <c r="AF10"/>
  <c r="AF11"/>
  <c r="AF12"/>
  <c r="AF13"/>
  <c r="AF14"/>
  <c r="AF15"/>
  <c r="AF16"/>
  <c r="AF17"/>
  <c r="AF18"/>
  <c r="AF19"/>
  <c r="AF20"/>
  <c r="AF5"/>
  <c r="AO6"/>
  <c r="AO7"/>
  <c r="AO8"/>
  <c r="AO9"/>
  <c r="AO10"/>
  <c r="AO11"/>
  <c r="AO12"/>
  <c r="AO13"/>
  <c r="AO14"/>
  <c r="AO15"/>
  <c r="AO16"/>
  <c r="AO17"/>
  <c r="AO18"/>
  <c r="AO19"/>
  <c r="AO20"/>
  <c r="AO5"/>
  <c r="AN6"/>
  <c r="AN7"/>
  <c r="AN8"/>
  <c r="AN9"/>
  <c r="AN10"/>
  <c r="AN11"/>
  <c r="AN12"/>
  <c r="AN13"/>
  <c r="AN14"/>
  <c r="AN15"/>
  <c r="AN16"/>
  <c r="AN17"/>
  <c r="AN18"/>
  <c r="AN19"/>
  <c r="AN20"/>
  <c r="AN5"/>
  <c r="N3" i="51"/>
  <c r="Q3" i="63"/>
  <c r="AW8" i="88" l="1"/>
  <c r="AN21" i="4"/>
  <c r="AQ21"/>
  <c r="AO21"/>
  <c r="S17" i="70"/>
  <c r="S16"/>
  <c r="S15"/>
  <c r="T14"/>
  <c r="S14"/>
  <c r="O14"/>
  <c r="S13"/>
  <c r="S12"/>
  <c r="T11"/>
  <c r="S11"/>
  <c r="T10"/>
  <c r="S10"/>
  <c r="O10"/>
  <c r="S9"/>
  <c r="S8"/>
  <c r="S7"/>
  <c r="S6"/>
  <c r="S5"/>
  <c r="S4"/>
  <c r="S3"/>
  <c r="N2"/>
  <c r="T2" s="1"/>
  <c r="T3" s="1"/>
  <c r="S17" i="69"/>
  <c r="S16"/>
  <c r="S15"/>
  <c r="T14"/>
  <c r="S14"/>
  <c r="O14"/>
  <c r="S13"/>
  <c r="S12"/>
  <c r="T11"/>
  <c r="S11"/>
  <c r="T10"/>
  <c r="S10"/>
  <c r="O10"/>
  <c r="S9"/>
  <c r="S8"/>
  <c r="S7"/>
  <c r="S6"/>
  <c r="S5"/>
  <c r="S4"/>
  <c r="S3"/>
  <c r="N2"/>
  <c r="T2" s="1"/>
  <c r="T3" s="1"/>
  <c r="T14" i="68"/>
  <c r="T11"/>
  <c r="T10"/>
  <c r="M15"/>
  <c r="M16"/>
  <c r="M17"/>
  <c r="M14"/>
  <c r="M11"/>
  <c r="M12"/>
  <c r="M13"/>
  <c r="M10"/>
  <c r="S17"/>
  <c r="Q17" s="1"/>
  <c r="P17" s="1"/>
  <c r="Q15"/>
  <c r="Q14"/>
  <c r="Q13"/>
  <c r="P13" s="1"/>
  <c r="Q12"/>
  <c r="P12" s="1"/>
  <c r="Q11"/>
  <c r="P11" s="1"/>
  <c r="P14"/>
  <c r="P10"/>
  <c r="O14"/>
  <c r="O10"/>
  <c r="Q10"/>
  <c r="Q9"/>
  <c r="Q8"/>
  <c r="M8" s="1"/>
  <c r="Q7"/>
  <c r="M7" s="1"/>
  <c r="M4"/>
  <c r="M5"/>
  <c r="M6"/>
  <c r="M9"/>
  <c r="M3"/>
  <c r="Q6"/>
  <c r="Q5"/>
  <c r="Q4"/>
  <c r="Q3"/>
  <c r="S8"/>
  <c r="S9"/>
  <c r="S10"/>
  <c r="S11"/>
  <c r="S12"/>
  <c r="S13"/>
  <c r="S14"/>
  <c r="S15"/>
  <c r="S16"/>
  <c r="Q16" s="1"/>
  <c r="P16" s="1"/>
  <c r="S4"/>
  <c r="S5"/>
  <c r="S6"/>
  <c r="S7"/>
  <c r="S3"/>
  <c r="Q2" i="70" l="1"/>
  <c r="Q17" s="1"/>
  <c r="P17" s="1"/>
  <c r="M17" s="1"/>
  <c r="N17" s="1"/>
  <c r="Q2" i="69"/>
  <c r="Q9" s="1"/>
  <c r="M9" s="1"/>
  <c r="N9" s="1"/>
  <c r="Q6"/>
  <c r="M6" s="1"/>
  <c r="N6" s="1"/>
  <c r="Q8"/>
  <c r="M8" s="1"/>
  <c r="N8" s="1"/>
  <c r="Q11"/>
  <c r="P11" s="1"/>
  <c r="M11" s="1"/>
  <c r="N11" s="1"/>
  <c r="Q13"/>
  <c r="P13" s="1"/>
  <c r="M13" s="1"/>
  <c r="N13" s="1"/>
  <c r="Q12"/>
  <c r="P12" s="1"/>
  <c r="M12" s="1"/>
  <c r="N12" s="1"/>
  <c r="Q17"/>
  <c r="P17" s="1"/>
  <c r="M17" s="1"/>
  <c r="N17" s="1"/>
  <c r="N17" i="68"/>
  <c r="AM20" i="4" s="1"/>
  <c r="N16" i="68"/>
  <c r="AM19" i="4" s="1"/>
  <c r="P15" i="68"/>
  <c r="N13"/>
  <c r="AM16" i="4" s="1"/>
  <c r="N12" i="68"/>
  <c r="AM15" i="4" s="1"/>
  <c r="N30" i="51"/>
  <c r="N15" i="68"/>
  <c r="AM18" i="4" s="1"/>
  <c r="N14" i="68"/>
  <c r="AM17" i="4" s="1"/>
  <c r="N11" i="68"/>
  <c r="AM14" i="4" s="1"/>
  <c r="N10" i="68"/>
  <c r="AM13" i="4" s="1"/>
  <c r="N9" i="68"/>
  <c r="AM12" i="4" s="1"/>
  <c r="N8" i="68"/>
  <c r="AM11" i="4" s="1"/>
  <c r="N7" i="68"/>
  <c r="AM10" i="4" s="1"/>
  <c r="N6" i="68"/>
  <c r="AM9" i="4" s="1"/>
  <c r="N5" i="68"/>
  <c r="AM8" i="4" s="1"/>
  <c r="N4" i="68"/>
  <c r="AM7" i="4" s="1"/>
  <c r="N3" i="68"/>
  <c r="AM6" i="4" s="1"/>
  <c r="N2" i="68"/>
  <c r="AE6" i="4"/>
  <c r="AE7"/>
  <c r="AE8"/>
  <c r="AE9"/>
  <c r="AE10"/>
  <c r="AE11"/>
  <c r="AE12"/>
  <c r="AE13"/>
  <c r="AE14"/>
  <c r="AE15"/>
  <c r="AE16"/>
  <c r="AE17"/>
  <c r="AE18"/>
  <c r="AE19"/>
  <c r="AE20"/>
  <c r="AD6"/>
  <c r="AD7"/>
  <c r="AD8"/>
  <c r="AD9"/>
  <c r="AD10"/>
  <c r="AD11"/>
  <c r="AD12"/>
  <c r="AD13"/>
  <c r="AD14"/>
  <c r="AD15"/>
  <c r="AD16"/>
  <c r="AD17"/>
  <c r="AD18"/>
  <c r="AD19"/>
  <c r="AD20"/>
  <c r="AC6"/>
  <c r="AC7"/>
  <c r="AC8"/>
  <c r="AC9"/>
  <c r="AC10"/>
  <c r="AC11"/>
  <c r="AC12"/>
  <c r="AC13"/>
  <c r="AC14"/>
  <c r="AC15"/>
  <c r="AC16"/>
  <c r="AC17"/>
  <c r="AC18"/>
  <c r="AC19"/>
  <c r="AC20"/>
  <c r="O3" i="63"/>
  <c r="AD5" i="4" s="1"/>
  <c r="S42" i="63"/>
  <c r="Z29"/>
  <c r="Z30" s="1"/>
  <c r="O45"/>
  <c r="Q45" s="1"/>
  <c r="O46"/>
  <c r="P46" s="1"/>
  <c r="O48"/>
  <c r="P48" s="1"/>
  <c r="O49"/>
  <c r="Q49" s="1"/>
  <c r="O50"/>
  <c r="Q50" s="1"/>
  <c r="O51"/>
  <c r="P51" s="1"/>
  <c r="O52"/>
  <c r="P52" s="1"/>
  <c r="O53"/>
  <c r="Q53" s="1"/>
  <c r="O54"/>
  <c r="Q54" s="1"/>
  <c r="Q52"/>
  <c r="V28"/>
  <c r="U29" i="62"/>
  <c r="M26" i="59"/>
  <c r="AP21" i="4" l="1"/>
  <c r="Q11" i="70"/>
  <c r="P11" s="1"/>
  <c r="M11" s="1"/>
  <c r="N11" s="1"/>
  <c r="Q16"/>
  <c r="P16" s="1"/>
  <c r="M16" s="1"/>
  <c r="N16" s="1"/>
  <c r="Q6"/>
  <c r="M6" s="1"/>
  <c r="N6" s="1"/>
  <c r="Q9"/>
  <c r="M9" s="1"/>
  <c r="N9" s="1"/>
  <c r="Q7"/>
  <c r="M7" s="1"/>
  <c r="N7" s="1"/>
  <c r="Q5"/>
  <c r="M5" s="1"/>
  <c r="N5" s="1"/>
  <c r="Q8"/>
  <c r="M8" s="1"/>
  <c r="N8" s="1"/>
  <c r="Q4"/>
  <c r="M4" s="1"/>
  <c r="N4" s="1"/>
  <c r="Q3"/>
  <c r="M3" s="1"/>
  <c r="N3" s="1"/>
  <c r="Q10"/>
  <c r="P10" s="1"/>
  <c r="M10" s="1"/>
  <c r="N10" s="1"/>
  <c r="Q13"/>
  <c r="P13" s="1"/>
  <c r="M13" s="1"/>
  <c r="N13" s="1"/>
  <c r="Q14"/>
  <c r="P14" s="1"/>
  <c r="M14" s="1"/>
  <c r="N14" s="1"/>
  <c r="Q15"/>
  <c r="P15" s="1"/>
  <c r="M15" s="1"/>
  <c r="N15" s="1"/>
  <c r="Q12"/>
  <c r="P12" s="1"/>
  <c r="M12" s="1"/>
  <c r="N12" s="1"/>
  <c r="Q14" i="69"/>
  <c r="P14" s="1"/>
  <c r="M14" s="1"/>
  <c r="N14" s="1"/>
  <c r="Q5"/>
  <c r="M5" s="1"/>
  <c r="N5" s="1"/>
  <c r="Q16"/>
  <c r="P16" s="1"/>
  <c r="M16" s="1"/>
  <c r="N16" s="1"/>
  <c r="Q10"/>
  <c r="P10" s="1"/>
  <c r="M10" s="1"/>
  <c r="N10" s="1"/>
  <c r="Q15"/>
  <c r="P15" s="1"/>
  <c r="M15" s="1"/>
  <c r="N15" s="1"/>
  <c r="Q7"/>
  <c r="M7" s="1"/>
  <c r="N7" s="1"/>
  <c r="Q3"/>
  <c r="M3" s="1"/>
  <c r="N3" s="1"/>
  <c r="Q4"/>
  <c r="M4" s="1"/>
  <c r="N4" s="1"/>
  <c r="N18" s="1"/>
  <c r="AM5" i="4"/>
  <c r="AM21" s="1"/>
  <c r="Q2" i="68"/>
  <c r="T2"/>
  <c r="R48" i="63"/>
  <c r="R52"/>
  <c r="Q48"/>
  <c r="P49"/>
  <c r="P54"/>
  <c r="R54" s="1"/>
  <c r="Q51"/>
  <c r="P53"/>
  <c r="R53" s="1"/>
  <c r="P50"/>
  <c r="P45"/>
  <c r="R45" s="1"/>
  <c r="P3"/>
  <c r="AE5" i="4" s="1"/>
  <c r="N3" i="63"/>
  <c r="AC5" i="4" s="1"/>
  <c r="Q46" i="63"/>
  <c r="R46" s="1"/>
  <c r="N18" i="68"/>
  <c r="R49" i="63"/>
  <c r="R50"/>
  <c r="R51"/>
  <c r="AB43" i="4"/>
  <c r="U43"/>
  <c r="R43"/>
  <c r="J43"/>
  <c r="O37"/>
  <c r="N37"/>
  <c r="M37"/>
  <c r="L37"/>
  <c r="K37"/>
  <c r="G37"/>
  <c r="F37"/>
  <c r="E37"/>
  <c r="D37"/>
  <c r="C37"/>
  <c r="B37"/>
  <c r="AS37" l="1"/>
  <c r="N18" i="70"/>
  <c r="T3" i="68"/>
  <c r="AB47" i="4"/>
  <c r="AA47"/>
  <c r="Z47"/>
  <c r="U47"/>
  <c r="T47"/>
  <c r="AL43"/>
  <c r="AK43"/>
  <c r="AJ43"/>
  <c r="AL42"/>
  <c r="AK42"/>
  <c r="AJ42"/>
  <c r="AL41"/>
  <c r="AK41"/>
  <c r="AJ41"/>
  <c r="AL40"/>
  <c r="AK40"/>
  <c r="AJ40"/>
  <c r="AL39"/>
  <c r="AK39"/>
  <c r="AJ39"/>
  <c r="AI39"/>
  <c r="AH39"/>
  <c r="AL38"/>
  <c r="AK38"/>
  <c r="AJ38"/>
  <c r="AI38"/>
  <c r="AH38"/>
  <c r="AL36"/>
  <c r="AK36"/>
  <c r="AJ36"/>
  <c r="AI36"/>
  <c r="AH36"/>
  <c r="AG43"/>
  <c r="AF43"/>
  <c r="AE43"/>
  <c r="AG42"/>
  <c r="AF42"/>
  <c r="AE42"/>
  <c r="AG41"/>
  <c r="AF41"/>
  <c r="AE41"/>
  <c r="AG40"/>
  <c r="AF40"/>
  <c r="AE40"/>
  <c r="AG39"/>
  <c r="AF39"/>
  <c r="AE39"/>
  <c r="AD39"/>
  <c r="AG38"/>
  <c r="AF38"/>
  <c r="AE38"/>
  <c r="AD38"/>
  <c r="AG36"/>
  <c r="AF36"/>
  <c r="AE36"/>
  <c r="AD36"/>
  <c r="AD47" s="1"/>
  <c r="Y43"/>
  <c r="Y42"/>
  <c r="Y41"/>
  <c r="Y40"/>
  <c r="AC39"/>
  <c r="Y39"/>
  <c r="AC38"/>
  <c r="Y38"/>
  <c r="AC36"/>
  <c r="Y36"/>
  <c r="X43"/>
  <c r="W43"/>
  <c r="V43"/>
  <c r="X42"/>
  <c r="W42"/>
  <c r="V42"/>
  <c r="X41"/>
  <c r="W41"/>
  <c r="V41"/>
  <c r="X40"/>
  <c r="W40"/>
  <c r="V40"/>
  <c r="X39"/>
  <c r="W39"/>
  <c r="V39"/>
  <c r="X38"/>
  <c r="W38"/>
  <c r="V38"/>
  <c r="X36"/>
  <c r="W36"/>
  <c r="V36"/>
  <c r="S47"/>
  <c r="R47"/>
  <c r="Q47"/>
  <c r="P47"/>
  <c r="O43"/>
  <c r="N43"/>
  <c r="O42"/>
  <c r="N42"/>
  <c r="O41"/>
  <c r="N41"/>
  <c r="O40"/>
  <c r="N40"/>
  <c r="O39"/>
  <c r="N39"/>
  <c r="O38"/>
  <c r="N38"/>
  <c r="O36"/>
  <c r="N36"/>
  <c r="M43"/>
  <c r="M42"/>
  <c r="M41"/>
  <c r="M40"/>
  <c r="M39"/>
  <c r="L39"/>
  <c r="K39"/>
  <c r="M38"/>
  <c r="L38"/>
  <c r="K38"/>
  <c r="M36"/>
  <c r="L36"/>
  <c r="K36"/>
  <c r="J41"/>
  <c r="J40"/>
  <c r="G39"/>
  <c r="F39"/>
  <c r="E39"/>
  <c r="D39"/>
  <c r="C39"/>
  <c r="B39"/>
  <c r="G38"/>
  <c r="F38"/>
  <c r="E38"/>
  <c r="D38"/>
  <c r="C38"/>
  <c r="B38"/>
  <c r="G36"/>
  <c r="F36"/>
  <c r="E36"/>
  <c r="D36"/>
  <c r="C36"/>
  <c r="B36"/>
  <c r="AS27"/>
  <c r="N17" i="67"/>
  <c r="N16"/>
  <c r="N15"/>
  <c r="N14"/>
  <c r="N13"/>
  <c r="N12"/>
  <c r="N11"/>
  <c r="N10"/>
  <c r="N9"/>
  <c r="N8"/>
  <c r="N7"/>
  <c r="N6"/>
  <c r="N5"/>
  <c r="N4"/>
  <c r="N3"/>
  <c r="N2"/>
  <c r="N18" s="1"/>
  <c r="N17" i="66"/>
  <c r="N16"/>
  <c r="N15"/>
  <c r="N14"/>
  <c r="N13"/>
  <c r="N12"/>
  <c r="N11"/>
  <c r="N10"/>
  <c r="N9"/>
  <c r="N8"/>
  <c r="N7"/>
  <c r="N6"/>
  <c r="N5"/>
  <c r="N4"/>
  <c r="N3"/>
  <c r="N2"/>
  <c r="N18" s="1"/>
  <c r="N17" i="65"/>
  <c r="N16"/>
  <c r="N15"/>
  <c r="N14"/>
  <c r="N13"/>
  <c r="N12"/>
  <c r="N11"/>
  <c r="N10"/>
  <c r="N9"/>
  <c r="N8"/>
  <c r="N7"/>
  <c r="N6"/>
  <c r="N5"/>
  <c r="N4"/>
  <c r="N3"/>
  <c r="N2"/>
  <c r="BJ19" i="64"/>
  <c r="BH19"/>
  <c r="BF19"/>
  <c r="BD19"/>
  <c r="BA18"/>
  <c r="AZ18"/>
  <c r="AY18"/>
  <c r="AX18"/>
  <c r="BA17"/>
  <c r="AZ17"/>
  <c r="AY17"/>
  <c r="AX17"/>
  <c r="BA16"/>
  <c r="AZ16"/>
  <c r="AY16"/>
  <c r="AX16"/>
  <c r="BA15"/>
  <c r="AZ15"/>
  <c r="AY15"/>
  <c r="AX15"/>
  <c r="BA14"/>
  <c r="AZ14"/>
  <c r="AY14"/>
  <c r="AX14"/>
  <c r="BA13"/>
  <c r="AZ13"/>
  <c r="AY13"/>
  <c r="AX13"/>
  <c r="BA12"/>
  <c r="AZ12"/>
  <c r="AY12"/>
  <c r="AX12"/>
  <c r="BA11"/>
  <c r="AZ11"/>
  <c r="AY11"/>
  <c r="AX11"/>
  <c r="BA10"/>
  <c r="AZ10"/>
  <c r="AY10"/>
  <c r="AX10"/>
  <c r="BA9"/>
  <c r="AZ9"/>
  <c r="AY9"/>
  <c r="AX9"/>
  <c r="BA8"/>
  <c r="AZ8"/>
  <c r="AY8"/>
  <c r="AX8"/>
  <c r="BA7"/>
  <c r="AZ7"/>
  <c r="AY7"/>
  <c r="AX7"/>
  <c r="BA6"/>
  <c r="AZ6"/>
  <c r="AY6"/>
  <c r="AX6"/>
  <c r="BA5"/>
  <c r="AZ5"/>
  <c r="AY5"/>
  <c r="AX5"/>
  <c r="BA4"/>
  <c r="AZ4"/>
  <c r="AY4"/>
  <c r="AX4"/>
  <c r="BA3"/>
  <c r="BA19" s="1"/>
  <c r="AZ3"/>
  <c r="AZ19" s="1"/>
  <c r="AY3"/>
  <c r="AY19" s="1"/>
  <c r="AX3"/>
  <c r="AX19" s="1"/>
  <c r="AI21" i="4"/>
  <c r="AJ21"/>
  <c r="AK21"/>
  <c r="AL21"/>
  <c r="O29" i="63"/>
  <c r="O30"/>
  <c r="P30" s="1"/>
  <c r="O31"/>
  <c r="P31" s="1"/>
  <c r="O32"/>
  <c r="P32" s="1"/>
  <c r="O33"/>
  <c r="O34"/>
  <c r="O35"/>
  <c r="O36"/>
  <c r="O37"/>
  <c r="O38"/>
  <c r="P38" s="1"/>
  <c r="O40"/>
  <c r="P40" s="1"/>
  <c r="O41"/>
  <c r="P41" s="1"/>
  <c r="O42"/>
  <c r="O43"/>
  <c r="O55"/>
  <c r="O56"/>
  <c r="P56" s="1"/>
  <c r="O28"/>
  <c r="Z18"/>
  <c r="X18"/>
  <c r="V18"/>
  <c r="Z17"/>
  <c r="X17"/>
  <c r="V17"/>
  <c r="Z16"/>
  <c r="X16"/>
  <c r="V16"/>
  <c r="Z15"/>
  <c r="X15"/>
  <c r="V15"/>
  <c r="Z14"/>
  <c r="X14"/>
  <c r="V14"/>
  <c r="Z13"/>
  <c r="X13"/>
  <c r="V13"/>
  <c r="Z12"/>
  <c r="X12"/>
  <c r="V12"/>
  <c r="Z11"/>
  <c r="X11"/>
  <c r="V11"/>
  <c r="Z10"/>
  <c r="X10"/>
  <c r="V10"/>
  <c r="Z9"/>
  <c r="X9"/>
  <c r="V9"/>
  <c r="Z8"/>
  <c r="X8"/>
  <c r="V8"/>
  <c r="Z7"/>
  <c r="X7"/>
  <c r="V7"/>
  <c r="Z6"/>
  <c r="X6"/>
  <c r="V6"/>
  <c r="Z5"/>
  <c r="X5"/>
  <c r="V5"/>
  <c r="Z4"/>
  <c r="X4"/>
  <c r="V4"/>
  <c r="Z3"/>
  <c r="X3"/>
  <c r="V3"/>
  <c r="Q18" i="62"/>
  <c r="O18" s="1"/>
  <c r="AA20" i="4" s="1"/>
  <c r="Q17" i="62"/>
  <c r="P17" s="1"/>
  <c r="AB19" i="4" s="1"/>
  <c r="Q16" i="62"/>
  <c r="N16" s="1"/>
  <c r="Z18" i="4" s="1"/>
  <c r="Q15" i="62"/>
  <c r="P15" s="1"/>
  <c r="AB17" i="4" s="1"/>
  <c r="Q14" i="62"/>
  <c r="P14" s="1"/>
  <c r="AB16" i="4" s="1"/>
  <c r="Q13" i="62"/>
  <c r="N13" s="1"/>
  <c r="Z15" i="4" s="1"/>
  <c r="Q12" i="62"/>
  <c r="O12" s="1"/>
  <c r="AA14" i="4" s="1"/>
  <c r="Q11" i="62"/>
  <c r="P11" s="1"/>
  <c r="AB13" i="4" s="1"/>
  <c r="Q10" i="62"/>
  <c r="O10" s="1"/>
  <c r="AA12" i="4" s="1"/>
  <c r="Q9" i="62"/>
  <c r="N9" s="1"/>
  <c r="Z11" i="4" s="1"/>
  <c r="Q8" i="62"/>
  <c r="N8" s="1"/>
  <c r="Z10" i="4" s="1"/>
  <c r="Q7" i="62"/>
  <c r="P7" s="1"/>
  <c r="AB9" i="4" s="1"/>
  <c r="Q6" i="62"/>
  <c r="O6" s="1"/>
  <c r="AA8" i="4" s="1"/>
  <c r="Q5" i="62"/>
  <c r="N5" s="1"/>
  <c r="Z7" i="4" s="1"/>
  <c r="Q4" i="62"/>
  <c r="O4" s="1"/>
  <c r="AA6" i="4" s="1"/>
  <c r="Q3" i="62"/>
  <c r="P3" s="1"/>
  <c r="AB5" i="4" s="1"/>
  <c r="AC47" l="1"/>
  <c r="AS41"/>
  <c r="AS42"/>
  <c r="AS43"/>
  <c r="AE47"/>
  <c r="AG47"/>
  <c r="Q28" i="63"/>
  <c r="S31"/>
  <c r="P28"/>
  <c r="Q42"/>
  <c r="P42"/>
  <c r="R42" s="1"/>
  <c r="Q37"/>
  <c r="P37"/>
  <c r="Q33"/>
  <c r="P33"/>
  <c r="R33" s="1"/>
  <c r="Q29"/>
  <c r="R29" s="1"/>
  <c r="P29"/>
  <c r="Q34"/>
  <c r="P34"/>
  <c r="R34" s="1"/>
  <c r="Q55"/>
  <c r="P55"/>
  <c r="Q35"/>
  <c r="P35"/>
  <c r="R37"/>
  <c r="Q31"/>
  <c r="R31"/>
  <c r="Q40"/>
  <c r="R40" s="1"/>
  <c r="P36"/>
  <c r="R36" s="1"/>
  <c r="S37"/>
  <c r="Q43"/>
  <c r="P43"/>
  <c r="S48"/>
  <c r="AS38" i="4"/>
  <c r="AS40"/>
  <c r="AS39"/>
  <c r="AF47"/>
  <c r="Q38" i="63"/>
  <c r="R38" s="1"/>
  <c r="Q30"/>
  <c r="R30" s="1"/>
  <c r="R28"/>
  <c r="C47" i="4"/>
  <c r="G47"/>
  <c r="E47"/>
  <c r="K47"/>
  <c r="L47"/>
  <c r="O47"/>
  <c r="W47"/>
  <c r="AJ47"/>
  <c r="AH47"/>
  <c r="AL47"/>
  <c r="Y47"/>
  <c r="AK47"/>
  <c r="AS36"/>
  <c r="V47"/>
  <c r="AI47"/>
  <c r="M47"/>
  <c r="N47"/>
  <c r="X47"/>
  <c r="D47"/>
  <c r="B47"/>
  <c r="F47"/>
  <c r="N18" i="65"/>
  <c r="V19" i="63"/>
  <c r="Q56"/>
  <c r="R56" s="1"/>
  <c r="Q41"/>
  <c r="Q36"/>
  <c r="Q32"/>
  <c r="R32" s="1"/>
  <c r="R41"/>
  <c r="Q19"/>
  <c r="Z19"/>
  <c r="X19"/>
  <c r="N4" i="62"/>
  <c r="Z6" i="4" s="1"/>
  <c r="O8" i="62"/>
  <c r="AA10" i="4" s="1"/>
  <c r="N6" i="62"/>
  <c r="Z8" i="4" s="1"/>
  <c r="O15" i="62"/>
  <c r="AA17" i="4" s="1"/>
  <c r="P16" i="62"/>
  <c r="AB18" i="4" s="1"/>
  <c r="O7" i="62"/>
  <c r="AA9" i="4" s="1"/>
  <c r="N12" i="62"/>
  <c r="Z14" i="4" s="1"/>
  <c r="N15" i="62"/>
  <c r="Z17" i="4" s="1"/>
  <c r="O16" i="62"/>
  <c r="AA18" i="4" s="1"/>
  <c r="N7" i="62"/>
  <c r="Z9" i="4" s="1"/>
  <c r="P8" i="62"/>
  <c r="AB10" i="4" s="1"/>
  <c r="N18" i="62"/>
  <c r="Z20" i="4" s="1"/>
  <c r="O3" i="62"/>
  <c r="AA5" i="4" s="1"/>
  <c r="P4" i="62"/>
  <c r="AB6" i="4" s="1"/>
  <c r="O11" i="62"/>
  <c r="AA13" i="4" s="1"/>
  <c r="P12" i="62"/>
  <c r="AB14" i="4" s="1"/>
  <c r="N10" i="62"/>
  <c r="Z12" i="4" s="1"/>
  <c r="N3" i="62"/>
  <c r="Z5" i="4" s="1"/>
  <c r="N11" i="62"/>
  <c r="Z13" i="4" s="1"/>
  <c r="N14" i="62"/>
  <c r="Z16" i="4" s="1"/>
  <c r="P5" i="62"/>
  <c r="AB7" i="4" s="1"/>
  <c r="P9" i="62"/>
  <c r="AB11" i="4" s="1"/>
  <c r="P13" i="62"/>
  <c r="AB15" i="4" s="1"/>
  <c r="O5" i="62"/>
  <c r="AA7" i="4" s="1"/>
  <c r="P6" i="62"/>
  <c r="AB8" i="4" s="1"/>
  <c r="O9" i="62"/>
  <c r="AA11" i="4" s="1"/>
  <c r="P10" i="62"/>
  <c r="AB12" i="4" s="1"/>
  <c r="O13" i="62"/>
  <c r="AA15" i="4" s="1"/>
  <c r="O17" i="62"/>
  <c r="AA19" i="4" s="1"/>
  <c r="P18" i="62"/>
  <c r="AB20" i="4" s="1"/>
  <c r="Q19" i="62"/>
  <c r="O14"/>
  <c r="AA16" i="4" s="1"/>
  <c r="N17" i="62"/>
  <c r="Z19" i="4" s="1"/>
  <c r="R43" i="63" l="1"/>
  <c r="R35"/>
  <c r="R55"/>
  <c r="N19"/>
  <c r="O19" i="62"/>
  <c r="N19"/>
  <c r="P19"/>
  <c r="O19" i="63"/>
  <c r="P19"/>
  <c r="U16" i="4" l="1"/>
  <c r="U17"/>
  <c r="U18"/>
  <c r="U19"/>
  <c r="U20"/>
  <c r="T16"/>
  <c r="T17"/>
  <c r="T18"/>
  <c r="T19"/>
  <c r="T20"/>
  <c r="S16"/>
  <c r="S17"/>
  <c r="S18"/>
  <c r="S19"/>
  <c r="S20"/>
  <c r="BA4" i="61"/>
  <c r="Y6" i="4" s="1"/>
  <c r="BA5" i="61"/>
  <c r="Y7" i="4" s="1"/>
  <c r="BA6" i="61"/>
  <c r="Y8" i="4" s="1"/>
  <c r="BA7" i="61"/>
  <c r="Y9" i="4" s="1"/>
  <c r="BA8" i="61"/>
  <c r="Y10" i="4" s="1"/>
  <c r="BA9" i="61"/>
  <c r="Y11" i="4" s="1"/>
  <c r="BA10" i="61"/>
  <c r="Y12" i="4" s="1"/>
  <c r="BA11" i="61"/>
  <c r="Y13" i="4" s="1"/>
  <c r="BA12" i="61"/>
  <c r="Y14" i="4" s="1"/>
  <c r="BA13" i="61"/>
  <c r="Y15" i="4" s="1"/>
  <c r="BA14" i="61"/>
  <c r="Y16" i="4" s="1"/>
  <c r="BA15" i="61"/>
  <c r="Y17" i="4" s="1"/>
  <c r="BA16" i="61"/>
  <c r="Y18" i="4" s="1"/>
  <c r="BA17" i="61"/>
  <c r="Y19" i="4" s="1"/>
  <c r="BA18" i="61"/>
  <c r="Y20" i="4" s="1"/>
  <c r="AZ4" i="61"/>
  <c r="X6" i="4" s="1"/>
  <c r="AZ5" i="61"/>
  <c r="X7" i="4" s="1"/>
  <c r="AZ6" i="61"/>
  <c r="X8" i="4" s="1"/>
  <c r="AZ7" i="61"/>
  <c r="X9" i="4" s="1"/>
  <c r="AZ8" i="61"/>
  <c r="AZ9"/>
  <c r="X11" i="4" s="1"/>
  <c r="AZ10" i="61"/>
  <c r="X12" i="4" s="1"/>
  <c r="AZ11" i="61"/>
  <c r="X13" i="4" s="1"/>
  <c r="AZ12" i="61"/>
  <c r="X14" i="4" s="1"/>
  <c r="AZ13" i="61"/>
  <c r="X15" i="4" s="1"/>
  <c r="AZ14" i="61"/>
  <c r="X16" i="4" s="1"/>
  <c r="AZ15" i="61"/>
  <c r="X17" i="4" s="1"/>
  <c r="AZ16" i="61"/>
  <c r="X18" i="4" s="1"/>
  <c r="AZ17" i="61"/>
  <c r="X19" i="4" s="1"/>
  <c r="AZ18" i="61"/>
  <c r="X20" i="4" s="1"/>
  <c r="AY4" i="61"/>
  <c r="W6" i="4" s="1"/>
  <c r="AY5" i="61"/>
  <c r="W7" i="4" s="1"/>
  <c r="AY6" i="61"/>
  <c r="W8" i="4" s="1"/>
  <c r="AY7" i="61"/>
  <c r="W9" i="4" s="1"/>
  <c r="AY8" i="61"/>
  <c r="W10" i="4" s="1"/>
  <c r="AY9" i="61"/>
  <c r="W11" i="4" s="1"/>
  <c r="AY10" i="61"/>
  <c r="W12" i="4" s="1"/>
  <c r="AY11" i="61"/>
  <c r="W13" i="4" s="1"/>
  <c r="AY12" i="61"/>
  <c r="W14" i="4" s="1"/>
  <c r="AY13" i="61"/>
  <c r="W15" i="4" s="1"/>
  <c r="AY14" i="61"/>
  <c r="W16" i="4" s="1"/>
  <c r="AY15" i="61"/>
  <c r="W17" i="4" s="1"/>
  <c r="AY16" i="61"/>
  <c r="W18" i="4" s="1"/>
  <c r="AY17" i="61"/>
  <c r="W19" i="4" s="1"/>
  <c r="AY18" i="61"/>
  <c r="W20" i="4" s="1"/>
  <c r="AY3" i="61"/>
  <c r="W5" i="4" s="1"/>
  <c r="AZ3" i="61"/>
  <c r="X5" i="4" s="1"/>
  <c r="BA3" i="61"/>
  <c r="Y5" i="4" s="1"/>
  <c r="AX4" i="61"/>
  <c r="AX5"/>
  <c r="AX6"/>
  <c r="AX7"/>
  <c r="AX8"/>
  <c r="V10" i="4" s="1"/>
  <c r="AX9" i="61"/>
  <c r="AX10"/>
  <c r="AX11"/>
  <c r="AX12"/>
  <c r="AX13"/>
  <c r="AX14"/>
  <c r="AX15"/>
  <c r="AX16"/>
  <c r="AX17"/>
  <c r="V19" i="4" s="1"/>
  <c r="AX18" i="61"/>
  <c r="V20" i="4" s="1"/>
  <c r="AX3" i="61"/>
  <c r="AB21" i="4"/>
  <c r="AC21"/>
  <c r="AD21"/>
  <c r="AE21"/>
  <c r="AF21"/>
  <c r="AG21"/>
  <c r="AA4" i="60"/>
  <c r="AA5"/>
  <c r="AA6"/>
  <c r="AA7"/>
  <c r="AA8"/>
  <c r="AA9"/>
  <c r="AA10"/>
  <c r="AA11"/>
  <c r="AA12"/>
  <c r="AA13"/>
  <c r="AA14"/>
  <c r="AA15"/>
  <c r="AA16"/>
  <c r="AA17"/>
  <c r="AA18"/>
  <c r="AA3"/>
  <c r="AA19" s="1"/>
  <c r="Y4"/>
  <c r="Y19" s="1"/>
  <c r="Y5"/>
  <c r="Y6"/>
  <c r="Y7"/>
  <c r="Y8"/>
  <c r="Y9"/>
  <c r="Y10"/>
  <c r="Y11"/>
  <c r="Y12"/>
  <c r="Y13"/>
  <c r="Y14"/>
  <c r="Y15"/>
  <c r="Y16"/>
  <c r="Y17"/>
  <c r="Y18"/>
  <c r="Y3"/>
  <c r="W4"/>
  <c r="W5"/>
  <c r="W19" s="1"/>
  <c r="W6"/>
  <c r="W7"/>
  <c r="W8"/>
  <c r="W9"/>
  <c r="W10"/>
  <c r="W11"/>
  <c r="W12"/>
  <c r="W13"/>
  <c r="W14"/>
  <c r="W15"/>
  <c r="W16"/>
  <c r="W17"/>
  <c r="W18"/>
  <c r="W3"/>
  <c r="Q18"/>
  <c r="O18" s="1"/>
  <c r="Q17"/>
  <c r="O17" s="1"/>
  <c r="Q16"/>
  <c r="O16" s="1"/>
  <c r="Q15"/>
  <c r="O15" s="1"/>
  <c r="Q14"/>
  <c r="O14" s="1"/>
  <c r="Z21" i="4"/>
  <c r="AA21"/>
  <c r="Q3" i="59"/>
  <c r="V16" i="4" l="1"/>
  <c r="BC14" i="61"/>
  <c r="V17" i="4"/>
  <c r="BC15" i="61"/>
  <c r="V18" i="4"/>
  <c r="BC16" i="61"/>
  <c r="V15" i="4"/>
  <c r="BC13" i="61"/>
  <c r="V11" i="4"/>
  <c r="BC9" i="61"/>
  <c r="BE9" s="1"/>
  <c r="V12" i="4"/>
  <c r="BC10" i="61"/>
  <c r="BE10" s="1"/>
  <c r="V13" i="4"/>
  <c r="BC11" i="61"/>
  <c r="V14" i="4"/>
  <c r="BC12" i="61"/>
  <c r="BC3"/>
  <c r="V9" i="4"/>
  <c r="BC7" i="61"/>
  <c r="BE7" s="1"/>
  <c r="X10" i="4"/>
  <c r="X21" s="1"/>
  <c r="BC8" i="61"/>
  <c r="BE8" s="1"/>
  <c r="V8" i="4"/>
  <c r="BC6" i="61"/>
  <c r="BE6" s="1"/>
  <c r="V7" i="4"/>
  <c r="BC5" i="61"/>
  <c r="BE5" s="1"/>
  <c r="V6" i="4"/>
  <c r="BC4" i="61"/>
  <c r="V5" i="4"/>
  <c r="P3" i="59"/>
  <c r="T3"/>
  <c r="BA19" i="61"/>
  <c r="N3" i="59"/>
  <c r="P5" i="4" s="1"/>
  <c r="O3" i="59"/>
  <c r="Q5" i="4" s="1"/>
  <c r="U21"/>
  <c r="Y21"/>
  <c r="W21"/>
  <c r="AY19" i="61"/>
  <c r="N14" i="60"/>
  <c r="N16"/>
  <c r="N18"/>
  <c r="N15"/>
  <c r="N17"/>
  <c r="O19"/>
  <c r="P14"/>
  <c r="P16"/>
  <c r="P18"/>
  <c r="Q19"/>
  <c r="P15"/>
  <c r="P17"/>
  <c r="X19" i="59"/>
  <c r="Z19"/>
  <c r="AB19"/>
  <c r="S21" i="4"/>
  <c r="T21"/>
  <c r="AH21"/>
  <c r="O6"/>
  <c r="O14"/>
  <c r="O15"/>
  <c r="O16"/>
  <c r="O17"/>
  <c r="O18"/>
  <c r="O19"/>
  <c r="O20"/>
  <c r="N17" i="58"/>
  <c r="N16"/>
  <c r="N15"/>
  <c r="N14"/>
  <c r="N13"/>
  <c r="N12"/>
  <c r="N11"/>
  <c r="N10"/>
  <c r="N9"/>
  <c r="N8"/>
  <c r="N7"/>
  <c r="N6"/>
  <c r="N5"/>
  <c r="N4"/>
  <c r="N3"/>
  <c r="N2"/>
  <c r="O5" i="4" s="1"/>
  <c r="B6"/>
  <c r="B7"/>
  <c r="B8"/>
  <c r="B9"/>
  <c r="B10"/>
  <c r="B11"/>
  <c r="B12"/>
  <c r="B13"/>
  <c r="B14"/>
  <c r="B15"/>
  <c r="B16"/>
  <c r="B17"/>
  <c r="B18"/>
  <c r="B19"/>
  <c r="B20"/>
  <c r="B5"/>
  <c r="M14"/>
  <c r="M15"/>
  <c r="M16"/>
  <c r="M17"/>
  <c r="L14"/>
  <c r="L15"/>
  <c r="L16"/>
  <c r="L17"/>
  <c r="K14"/>
  <c r="K15"/>
  <c r="K16"/>
  <c r="K17"/>
  <c r="P4" i="57"/>
  <c r="P5"/>
  <c r="P6"/>
  <c r="P7"/>
  <c r="P8"/>
  <c r="P9"/>
  <c r="P10"/>
  <c r="P11"/>
  <c r="P12"/>
  <c r="P13"/>
  <c r="P14"/>
  <c r="P15"/>
  <c r="P16"/>
  <c r="P17"/>
  <c r="P18"/>
  <c r="O4"/>
  <c r="O5"/>
  <c r="O19" s="1"/>
  <c r="O6"/>
  <c r="O7"/>
  <c r="O8"/>
  <c r="O9"/>
  <c r="O10"/>
  <c r="O11"/>
  <c r="O12"/>
  <c r="O13"/>
  <c r="O14"/>
  <c r="O15"/>
  <c r="O16"/>
  <c r="O17"/>
  <c r="O18"/>
  <c r="O3"/>
  <c r="P3"/>
  <c r="N4"/>
  <c r="N5"/>
  <c r="N6"/>
  <c r="N7"/>
  <c r="N8"/>
  <c r="N9"/>
  <c r="N10"/>
  <c r="N11"/>
  <c r="N12"/>
  <c r="N13"/>
  <c r="N14"/>
  <c r="N15"/>
  <c r="N16"/>
  <c r="N17"/>
  <c r="N18"/>
  <c r="N3"/>
  <c r="K43"/>
  <c r="J43"/>
  <c r="J42"/>
  <c r="L41"/>
  <c r="K41"/>
  <c r="J41"/>
  <c r="K40"/>
  <c r="J40"/>
  <c r="L40" s="1"/>
  <c r="K39"/>
  <c r="J39"/>
  <c r="J38"/>
  <c r="L37"/>
  <c r="K37"/>
  <c r="J37"/>
  <c r="L36"/>
  <c r="K36"/>
  <c r="J36"/>
  <c r="J35"/>
  <c r="K35" s="1"/>
  <c r="J34"/>
  <c r="J33"/>
  <c r="K33" s="1"/>
  <c r="L32"/>
  <c r="K32"/>
  <c r="J32"/>
  <c r="K31"/>
  <c r="J31"/>
  <c r="J30"/>
  <c r="K29"/>
  <c r="J29"/>
  <c r="L29" s="1"/>
  <c r="J28"/>
  <c r="K28" s="1"/>
  <c r="K27"/>
  <c r="J27"/>
  <c r="X19"/>
  <c r="V19"/>
  <c r="T19"/>
  <c r="BE19" i="61" l="1"/>
  <c r="BC19"/>
  <c r="V21" i="4"/>
  <c r="AS23" s="1"/>
  <c r="T17" i="59"/>
  <c r="T9"/>
  <c r="Q9" s="1"/>
  <c r="T13"/>
  <c r="T5"/>
  <c r="Q5" s="1"/>
  <c r="T12"/>
  <c r="T15"/>
  <c r="T18"/>
  <c r="T8"/>
  <c r="Q8" s="1"/>
  <c r="T11"/>
  <c r="T14"/>
  <c r="T4"/>
  <c r="Q4" s="1"/>
  <c r="T7"/>
  <c r="Q7" s="1"/>
  <c r="T10"/>
  <c r="Q10" s="1"/>
  <c r="T16"/>
  <c r="T6"/>
  <c r="Q6" s="1"/>
  <c r="R5" i="4"/>
  <c r="AX19" i="61"/>
  <c r="AZ19"/>
  <c r="N19" i="60"/>
  <c r="P19"/>
  <c r="Q19" i="59"/>
  <c r="O21" i="4"/>
  <c r="L21"/>
  <c r="M21"/>
  <c r="N18" i="58"/>
  <c r="K21" i="4"/>
  <c r="P19" i="57"/>
  <c r="N19"/>
  <c r="L28"/>
  <c r="L33"/>
  <c r="M28"/>
  <c r="L30"/>
  <c r="M30" s="1"/>
  <c r="M32"/>
  <c r="L34"/>
  <c r="M36"/>
  <c r="L38"/>
  <c r="M40"/>
  <c r="L42"/>
  <c r="L27"/>
  <c r="M27" s="1"/>
  <c r="M29"/>
  <c r="K30"/>
  <c r="L31"/>
  <c r="M31" s="1"/>
  <c r="M33"/>
  <c r="K34"/>
  <c r="L35"/>
  <c r="M35" s="1"/>
  <c r="M37"/>
  <c r="K38"/>
  <c r="M38" s="1"/>
  <c r="L39"/>
  <c r="M39" s="1"/>
  <c r="M41"/>
  <c r="K42"/>
  <c r="M42" s="1"/>
  <c r="L43"/>
  <c r="M43" s="1"/>
  <c r="N7" i="59" l="1"/>
  <c r="P9" i="4" s="1"/>
  <c r="P7" i="59"/>
  <c r="R9" i="4" s="1"/>
  <c r="O7" i="59"/>
  <c r="Q9" i="4" s="1"/>
  <c r="O5" i="59"/>
  <c r="Q7" i="4" s="1"/>
  <c r="N5" i="59"/>
  <c r="P7" i="4" s="1"/>
  <c r="P5" i="59"/>
  <c r="R7" i="4" s="1"/>
  <c r="N11" i="59"/>
  <c r="P13" i="4" s="1"/>
  <c r="P11" i="59"/>
  <c r="R13" i="4" s="1"/>
  <c r="O11" i="59"/>
  <c r="Q13" i="4" s="1"/>
  <c r="N14" i="59"/>
  <c r="P16" i="4" s="1"/>
  <c r="P14" i="59"/>
  <c r="R16" i="4" s="1"/>
  <c r="O14" i="59"/>
  <c r="Q16" i="4" s="1"/>
  <c r="O9" i="59"/>
  <c r="Q11" i="4" s="1"/>
  <c r="N9" i="59"/>
  <c r="P11" i="4" s="1"/>
  <c r="P9" i="59"/>
  <c r="R11" i="4" s="1"/>
  <c r="N8" i="59"/>
  <c r="P10" i="4" s="1"/>
  <c r="P8" i="59"/>
  <c r="R10" i="4" s="1"/>
  <c r="O8" i="59"/>
  <c r="Q10" i="4" s="1"/>
  <c r="N10" i="59"/>
  <c r="P12" i="4" s="1"/>
  <c r="P10" i="59"/>
  <c r="R12" i="4" s="1"/>
  <c r="O10" i="59"/>
  <c r="Q12" i="4" s="1"/>
  <c r="P12" i="59"/>
  <c r="R14" i="4" s="1"/>
  <c r="O12" i="59"/>
  <c r="Q14" i="4" s="1"/>
  <c r="N12" i="59"/>
  <c r="P14" i="4" s="1"/>
  <c r="O17" i="59"/>
  <c r="Q19" i="4" s="1"/>
  <c r="N17" i="59"/>
  <c r="P19" i="4" s="1"/>
  <c r="P17" i="59"/>
  <c r="R19" i="4" s="1"/>
  <c r="P16" i="59"/>
  <c r="R18" i="4" s="1"/>
  <c r="O16" i="59"/>
  <c r="Q18" i="4" s="1"/>
  <c r="N16" i="59"/>
  <c r="P18" i="4" s="1"/>
  <c r="N15" i="59"/>
  <c r="P17" i="4" s="1"/>
  <c r="P15" i="59"/>
  <c r="R17" i="4" s="1"/>
  <c r="O15" i="59"/>
  <c r="Q17" i="4" s="1"/>
  <c r="N6" i="59"/>
  <c r="P8" i="4" s="1"/>
  <c r="P6" i="59"/>
  <c r="R8" i="4" s="1"/>
  <c r="O6" i="59"/>
  <c r="Q8" i="4" s="1"/>
  <c r="P4" i="59"/>
  <c r="O4"/>
  <c r="N4"/>
  <c r="O18"/>
  <c r="Q20" i="4" s="1"/>
  <c r="N18" i="59"/>
  <c r="P20" i="4" s="1"/>
  <c r="P18" i="59"/>
  <c r="R20" i="4" s="1"/>
  <c r="O13" i="59"/>
  <c r="Q15" i="4" s="1"/>
  <c r="N13" i="59"/>
  <c r="P15" i="4" s="1"/>
  <c r="P13" i="59"/>
  <c r="R15" i="4" s="1"/>
  <c r="M34" i="57"/>
  <c r="R6" i="4" l="1"/>
  <c r="R21" s="1"/>
  <c r="P19" i="59"/>
  <c r="Q6" i="4"/>
  <c r="Q21" s="1"/>
  <c r="O19" i="59"/>
  <c r="P6" i="4"/>
  <c r="N19" i="59"/>
  <c r="J21" i="4"/>
  <c r="I21"/>
  <c r="P21" l="1"/>
  <c r="G6"/>
  <c r="G7"/>
  <c r="G8"/>
  <c r="G9"/>
  <c r="G10"/>
  <c r="G11"/>
  <c r="G12"/>
  <c r="G13"/>
  <c r="G14"/>
  <c r="G15"/>
  <c r="G16"/>
  <c r="G17"/>
  <c r="G18"/>
  <c r="G19"/>
  <c r="G20"/>
  <c r="F6"/>
  <c r="F7"/>
  <c r="F8"/>
  <c r="F9"/>
  <c r="F10"/>
  <c r="F11"/>
  <c r="F12"/>
  <c r="F13"/>
  <c r="F14"/>
  <c r="F15"/>
  <c r="F16"/>
  <c r="F17"/>
  <c r="F18"/>
  <c r="F19"/>
  <c r="F20"/>
  <c r="E6"/>
  <c r="E7"/>
  <c r="E8"/>
  <c r="E9"/>
  <c r="E10"/>
  <c r="E11"/>
  <c r="E12"/>
  <c r="E13"/>
  <c r="E14"/>
  <c r="E15"/>
  <c r="E16"/>
  <c r="E17"/>
  <c r="E18"/>
  <c r="E19"/>
  <c r="E20"/>
  <c r="D6"/>
  <c r="D7"/>
  <c r="D8"/>
  <c r="D9"/>
  <c r="D10"/>
  <c r="D11"/>
  <c r="D12"/>
  <c r="D13"/>
  <c r="D14"/>
  <c r="D15"/>
  <c r="D16"/>
  <c r="D17"/>
  <c r="D18"/>
  <c r="D19"/>
  <c r="D20"/>
  <c r="C6"/>
  <c r="C7"/>
  <c r="C8"/>
  <c r="C9"/>
  <c r="C10"/>
  <c r="C11"/>
  <c r="C12"/>
  <c r="C13"/>
  <c r="C14"/>
  <c r="C15"/>
  <c r="C16"/>
  <c r="C17"/>
  <c r="C18"/>
  <c r="C19"/>
  <c r="C20"/>
  <c r="D5"/>
  <c r="E5"/>
  <c r="F5"/>
  <c r="C5"/>
  <c r="O19" i="51"/>
  <c r="P19"/>
  <c r="Q19"/>
  <c r="L44" i="54"/>
  <c r="L43"/>
  <c r="L42"/>
  <c r="L41"/>
  <c r="L40"/>
  <c r="L39"/>
  <c r="L38"/>
  <c r="L37"/>
  <c r="L36"/>
  <c r="L35"/>
  <c r="L34"/>
  <c r="L33"/>
  <c r="L32"/>
  <c r="L31"/>
  <c r="L30"/>
  <c r="L29"/>
  <c r="N17"/>
  <c r="N16"/>
  <c r="N15"/>
  <c r="N14"/>
  <c r="N13"/>
  <c r="N12"/>
  <c r="N11"/>
  <c r="N10"/>
  <c r="N9"/>
  <c r="N8"/>
  <c r="N7"/>
  <c r="N6"/>
  <c r="N5"/>
  <c r="N4"/>
  <c r="N3"/>
  <c r="N2"/>
  <c r="N18" s="1"/>
  <c r="H21" i="4"/>
  <c r="N31" i="51"/>
  <c r="N32"/>
  <c r="N33"/>
  <c r="N34"/>
  <c r="N35"/>
  <c r="N36"/>
  <c r="N37"/>
  <c r="N38"/>
  <c r="N39"/>
  <c r="N40"/>
  <c r="N41"/>
  <c r="N42"/>
  <c r="N43"/>
  <c r="N44"/>
  <c r="N45"/>
  <c r="N29"/>
  <c r="L29" i="46"/>
  <c r="L30"/>
  <c r="L31"/>
  <c r="L32"/>
  <c r="L33"/>
  <c r="L34"/>
  <c r="L35"/>
  <c r="L36"/>
  <c r="L37"/>
  <c r="L38"/>
  <c r="L39"/>
  <c r="L40"/>
  <c r="L41"/>
  <c r="L42"/>
  <c r="L43"/>
  <c r="L28"/>
  <c r="R28"/>
  <c r="AS12" i="4" l="1"/>
  <c r="AS8"/>
  <c r="AS13"/>
  <c r="AS9"/>
  <c r="AS10"/>
  <c r="AS11"/>
  <c r="AS7"/>
  <c r="G5"/>
  <c r="G21" s="1"/>
  <c r="C21"/>
  <c r="D21"/>
  <c r="F21"/>
  <c r="E21"/>
  <c r="N19" i="51"/>
  <c r="N17" i="48" l="1"/>
  <c r="N20" i="4" s="1"/>
  <c r="AS20" s="1"/>
  <c r="N16" i="48"/>
  <c r="N19" i="4" s="1"/>
  <c r="AS19" s="1"/>
  <c r="N15" i="48"/>
  <c r="N18" i="4" s="1"/>
  <c r="AS18" s="1"/>
  <c r="N14" i="48"/>
  <c r="N17" i="4" s="1"/>
  <c r="AS17" s="1"/>
  <c r="N13" i="48"/>
  <c r="N16" i="4" s="1"/>
  <c r="AS16" s="1"/>
  <c r="N12" i="48"/>
  <c r="N15" i="4" s="1"/>
  <c r="AS15" s="1"/>
  <c r="N11" i="48"/>
  <c r="N14" i="4" s="1"/>
  <c r="AS14" s="1"/>
  <c r="N10" i="48"/>
  <c r="N9"/>
  <c r="N8"/>
  <c r="N7"/>
  <c r="N6"/>
  <c r="N5"/>
  <c r="N4"/>
  <c r="N3"/>
  <c r="N6" i="4" s="1"/>
  <c r="AS6" s="1"/>
  <c r="N2" i="48"/>
  <c r="N5" i="4" s="1"/>
  <c r="AS5" s="1"/>
  <c r="N17" i="46"/>
  <c r="N16"/>
  <c r="N15"/>
  <c r="N14"/>
  <c r="N13"/>
  <c r="N12"/>
  <c r="N11"/>
  <c r="N10"/>
  <c r="N9"/>
  <c r="N8"/>
  <c r="N7"/>
  <c r="N6"/>
  <c r="N5"/>
  <c r="N4"/>
  <c r="N3"/>
  <c r="N2"/>
  <c r="N21" i="4" l="1"/>
  <c r="N18" i="46"/>
  <c r="N18" i="48"/>
  <c r="B21" i="4" l="1"/>
  <c r="AS22" s="1"/>
  <c r="AS26" l="1"/>
  <c r="AS21"/>
  <c r="W19" i="62"/>
  <c r="Y19" l="1"/>
  <c r="AA19"/>
</calcChain>
</file>

<file path=xl/sharedStrings.xml><?xml version="1.0" encoding="utf-8"?>
<sst xmlns="http://schemas.openxmlformats.org/spreadsheetml/2006/main" count="1317" uniqueCount="197">
  <si>
    <t>ετος</t>
  </si>
  <si>
    <t>έως</t>
  </si>
  <si>
    <t>5ος</t>
  </si>
  <si>
    <t>ΣΥΝΟΛΑ</t>
  </si>
  <si>
    <t>1ος</t>
  </si>
  <si>
    <t>2ος</t>
  </si>
  <si>
    <t>3ος</t>
  </si>
  <si>
    <t>4ος</t>
  </si>
  <si>
    <t>6ος</t>
  </si>
  <si>
    <t>7ος</t>
  </si>
  <si>
    <t>8ος</t>
  </si>
  <si>
    <t>9ος</t>
  </si>
  <si>
    <t>10ος</t>
  </si>
  <si>
    <t>11ος</t>
  </si>
  <si>
    <t>12ος</t>
  </si>
  <si>
    <t>έλεγχος</t>
  </si>
  <si>
    <t>σύνολα</t>
  </si>
  <si>
    <t>από πίνακα XLs ''δίκη''  = τελευταία καταγραφή 2018-08ος</t>
  </si>
  <si>
    <t>έτος</t>
  </si>
  <si>
    <t>διαφορά</t>
  </si>
  <si>
    <t>ημερομηνία</t>
  </si>
  <si>
    <t>πράξη</t>
  </si>
  <si>
    <t>συμβόλαιο</t>
  </si>
  <si>
    <t>ποσό πράξης</t>
  </si>
  <si>
    <t xml:space="preserve">έως 2018-8ος αναζήτηση = καταγραφή </t>
  </si>
  <si>
    <t>η εν 2020 αναψηλάφηση των δεδομένων του 2018-8ος</t>
  </si>
  <si>
    <t>λάθη ΑΓΑΠΕ που θα μπορούσαν να ΠΑΝΕ στα κ-15-17</t>
  </si>
  <si>
    <t>ΤΑΝ-9%</t>
  </si>
  <si>
    <t>από 2018-8ος</t>
  </si>
  <si>
    <t>σύνολο</t>
  </si>
  <si>
    <t>283α-21</t>
  </si>
  <si>
    <t xml:space="preserve">283α-21 = ΛΑΘΟΣ ΑΓΑΠΕ =  επαγγελματικά σε κ-15-17 = χρέωσε 0,65% + 0,125% αντί 1,3% , το οποίο ζητάει ο έλεγχος ΤΑΝ … κωδικός ''δίκη'' = 21 </t>
  </si>
  <si>
    <t>ποσό χρέωσης που ΔΕΝ έλαβε υπ' όψιν ο έλεγχος</t>
  </si>
  <si>
    <t xml:space="preserve">283α-23 = ΛΑΘΟΣ ΑΓΑΠΕ =  επαγγελματικά σε κ-15-17 = χρέωσε την πράξη ως πάγια ΑΝΤΙ αναλογική …………  τα επακόλουθα σε κ-15-17 ΚΑΙ ταμεία , ζητάει ο έλεγχος ΤΑΝ … κωδικός ''δίκη'' = 23 </t>
  </si>
  <si>
    <t>ΑΓΑΠΕ</t>
  </si>
  <si>
    <t>ποσά διαφυγόντα</t>
  </si>
  <si>
    <t>κ-15-17</t>
  </si>
  <si>
    <t>σε κ-15-17</t>
  </si>
  <si>
    <t>283α-23</t>
  </si>
  <si>
    <t>ποσά χρέωσης ανά πόρο</t>
  </si>
  <si>
    <t>283α-24-25</t>
  </si>
  <si>
    <t xml:space="preserve">283α-24-25 = ΛΑΘΟΣ ΑΓΑΠΕ =  επαγγελματικά σε κ-15-17 = ΔΕΝ  χρέωσε 1,3% ή 0,65% &amp; 0,125% , τα οποία ζητάει ο έλεγχος ΤΑΝ … κωδικοί ''δίκη'' = 24-25 </t>
  </si>
  <si>
    <t>283α ΛΑΘΟΣ ΑΓΑΠΕ =  επαγγελματικά σε κ-15-17</t>
  </si>
  <si>
    <t>283β = ΛΑΘΟΣ ΑΓΑΠΕ =  ΟΧΙ χρέωση παγίου στις αναλογικές</t>
  </si>
  <si>
    <t>σε ΤΑΝ 9%</t>
  </si>
  <si>
    <t>ανεξερεύνητο</t>
  </si>
  <si>
    <t>χαμένα από ΑΓΑΠΕ</t>
  </si>
  <si>
    <t>283γ = ΛΑΘΟΣ ΑΓΑΠΕ = έπαιρνε λιγότερα δικαιώματα</t>
  </si>
  <si>
    <t>283γ = ΛΑΘΟΣ ΑΓΑΠΕ = έπαιρνε λιγότερα δικαιώματα … κωδικός ''δίκη'' = 16</t>
  </si>
  <si>
    <t>κανονικό</t>
  </si>
  <si>
    <t>ΤΑΣ-6%</t>
  </si>
  <si>
    <t>283δ = ΛΑΘΟΣ ΑΓΑΠΕ = αθροιστικό σφάλμα στην κατάσταση = πλήρωσε λιγότερα στο κ-18 = κωδικός ''δίκη'' - 14</t>
  </si>
  <si>
    <t xml:space="preserve">283δ  </t>
  </si>
  <si>
    <t>δεν υπάρχουν πληρωμές</t>
  </si>
  <si>
    <t>283ε</t>
  </si>
  <si>
    <t>ΤΑΝ-5%</t>
  </si>
  <si>
    <t>ΤΑΣ</t>
  </si>
  <si>
    <t>283ζ = ΛΑΘΟΣ ΑΓΑΠΕ =  ΟΧΙ χρέωση 2ου - κλπ φύλλων</t>
  </si>
  <si>
    <t xml:space="preserve"> …  τιμή στατιστική από 2019-7ος = 665€</t>
  </si>
  <si>
    <t>σε σύνολο</t>
  </si>
  <si>
    <t>σε ΤΑΝ 5%</t>
  </si>
  <si>
    <t>σε ΤΑΣ 6%</t>
  </si>
  <si>
    <t>283θ = αιτήσεις προς μεταγραφή στο αρχείο με χαρτόσημα</t>
  </si>
  <si>
    <t>ΤΑΝ</t>
  </si>
  <si>
    <t>διάφορα</t>
  </si>
  <si>
    <t>ΤΑΧΔΙΚ</t>
  </si>
  <si>
    <t xml:space="preserve"> …  τιμή στατιστική από ????</t>
  </si>
  <si>
    <t>σε ΤΑΝ</t>
  </si>
  <si>
    <t>σε ΤΑΣ</t>
  </si>
  <si>
    <t>σε ΤΑΧΔΙΚ</t>
  </si>
  <si>
    <t>σε διάφορα</t>
  </si>
  <si>
    <t>από 2018-8ος XLs  ''δίκη''</t>
  </si>
  <si>
    <t xml:space="preserve"> τιμή στατιστική από 2019-7ος = 665€</t>
  </si>
  <si>
    <t xml:space="preserve"> …  τιμή στατιστική από 2019-7ος = </t>
  </si>
  <si>
    <t xml:space="preserve"> τιμή στατιστική από 2019-7ος = ???</t>
  </si>
  <si>
    <t>283η = χαμηλότερη χρέωση , λόγω διαφοροποίηση τιμής αντιγράφου</t>
  </si>
  <si>
    <t xml:space="preserve">283ζ = ΛΑΘΟΣ ΑΓΑΠΕ = όχι χρέωση 2'-κλπ φύλλα </t>
  </si>
  <si>
    <t>283ι = ΛΑΘΟΣ ΑΓΑΠΕ = όχι χρέωση πολλυπρόσωπων πράξεων</t>
  </si>
  <si>
    <t>283κ = ΛΑΘΟΣ ΑΓΑΠΕ = όχι χρέωση πολλαπλών συμβάσεων</t>
  </si>
  <si>
    <t>283ι = ΛΑΘΟΣ ΑΓΑΠΕ = όχι χρέωση πολυπρόσωπων πράξεων</t>
  </si>
  <si>
    <t>κανονική</t>
  </si>
  <si>
    <t>δικαιώματα πολυπρόσωπων</t>
  </si>
  <si>
    <t>κανονικά</t>
  </si>
  <si>
    <t>283λ = προς Δ.Ο.Υ. δήλωση φόρου</t>
  </si>
  <si>
    <t>283μ = εκτός έδρας</t>
  </si>
  <si>
    <t>283λ = ΛΑΘΟΣ ΑΓΑΠΕ = προς Δ.Ο.Υ. δήλωση φόρου</t>
  </si>
  <si>
    <t>283μ = ΛΑΘΟΣ ΑΓΑΠΕ = εκτός έδρας</t>
  </si>
  <si>
    <t>283ν = ΛΑΘΟΣ ΑΓΑΠΕ = αιτήσεις προς Δ.Ο.Υ. στο αρχείο με χαρτόσημα</t>
  </si>
  <si>
    <t>283ξ = μεταγραφή</t>
  </si>
  <si>
    <t>283ξ = ΛΑΘΟΣ ΑΓΑΠΕ = επί μεταγραφών</t>
  </si>
  <si>
    <t>καταργηθήκανε τα κ-15-17</t>
  </si>
  <si>
    <t>καταργήθηκαν</t>
  </si>
  <si>
    <t>γονική</t>
  </si>
  <si>
    <t>σύσταση</t>
  </si>
  <si>
    <t>σύσταση &amp; γονική</t>
  </si>
  <si>
    <t>σύσταση και διανομή</t>
  </si>
  <si>
    <t>διανομή</t>
  </si>
  <si>
    <t>δωρεά</t>
  </si>
  <si>
    <t>δικαιωμ</t>
  </si>
  <si>
    <t>φυλλα</t>
  </si>
  <si>
    <t>δεν υπάρχει διαφοροποίηση</t>
  </si>
  <si>
    <t>283η = ΛΑΘΟΣ ΑΓΑΠΕ =  στην διαφοροποίηση της τιμής του αντιγράφου</t>
  </si>
  <si>
    <t xml:space="preserve">πράξεις = 8ος-6 </t>
  </si>
  <si>
    <t xml:space="preserve">πράξεις =από αρχείο καθυστερημένων μεταγραφών =9ος-(2ιπλή=1 ,τριπλή=3 ,τετραπλή=1) ,10ος-(2ιπλή=1 ,τριπλή=1) ,11ος-(2ιπλή=1 , τριπλή=1) ,12ος-(2ιπλή=4 , τριπλή=1 ,τετραπλή=1) </t>
  </si>
  <si>
    <t>283ο = έγγραφα αρχείου</t>
  </si>
  <si>
    <t>μήνας</t>
  </si>
  <si>
    <t>συμβολαίου</t>
  </si>
  <si>
    <t>τοπογραφικού</t>
  </si>
  <si>
    <t>διαθήκης</t>
  </si>
  <si>
    <t>οικΑδεια</t>
  </si>
  <si>
    <t>μεταγραφή</t>
  </si>
  <si>
    <t>τίτλο</t>
  </si>
  <si>
    <t>.οΤ.</t>
  </si>
  <si>
    <t>283ο = ΛΑΘΟΣ ΑΓΑΠΕ = κατά την πράξη ,  ΌΧΙ χρέωση φωτοτυπίας συμβολαίου , μεταγραφής , τοπογραφικού , διαθήκης , ΚΛΠ  συνημμένου από αρχείο</t>
  </si>
  <si>
    <t>283ε = ΛΑΘΟΣ ΑΓΑΠΕ = αθροιστικό σφάλμα στην κατάσταση = πλήρωσε λιγότερα στο κ-15-17 = κωδικός ''δίκη'' - 14</t>
  </si>
  <si>
    <t>γονική αγροτεμαχίου &amp; κτισμάτων =15.800.000</t>
  </si>
  <si>
    <t>γονική οικοπέδου =3.600.000</t>
  </si>
  <si>
    <t>οριζόντιος σύσταση</t>
  </si>
  <si>
    <t xml:space="preserve">γονική διαμερίσματος = 3.973.657 </t>
  </si>
  <si>
    <t>γονική αέρινης στήλης = 498.432</t>
  </si>
  <si>
    <t>κάθετος σύσταση</t>
  </si>
  <si>
    <t xml:space="preserve">μίσθωση αγροτεμαχίων για αγροτικά ( 40.000 ετησίως -10έτη = 400.000 ) </t>
  </si>
  <si>
    <t>είναι σε σούμα</t>
  </si>
  <si>
    <t>εξοφληση δανειου 1.200.000 &amp; υποθήκη εξάλειψη</t>
  </si>
  <si>
    <t>Μ.0 αριθμός συμβολαίων</t>
  </si>
  <si>
    <t>Μ.Ο. μηνιαία έσοδα</t>
  </si>
  <si>
    <t>πλήθος</t>
  </si>
  <si>
    <t>1996 = 500δρχ = 1,47</t>
  </si>
  <si>
    <t>2005-5ος = 4€</t>
  </si>
  <si>
    <t>2009-8ος = 6€</t>
  </si>
  <si>
    <t>χαριζω το υπόλοιπο 2005</t>
  </si>
  <si>
    <t>χαριζω το υπόλοιπο 2009</t>
  </si>
  <si>
    <t>έως 5ος</t>
  </si>
  <si>
    <t>283π = ΛΑΘΟΣ ΑΓΑΠΕ = κατά την πράξη ,  ΌΧΙ χρέωση αιτήσεων</t>
  </si>
  <si>
    <t>ΧΩΡΙΣ να βάλω ΖΗΛ-π.χ.-1</t>
  </si>
  <si>
    <t>283ρ = ΛΑΘΟΣ ΑΓΑΠΕ = κατά την πράξη ,  ΌΧΙ χρέωση υπεύθυνων δηλώσεων</t>
  </si>
  <si>
    <t>283π = αιτήσεις</t>
  </si>
  <si>
    <t>283ρ = υπεύθυνες δηλώσεις</t>
  </si>
  <si>
    <t>283τ = ΤΑΧΔΙΚ</t>
  </si>
  <si>
    <t>zηλ-π.χ.-1</t>
  </si>
  <si>
    <t xml:space="preserve">*11 = όχι χρέωση στον πολίτη πάγιο στις αναλογικές [ ΑΛΛΑ απόδοση στο ΤΑΝ (ΑΠΛΩΣ επειδή πάντα συμπλήρωνε τον3ο ή 4ο του επόμενου έτους το βιβλίο συμβολαίων { για τον εισαγγελέα} θυμόταν και τόγραφε)] </t>
  </si>
  <si>
    <t>283β-*11* = ΛΑΘΟΣ ΑΓΑΠΕ =  ΟΧΙ χρέωση παγίου στις αναλογικές  , …  κωδικός ''δίκη'' = 11</t>
  </si>
  <si>
    <t>283β-*11* = περί ΤΑΣ = πλήρωσε παραπάνω {= 281Ια*6/9}</t>
  </si>
  <si>
    <t>283β = ΛΑΘΟΣ ΑΓΑΠΕ =  ΟΧΙ χρέωση παγίου στις αναλογικές  , …  κωδικός ''δίκη'' = 11 , 12 , 13</t>
  </si>
  <si>
    <t>πράξεις</t>
  </si>
  <si>
    <t>130*1.000</t>
  </si>
  <si>
    <t xml:space="preserve">283σ </t>
  </si>
  <si>
    <t>σε€</t>
  </si>
  <si>
    <t>ΝΙΚΟΣ</t>
  </si>
  <si>
    <t>299-ποσόΦόρου</t>
  </si>
  <si>
    <t>283τ4 = ΤΑΧΔΙΚ στο αντίγραφο (ως ΕΣΟΔΟ) (1998-2019) …….. προσμετρούνται στα βιβλία εξόδων = 283τ4</t>
  </si>
  <si>
    <t>120/9ος</t>
  </si>
  <si>
    <t>3αναλογ</t>
  </si>
  <si>
    <t>283τ3 = ΤΑΧΔΙΚ (ΧΩΡΙΣ τιμολόγιο αγοράς = έξοδο) στο αντίγραφο (1998 έως σήμερα) ………. προσμετρούνται στα βιβλία εξόδων = ΤΑΜΕΙΑ-283τ3</t>
  </si>
  <si>
    <t>283τ2 = ΤΑΧΔΙΚ στο συμβόλαιο (ως ΕΣΟΔΟ) (1998-2018) ………….. προσμετρούνται στα βιβλία εξόδων = 283τ2</t>
  </si>
  <si>
    <t>2κληρΑπ</t>
  </si>
  <si>
    <t>δρχ</t>
  </si>
  <si>
    <t>για 291</t>
  </si>
  <si>
    <t>299-ποσό φόρου</t>
  </si>
  <si>
    <t>283σ11γ = πούλια (3.600)  (ΧΩΡΙΣ τιμολόγιο αγοράς = έξοδο) , αντί στο πορτοφόλι , ΧΑΡΤΟΣΗΜΑΣΜΕΝΑ στο συμβόλαιο (1998-2002) …….. = ΤΑΜΕΙΑ-283σ11γ</t>
  </si>
  <si>
    <t>283σ12γ = πούλια (3.600)  (ως έσοδο στα συμβόλαια) , αντί στο πορτοφόλι , ΧΑΡΤΟΣΗΜΑΣΜΕΝΑ στο συμβόλαιο (1998-2002)</t>
  </si>
  <si>
    <t>283σ11β = πούλια (υπερβάλλοντα ΤΑΧΔΙΚ)  (ΧΩΡΙΣ τιμολόγιο αγοράς = έξοδο) , αντί στο πορτοφόλι , ΧΑΡΤΟΣΗΜΑΣΜΕΝΑ στο συμβόλαιο (1998-2002) = … ΤΑΜΕΙΑ 283σ11β</t>
  </si>
  <si>
    <t>283φ</t>
  </si>
  <si>
    <t xml:space="preserve">αντίγραφο = 1 μ.ο. με 2 σελίδες Μ.Ο. </t>
  </si>
  <si>
    <t>ΤΑΧΔΙΚ = 1 Μ.Ο.</t>
  </si>
  <si>
    <t>283τ7 = χαρτόσημα στα Τ.Π.Υ. &amp; Α.Π.Υ (ΧΩΡΙΣ τιμολόγιο αγοράς = έξοδο) (1998-2019)………. προσμετρούνται στα βιβλία εξόδων = ΤΑΜΕΙΑ - 283τ7</t>
  </si>
  <si>
    <t>283τ8 = χαρτόσημα (ως έσοδο) στα Τ.Π.Υ. &amp; Α.Π.Υ (1998-2019) ….. προσμετρούνται στα βιβλία εξόδων = 283τ8</t>
  </si>
  <si>
    <t>283τ5 = χαρτόσημα ΤΑΝ(5%) -ΤΑΣ(6%) (ΧΩΡΙΣ τιμολόγιο αγοράς = έξοδο) στο αντίγραφο (1998 έως 2016-6ο) ………. προσμετρούνται στα βιβλία εξόδων = ΤΑΜΕΙΑ-283τ(5-6)</t>
  </si>
  <si>
    <t>283τ6 = χαρτόσημα ΤΑΝ(5%) -ΤΑΣ(6%) στο αντίγραφο (ως ΕΣΟΔΟ) (1998-2016/6ο) …….. προσμετρούνται στα βιβλία εξόδων = 283τ(5-6)</t>
  </si>
  <si>
    <t>283σ11δ2 = πούλια (διπλοΠληρωμή ΤΑΝ - ΤΑΣ)  (ΧΩΡΙΣ τιμολόγιο αγοράς = έξοδο) , &amp; κατάσταση &amp; ΧΑΡΤΟΣΗΜΑΣΜΕΝΑ στο συμβόλαιο (1998-2003) …. =ΤΑΜΕΙΑ-283σ11δ2</t>
  </si>
  <si>
    <t>283σ11δ1 = πούλια ΤΑΝ - ΤΑΣ  (ΧΩΡΙΣ τιμολόγιο αγοράς = έξοδο) , ΧΑΡΤΟΣΗΜΑΣΜΕΝΑ στο συμβόλαιο (1998-2003) …. =ΤΑΜΕΙΑ-283σ11δ1</t>
  </si>
  <si>
    <t>283σ12δ1 = πούλια ΤΑΝ - ΤΑΣ  (ως έσοδο στα συμβόλαια) , ΧΑΡΤΟΣΗΜΑΣΜΕΝΑ στο συμβόλαιο (1998-2003)</t>
  </si>
  <si>
    <t>283σ12δ2 = πούλια (διπλοΠληρωμή ΤΑΝ - ΤΑΣ)  (ως έσοδο στα συμβόλαια) , &amp; κατάσταση μηνός &amp; ΧΑΡΤΟΣΗΜΑΣΜΕΝΑ στο συμβόλαιο (1998-2003)</t>
  </si>
  <si>
    <t>283σ11ζ = πούλια (''κινητόν επίσημα'')  (ΧΩΡΙΣ τιμολόγιο αγοράς = έξοδο) , ΧΑΡΤΟΣΗΜΑΣΜΕΝΑ στο συμβόλαιο (1998-2002) …… = ΤΑΜΕΙΑ-283Σ11ζ</t>
  </si>
  <si>
    <t>??</t>
  </si>
  <si>
    <t>2 αιτήσεις</t>
  </si>
  <si>
    <t>πακέτο</t>
  </si>
  <si>
    <t>φόρος</t>
  </si>
  <si>
    <t>zηλ-1</t>
  </si>
  <si>
    <t>283τ1 = ΤΑΧΔΙΚ (ΧΩΡΙΣ τιμολόγιο αγοράς = έξοδο) ΧΑΡΤΟΣΗΜΑΣΜΕΝΟ στο συμβόλαιο (1998 έως σήμερα) …………… προσμετρούνται στα βιβλία εξόδων = ΤΑΜΕΙΑ-283τ1</t>
  </si>
  <si>
    <t>283σ12ζ = πούλια (''κινητόν επίσημα'')  (ΧΩΡΙΣ τιμολόγιο αγοράς = έσοδο) , ΧΑΡΤΟΣΗΜΑΣΜΕΝΑ στο συμβόλαιο (1998-2002) …… = ΤΑΜΕΙΑ-283Σ11ζ</t>
  </si>
  <si>
    <t>283σ12β = πούλια (υπερβάλλοντα ΤΑΧΔΙΚ) αντί στο πορτοφόλι , ΧΑΡΤΟΣΗΜΑΣΜΕΝΑ στο συμβόλαιο  (ως έσοδο στο συμβόλαιο) , (1998-2002)</t>
  </si>
  <si>
    <t>βάσει rochild</t>
  </si>
  <si>
    <t>ΤΑΧΔΙΚ = 1 Μ.Ο. αντίγραφα</t>
  </si>
  <si>
    <t>Μ.Ο.</t>
  </si>
  <si>
    <t>ΜΕ επικαρπία</t>
  </si>
  <si>
    <t>συμβολαιογράφοι 2.000 έως 2022</t>
  </si>
  <si>
    <t>συμβολαιογράφοι 1.980 έως 1.999</t>
  </si>
  <si>
    <t>συμβολαιογράφοι 1.960 έως 1.979</t>
  </si>
  <si>
    <t>2αιτΥποθ</t>
  </si>
  <si>
    <t>3 ΤΑΧΔΙΚ στο σχέδιο των δικηγόρων</t>
  </si>
  <si>
    <t>3 ΤΑΧΔΙΚ = 2 φορές εκτύπωση συμβόλαιο &amp; χαρτοσήμανση</t>
  </si>
  <si>
    <t>*1=αντίγραφο ΕΠΙΠΛΕΟΝ 3€</t>
  </si>
  <si>
    <t>βάσει ΤΑΝ</t>
  </si>
  <si>
    <t>;;??</t>
  </si>
  <si>
    <t>;;???</t>
  </si>
  <si>
    <t>;;;???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</si>
</sst>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d/m;@"/>
    <numFmt numFmtId="166" formatCode="0.000%"/>
    <numFmt numFmtId="167" formatCode="d/m/yyyy;@"/>
  </numFmts>
  <fonts count="2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sz val="12"/>
      <color rgb="FF0070C0"/>
      <name val="Arial"/>
      <family val="2"/>
      <charset val="161"/>
    </font>
    <font>
      <sz val="1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0"/>
      <color rgb="FF0070C0"/>
      <name val="Arial"/>
      <family val="2"/>
      <charset val="161"/>
    </font>
    <font>
      <sz val="14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rgb="FF0070C0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8"/>
      <name val="Arial"/>
      <family val="2"/>
      <charset val="161"/>
    </font>
    <font>
      <b/>
      <sz val="8"/>
      <color rgb="FF0070C0"/>
      <name val="Arial"/>
      <family val="2"/>
      <charset val="16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9">
    <xf numFmtId="0" fontId="0" fillId="0" borderId="0" xfId="0"/>
    <xf numFmtId="0" fontId="3" fillId="0" borderId="1" xfId="0" applyFont="1" applyBorder="1"/>
    <xf numFmtId="0" fontId="3" fillId="0" borderId="0" xfId="0" applyFont="1"/>
    <xf numFmtId="43" fontId="3" fillId="4" borderId="1" xfId="1" applyFont="1" applyFill="1" applyBorder="1"/>
    <xf numFmtId="43" fontId="3" fillId="0" borderId="1" xfId="1" applyFont="1" applyFill="1" applyBorder="1"/>
    <xf numFmtId="0" fontId="4" fillId="0" borderId="0" xfId="0" applyFont="1"/>
    <xf numFmtId="43" fontId="3" fillId="0" borderId="0" xfId="1" applyFont="1"/>
    <xf numFmtId="0" fontId="3" fillId="0" borderId="5" xfId="0" applyFont="1" applyBorder="1"/>
    <xf numFmtId="43" fontId="3" fillId="5" borderId="1" xfId="1" applyFont="1" applyFill="1" applyBorder="1"/>
    <xf numFmtId="43" fontId="3" fillId="5" borderId="5" xfId="1" applyFont="1" applyFill="1" applyBorder="1"/>
    <xf numFmtId="0" fontId="0" fillId="0" borderId="0" xfId="0" applyFont="1"/>
    <xf numFmtId="0" fontId="0" fillId="0" borderId="5" xfId="0" applyFont="1" applyBorder="1"/>
    <xf numFmtId="43" fontId="0" fillId="5" borderId="5" xfId="1" applyFont="1" applyFill="1" applyBorder="1"/>
    <xf numFmtId="0" fontId="0" fillId="0" borderId="1" xfId="0" applyFont="1" applyBorder="1"/>
    <xf numFmtId="43" fontId="0" fillId="5" borderId="1" xfId="1" applyFont="1" applyFill="1" applyBorder="1"/>
    <xf numFmtId="0" fontId="5" fillId="0" borderId="0" xfId="0" applyFont="1"/>
    <xf numFmtId="43" fontId="0" fillId="0" borderId="0" xfId="1" applyFont="1"/>
    <xf numFmtId="43" fontId="0" fillId="4" borderId="1" xfId="1" applyFont="1" applyFill="1" applyBorder="1"/>
    <xf numFmtId="43" fontId="0" fillId="4" borderId="1" xfId="1" applyFont="1" applyFill="1" applyBorder="1" applyAlignment="1">
      <alignment horizontal="center"/>
    </xf>
    <xf numFmtId="43" fontId="0" fillId="4" borderId="5" xfId="1" applyFont="1" applyFill="1" applyBorder="1"/>
    <xf numFmtId="43" fontId="0" fillId="0" borderId="0" xfId="0" applyNumberFormat="1" applyFont="1"/>
    <xf numFmtId="43" fontId="0" fillId="0" borderId="1" xfId="1" applyFont="1" applyFill="1" applyBorder="1"/>
    <xf numFmtId="0" fontId="0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43" fontId="3" fillId="4" borderId="1" xfId="1" applyFont="1" applyFill="1" applyBorder="1" applyAlignment="1">
      <alignment horizontal="center"/>
    </xf>
    <xf numFmtId="43" fontId="0" fillId="2" borderId="1" xfId="1" applyFont="1" applyFill="1" applyBorder="1"/>
    <xf numFmtId="0" fontId="0" fillId="2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0" fontId="0" fillId="4" borderId="1" xfId="0" applyFont="1" applyFill="1" applyBorder="1"/>
    <xf numFmtId="43" fontId="6" fillId="0" borderId="1" xfId="1" applyFont="1" applyFill="1" applyBorder="1"/>
    <xf numFmtId="43" fontId="6" fillId="0" borderId="1" xfId="1" applyFont="1" applyBorder="1"/>
    <xf numFmtId="0" fontId="6" fillId="0" borderId="0" xfId="0" applyFont="1"/>
    <xf numFmtId="43" fontId="0" fillId="0" borderId="1" xfId="1" applyFont="1" applyBorder="1"/>
    <xf numFmtId="0" fontId="0" fillId="0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43" fontId="0" fillId="0" borderId="5" xfId="1" applyFont="1" applyFill="1" applyBorder="1"/>
    <xf numFmtId="0" fontId="0" fillId="0" borderId="11" xfId="0" applyFont="1" applyBorder="1" applyAlignment="1"/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Font="1" applyFill="1"/>
    <xf numFmtId="0" fontId="5" fillId="0" borderId="0" xfId="0" applyFont="1" applyAlignment="1">
      <alignment wrapText="1"/>
    </xf>
    <xf numFmtId="43" fontId="0" fillId="7" borderId="1" xfId="1" applyFont="1" applyFill="1" applyBorder="1"/>
    <xf numFmtId="0" fontId="7" fillId="0" borderId="1" xfId="0" applyFont="1" applyBorder="1"/>
    <xf numFmtId="164" fontId="0" fillId="0" borderId="1" xfId="1" applyNumberFormat="1" applyFont="1" applyBorder="1"/>
    <xf numFmtId="165" fontId="0" fillId="0" borderId="1" xfId="1" applyNumberFormat="1" applyFont="1" applyBorder="1"/>
    <xf numFmtId="43" fontId="3" fillId="0" borderId="1" xfId="1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2" fillId="0" borderId="1" xfId="1" applyNumberFormat="1" applyFont="1" applyBorder="1" applyAlignment="1"/>
    <xf numFmtId="164" fontId="2" fillId="0" borderId="1" xfId="1" applyNumberFormat="1" applyFont="1" applyBorder="1"/>
    <xf numFmtId="164" fontId="1" fillId="0" borderId="1" xfId="1" applyNumberFormat="1" applyFont="1" applyBorder="1" applyAlignment="1"/>
    <xf numFmtId="164" fontId="0" fillId="0" borderId="0" xfId="1" applyNumberFormat="1" applyFo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3" fontId="3" fillId="4" borderId="5" xfId="1" applyFont="1" applyFill="1" applyBorder="1"/>
    <xf numFmtId="0" fontId="5" fillId="0" borderId="0" xfId="0" applyFont="1" applyAlignment="1"/>
    <xf numFmtId="0" fontId="3" fillId="0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3" fontId="6" fillId="7" borderId="1" xfId="1" applyFont="1" applyFill="1" applyBorder="1"/>
    <xf numFmtId="164" fontId="0" fillId="0" borderId="1" xfId="1" applyNumberFormat="1" applyFont="1" applyBorder="1" applyAlignment="1"/>
    <xf numFmtId="43" fontId="2" fillId="0" borderId="1" xfId="1" applyFont="1" applyBorder="1"/>
    <xf numFmtId="0" fontId="0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3" fillId="2" borderId="5" xfId="0" applyFont="1" applyFill="1" applyBorder="1"/>
    <xf numFmtId="10" fontId="3" fillId="0" borderId="5" xfId="0" applyNumberFormat="1" applyFont="1" applyFill="1" applyBorder="1"/>
    <xf numFmtId="166" fontId="3" fillId="0" borderId="5" xfId="0" applyNumberFormat="1" applyFont="1" applyFill="1" applyBorder="1"/>
    <xf numFmtId="43" fontId="2" fillId="7" borderId="1" xfId="1" applyFont="1" applyFill="1" applyBorder="1"/>
    <xf numFmtId="43" fontId="0" fillId="7" borderId="0" xfId="1" applyFont="1" applyFill="1"/>
    <xf numFmtId="164" fontId="3" fillId="4" borderId="5" xfId="1" applyNumberFormat="1" applyFont="1" applyFill="1" applyBorder="1"/>
    <xf numFmtId="43" fontId="3" fillId="0" borderId="0" xfId="1" applyFont="1" applyFill="1" applyBorder="1"/>
    <xf numFmtId="43" fontId="3" fillId="0" borderId="0" xfId="1" applyFont="1" applyBorder="1"/>
    <xf numFmtId="10" fontId="2" fillId="0" borderId="4" xfId="0" applyNumberFormat="1" applyFont="1" applyBorder="1" applyAlignment="1"/>
    <xf numFmtId="43" fontId="1" fillId="7" borderId="1" xfId="1" applyFont="1" applyFill="1" applyBorder="1"/>
    <xf numFmtId="0" fontId="6" fillId="7" borderId="8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0" fillId="4" borderId="5" xfId="0" applyFont="1" applyFill="1" applyBorder="1"/>
    <xf numFmtId="0" fontId="6" fillId="9" borderId="8" xfId="0" applyFont="1" applyFill="1" applyBorder="1" applyAlignment="1">
      <alignment horizontal="center" wrapText="1"/>
    </xf>
    <xf numFmtId="43" fontId="6" fillId="9" borderId="1" xfId="1" applyFont="1" applyFill="1" applyBorder="1"/>
    <xf numFmtId="43" fontId="0" fillId="9" borderId="1" xfId="1" applyFont="1" applyFill="1" applyBorder="1"/>
    <xf numFmtId="0" fontId="2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4" xfId="0" applyFill="1" applyBorder="1" applyAlignment="1"/>
    <xf numFmtId="0" fontId="0" fillId="0" borderId="0" xfId="0" applyFill="1" applyAlignment="1"/>
    <xf numFmtId="0" fontId="6" fillId="3" borderId="8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43" fontId="7" fillId="0" borderId="1" xfId="1" applyFont="1" applyBorder="1"/>
    <xf numFmtId="0" fontId="6" fillId="9" borderId="7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6" fillId="6" borderId="7" xfId="0" applyFont="1" applyFill="1" applyBorder="1" applyAlignment="1">
      <alignment wrapText="1"/>
    </xf>
    <xf numFmtId="0" fontId="9" fillId="6" borderId="21" xfId="0" applyFont="1" applyFill="1" applyBorder="1" applyAlignment="1">
      <alignment wrapText="1"/>
    </xf>
    <xf numFmtId="0" fontId="9" fillId="6" borderId="7" xfId="0" applyFont="1" applyFill="1" applyBorder="1" applyAlignment="1">
      <alignment wrapText="1"/>
    </xf>
    <xf numFmtId="0" fontId="9" fillId="9" borderId="7" xfId="0" applyFont="1" applyFill="1" applyBorder="1" applyAlignment="1">
      <alignment wrapText="1"/>
    </xf>
    <xf numFmtId="43" fontId="3" fillId="12" borderId="0" xfId="1" applyFont="1" applyFill="1" applyBorder="1"/>
    <xf numFmtId="43" fontId="3" fillId="12" borderId="0" xfId="1" applyFont="1" applyFill="1"/>
    <xf numFmtId="0" fontId="0" fillId="0" borderId="4" xfId="0" applyFon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/>
    <xf numFmtId="0" fontId="0" fillId="2" borderId="0" xfId="0" applyFill="1" applyAlignment="1"/>
    <xf numFmtId="0" fontId="3" fillId="6" borderId="7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43" fontId="3" fillId="4" borderId="5" xfId="1" applyFont="1" applyFill="1" applyBorder="1" applyAlignment="1">
      <alignment horizontal="center"/>
    </xf>
    <xf numFmtId="0" fontId="9" fillId="3" borderId="7" xfId="0" applyFont="1" applyFill="1" applyBorder="1" applyAlignment="1">
      <alignment wrapText="1"/>
    </xf>
    <xf numFmtId="0" fontId="9" fillId="3" borderId="21" xfId="0" applyFont="1" applyFill="1" applyBorder="1" applyAlignment="1">
      <alignment wrapText="1"/>
    </xf>
    <xf numFmtId="43" fontId="0" fillId="9" borderId="1" xfId="0" applyNumberFormat="1" applyFont="1" applyFill="1" applyBorder="1"/>
    <xf numFmtId="0" fontId="0" fillId="0" borderId="0" xfId="0" applyAlignment="1">
      <alignment horizontal="right"/>
    </xf>
    <xf numFmtId="43" fontId="6" fillId="0" borderId="0" xfId="1" applyFont="1"/>
    <xf numFmtId="43" fontId="6" fillId="9" borderId="1" xfId="0" applyNumberFormat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3" fontId="5" fillId="0" borderId="0" xfId="0" applyNumberFormat="1" applyFont="1" applyAlignment="1"/>
    <xf numFmtId="43" fontId="2" fillId="0" borderId="3" xfId="1" applyFont="1" applyBorder="1" applyAlignment="1">
      <alignment horizontal="center"/>
    </xf>
    <xf numFmtId="43" fontId="3" fillId="0" borderId="5" xfId="1" applyFont="1" applyFill="1" applyBorder="1"/>
    <xf numFmtId="43" fontId="2" fillId="5" borderId="1" xfId="1" applyFont="1" applyFill="1" applyBorder="1"/>
    <xf numFmtId="164" fontId="3" fillId="0" borderId="5" xfId="1" applyNumberFormat="1" applyFont="1" applyFill="1" applyBorder="1"/>
    <xf numFmtId="0" fontId="0" fillId="0" borderId="0" xfId="0" applyFont="1" applyFill="1" applyAlignment="1"/>
    <xf numFmtId="0" fontId="3" fillId="0" borderId="0" xfId="0" applyFont="1" applyFill="1" applyAlignment="1"/>
    <xf numFmtId="0" fontId="2" fillId="0" borderId="0" xfId="0" applyFont="1"/>
    <xf numFmtId="43" fontId="2" fillId="0" borderId="0" xfId="0" applyNumberFormat="1" applyFont="1"/>
    <xf numFmtId="164" fontId="3" fillId="5" borderId="5" xfId="1" applyNumberFormat="1" applyFont="1" applyFill="1" applyBorder="1"/>
    <xf numFmtId="43" fontId="3" fillId="5" borderId="1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0" fontId="0" fillId="0" borderId="0" xfId="0" applyAlignment="1"/>
    <xf numFmtId="0" fontId="2" fillId="0" borderId="15" xfId="0" applyFont="1" applyFill="1" applyBorder="1" applyAlignment="1"/>
    <xf numFmtId="43" fontId="0" fillId="0" borderId="3" xfId="1" applyFont="1" applyBorder="1" applyAlignment="1"/>
    <xf numFmtId="43" fontId="2" fillId="0" borderId="1" xfId="1" applyFont="1" applyFill="1" applyBorder="1"/>
    <xf numFmtId="0" fontId="2" fillId="0" borderId="2" xfId="0" applyFont="1" applyFill="1" applyBorder="1" applyAlignment="1"/>
    <xf numFmtId="0" fontId="2" fillId="0" borderId="1" xfId="0" applyFont="1" applyFill="1" applyBorder="1" applyAlignment="1"/>
    <xf numFmtId="0" fontId="0" fillId="0" borderId="1" xfId="0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/>
    </xf>
    <xf numFmtId="43" fontId="2" fillId="5" borderId="2" xfId="1" applyFont="1" applyFill="1" applyBorder="1" applyAlignment="1">
      <alignment horizontal="center"/>
    </xf>
    <xf numFmtId="43" fontId="2" fillId="5" borderId="6" xfId="1" applyFont="1" applyFill="1" applyBorder="1" applyAlignment="1">
      <alignment horizontal="center"/>
    </xf>
    <xf numFmtId="43" fontId="2" fillId="5" borderId="3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13" fillId="0" borderId="0" xfId="0" applyFont="1" applyAlignment="1">
      <alignment horizontal="center"/>
    </xf>
    <xf numFmtId="43" fontId="2" fillId="0" borderId="0" xfId="1" applyFont="1"/>
    <xf numFmtId="43" fontId="4" fillId="4" borderId="1" xfId="1" applyFont="1" applyFill="1" applyBorder="1"/>
    <xf numFmtId="43" fontId="0" fillId="10" borderId="5" xfId="1" applyFont="1" applyFill="1" applyBorder="1"/>
    <xf numFmtId="43" fontId="3" fillId="0" borderId="0" xfId="0" applyNumberFormat="1" applyFont="1"/>
    <xf numFmtId="0" fontId="3" fillId="0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164" fontId="3" fillId="0" borderId="0" xfId="1" applyNumberFormat="1" applyFont="1"/>
    <xf numFmtId="164" fontId="3" fillId="10" borderId="0" xfId="1" applyNumberFormat="1" applyFont="1" applyFill="1"/>
    <xf numFmtId="0" fontId="3" fillId="2" borderId="7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43" fontId="3" fillId="0" borderId="7" xfId="1" applyFont="1" applyBorder="1"/>
    <xf numFmtId="0" fontId="3" fillId="0" borderId="7" xfId="0" applyFont="1" applyBorder="1"/>
    <xf numFmtId="43" fontId="3" fillId="0" borderId="5" xfId="0" applyNumberFormat="1" applyFont="1" applyFill="1" applyBorder="1"/>
    <xf numFmtId="43" fontId="3" fillId="0" borderId="5" xfId="1" applyFont="1" applyBorder="1"/>
    <xf numFmtId="43" fontId="3" fillId="0" borderId="1" xfId="0" applyNumberFormat="1" applyFont="1" applyFill="1" applyBorder="1"/>
    <xf numFmtId="43" fontId="3" fillId="0" borderId="1" xfId="1" applyFont="1" applyFill="1" applyBorder="1" applyAlignment="1">
      <alignment horizontal="center"/>
    </xf>
    <xf numFmtId="43" fontId="14" fillId="0" borderId="1" xfId="1" applyFont="1" applyBorder="1"/>
    <xf numFmtId="164" fontId="3" fillId="0" borderId="0" xfId="1" applyNumberFormat="1" applyFont="1" applyFill="1" applyBorder="1"/>
    <xf numFmtId="164" fontId="3" fillId="4" borderId="1" xfId="1" applyNumberFormat="1" applyFont="1" applyFill="1" applyBorder="1"/>
    <xf numFmtId="164" fontId="3" fillId="4" borderId="1" xfId="1" applyNumberFormat="1" applyFont="1" applyFill="1" applyBorder="1" applyAlignment="1">
      <alignment horizontal="center"/>
    </xf>
    <xf numFmtId="43" fontId="3" fillId="2" borderId="1" xfId="1" applyFont="1" applyFill="1" applyBorder="1"/>
    <xf numFmtId="0" fontId="3" fillId="0" borderId="7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64" fontId="3" fillId="10" borderId="5" xfId="1" applyNumberFormat="1" applyFont="1" applyFill="1" applyBorder="1"/>
    <xf numFmtId="43" fontId="3" fillId="13" borderId="5" xfId="1" applyFont="1" applyFill="1" applyBorder="1"/>
    <xf numFmtId="164" fontId="3" fillId="0" borderId="1" xfId="1" applyNumberFormat="1" applyFont="1" applyFill="1" applyBorder="1"/>
    <xf numFmtId="43" fontId="3" fillId="13" borderId="1" xfId="1" applyFont="1" applyFill="1" applyBorder="1"/>
    <xf numFmtId="164" fontId="3" fillId="5" borderId="1" xfId="1" applyNumberFormat="1" applyFont="1" applyFill="1" applyBorder="1" applyAlignment="1">
      <alignment horizontal="center"/>
    </xf>
    <xf numFmtId="0" fontId="3" fillId="3" borderId="0" xfId="0" applyFont="1" applyFill="1"/>
    <xf numFmtId="43" fontId="3" fillId="10" borderId="5" xfId="1" applyFont="1" applyFill="1" applyBorder="1"/>
    <xf numFmtId="43" fontId="3" fillId="10" borderId="5" xfId="1" applyFont="1" applyFill="1" applyBorder="1" applyAlignment="1">
      <alignment horizontal="center"/>
    </xf>
    <xf numFmtId="43" fontId="3" fillId="10" borderId="1" xfId="1" applyFont="1" applyFill="1" applyBorder="1"/>
    <xf numFmtId="0" fontId="15" fillId="0" borderId="0" xfId="0" applyFont="1" applyAlignment="1">
      <alignment horizontal="center"/>
    </xf>
    <xf numFmtId="164" fontId="3" fillId="10" borderId="1" xfId="1" applyNumberFormat="1" applyFont="1" applyFill="1" applyBorder="1"/>
    <xf numFmtId="43" fontId="3" fillId="10" borderId="1" xfId="1" applyFont="1" applyFill="1" applyBorder="1" applyAlignment="1">
      <alignment horizontal="center"/>
    </xf>
    <xf numFmtId="43" fontId="3" fillId="7" borderId="1" xfId="1" applyFont="1" applyFill="1" applyBorder="1"/>
    <xf numFmtId="43" fontId="3" fillId="3" borderId="1" xfId="1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5" borderId="0" xfId="1" applyNumberFormat="1" applyFont="1" applyFill="1"/>
    <xf numFmtId="164" fontId="3" fillId="0" borderId="0" xfId="1" applyNumberFormat="1" applyFont="1" applyFill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10" borderId="0" xfId="0" applyFont="1" applyFill="1" applyAlignment="1">
      <alignment horizontal="center"/>
    </xf>
    <xf numFmtId="0" fontId="15" fillId="0" borderId="0" xfId="0" applyFont="1"/>
    <xf numFmtId="0" fontId="16" fillId="0" borderId="12" xfId="0" applyFont="1" applyFill="1" applyBorder="1" applyAlignment="1">
      <alignment horizontal="center" wrapText="1"/>
    </xf>
    <xf numFmtId="43" fontId="7" fillId="0" borderId="5" xfId="1" applyNumberFormat="1" applyFont="1" applyFill="1" applyBorder="1"/>
    <xf numFmtId="0" fontId="3" fillId="6" borderId="9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164" fontId="7" fillId="5" borderId="5" xfId="1" applyNumberFormat="1" applyFont="1" applyFill="1" applyBorder="1"/>
    <xf numFmtId="164" fontId="7" fillId="0" borderId="5" xfId="1" applyNumberFormat="1" applyFont="1" applyFill="1" applyBorder="1"/>
    <xf numFmtId="43" fontId="7" fillId="0" borderId="5" xfId="1" applyFont="1" applyFill="1" applyBorder="1"/>
    <xf numFmtId="164" fontId="7" fillId="0" borderId="1" xfId="1" applyNumberFormat="1" applyFont="1" applyFill="1" applyBorder="1"/>
    <xf numFmtId="43" fontId="7" fillId="0" borderId="1" xfId="1" applyFont="1" applyFill="1" applyBorder="1"/>
    <xf numFmtId="0" fontId="3" fillId="0" borderId="4" xfId="0" applyFont="1" applyBorder="1" applyAlignment="1">
      <alignment horizontal="center"/>
    </xf>
    <xf numFmtId="43" fontId="7" fillId="13" borderId="1" xfId="1" applyFont="1" applyFill="1" applyBorder="1"/>
    <xf numFmtId="43" fontId="7" fillId="13" borderId="5" xfId="1" applyFont="1" applyFill="1" applyBorder="1"/>
    <xf numFmtId="164" fontId="7" fillId="13" borderId="1" xfId="1" applyNumberFormat="1" applyFont="1" applyFill="1" applyBorder="1"/>
    <xf numFmtId="43" fontId="7" fillId="13" borderId="1" xfId="1" applyFont="1" applyFill="1" applyBorder="1" applyAlignment="1">
      <alignment horizontal="center"/>
    </xf>
    <xf numFmtId="43" fontId="17" fillId="4" borderId="0" xfId="1" applyFont="1" applyFill="1" applyBorder="1"/>
    <xf numFmtId="0" fontId="7" fillId="0" borderId="0" xfId="0" applyFont="1"/>
    <xf numFmtId="0" fontId="3" fillId="0" borderId="1" xfId="0" applyFont="1" applyBorder="1" applyAlignment="1"/>
    <xf numFmtId="164" fontId="7" fillId="5" borderId="1" xfId="1" applyNumberFormat="1" applyFont="1" applyFill="1" applyBorder="1"/>
    <xf numFmtId="0" fontId="3" fillId="0" borderId="1" xfId="0" applyFont="1" applyFill="1" applyBorder="1" applyAlignment="1"/>
    <xf numFmtId="0" fontId="3" fillId="0" borderId="5" xfId="0" applyFont="1" applyFill="1" applyBorder="1" applyAlignment="1"/>
    <xf numFmtId="164" fontId="7" fillId="13" borderId="5" xfId="1" applyNumberFormat="1" applyFont="1" applyFill="1" applyBorder="1"/>
    <xf numFmtId="43" fontId="17" fillId="2" borderId="0" xfId="1" applyFont="1" applyFill="1" applyBorder="1"/>
    <xf numFmtId="43" fontId="7" fillId="0" borderId="1" xfId="1" applyFont="1" applyFill="1" applyBorder="1" applyAlignment="1">
      <alignment horizontal="center"/>
    </xf>
    <xf numFmtId="43" fontId="7" fillId="11" borderId="1" xfId="1" applyFont="1" applyFill="1" applyBorder="1"/>
    <xf numFmtId="164" fontId="7" fillId="11" borderId="1" xfId="1" applyNumberFormat="1" applyFont="1" applyFill="1" applyBorder="1"/>
    <xf numFmtId="43" fontId="0" fillId="0" borderId="1" xfId="1" applyFont="1" applyFill="1" applyBorder="1" applyAlignment="1"/>
    <xf numFmtId="43" fontId="0" fillId="13" borderId="1" xfId="1" applyFont="1" applyFill="1" applyBorder="1" applyAlignment="1"/>
    <xf numFmtId="43" fontId="0" fillId="0" borderId="5" xfId="1" applyFont="1" applyFill="1" applyBorder="1" applyAlignment="1"/>
    <xf numFmtId="43" fontId="0" fillId="13" borderId="1" xfId="1" applyFont="1" applyFill="1" applyBorder="1"/>
    <xf numFmtId="43" fontId="3" fillId="13" borderId="1" xfId="1" applyFont="1" applyFill="1" applyBorder="1" applyAlignment="1">
      <alignment horizontal="center"/>
    </xf>
    <xf numFmtId="43" fontId="0" fillId="13" borderId="5" xfId="1" applyFont="1" applyFill="1" applyBorder="1"/>
    <xf numFmtId="0" fontId="3" fillId="10" borderId="0" xfId="0" applyFont="1" applyFill="1"/>
    <xf numFmtId="164" fontId="3" fillId="5" borderId="0" xfId="0" applyNumberFormat="1" applyFont="1" applyFill="1"/>
    <xf numFmtId="164" fontId="3" fillId="0" borderId="0" xfId="0" applyNumberFormat="1" applyFont="1" applyFill="1"/>
    <xf numFmtId="0" fontId="3" fillId="0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0" borderId="5" xfId="0" applyFont="1" applyBorder="1"/>
    <xf numFmtId="43" fontId="2" fillId="5" borderId="5" xfId="1" applyFont="1" applyFill="1" applyBorder="1"/>
    <xf numFmtId="43" fontId="2" fillId="0" borderId="5" xfId="1" applyFont="1" applyFill="1" applyBorder="1"/>
    <xf numFmtId="0" fontId="2" fillId="0" borderId="1" xfId="0" applyFont="1" applyBorder="1"/>
    <xf numFmtId="43" fontId="2" fillId="4" borderId="1" xfId="1" applyFont="1" applyFill="1" applyBorder="1"/>
    <xf numFmtId="43" fontId="2" fillId="4" borderId="5" xfId="1" applyFont="1" applyFill="1" applyBorder="1"/>
    <xf numFmtId="0" fontId="18" fillId="0" borderId="0" xfId="0" applyFont="1" applyAlignment="1"/>
    <xf numFmtId="0" fontId="18" fillId="0" borderId="0" xfId="0" applyFont="1" applyAlignment="1">
      <alignment wrapText="1"/>
    </xf>
    <xf numFmtId="43" fontId="18" fillId="0" borderId="0" xfId="0" applyNumberFormat="1" applyFont="1"/>
    <xf numFmtId="43" fontId="18" fillId="0" borderId="0" xfId="1" applyFont="1"/>
    <xf numFmtId="164" fontId="2" fillId="0" borderId="0" xfId="1" applyNumberFormat="1" applyFont="1"/>
    <xf numFmtId="0" fontId="18" fillId="0" borderId="0" xfId="0" applyFont="1"/>
    <xf numFmtId="0" fontId="2" fillId="10" borderId="0" xfId="0" applyFont="1" applyFill="1"/>
    <xf numFmtId="0" fontId="11" fillId="0" borderId="0" xfId="0" applyFont="1"/>
    <xf numFmtId="14" fontId="11" fillId="0" borderId="0" xfId="0" applyNumberFormat="1" applyFont="1"/>
    <xf numFmtId="0" fontId="3" fillId="2" borderId="0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164" fontId="2" fillId="0" borderId="0" xfId="0" applyNumberFormat="1" applyFont="1"/>
    <xf numFmtId="0" fontId="3" fillId="13" borderId="0" xfId="0" applyFont="1" applyFill="1"/>
    <xf numFmtId="164" fontId="3" fillId="10" borderId="0" xfId="0" applyNumberFormat="1" applyFont="1" applyFill="1"/>
    <xf numFmtId="43" fontId="3" fillId="11" borderId="5" xfId="1" applyFont="1" applyFill="1" applyBorder="1"/>
    <xf numFmtId="164" fontId="3" fillId="0" borderId="5" xfId="1" applyNumberFormat="1" applyFont="1" applyFill="1" applyBorder="1" applyAlignment="1">
      <alignment horizontal="center"/>
    </xf>
    <xf numFmtId="164" fontId="3" fillId="11" borderId="5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3" fillId="13" borderId="5" xfId="1" applyNumberFormat="1" applyFont="1" applyFill="1" applyBorder="1" applyAlignment="1">
      <alignment horizontal="center"/>
    </xf>
    <xf numFmtId="164" fontId="3" fillId="13" borderId="5" xfId="0" applyNumberFormat="1" applyFont="1" applyFill="1" applyBorder="1"/>
    <xf numFmtId="0" fontId="2" fillId="0" borderId="0" xfId="0" applyFont="1" applyFill="1"/>
    <xf numFmtId="0" fontId="18" fillId="0" borderId="0" xfId="0" applyFont="1" applyFill="1"/>
    <xf numFmtId="43" fontId="2" fillId="0" borderId="0" xfId="1" applyFont="1" applyFill="1"/>
    <xf numFmtId="164" fontId="2" fillId="0" borderId="0" xfId="1" applyNumberFormat="1" applyFont="1" applyFill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1" xfId="0" applyFont="1" applyFill="1" applyBorder="1"/>
    <xf numFmtId="0" fontId="20" fillId="0" borderId="0" xfId="0" applyFont="1"/>
    <xf numFmtId="0" fontId="21" fillId="0" borderId="0" xfId="0" applyFont="1"/>
    <xf numFmtId="43" fontId="21" fillId="0" borderId="0" xfId="1" applyFont="1"/>
    <xf numFmtId="43" fontId="20" fillId="0" borderId="0" xfId="1" applyFont="1"/>
    <xf numFmtId="164" fontId="7" fillId="0" borderId="0" xfId="0" applyNumberFormat="1" applyFont="1"/>
    <xf numFmtId="164" fontId="15" fillId="0" borderId="0" xfId="0" applyNumberFormat="1" applyFont="1"/>
    <xf numFmtId="164" fontId="3" fillId="13" borderId="5" xfId="1" applyNumberFormat="1" applyFont="1" applyFill="1" applyBorder="1"/>
    <xf numFmtId="164" fontId="3" fillId="10" borderId="5" xfId="1" applyNumberFormat="1" applyFont="1" applyFill="1" applyBorder="1" applyAlignment="1">
      <alignment horizontal="center"/>
    </xf>
    <xf numFmtId="164" fontId="3" fillId="11" borderId="5" xfId="1" applyNumberFormat="1" applyFont="1" applyFill="1" applyBorder="1"/>
    <xf numFmtId="43" fontId="3" fillId="0" borderId="0" xfId="1" applyFont="1" applyFill="1"/>
    <xf numFmtId="164" fontId="7" fillId="11" borderId="5" xfId="1" applyNumberFormat="1" applyFont="1" applyFill="1" applyBorder="1"/>
    <xf numFmtId="164" fontId="3" fillId="13" borderId="1" xfId="1" applyNumberFormat="1" applyFont="1" applyFill="1" applyBorder="1" applyAlignment="1">
      <alignment horizontal="center"/>
    </xf>
    <xf numFmtId="0" fontId="22" fillId="0" borderId="0" xfId="0" applyFont="1"/>
    <xf numFmtId="164" fontId="7" fillId="0" borderId="0" xfId="1" applyNumberFormat="1" applyFont="1" applyFill="1" applyBorder="1"/>
    <xf numFmtId="43" fontId="7" fillId="0" borderId="0" xfId="1" applyFont="1" applyFill="1" applyBorder="1"/>
    <xf numFmtId="0" fontId="2" fillId="0" borderId="0" xfId="0" applyFont="1" applyAlignment="1">
      <alignment horizontal="center"/>
    </xf>
    <xf numFmtId="43" fontId="3" fillId="13" borderId="0" xfId="1" applyFont="1" applyFill="1"/>
    <xf numFmtId="43" fontId="3" fillId="13" borderId="0" xfId="0" applyNumberFormat="1" applyFont="1" applyFill="1"/>
    <xf numFmtId="0" fontId="19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167" fontId="2" fillId="0" borderId="0" xfId="1" applyNumberFormat="1" applyFont="1"/>
    <xf numFmtId="43" fontId="2" fillId="0" borderId="1" xfId="1" applyFont="1" applyFill="1" applyBorder="1" applyAlignment="1">
      <alignment horizontal="center"/>
    </xf>
    <xf numFmtId="43" fontId="7" fillId="11" borderId="1" xfId="1" applyFont="1" applyFill="1" applyBorder="1" applyAlignment="1">
      <alignment horizontal="center"/>
    </xf>
    <xf numFmtId="9" fontId="3" fillId="0" borderId="0" xfId="0" applyNumberFormat="1" applyFont="1"/>
    <xf numFmtId="9" fontId="3" fillId="0" borderId="0" xfId="0" applyNumberFormat="1" applyFont="1" applyFill="1"/>
    <xf numFmtId="43" fontId="3" fillId="6" borderId="0" xfId="1" applyFont="1" applyFill="1"/>
    <xf numFmtId="0" fontId="3" fillId="13" borderId="5" xfId="0" applyFont="1" applyFill="1" applyBorder="1" applyAlignment="1"/>
    <xf numFmtId="0" fontId="3" fillId="13" borderId="1" xfId="0" applyFont="1" applyFill="1" applyBorder="1"/>
    <xf numFmtId="0" fontId="3" fillId="13" borderId="4" xfId="0" applyFont="1" applyFill="1" applyBorder="1" applyAlignment="1">
      <alignment horizontal="center"/>
    </xf>
    <xf numFmtId="43" fontId="2" fillId="0" borderId="5" xfId="1" applyFont="1" applyFill="1" applyBorder="1" applyAlignment="1">
      <alignment horizontal="center"/>
    </xf>
    <xf numFmtId="0" fontId="2" fillId="0" borderId="21" xfId="0" applyFont="1" applyBorder="1"/>
    <xf numFmtId="0" fontId="2" fillId="0" borderId="21" xfId="0" applyFont="1" applyFill="1" applyBorder="1"/>
    <xf numFmtId="0" fontId="22" fillId="0" borderId="21" xfId="0" applyFont="1" applyBorder="1"/>
    <xf numFmtId="43" fontId="2" fillId="0" borderId="21" xfId="1" applyFont="1" applyBorder="1"/>
    <xf numFmtId="9" fontId="2" fillId="0" borderId="0" xfId="0" applyNumberFormat="1" applyFont="1"/>
    <xf numFmtId="9" fontId="2" fillId="0" borderId="0" xfId="0" applyNumberFormat="1" applyFont="1" applyFill="1"/>
    <xf numFmtId="164" fontId="7" fillId="0" borderId="1" xfId="1" applyNumberFormat="1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0" xfId="0" applyNumberFormat="1" applyFont="1" applyFill="1" applyAlignment="1">
      <alignment horizontal="center"/>
    </xf>
    <xf numFmtId="43" fontId="2" fillId="0" borderId="0" xfId="0" applyNumberFormat="1" applyFont="1" applyFill="1"/>
    <xf numFmtId="0" fontId="3" fillId="0" borderId="1" xfId="0" applyFont="1" applyFill="1" applyBorder="1"/>
    <xf numFmtId="0" fontId="22" fillId="0" borderId="0" xfId="0" applyFont="1" applyFill="1"/>
    <xf numFmtId="43" fontId="18" fillId="0" borderId="0" xfId="1" applyFont="1" applyFill="1"/>
    <xf numFmtId="43" fontId="18" fillId="0" borderId="0" xfId="0" applyNumberFormat="1" applyFont="1" applyFill="1"/>
    <xf numFmtId="43" fontId="2" fillId="0" borderId="21" xfId="1" applyFont="1" applyFill="1" applyBorder="1"/>
    <xf numFmtId="9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9" fontId="3" fillId="0" borderId="0" xfId="0" applyNumberFormat="1" applyFont="1" applyFill="1" applyAlignment="1">
      <alignment horizontal="right"/>
    </xf>
    <xf numFmtId="0" fontId="3" fillId="9" borderId="0" xfId="0" applyFont="1" applyFill="1"/>
    <xf numFmtId="0" fontId="11" fillId="0" borderId="0" xfId="0" applyFont="1" applyFill="1"/>
    <xf numFmtId="43" fontId="3" fillId="6" borderId="1" xfId="1" applyFont="1" applyFill="1" applyBorder="1" applyAlignment="1">
      <alignment horizontal="center"/>
    </xf>
    <xf numFmtId="43" fontId="3" fillId="6" borderId="1" xfId="1" applyFont="1" applyFill="1" applyBorder="1"/>
    <xf numFmtId="0" fontId="2" fillId="0" borderId="0" xfId="0" applyFont="1" applyFill="1" applyAlignment="1">
      <alignment horizontal="right"/>
    </xf>
    <xf numFmtId="164" fontId="7" fillId="10" borderId="1" xfId="1" applyNumberFormat="1" applyFont="1" applyFill="1" applyBorder="1"/>
    <xf numFmtId="164" fontId="7" fillId="10" borderId="1" xfId="1" applyNumberFormat="1" applyFont="1" applyFill="1" applyBorder="1" applyAlignment="1">
      <alignment horizontal="center"/>
    </xf>
    <xf numFmtId="43" fontId="7" fillId="10" borderId="1" xfId="1" applyFont="1" applyFill="1" applyBorder="1" applyAlignment="1">
      <alignment horizontal="center"/>
    </xf>
    <xf numFmtId="164" fontId="18" fillId="6" borderId="0" xfId="1" applyNumberFormat="1" applyFont="1" applyFill="1"/>
    <xf numFmtId="164" fontId="7" fillId="6" borderId="0" xfId="1" applyNumberFormat="1" applyFont="1" applyFill="1" applyBorder="1"/>
    <xf numFmtId="164" fontId="7" fillId="6" borderId="0" xfId="1" applyNumberFormat="1" applyFont="1" applyFill="1"/>
    <xf numFmtId="164" fontId="7" fillId="6" borderId="0" xfId="0" applyNumberFormat="1" applyFont="1" applyFill="1"/>
    <xf numFmtId="0" fontId="2" fillId="0" borderId="0" xfId="0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18" fillId="14" borderId="0" xfId="1" applyNumberFormat="1" applyFont="1" applyFill="1"/>
    <xf numFmtId="0" fontId="6" fillId="3" borderId="4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43" fontId="0" fillId="5" borderId="14" xfId="1" applyFont="1" applyFill="1" applyBorder="1" applyAlignment="1">
      <alignment horizontal="center" textRotation="10"/>
    </xf>
    <xf numFmtId="43" fontId="0" fillId="5" borderId="15" xfId="1" applyFont="1" applyFill="1" applyBorder="1" applyAlignment="1">
      <alignment horizontal="center" textRotation="10"/>
    </xf>
    <xf numFmtId="43" fontId="0" fillId="5" borderId="13" xfId="1" applyFont="1" applyFill="1" applyBorder="1" applyAlignment="1">
      <alignment horizontal="center" textRotation="10"/>
    </xf>
    <xf numFmtId="43" fontId="0" fillId="5" borderId="22" xfId="1" applyFont="1" applyFill="1" applyBorder="1" applyAlignment="1">
      <alignment horizontal="center" textRotation="10"/>
    </xf>
    <xf numFmtId="43" fontId="0" fillId="5" borderId="10" xfId="1" applyFont="1" applyFill="1" applyBorder="1" applyAlignment="1">
      <alignment horizontal="center" textRotation="10"/>
    </xf>
    <xf numFmtId="43" fontId="0" fillId="5" borderId="17" xfId="1" applyFont="1" applyFill="1" applyBorder="1" applyAlignment="1">
      <alignment horizontal="center" textRotation="10"/>
    </xf>
    <xf numFmtId="0" fontId="5" fillId="4" borderId="0" xfId="0" applyFont="1" applyFill="1" applyAlignment="1">
      <alignment horizontal="center" textRotation="6"/>
    </xf>
    <xf numFmtId="0" fontId="5" fillId="2" borderId="0" xfId="0" applyFont="1" applyFill="1" applyAlignment="1">
      <alignment horizontal="center" textRotation="6"/>
    </xf>
    <xf numFmtId="0" fontId="0" fillId="3" borderId="11" xfId="0" applyFill="1" applyBorder="1" applyAlignment="1">
      <alignment horizontal="center"/>
    </xf>
    <xf numFmtId="43" fontId="0" fillId="5" borderId="23" xfId="1" applyFont="1" applyFill="1" applyBorder="1" applyAlignment="1">
      <alignment horizontal="center" textRotation="41"/>
    </xf>
    <xf numFmtId="43" fontId="0" fillId="5" borderId="24" xfId="1" applyFont="1" applyFill="1" applyBorder="1" applyAlignment="1">
      <alignment horizontal="center" textRotation="41"/>
    </xf>
    <xf numFmtId="43" fontId="0" fillId="5" borderId="25" xfId="1" applyFont="1" applyFill="1" applyBorder="1" applyAlignment="1">
      <alignment horizontal="center" textRotation="41"/>
    </xf>
    <xf numFmtId="43" fontId="0" fillId="5" borderId="13" xfId="1" applyFont="1" applyFill="1" applyBorder="1" applyAlignment="1">
      <alignment horizontal="center" textRotation="41"/>
    </xf>
    <xf numFmtId="43" fontId="0" fillId="5" borderId="0" xfId="1" applyFont="1" applyFill="1" applyBorder="1" applyAlignment="1">
      <alignment horizontal="center" textRotation="41"/>
    </xf>
    <xf numFmtId="43" fontId="0" fillId="5" borderId="22" xfId="1" applyFont="1" applyFill="1" applyBorder="1" applyAlignment="1">
      <alignment horizontal="center" textRotation="41"/>
    </xf>
    <xf numFmtId="43" fontId="0" fillId="5" borderId="10" xfId="1" applyFont="1" applyFill="1" applyBorder="1" applyAlignment="1">
      <alignment horizontal="center" textRotation="41"/>
    </xf>
    <xf numFmtId="43" fontId="0" fillId="5" borderId="16" xfId="1" applyFont="1" applyFill="1" applyBorder="1" applyAlignment="1">
      <alignment horizontal="center" textRotation="41"/>
    </xf>
    <xf numFmtId="43" fontId="0" fillId="5" borderId="17" xfId="1" applyFont="1" applyFill="1" applyBorder="1" applyAlignment="1">
      <alignment horizontal="center" textRotation="41"/>
    </xf>
    <xf numFmtId="43" fontId="2" fillId="10" borderId="1" xfId="1" applyFont="1" applyFill="1" applyBorder="1" applyAlignment="1">
      <alignment horizontal="center" textRotation="25"/>
    </xf>
    <xf numFmtId="43" fontId="2" fillId="5" borderId="4" xfId="1" applyFont="1" applyFill="1" applyBorder="1" applyAlignment="1">
      <alignment horizontal="center" textRotation="28"/>
    </xf>
    <xf numFmtId="43" fontId="2" fillId="5" borderId="18" xfId="1" applyFont="1" applyFill="1" applyBorder="1" applyAlignment="1">
      <alignment horizontal="center" textRotation="28"/>
    </xf>
    <xf numFmtId="43" fontId="2" fillId="5" borderId="5" xfId="1" applyFont="1" applyFill="1" applyBorder="1" applyAlignment="1">
      <alignment horizontal="center" textRotation="28"/>
    </xf>
    <xf numFmtId="0" fontId="5" fillId="3" borderId="0" xfId="0" applyFont="1" applyFill="1" applyAlignment="1">
      <alignment horizontal="center"/>
    </xf>
    <xf numFmtId="43" fontId="0" fillId="10" borderId="14" xfId="1" applyFont="1" applyFill="1" applyBorder="1" applyAlignment="1">
      <alignment horizontal="center" textRotation="38"/>
    </xf>
    <xf numFmtId="43" fontId="0" fillId="10" borderId="11" xfId="1" applyFont="1" applyFill="1" applyBorder="1" applyAlignment="1">
      <alignment horizontal="center" textRotation="38"/>
    </xf>
    <xf numFmtId="43" fontId="0" fillId="10" borderId="15" xfId="1" applyFont="1" applyFill="1" applyBorder="1" applyAlignment="1">
      <alignment horizontal="center" textRotation="38"/>
    </xf>
    <xf numFmtId="43" fontId="0" fillId="10" borderId="13" xfId="1" applyFont="1" applyFill="1" applyBorder="1" applyAlignment="1">
      <alignment horizontal="center" textRotation="38"/>
    </xf>
    <xf numFmtId="43" fontId="0" fillId="10" borderId="0" xfId="1" applyFont="1" applyFill="1" applyBorder="1" applyAlignment="1">
      <alignment horizontal="center" textRotation="38"/>
    </xf>
    <xf numFmtId="43" fontId="0" fillId="10" borderId="22" xfId="1" applyFont="1" applyFill="1" applyBorder="1" applyAlignment="1">
      <alignment horizontal="center" textRotation="38"/>
    </xf>
    <xf numFmtId="43" fontId="0" fillId="10" borderId="10" xfId="1" applyFont="1" applyFill="1" applyBorder="1" applyAlignment="1">
      <alignment horizontal="center" textRotation="38"/>
    </xf>
    <xf numFmtId="43" fontId="0" fillId="10" borderId="16" xfId="1" applyFont="1" applyFill="1" applyBorder="1" applyAlignment="1">
      <alignment horizontal="center" textRotation="38"/>
    </xf>
    <xf numFmtId="43" fontId="0" fillId="10" borderId="17" xfId="1" applyFont="1" applyFill="1" applyBorder="1" applyAlignment="1">
      <alignment horizontal="center" textRotation="38"/>
    </xf>
    <xf numFmtId="43" fontId="0" fillId="10" borderId="23" xfId="1" applyFont="1" applyFill="1" applyBorder="1" applyAlignment="1">
      <alignment horizontal="center" textRotation="45"/>
    </xf>
    <xf numFmtId="43" fontId="0" fillId="10" borderId="24" xfId="1" applyFont="1" applyFill="1" applyBorder="1" applyAlignment="1">
      <alignment horizontal="center" textRotation="45"/>
    </xf>
    <xf numFmtId="43" fontId="0" fillId="10" borderId="25" xfId="1" applyFont="1" applyFill="1" applyBorder="1" applyAlignment="1">
      <alignment horizontal="center" textRotation="45"/>
    </xf>
    <xf numFmtId="43" fontId="0" fillId="10" borderId="13" xfId="1" applyFont="1" applyFill="1" applyBorder="1" applyAlignment="1">
      <alignment horizontal="center" textRotation="45"/>
    </xf>
    <xf numFmtId="43" fontId="0" fillId="10" borderId="0" xfId="1" applyFont="1" applyFill="1" applyBorder="1" applyAlignment="1">
      <alignment horizontal="center" textRotation="45"/>
    </xf>
    <xf numFmtId="43" fontId="0" fillId="10" borderId="22" xfId="1" applyFont="1" applyFill="1" applyBorder="1" applyAlignment="1">
      <alignment horizontal="center" textRotation="45"/>
    </xf>
    <xf numFmtId="43" fontId="0" fillId="10" borderId="10" xfId="1" applyFont="1" applyFill="1" applyBorder="1" applyAlignment="1">
      <alignment horizontal="center" textRotation="45"/>
    </xf>
    <xf numFmtId="43" fontId="0" fillId="10" borderId="16" xfId="1" applyFont="1" applyFill="1" applyBorder="1" applyAlignment="1">
      <alignment horizontal="center" textRotation="45"/>
    </xf>
    <xf numFmtId="43" fontId="0" fillId="10" borderId="17" xfId="1" applyFont="1" applyFill="1" applyBorder="1" applyAlignment="1">
      <alignment horizontal="center" textRotation="45"/>
    </xf>
    <xf numFmtId="43" fontId="0" fillId="10" borderId="14" xfId="1" applyFont="1" applyFill="1" applyBorder="1" applyAlignment="1">
      <alignment horizontal="center" textRotation="21"/>
    </xf>
    <xf numFmtId="43" fontId="0" fillId="10" borderId="11" xfId="1" applyFont="1" applyFill="1" applyBorder="1" applyAlignment="1">
      <alignment horizontal="center" textRotation="21"/>
    </xf>
    <xf numFmtId="43" fontId="0" fillId="10" borderId="15" xfId="1" applyFont="1" applyFill="1" applyBorder="1" applyAlignment="1">
      <alignment horizontal="center" textRotation="21"/>
    </xf>
    <xf numFmtId="43" fontId="0" fillId="10" borderId="13" xfId="1" applyFont="1" applyFill="1" applyBorder="1" applyAlignment="1">
      <alignment horizontal="center" textRotation="21"/>
    </xf>
    <xf numFmtId="43" fontId="0" fillId="10" borderId="0" xfId="1" applyFont="1" applyFill="1" applyBorder="1" applyAlignment="1">
      <alignment horizontal="center" textRotation="21"/>
    </xf>
    <xf numFmtId="43" fontId="0" fillId="10" borderId="22" xfId="1" applyFont="1" applyFill="1" applyBorder="1" applyAlignment="1">
      <alignment horizontal="center" textRotation="21"/>
    </xf>
    <xf numFmtId="43" fontId="0" fillId="10" borderId="10" xfId="1" applyFont="1" applyFill="1" applyBorder="1" applyAlignment="1">
      <alignment horizontal="center" textRotation="21"/>
    </xf>
    <xf numFmtId="43" fontId="0" fillId="10" borderId="16" xfId="1" applyFont="1" applyFill="1" applyBorder="1" applyAlignment="1">
      <alignment horizontal="center" textRotation="21"/>
    </xf>
    <xf numFmtId="43" fontId="0" fillId="10" borderId="17" xfId="1" applyFont="1" applyFill="1" applyBorder="1" applyAlignment="1">
      <alignment horizontal="center" textRotation="21"/>
    </xf>
    <xf numFmtId="43" fontId="2" fillId="10" borderId="4" xfId="1" applyFont="1" applyFill="1" applyBorder="1" applyAlignment="1">
      <alignment horizontal="center" textRotation="27"/>
    </xf>
    <xf numFmtId="43" fontId="2" fillId="10" borderId="18" xfId="1" applyFont="1" applyFill="1" applyBorder="1" applyAlignment="1">
      <alignment horizontal="center" textRotation="27"/>
    </xf>
    <xf numFmtId="43" fontId="2" fillId="10" borderId="5" xfId="1" applyFont="1" applyFill="1" applyBorder="1" applyAlignment="1">
      <alignment horizontal="center" textRotation="27"/>
    </xf>
    <xf numFmtId="0" fontId="6" fillId="6" borderId="4" xfId="0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9" fillId="6" borderId="18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18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6" fillId="6" borderId="14" xfId="0" applyFont="1" applyFill="1" applyBorder="1" applyAlignment="1">
      <alignment horizontal="center" wrapText="1"/>
    </xf>
    <xf numFmtId="0" fontId="6" fillId="6" borderId="11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 wrapText="1"/>
    </xf>
    <xf numFmtId="0" fontId="6" fillId="6" borderId="16" xfId="0" applyFont="1" applyFill="1" applyBorder="1" applyAlignment="1">
      <alignment horizontal="center" wrapText="1"/>
    </xf>
    <xf numFmtId="0" fontId="6" fillId="6" borderId="17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  <xf numFmtId="0" fontId="6" fillId="6" borderId="20" xfId="0" applyFont="1" applyFill="1" applyBorder="1" applyAlignment="1">
      <alignment horizontal="center" wrapText="1"/>
    </xf>
    <xf numFmtId="43" fontId="0" fillId="10" borderId="14" xfId="1" applyFont="1" applyFill="1" applyBorder="1" applyAlignment="1">
      <alignment horizontal="center" textRotation="15"/>
    </xf>
    <xf numFmtId="43" fontId="0" fillId="10" borderId="11" xfId="1" applyFont="1" applyFill="1" applyBorder="1" applyAlignment="1">
      <alignment horizontal="center" textRotation="15"/>
    </xf>
    <xf numFmtId="43" fontId="0" fillId="10" borderId="15" xfId="1" applyFont="1" applyFill="1" applyBorder="1" applyAlignment="1">
      <alignment horizontal="center" textRotation="15"/>
    </xf>
    <xf numFmtId="43" fontId="0" fillId="10" borderId="13" xfId="1" applyFont="1" applyFill="1" applyBorder="1" applyAlignment="1">
      <alignment horizontal="center" textRotation="15"/>
    </xf>
    <xf numFmtId="43" fontId="0" fillId="10" borderId="0" xfId="1" applyFont="1" applyFill="1" applyBorder="1" applyAlignment="1">
      <alignment horizontal="center" textRotation="15"/>
    </xf>
    <xf numFmtId="43" fontId="0" fillId="10" borderId="22" xfId="1" applyFont="1" applyFill="1" applyBorder="1" applyAlignment="1">
      <alignment horizontal="center" textRotation="15"/>
    </xf>
    <xf numFmtId="43" fontId="0" fillId="10" borderId="10" xfId="1" applyFont="1" applyFill="1" applyBorder="1" applyAlignment="1">
      <alignment horizontal="center" textRotation="15"/>
    </xf>
    <xf numFmtId="43" fontId="0" fillId="10" borderId="16" xfId="1" applyFont="1" applyFill="1" applyBorder="1" applyAlignment="1">
      <alignment horizontal="center" textRotation="15"/>
    </xf>
    <xf numFmtId="43" fontId="0" fillId="10" borderId="17" xfId="1" applyFont="1" applyFill="1" applyBorder="1" applyAlignment="1">
      <alignment horizontal="center" textRotation="15"/>
    </xf>
    <xf numFmtId="43" fontId="0" fillId="5" borderId="14" xfId="1" applyFont="1" applyFill="1" applyBorder="1" applyAlignment="1">
      <alignment horizontal="center" textRotation="15"/>
    </xf>
    <xf numFmtId="43" fontId="0" fillId="5" borderId="11" xfId="1" applyFont="1" applyFill="1" applyBorder="1" applyAlignment="1">
      <alignment horizontal="center" textRotation="15"/>
    </xf>
    <xf numFmtId="43" fontId="0" fillId="5" borderId="15" xfId="1" applyFont="1" applyFill="1" applyBorder="1" applyAlignment="1">
      <alignment horizontal="center" textRotation="15"/>
    </xf>
    <xf numFmtId="43" fontId="0" fillId="5" borderId="13" xfId="1" applyFont="1" applyFill="1" applyBorder="1" applyAlignment="1">
      <alignment horizontal="center" textRotation="15"/>
    </xf>
    <xf numFmtId="43" fontId="0" fillId="5" borderId="0" xfId="1" applyFont="1" applyFill="1" applyBorder="1" applyAlignment="1">
      <alignment horizontal="center" textRotation="15"/>
    </xf>
    <xf numFmtId="43" fontId="0" fillId="5" borderId="22" xfId="1" applyFont="1" applyFill="1" applyBorder="1" applyAlignment="1">
      <alignment horizontal="center" textRotation="15"/>
    </xf>
    <xf numFmtId="43" fontId="0" fillId="5" borderId="10" xfId="1" applyFont="1" applyFill="1" applyBorder="1" applyAlignment="1">
      <alignment horizontal="center" textRotation="15"/>
    </xf>
    <xf numFmtId="43" fontId="0" fillId="5" borderId="16" xfId="1" applyFont="1" applyFill="1" applyBorder="1" applyAlignment="1">
      <alignment horizontal="center" textRotation="15"/>
    </xf>
    <xf numFmtId="43" fontId="0" fillId="5" borderId="17" xfId="1" applyFont="1" applyFill="1" applyBorder="1" applyAlignment="1">
      <alignment horizontal="center" textRotation="15"/>
    </xf>
    <xf numFmtId="0" fontId="0" fillId="0" borderId="4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0" fillId="6" borderId="11" xfId="0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43" fontId="0" fillId="0" borderId="2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 wrapText="1"/>
    </xf>
    <xf numFmtId="0" fontId="0" fillId="3" borderId="8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 wrapText="1"/>
    </xf>
    <xf numFmtId="0" fontId="0" fillId="6" borderId="8" xfId="0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4" borderId="0" xfId="0" applyFont="1" applyFill="1" applyAlignment="1">
      <alignment horizontal="center" textRotation="69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43" fontId="11" fillId="0" borderId="2" xfId="1" applyFont="1" applyBorder="1" applyAlignment="1">
      <alignment horizontal="left"/>
    </xf>
    <xf numFmtId="43" fontId="11" fillId="0" borderId="6" xfId="1" applyFont="1" applyBorder="1" applyAlignment="1">
      <alignment horizontal="left"/>
    </xf>
    <xf numFmtId="43" fontId="11" fillId="0" borderId="3" xfId="1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43" fontId="2" fillId="0" borderId="6" xfId="1" applyFont="1" applyBorder="1" applyAlignment="1">
      <alignment horizontal="left"/>
    </xf>
    <xf numFmtId="43" fontId="2" fillId="0" borderId="3" xfId="1" applyFont="1" applyBorder="1" applyAlignment="1">
      <alignment horizontal="left"/>
    </xf>
    <xf numFmtId="0" fontId="0" fillId="8" borderId="4" xfId="0" applyFont="1" applyFill="1" applyBorder="1" applyAlignment="1">
      <alignment horizontal="center" wrapText="1"/>
    </xf>
    <xf numFmtId="0" fontId="0" fillId="8" borderId="8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3" fillId="10" borderId="0" xfId="1" applyFont="1" applyFill="1" applyBorder="1" applyAlignment="1">
      <alignment horizontal="center" textRotation="39" wrapText="1"/>
    </xf>
    <xf numFmtId="0" fontId="0" fillId="0" borderId="14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4" borderId="0" xfId="0" applyFont="1" applyFill="1" applyBorder="1" applyAlignment="1">
      <alignment horizontal="center" textRotation="69"/>
    </xf>
    <xf numFmtId="43" fontId="2" fillId="10" borderId="0" xfId="1" applyFont="1" applyFill="1" applyBorder="1" applyAlignment="1">
      <alignment horizontal="center" textRotation="22"/>
    </xf>
    <xf numFmtId="43" fontId="2" fillId="10" borderId="16" xfId="1" applyFont="1" applyFill="1" applyBorder="1" applyAlignment="1">
      <alignment horizontal="center" textRotation="22"/>
    </xf>
    <xf numFmtId="43" fontId="3" fillId="10" borderId="0" xfId="1" applyFont="1" applyFill="1" applyBorder="1" applyAlignment="1">
      <alignment horizontal="center" textRotation="60"/>
    </xf>
    <xf numFmtId="0" fontId="2" fillId="6" borderId="1" xfId="0" applyFont="1" applyFill="1" applyBorder="1" applyAlignment="1">
      <alignment horizontal="center"/>
    </xf>
    <xf numFmtId="43" fontId="3" fillId="11" borderId="0" xfId="1" applyFont="1" applyFill="1" applyBorder="1" applyAlignment="1">
      <alignment horizontal="center" textRotation="15"/>
    </xf>
    <xf numFmtId="43" fontId="3" fillId="10" borderId="0" xfId="1" applyFont="1" applyFill="1" applyBorder="1" applyAlignment="1">
      <alignment horizontal="center" textRotation="25"/>
    </xf>
    <xf numFmtId="0" fontId="0" fillId="0" borderId="0" xfId="0" applyAlignment="1">
      <alignment horizontal="center"/>
    </xf>
    <xf numFmtId="43" fontId="2" fillId="10" borderId="0" xfId="1" applyFont="1" applyFill="1" applyBorder="1" applyAlignment="1">
      <alignment horizontal="center" textRotation="25"/>
    </xf>
    <xf numFmtId="43" fontId="2" fillId="11" borderId="0" xfId="1" applyFont="1" applyFill="1" applyBorder="1" applyAlignment="1">
      <alignment horizontal="center" textRotation="15"/>
    </xf>
    <xf numFmtId="0" fontId="0" fillId="2" borderId="0" xfId="0" applyFill="1" applyAlignment="1">
      <alignment horizontal="center"/>
    </xf>
    <xf numFmtId="0" fontId="18" fillId="0" borderId="0" xfId="0" applyFont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3" fontId="2" fillId="5" borderId="2" xfId="1" applyFont="1" applyFill="1" applyBorder="1" applyAlignment="1">
      <alignment horizontal="center"/>
    </xf>
    <xf numFmtId="43" fontId="2" fillId="5" borderId="6" xfId="1" applyFont="1" applyFill="1" applyBorder="1" applyAlignment="1">
      <alignment horizontal="center"/>
    </xf>
    <xf numFmtId="43" fontId="2" fillId="5" borderId="3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4" fontId="1" fillId="0" borderId="18" xfId="1" applyNumberFormat="1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8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0" fontId="0" fillId="6" borderId="6" xfId="0" applyFont="1" applyFill="1" applyBorder="1" applyAlignment="1">
      <alignment horizontal="center" wrapText="1"/>
    </xf>
    <xf numFmtId="0" fontId="0" fillId="6" borderId="3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 wrapText="1"/>
    </xf>
    <xf numFmtId="0" fontId="0" fillId="3" borderId="3" xfId="0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3" fillId="10" borderId="0" xfId="0" applyFont="1" applyFill="1" applyAlignment="1">
      <alignment horizontal="center"/>
    </xf>
    <xf numFmtId="164" fontId="0" fillId="0" borderId="4" xfId="1" applyNumberFormat="1" applyFont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FF99FF"/>
      <color rgb="FF00FFFF"/>
      <color rgb="FF00FF99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53"/>
  <sheetViews>
    <sheetView tabSelected="1" workbookViewId="0">
      <pane ySplit="4" topLeftCell="A5" activePane="bottomLeft" state="frozen"/>
      <selection pane="bottomLeft" activeCell="A29" sqref="A29"/>
    </sheetView>
  </sheetViews>
  <sheetFormatPr defaultColWidth="6.44140625" defaultRowHeight="15"/>
  <cols>
    <col min="1" max="1" width="6.44140625" style="10"/>
    <col min="2" max="5" width="10.5546875" style="10" customWidth="1"/>
    <col min="6" max="7" width="11.44140625" style="10" customWidth="1"/>
    <col min="8" max="9" width="10.5546875" style="10" customWidth="1"/>
    <col min="10" max="10" width="11.44140625" style="10" customWidth="1"/>
    <col min="11" max="13" width="10.5546875" style="10" customWidth="1"/>
    <col min="14" max="15" width="13.44140625" style="10" customWidth="1"/>
    <col min="16" max="17" width="10.44140625" style="10" customWidth="1"/>
    <col min="18" max="18" width="11.44140625" style="10" customWidth="1"/>
    <col min="19" max="19" width="12.5546875" style="10" customWidth="1"/>
    <col min="20" max="20" width="9" style="10" customWidth="1"/>
    <col min="21" max="21" width="11.88671875" style="10" customWidth="1"/>
    <col min="22" max="24" width="7" style="10" bestFit="1" customWidth="1"/>
    <col min="25" max="25" width="6.77734375" style="10" bestFit="1" customWidth="1"/>
    <col min="26" max="27" width="10.5546875" style="10" customWidth="1"/>
    <col min="28" max="28" width="11.44140625" style="10" bestFit="1" customWidth="1"/>
    <col min="29" max="31" width="10.5546875" style="10" customWidth="1"/>
    <col min="32" max="32" width="12.6640625" style="10" customWidth="1"/>
    <col min="33" max="33" width="10.5546875" style="10" customWidth="1"/>
    <col min="34" max="34" width="8.21875" style="10" customWidth="1"/>
    <col min="35" max="35" width="7" style="10" customWidth="1"/>
    <col min="36" max="36" width="8.5546875" style="10" customWidth="1"/>
    <col min="37" max="37" width="8.6640625" style="10" customWidth="1"/>
    <col min="38" max="38" width="10.5546875" style="10" customWidth="1"/>
    <col min="39" max="41" width="13.109375" style="10" customWidth="1"/>
    <col min="42" max="42" width="10.44140625" style="10" bestFit="1" customWidth="1"/>
    <col min="43" max="43" width="12.33203125" style="10" customWidth="1"/>
    <col min="44" max="44" width="13.77734375" style="10" customWidth="1"/>
    <col min="45" max="45" width="12.44140625" style="10" bestFit="1" customWidth="1"/>
    <col min="46" max="46" width="4.33203125" style="10" bestFit="1" customWidth="1"/>
    <col min="47" max="47" width="4" style="10" bestFit="1" customWidth="1"/>
    <col min="48" max="48" width="12.109375" style="10" bestFit="1" customWidth="1"/>
    <col min="49" max="16384" width="6.44140625" style="10"/>
  </cols>
  <sheetData>
    <row r="1" spans="1:48" ht="18">
      <c r="A1" s="455" t="s">
        <v>0</v>
      </c>
      <c r="B1" s="411" t="s">
        <v>26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3"/>
      <c r="AV1" s="410" t="s">
        <v>28</v>
      </c>
    </row>
    <row r="2" spans="1:48" ht="15.75" customHeight="1">
      <c r="A2" s="456"/>
      <c r="B2" s="461" t="s">
        <v>42</v>
      </c>
      <c r="C2" s="462"/>
      <c r="D2" s="462"/>
      <c r="E2" s="462"/>
      <c r="F2" s="462"/>
      <c r="G2" s="463"/>
      <c r="H2" s="433" t="s">
        <v>43</v>
      </c>
      <c r="I2" s="433"/>
      <c r="J2" s="433"/>
      <c r="K2" s="434" t="s">
        <v>47</v>
      </c>
      <c r="L2" s="434"/>
      <c r="M2" s="434"/>
      <c r="N2" s="427" t="s">
        <v>52</v>
      </c>
      <c r="O2" s="417" t="s">
        <v>54</v>
      </c>
      <c r="P2" s="427" t="s">
        <v>76</v>
      </c>
      <c r="Q2" s="428"/>
      <c r="R2" s="429"/>
      <c r="S2" s="420" t="s">
        <v>75</v>
      </c>
      <c r="T2" s="421"/>
      <c r="U2" s="422"/>
      <c r="V2" s="426" t="s">
        <v>62</v>
      </c>
      <c r="W2" s="426"/>
      <c r="X2" s="426"/>
      <c r="Y2" s="426"/>
      <c r="Z2" s="420" t="s">
        <v>79</v>
      </c>
      <c r="AA2" s="421"/>
      <c r="AB2" s="422"/>
      <c r="AC2" s="427" t="s">
        <v>78</v>
      </c>
      <c r="AD2" s="428"/>
      <c r="AE2" s="429"/>
      <c r="AF2" s="466" t="s">
        <v>83</v>
      </c>
      <c r="AG2" s="404" t="s">
        <v>84</v>
      </c>
      <c r="AH2" s="469" t="s">
        <v>87</v>
      </c>
      <c r="AI2" s="469"/>
      <c r="AJ2" s="469"/>
      <c r="AK2" s="469"/>
      <c r="AL2" s="404" t="s">
        <v>88</v>
      </c>
      <c r="AM2" s="348" t="s">
        <v>104</v>
      </c>
      <c r="AN2" s="404" t="s">
        <v>136</v>
      </c>
      <c r="AO2" s="348" t="s">
        <v>137</v>
      </c>
      <c r="AP2" s="407" t="s">
        <v>146</v>
      </c>
      <c r="AQ2" s="348" t="s">
        <v>138</v>
      </c>
      <c r="AR2" s="348" t="s">
        <v>162</v>
      </c>
      <c r="AS2" s="414" t="s">
        <v>3</v>
      </c>
      <c r="AV2" s="410"/>
    </row>
    <row r="3" spans="1:48" ht="16.5" thickBot="1">
      <c r="A3" s="456"/>
      <c r="B3" s="417" t="s">
        <v>30</v>
      </c>
      <c r="C3" s="458" t="s">
        <v>38</v>
      </c>
      <c r="D3" s="459"/>
      <c r="E3" s="459"/>
      <c r="F3" s="460"/>
      <c r="G3" s="417" t="s">
        <v>40</v>
      </c>
      <c r="H3" s="433"/>
      <c r="I3" s="433"/>
      <c r="J3" s="433"/>
      <c r="K3" s="434"/>
      <c r="L3" s="434"/>
      <c r="M3" s="434"/>
      <c r="N3" s="435"/>
      <c r="O3" s="418"/>
      <c r="P3" s="430"/>
      <c r="Q3" s="431"/>
      <c r="R3" s="432"/>
      <c r="S3" s="423"/>
      <c r="T3" s="424"/>
      <c r="U3" s="425"/>
      <c r="V3" s="426"/>
      <c r="W3" s="426"/>
      <c r="X3" s="426"/>
      <c r="Y3" s="426"/>
      <c r="Z3" s="423"/>
      <c r="AA3" s="424"/>
      <c r="AB3" s="425"/>
      <c r="AC3" s="430"/>
      <c r="AD3" s="431"/>
      <c r="AE3" s="432"/>
      <c r="AF3" s="467"/>
      <c r="AG3" s="405"/>
      <c r="AH3" s="469"/>
      <c r="AI3" s="469"/>
      <c r="AJ3" s="469"/>
      <c r="AK3" s="469"/>
      <c r="AL3" s="405"/>
      <c r="AM3" s="349"/>
      <c r="AN3" s="405"/>
      <c r="AO3" s="349"/>
      <c r="AP3" s="408"/>
      <c r="AQ3" s="349"/>
      <c r="AR3" s="349"/>
      <c r="AS3" s="415"/>
      <c r="AV3" s="410"/>
    </row>
    <row r="4" spans="1:48" ht="16.5" thickBot="1">
      <c r="A4" s="457"/>
      <c r="B4" s="419"/>
      <c r="C4" s="81" t="s">
        <v>36</v>
      </c>
      <c r="D4" s="84" t="s">
        <v>27</v>
      </c>
      <c r="E4" s="82" t="s">
        <v>50</v>
      </c>
      <c r="F4" s="82" t="s">
        <v>34</v>
      </c>
      <c r="G4" s="419"/>
      <c r="H4" s="84" t="s">
        <v>27</v>
      </c>
      <c r="I4" s="82" t="s">
        <v>50</v>
      </c>
      <c r="J4" s="92" t="s">
        <v>34</v>
      </c>
      <c r="K4" s="84" t="s">
        <v>27</v>
      </c>
      <c r="L4" s="91" t="s">
        <v>50</v>
      </c>
      <c r="M4" s="91" t="s">
        <v>34</v>
      </c>
      <c r="N4" s="436"/>
      <c r="O4" s="419"/>
      <c r="P4" s="95" t="s">
        <v>55</v>
      </c>
      <c r="Q4" s="97" t="s">
        <v>50</v>
      </c>
      <c r="R4" s="97" t="s">
        <v>34</v>
      </c>
      <c r="S4" s="95" t="s">
        <v>55</v>
      </c>
      <c r="T4" s="96" t="s">
        <v>50</v>
      </c>
      <c r="U4" s="96" t="s">
        <v>34</v>
      </c>
      <c r="V4" s="100" t="s">
        <v>63</v>
      </c>
      <c r="W4" s="99" t="s">
        <v>56</v>
      </c>
      <c r="X4" s="98" t="s">
        <v>65</v>
      </c>
      <c r="Y4" s="98" t="s">
        <v>64</v>
      </c>
      <c r="Z4" s="95" t="s">
        <v>55</v>
      </c>
      <c r="AA4" s="96" t="s">
        <v>50</v>
      </c>
      <c r="AB4" s="96" t="s">
        <v>34</v>
      </c>
      <c r="AC4" s="95" t="s">
        <v>55</v>
      </c>
      <c r="AD4" s="97" t="s">
        <v>50</v>
      </c>
      <c r="AE4" s="97" t="s">
        <v>34</v>
      </c>
      <c r="AF4" s="468"/>
      <c r="AG4" s="406"/>
      <c r="AH4" s="100" t="s">
        <v>63</v>
      </c>
      <c r="AI4" s="113" t="s">
        <v>56</v>
      </c>
      <c r="AJ4" s="113" t="s">
        <v>65</v>
      </c>
      <c r="AK4" s="114" t="s">
        <v>64</v>
      </c>
      <c r="AL4" s="406"/>
      <c r="AM4" s="350"/>
      <c r="AN4" s="406"/>
      <c r="AO4" s="350"/>
      <c r="AP4" s="409"/>
      <c r="AQ4" s="350"/>
      <c r="AR4" s="350"/>
      <c r="AS4" s="416"/>
      <c r="AV4" s="410"/>
    </row>
    <row r="5" spans="1:48" ht="15" customHeight="1">
      <c r="A5" s="83">
        <v>1998</v>
      </c>
      <c r="B5" s="38">
        <f>'283α21'!N2</f>
        <v>0</v>
      </c>
      <c r="C5" s="38">
        <f>'283α23'!N3</f>
        <v>15.26</v>
      </c>
      <c r="D5" s="38">
        <f>'283α23'!O3</f>
        <v>0</v>
      </c>
      <c r="E5" s="38">
        <f>'283α23'!P3</f>
        <v>0</v>
      </c>
      <c r="F5" s="38">
        <f>'283α23'!Q3</f>
        <v>0</v>
      </c>
      <c r="G5" s="38">
        <f>'283α24-25'!N2</f>
        <v>97.440000000000012</v>
      </c>
      <c r="H5" s="38">
        <f>'283β'!T3</f>
        <v>32.71</v>
      </c>
      <c r="I5" s="38">
        <f>'283β'!V3</f>
        <v>15.663</v>
      </c>
      <c r="J5" s="38">
        <f>'283β'!X3</f>
        <v>313.26</v>
      </c>
      <c r="K5" s="383" t="s">
        <v>45</v>
      </c>
      <c r="L5" s="384"/>
      <c r="M5" s="385"/>
      <c r="N5" s="38">
        <f>'283δ'!N2</f>
        <v>414.27</v>
      </c>
      <c r="O5" s="38">
        <f>'283ε'!N2</f>
        <v>2369.27</v>
      </c>
      <c r="P5" s="38">
        <f>'283ζ'!N3</f>
        <v>92.297000000000011</v>
      </c>
      <c r="Q5" s="38">
        <f>'283ζ'!O3</f>
        <v>110.7564</v>
      </c>
      <c r="R5" s="38">
        <f>'283ζ'!P3</f>
        <v>1642.8866</v>
      </c>
      <c r="S5" s="360" t="s">
        <v>100</v>
      </c>
      <c r="T5" s="361"/>
      <c r="U5" s="362"/>
      <c r="V5" s="38">
        <f>'283θ'!AX3</f>
        <v>7.04</v>
      </c>
      <c r="W5" s="38">
        <f>'283θ'!AY3</f>
        <v>6.6499999999999995</v>
      </c>
      <c r="X5" s="38">
        <f>'283θ'!AZ3</f>
        <v>8.16</v>
      </c>
      <c r="Y5" s="38">
        <f>'283θ'!BA3</f>
        <v>16.850000000000001</v>
      </c>
      <c r="Z5" s="38">
        <f>'283ι'!N3</f>
        <v>146.14750000000001</v>
      </c>
      <c r="AA5" s="38">
        <f>'283ι'!O3</f>
        <v>175.37700000000001</v>
      </c>
      <c r="AB5" s="38">
        <f>'283ι'!P3</f>
        <v>2601.4255000000003</v>
      </c>
      <c r="AC5" s="38">
        <f>'283κ'!N3</f>
        <v>39.325000000000003</v>
      </c>
      <c r="AD5" s="38">
        <f>'283κ'!O3</f>
        <v>47.19</v>
      </c>
      <c r="AE5" s="38">
        <f>'283κ'!P3</f>
        <v>699.98500000000001</v>
      </c>
      <c r="AF5" s="19">
        <f>'283λ'!N2</f>
        <v>0</v>
      </c>
      <c r="AG5" s="38">
        <f>'283μ'!N2</f>
        <v>510.65</v>
      </c>
      <c r="AH5" s="19"/>
      <c r="AI5" s="19"/>
      <c r="AJ5" s="19"/>
      <c r="AK5" s="19"/>
      <c r="AL5" s="19"/>
      <c r="AM5" s="38">
        <f>'283ο'!N2</f>
        <v>2764.5</v>
      </c>
      <c r="AN5" s="38">
        <f>'283π'!N2</f>
        <v>942</v>
      </c>
      <c r="AO5" s="38">
        <f>'283ρ'!N2</f>
        <v>1198.05</v>
      </c>
      <c r="AP5" s="238">
        <f>'283σ(11-12)β'!AM2+'283σ(11-12)γ'!AM2+'283σ(11-12)δ'!AM2+'283σ(11-12)ζ'!AM2</f>
        <v>999.04328686720487</v>
      </c>
      <c r="AQ5" s="238">
        <f>'283τ1'!O2+'283τ2'!O2+'283τ(3-4)'!O2+'283τ(5-6)'!O2</f>
        <v>623.16360968451943</v>
      </c>
      <c r="AR5" s="238">
        <f>'283τ(7-8)'!O2</f>
        <v>0</v>
      </c>
      <c r="AS5" s="38">
        <f t="shared" ref="AS5:AS20" si="0">SUM(B5:AQ5)</f>
        <v>15889.369896551723</v>
      </c>
      <c r="AV5" s="41">
        <v>6906.1129999999994</v>
      </c>
    </row>
    <row r="6" spans="1:48">
      <c r="A6" s="29">
        <v>1999</v>
      </c>
      <c r="B6" s="19">
        <f>'283α21'!N3</f>
        <v>0</v>
      </c>
      <c r="C6" s="19">
        <f>'283α23'!N4</f>
        <v>0</v>
      </c>
      <c r="D6" s="19">
        <f>'283α23'!O4</f>
        <v>0</v>
      </c>
      <c r="E6" s="19">
        <f>'283α23'!P4</f>
        <v>0</v>
      </c>
      <c r="F6" s="19">
        <f>'283α23'!Q4</f>
        <v>0</v>
      </c>
      <c r="G6" s="19">
        <f>'283α24-25'!N3</f>
        <v>0</v>
      </c>
      <c r="H6" s="38">
        <f>'283β'!T4</f>
        <v>82.62</v>
      </c>
      <c r="I6" s="38">
        <f>'283β'!V4</f>
        <v>39.5625</v>
      </c>
      <c r="J6" s="38">
        <f>'283β'!X4</f>
        <v>791.25</v>
      </c>
      <c r="K6" s="386"/>
      <c r="L6" s="387"/>
      <c r="M6" s="388"/>
      <c r="N6" s="19">
        <f>'283δ'!N3</f>
        <v>0</v>
      </c>
      <c r="O6" s="19">
        <f>'283ε'!N3</f>
        <v>0</v>
      </c>
      <c r="P6" s="19">
        <f>'283ζ'!N4</f>
        <v>220.35908750000004</v>
      </c>
      <c r="Q6" s="19">
        <f>'283ζ'!O4</f>
        <v>264.43090500000005</v>
      </c>
      <c r="R6" s="19">
        <f>'283ζ'!P4</f>
        <v>3922.3917575000005</v>
      </c>
      <c r="S6" s="363"/>
      <c r="T6" s="364"/>
      <c r="U6" s="365"/>
      <c r="V6" s="19">
        <f>'283θ'!AX4</f>
        <v>26.56</v>
      </c>
      <c r="W6" s="19">
        <f>'283θ'!AY4</f>
        <v>24.09</v>
      </c>
      <c r="X6" s="19">
        <f>'283θ'!AZ4</f>
        <v>18.010000000000002</v>
      </c>
      <c r="Y6" s="19">
        <f>'283θ'!BA4</f>
        <v>37.94</v>
      </c>
      <c r="Z6" s="19">
        <f>'283ι'!N4</f>
        <v>0</v>
      </c>
      <c r="AA6" s="19">
        <f>'283ι'!O4</f>
        <v>0</v>
      </c>
      <c r="AB6" s="19">
        <f>'283ι'!P4</f>
        <v>0</v>
      </c>
      <c r="AC6" s="19">
        <f>'283κ'!N4</f>
        <v>0</v>
      </c>
      <c r="AD6" s="19">
        <f>'283κ'!O4</f>
        <v>0</v>
      </c>
      <c r="AE6" s="19">
        <f>'283κ'!P4</f>
        <v>0</v>
      </c>
      <c r="AF6" s="19">
        <f>'283λ'!N3</f>
        <v>0</v>
      </c>
      <c r="AG6" s="19">
        <f>'283μ'!N3</f>
        <v>0</v>
      </c>
      <c r="AH6" s="19"/>
      <c r="AI6" s="19"/>
      <c r="AJ6" s="19"/>
      <c r="AK6" s="19"/>
      <c r="AL6" s="19"/>
      <c r="AM6" s="19">
        <f>'283ο'!N3</f>
        <v>6600.2437500000005</v>
      </c>
      <c r="AN6" s="19">
        <f>'283π'!N3</f>
        <v>2249.0250000000001</v>
      </c>
      <c r="AO6" s="19">
        <f>'283ρ'!N3</f>
        <v>2860.3443749999997</v>
      </c>
      <c r="AP6" s="236">
        <f>'283σ(11-12)β'!AM3+'283σ(11-12)γ'!AM3+'283σ(11-12)δ'!AM3+'283σ(11-12)ζ'!AM3</f>
        <v>1229.699192956713</v>
      </c>
      <c r="AQ6" s="238">
        <f>'283τ1'!O3+'283τ2'!O3+'283τ(3-4)'!O3+'283τ(5-6)'!O3</f>
        <v>1126.1804842259721</v>
      </c>
      <c r="AR6" s="238">
        <f>'283τ(7-8)'!O3</f>
        <v>0</v>
      </c>
      <c r="AS6" s="164">
        <f t="shared" si="0"/>
        <v>19492.707052182686</v>
      </c>
      <c r="AV6" s="16">
        <v>10991.311</v>
      </c>
    </row>
    <row r="7" spans="1:48">
      <c r="A7" s="29">
        <v>2000</v>
      </c>
      <c r="B7" s="19">
        <f>'283α21'!N4</f>
        <v>0</v>
      </c>
      <c r="C7" s="19">
        <f>'283α23'!N5</f>
        <v>0</v>
      </c>
      <c r="D7" s="19">
        <f>'283α23'!O5</f>
        <v>0</v>
      </c>
      <c r="E7" s="19">
        <f>'283α23'!P5</f>
        <v>0</v>
      </c>
      <c r="F7" s="19">
        <f>'283α23'!Q5</f>
        <v>0</v>
      </c>
      <c r="G7" s="19">
        <f>'283α24-25'!N4</f>
        <v>0</v>
      </c>
      <c r="H7" s="38">
        <f>'283β'!T5</f>
        <v>65.12</v>
      </c>
      <c r="I7" s="38">
        <f>'283β'!V5</f>
        <v>31.182500000000001</v>
      </c>
      <c r="J7" s="38">
        <f>'283β'!X5</f>
        <v>623.65</v>
      </c>
      <c r="K7" s="386"/>
      <c r="L7" s="387"/>
      <c r="M7" s="388"/>
      <c r="N7" s="401" t="s">
        <v>45</v>
      </c>
      <c r="O7" s="369" t="s">
        <v>45</v>
      </c>
      <c r="P7" s="19">
        <f>'283ζ'!N5</f>
        <v>219.58994583333333</v>
      </c>
      <c r="Q7" s="19">
        <f>'283ζ'!O5</f>
        <v>263.50793499999997</v>
      </c>
      <c r="R7" s="19">
        <f>'283ζ'!P5</f>
        <v>3908.7010358333332</v>
      </c>
      <c r="S7" s="363"/>
      <c r="T7" s="364"/>
      <c r="U7" s="365"/>
      <c r="V7" s="19">
        <f>'283θ'!AX5</f>
        <v>3.8577989728539985</v>
      </c>
      <c r="W7" s="19">
        <f>'283θ'!AY5</f>
        <v>4.4158400586940569</v>
      </c>
      <c r="X7" s="19">
        <f>'283θ'!AZ5</f>
        <v>4.4138811445341162</v>
      </c>
      <c r="Y7" s="19">
        <f>'283θ'!BA5</f>
        <v>8.3625165077035941</v>
      </c>
      <c r="Z7" s="19">
        <f>'283ι'!N5</f>
        <v>0</v>
      </c>
      <c r="AA7" s="19">
        <f>'283ι'!O5</f>
        <v>0</v>
      </c>
      <c r="AB7" s="19">
        <f>'283ι'!P5</f>
        <v>0</v>
      </c>
      <c r="AC7" s="19">
        <f>'283κ'!N5</f>
        <v>0</v>
      </c>
      <c r="AD7" s="19">
        <f>'283κ'!O5</f>
        <v>0</v>
      </c>
      <c r="AE7" s="19">
        <f>'283κ'!P5</f>
        <v>0</v>
      </c>
      <c r="AF7" s="19">
        <f>'283λ'!N4</f>
        <v>0</v>
      </c>
      <c r="AG7" s="19">
        <f>'283μ'!N4</f>
        <v>0</v>
      </c>
      <c r="AH7" s="19"/>
      <c r="AI7" s="19"/>
      <c r="AJ7" s="19"/>
      <c r="AK7" s="19"/>
      <c r="AL7" s="19"/>
      <c r="AM7" s="19">
        <f>'283ο'!N4</f>
        <v>6577.2062500000002</v>
      </c>
      <c r="AN7" s="19">
        <f>'283π'!N4</f>
        <v>2241.1749999999997</v>
      </c>
      <c r="AO7" s="19">
        <f>'283ρ'!N4</f>
        <v>2850.3606249999998</v>
      </c>
      <c r="AP7" s="236">
        <f>'283σ(11-12)β'!AM4+'283σ(11-12)γ'!AM4+'283σ(11-12)δ'!AM4+'283σ(11-12)ζ'!AM4</f>
        <v>190.1863536316948</v>
      </c>
      <c r="AQ7" s="238">
        <f>'283τ1'!O4+'283τ2'!O4+'283τ(3-4)'!O4+'283τ(5-6)'!O4</f>
        <v>782.01614086573727</v>
      </c>
      <c r="AR7" s="238">
        <f>'283τ(7-8)'!O4</f>
        <v>0</v>
      </c>
      <c r="AS7" s="164">
        <f t="shared" si="0"/>
        <v>17773.745822847883</v>
      </c>
      <c r="AV7" s="16">
        <v>9910.4876000000004</v>
      </c>
    </row>
    <row r="8" spans="1:48">
      <c r="A8" s="29">
        <v>2001</v>
      </c>
      <c r="B8" s="19">
        <f>'283α21'!N5</f>
        <v>0</v>
      </c>
      <c r="C8" s="19">
        <f>'283α23'!N6</f>
        <v>0</v>
      </c>
      <c r="D8" s="19">
        <f>'283α23'!O6</f>
        <v>0</v>
      </c>
      <c r="E8" s="19">
        <f>'283α23'!P6</f>
        <v>0</v>
      </c>
      <c r="F8" s="19">
        <f>'283α23'!Q6</f>
        <v>0</v>
      </c>
      <c r="G8" s="19">
        <f>'283α24-25'!N5</f>
        <v>0</v>
      </c>
      <c r="H8" s="38">
        <f>'283β'!T6</f>
        <v>61.96</v>
      </c>
      <c r="I8" s="38">
        <f>'283β'!V6</f>
        <v>29.669499999999999</v>
      </c>
      <c r="J8" s="38">
        <f>'283β'!X6</f>
        <v>593.39</v>
      </c>
      <c r="K8" s="386"/>
      <c r="L8" s="387"/>
      <c r="M8" s="388"/>
      <c r="N8" s="402"/>
      <c r="O8" s="369"/>
      <c r="P8" s="19">
        <f>'283ζ'!N6</f>
        <v>220.35908750000004</v>
      </c>
      <c r="Q8" s="19">
        <f>'283ζ'!O6</f>
        <v>264.43090500000005</v>
      </c>
      <c r="R8" s="19">
        <f>'283ζ'!P6</f>
        <v>3922.3917575000005</v>
      </c>
      <c r="S8" s="363"/>
      <c r="T8" s="364"/>
      <c r="U8" s="365"/>
      <c r="V8" s="19">
        <f>'283θ'!AX6</f>
        <v>26.319317681584742</v>
      </c>
      <c r="W8" s="19">
        <f>'283θ'!AY6</f>
        <v>18.230388848129127</v>
      </c>
      <c r="X8" s="19">
        <f>'283θ'!AZ6</f>
        <v>11.747168011738811</v>
      </c>
      <c r="Y8" s="19">
        <f>'283θ'!BA6</f>
        <v>0</v>
      </c>
      <c r="Z8" s="19">
        <f>'283ι'!N6</f>
        <v>0</v>
      </c>
      <c r="AA8" s="19">
        <f>'283ι'!O6</f>
        <v>0</v>
      </c>
      <c r="AB8" s="19">
        <f>'283ι'!P6</f>
        <v>0</v>
      </c>
      <c r="AC8" s="19">
        <f>'283κ'!N6</f>
        <v>0</v>
      </c>
      <c r="AD8" s="19">
        <f>'283κ'!O6</f>
        <v>0</v>
      </c>
      <c r="AE8" s="19">
        <f>'283κ'!P6</f>
        <v>0</v>
      </c>
      <c r="AF8" s="19">
        <f>'283λ'!N5</f>
        <v>0</v>
      </c>
      <c r="AG8" s="19">
        <f>'283μ'!N5</f>
        <v>0</v>
      </c>
      <c r="AH8" s="19"/>
      <c r="AI8" s="19"/>
      <c r="AJ8" s="19"/>
      <c r="AK8" s="19"/>
      <c r="AL8" s="19"/>
      <c r="AM8" s="19">
        <f>'283ο'!N5</f>
        <v>6600.2437500000005</v>
      </c>
      <c r="AN8" s="19">
        <f>'283π'!N5</f>
        <v>2249.0250000000001</v>
      </c>
      <c r="AO8" s="19">
        <f>'283ρ'!N5</f>
        <v>2860.3443749999997</v>
      </c>
      <c r="AP8" s="236">
        <f>'283σ(11-12)β'!AM5+'283σ(11-12)γ'!AM5+'283σ(11-12)δ'!AM5+'283σ(11-12)ζ'!AM5</f>
        <v>120.02641232575201</v>
      </c>
      <c r="AQ8" s="238">
        <f>'283τ1'!O5+'283τ2'!O5+'283τ(3-4)'!O5+'283τ(5-6)'!O5</f>
        <v>885.55832721936895</v>
      </c>
      <c r="AR8" s="238">
        <f>'283τ(7-8)'!O5</f>
        <v>0</v>
      </c>
      <c r="AS8" s="164">
        <f t="shared" si="0"/>
        <v>17863.695989086573</v>
      </c>
      <c r="AV8" s="16">
        <v>11307.493899999999</v>
      </c>
    </row>
    <row r="9" spans="1:48">
      <c r="A9" s="29">
        <v>2002</v>
      </c>
      <c r="B9" s="19">
        <f>'283α21'!N6</f>
        <v>0</v>
      </c>
      <c r="C9" s="19">
        <f>'283α23'!N7</f>
        <v>0</v>
      </c>
      <c r="D9" s="19">
        <f>'283α23'!O7</f>
        <v>0</v>
      </c>
      <c r="E9" s="19">
        <f>'283α23'!P7</f>
        <v>0</v>
      </c>
      <c r="F9" s="19">
        <f>'283α23'!Q7</f>
        <v>0</v>
      </c>
      <c r="G9" s="19">
        <f>'283α24-25'!N6</f>
        <v>0</v>
      </c>
      <c r="H9" s="38">
        <f>'283β'!T7</f>
        <v>21.61</v>
      </c>
      <c r="I9" s="38">
        <f>'283β'!V7</f>
        <v>10.348000000000001</v>
      </c>
      <c r="J9" s="38">
        <f>'283β'!X7</f>
        <v>206.96</v>
      </c>
      <c r="K9" s="386"/>
      <c r="L9" s="387"/>
      <c r="M9" s="388"/>
      <c r="N9" s="403"/>
      <c r="O9" s="369"/>
      <c r="P9" s="19">
        <f>'283ζ'!N7</f>
        <v>250.35561250000001</v>
      </c>
      <c r="Q9" s="19">
        <f>'283ζ'!O7</f>
        <v>300.42673500000001</v>
      </c>
      <c r="R9" s="19">
        <f>'283ζ'!P7</f>
        <v>4456.3299025000006</v>
      </c>
      <c r="S9" s="363"/>
      <c r="T9" s="364"/>
      <c r="U9" s="365"/>
      <c r="V9" s="19">
        <f>'283θ'!AX7</f>
        <v>7.95</v>
      </c>
      <c r="W9" s="19">
        <f>'283θ'!AY7</f>
        <v>4.68</v>
      </c>
      <c r="X9" s="19">
        <f>'283θ'!AZ7</f>
        <v>7.76</v>
      </c>
      <c r="Y9" s="19">
        <f>'283θ'!BA7</f>
        <v>0</v>
      </c>
      <c r="Z9" s="19">
        <f>'283ι'!N7</f>
        <v>0</v>
      </c>
      <c r="AA9" s="19">
        <f>'283ι'!O7</f>
        <v>0</v>
      </c>
      <c r="AB9" s="19">
        <f>'283ι'!P7</f>
        <v>0</v>
      </c>
      <c r="AC9" s="19">
        <f>'283κ'!N7</f>
        <v>0</v>
      </c>
      <c r="AD9" s="19">
        <f>'283κ'!O7</f>
        <v>0</v>
      </c>
      <c r="AE9" s="19">
        <f>'283κ'!P7</f>
        <v>0</v>
      </c>
      <c r="AF9" s="19">
        <f>'283λ'!N6</f>
        <v>0</v>
      </c>
      <c r="AG9" s="19">
        <f>'283μ'!N6</f>
        <v>0</v>
      </c>
      <c r="AH9" s="19"/>
      <c r="AI9" s="19"/>
      <c r="AJ9" s="19"/>
      <c r="AK9" s="19"/>
      <c r="AL9" s="19"/>
      <c r="AM9" s="19">
        <f>'283ο'!N6</f>
        <v>7498.7062500000002</v>
      </c>
      <c r="AN9" s="19">
        <f>'283π'!N6</f>
        <v>2555.1749999999997</v>
      </c>
      <c r="AO9" s="19">
        <f>'283ρ'!N6</f>
        <v>3249.7106249999997</v>
      </c>
      <c r="AP9" s="236">
        <f>'283σ(11-12)β'!AM6+'283σ(11-12)γ'!AM6+'283σ(11-12)δ'!AM6+'283σ(11-12)ζ'!AM6</f>
        <v>94.950000000000017</v>
      </c>
      <c r="AQ9" s="238">
        <f>'283τ1'!O6+'283τ2'!O6+'283τ(3-4)'!O6+'283τ(5-6)'!O6</f>
        <v>1361.1311999999998</v>
      </c>
      <c r="AR9" s="238">
        <f>'283τ(7-8)'!O6</f>
        <v>0</v>
      </c>
      <c r="AS9" s="164">
        <f t="shared" si="0"/>
        <v>20026.093325000002</v>
      </c>
      <c r="AV9" s="16">
        <v>10353.5309</v>
      </c>
    </row>
    <row r="10" spans="1:48" ht="15" customHeight="1">
      <c r="A10" s="29">
        <v>2003</v>
      </c>
      <c r="B10" s="19">
        <f>'283α21'!N7</f>
        <v>0</v>
      </c>
      <c r="C10" s="19">
        <f>'283α23'!N8</f>
        <v>0</v>
      </c>
      <c r="D10" s="19">
        <f>'283α23'!O8</f>
        <v>0</v>
      </c>
      <c r="E10" s="19">
        <f>'283α23'!P8</f>
        <v>0</v>
      </c>
      <c r="F10" s="19">
        <f>'283α23'!Q8</f>
        <v>0</v>
      </c>
      <c r="G10" s="19">
        <f>'283α24-25'!N7</f>
        <v>0</v>
      </c>
      <c r="H10" s="374" t="s">
        <v>45</v>
      </c>
      <c r="I10" s="375"/>
      <c r="J10" s="376"/>
      <c r="K10" s="386"/>
      <c r="L10" s="387"/>
      <c r="M10" s="388"/>
      <c r="N10" s="370" t="s">
        <v>53</v>
      </c>
      <c r="O10" s="370" t="s">
        <v>53</v>
      </c>
      <c r="P10" s="19">
        <f>'283ζ'!N8</f>
        <v>370.34171250000003</v>
      </c>
      <c r="Q10" s="19">
        <f>'283ζ'!O8</f>
        <v>444.410055</v>
      </c>
      <c r="R10" s="19">
        <f>'283ζ'!P8</f>
        <v>6592.0824825</v>
      </c>
      <c r="S10" s="363"/>
      <c r="T10" s="364"/>
      <c r="U10" s="365"/>
      <c r="V10" s="19">
        <f>'283θ'!AX8</f>
        <v>17.350000000000001</v>
      </c>
      <c r="W10" s="19">
        <f>'283θ'!AY8</f>
        <v>11.9</v>
      </c>
      <c r="X10" s="19">
        <f>'283θ'!AZ8</f>
        <v>18.5</v>
      </c>
      <c r="Y10" s="19">
        <f>'283θ'!BA8</f>
        <v>0</v>
      </c>
      <c r="Z10" s="19">
        <f>'283ι'!N8</f>
        <v>0</v>
      </c>
      <c r="AA10" s="19">
        <f>'283ι'!O8</f>
        <v>0</v>
      </c>
      <c r="AB10" s="19">
        <f>'283ι'!P8</f>
        <v>0</v>
      </c>
      <c r="AC10" s="19">
        <f>'283κ'!N8</f>
        <v>0</v>
      </c>
      <c r="AD10" s="19">
        <f>'283κ'!O8</f>
        <v>0</v>
      </c>
      <c r="AE10" s="19">
        <f>'283κ'!P8</f>
        <v>0</v>
      </c>
      <c r="AF10" s="19">
        <f>'283λ'!N7</f>
        <v>0</v>
      </c>
      <c r="AG10" s="19">
        <f>'283μ'!N7</f>
        <v>0</v>
      </c>
      <c r="AH10" s="19"/>
      <c r="AI10" s="19"/>
      <c r="AJ10" s="19"/>
      <c r="AK10" s="19"/>
      <c r="AL10" s="19"/>
      <c r="AM10" s="19">
        <f>'283ο'!N7</f>
        <v>11092.556250000001</v>
      </c>
      <c r="AN10" s="19">
        <f>'283π'!N7</f>
        <v>3779.7749999999996</v>
      </c>
      <c r="AO10" s="19">
        <f>'283ρ'!N7</f>
        <v>4807.1756249999999</v>
      </c>
      <c r="AP10" s="236">
        <f>'283σ(11-12)β'!AM7+'283σ(11-12)γ'!AM7+'283σ(11-12)δ'!AM7+'283σ(11-12)ζ'!AM7</f>
        <v>72.789999999999992</v>
      </c>
      <c r="AQ10" s="238">
        <f>'283τ1'!O7+'283τ2'!O7+'283τ(3-4)'!O7+'283τ(5-6)'!O7</f>
        <v>1840.2031999999999</v>
      </c>
      <c r="AR10" s="238">
        <f>'283τ(7-8)'!O7</f>
        <v>0</v>
      </c>
      <c r="AS10" s="164">
        <f t="shared" si="0"/>
        <v>29047.084325000003</v>
      </c>
      <c r="AV10" s="16">
        <v>12636.1121</v>
      </c>
    </row>
    <row r="11" spans="1:48">
      <c r="A11" s="29">
        <v>2004</v>
      </c>
      <c r="B11" s="19">
        <f>'283α21'!N8</f>
        <v>0</v>
      </c>
      <c r="C11" s="19">
        <f>'283α23'!N9</f>
        <v>0</v>
      </c>
      <c r="D11" s="19">
        <f>'283α23'!O9</f>
        <v>0</v>
      </c>
      <c r="E11" s="19">
        <f>'283α23'!P9</f>
        <v>0</v>
      </c>
      <c r="F11" s="19">
        <f>'283α23'!Q9</f>
        <v>0</v>
      </c>
      <c r="G11" s="19">
        <f>'283α24-25'!N8</f>
        <v>0</v>
      </c>
      <c r="H11" s="377"/>
      <c r="I11" s="378"/>
      <c r="J11" s="379"/>
      <c r="K11" s="386"/>
      <c r="L11" s="387"/>
      <c r="M11" s="388"/>
      <c r="N11" s="371"/>
      <c r="O11" s="371"/>
      <c r="P11" s="19">
        <f>'283ζ'!N9</f>
        <v>378.41770000000002</v>
      </c>
      <c r="Q11" s="19">
        <f>'283ζ'!O9</f>
        <v>454.10124000000002</v>
      </c>
      <c r="R11" s="19">
        <f>'283ζ'!P9</f>
        <v>6735.8350600000003</v>
      </c>
      <c r="S11" s="363"/>
      <c r="T11" s="364"/>
      <c r="U11" s="365"/>
      <c r="V11" s="19">
        <f>'283θ'!AX9</f>
        <v>10.96</v>
      </c>
      <c r="W11" s="19">
        <f>'283θ'!AY9</f>
        <v>10.039999999999999</v>
      </c>
      <c r="X11" s="19">
        <f>'283θ'!AZ9</f>
        <v>12.5</v>
      </c>
      <c r="Y11" s="19">
        <f>'283θ'!BA9</f>
        <v>0</v>
      </c>
      <c r="Z11" s="19">
        <f>'283ι'!N9</f>
        <v>0</v>
      </c>
      <c r="AA11" s="19">
        <f>'283ι'!O9</f>
        <v>0</v>
      </c>
      <c r="AB11" s="19">
        <f>'283ι'!P9</f>
        <v>0</v>
      </c>
      <c r="AC11" s="19">
        <f>'283κ'!N9</f>
        <v>0</v>
      </c>
      <c r="AD11" s="19">
        <f>'283κ'!O9</f>
        <v>0</v>
      </c>
      <c r="AE11" s="19">
        <f>'283κ'!P9</f>
        <v>0</v>
      </c>
      <c r="AF11" s="19">
        <f>'283λ'!N8</f>
        <v>0</v>
      </c>
      <c r="AG11" s="19">
        <f>'283μ'!N8</f>
        <v>0</v>
      </c>
      <c r="AH11" s="19"/>
      <c r="AI11" s="19"/>
      <c r="AJ11" s="19"/>
      <c r="AK11" s="19"/>
      <c r="AL11" s="19"/>
      <c r="AM11" s="19">
        <f>'283ο'!N8</f>
        <v>11334.45</v>
      </c>
      <c r="AN11" s="19">
        <f>'283π'!N8</f>
        <v>3862.2</v>
      </c>
      <c r="AO11" s="19">
        <f>'283ρ'!N8</f>
        <v>4912.0049999999992</v>
      </c>
      <c r="AP11" s="237"/>
      <c r="AQ11" s="238">
        <f>'283τ1'!O8+'283τ2'!O8+'283τ(3-4)'!O8+'283τ(5-6)'!O8</f>
        <v>2375.7833999999998</v>
      </c>
      <c r="AR11" s="238">
        <f>'283τ(7-8)'!O8</f>
        <v>0</v>
      </c>
      <c r="AS11" s="164">
        <f t="shared" si="0"/>
        <v>30086.292399999998</v>
      </c>
      <c r="AV11" s="16">
        <v>12355.162100000001</v>
      </c>
    </row>
    <row r="12" spans="1:48">
      <c r="A12" s="29">
        <v>2005</v>
      </c>
      <c r="B12" s="19">
        <f>'283α21'!N9</f>
        <v>0</v>
      </c>
      <c r="C12" s="19">
        <f>'283α23'!N10</f>
        <v>0</v>
      </c>
      <c r="D12" s="19">
        <f>'283α23'!O10</f>
        <v>0</v>
      </c>
      <c r="E12" s="19">
        <f>'283α23'!P10</f>
        <v>0</v>
      </c>
      <c r="F12" s="19">
        <f>'283α23'!Q10</f>
        <v>0</v>
      </c>
      <c r="G12" s="19">
        <f>'283α24-25'!N9</f>
        <v>0</v>
      </c>
      <c r="H12" s="377"/>
      <c r="I12" s="378"/>
      <c r="J12" s="379"/>
      <c r="K12" s="386"/>
      <c r="L12" s="387"/>
      <c r="M12" s="388"/>
      <c r="N12" s="371"/>
      <c r="O12" s="371"/>
      <c r="P12" s="19">
        <f>'283ζ'!N10</f>
        <v>405.72222916666669</v>
      </c>
      <c r="Q12" s="19">
        <f>'283ζ'!O10</f>
        <v>486.86667499999999</v>
      </c>
      <c r="R12" s="19">
        <f>'283ζ'!P10</f>
        <v>7221.855679166667</v>
      </c>
      <c r="S12" s="363"/>
      <c r="T12" s="364"/>
      <c r="U12" s="365"/>
      <c r="V12" s="19">
        <f>'283θ'!AX10</f>
        <v>25.28</v>
      </c>
      <c r="W12" s="19">
        <f>'283θ'!AY10</f>
        <v>24.43</v>
      </c>
      <c r="X12" s="19">
        <f>'283θ'!AZ10</f>
        <v>28</v>
      </c>
      <c r="Y12" s="19">
        <f>'283θ'!BA10</f>
        <v>0</v>
      </c>
      <c r="Z12" s="19">
        <f>'283ι'!N10</f>
        <v>0</v>
      </c>
      <c r="AA12" s="19">
        <f>'283ι'!O10</f>
        <v>0</v>
      </c>
      <c r="AB12" s="19">
        <f>'283ι'!P10</f>
        <v>0</v>
      </c>
      <c r="AC12" s="19">
        <f>'283κ'!N10</f>
        <v>0</v>
      </c>
      <c r="AD12" s="19">
        <f>'283κ'!O10</f>
        <v>0</v>
      </c>
      <c r="AE12" s="19">
        <f>'283κ'!P10</f>
        <v>0</v>
      </c>
      <c r="AF12" s="19">
        <f>'283λ'!N9</f>
        <v>0</v>
      </c>
      <c r="AG12" s="19">
        <f>'283μ'!N9</f>
        <v>0</v>
      </c>
      <c r="AH12" s="19"/>
      <c r="AI12" s="19"/>
      <c r="AJ12" s="19"/>
      <c r="AK12" s="19"/>
      <c r="AL12" s="19"/>
      <c r="AM12" s="19">
        <f>'283ο'!N9</f>
        <v>12152.28125</v>
      </c>
      <c r="AN12" s="19">
        <f>'283π'!N9</f>
        <v>4140.875</v>
      </c>
      <c r="AO12" s="19">
        <f>'283ρ'!N9</f>
        <v>5266.4281249999995</v>
      </c>
      <c r="AP12" s="237"/>
      <c r="AQ12" s="238">
        <f>'283τ1'!O9+'283τ2'!O9+'283τ(3-4)'!O9+'283τ(5-6)'!O9</f>
        <v>2241.8566000000001</v>
      </c>
      <c r="AR12" s="238">
        <f>'283τ(7-8)'!O9</f>
        <v>0</v>
      </c>
      <c r="AS12" s="164">
        <f t="shared" si="0"/>
        <v>31993.595558333331</v>
      </c>
      <c r="AV12" s="16">
        <v>14076.1991</v>
      </c>
    </row>
    <row r="13" spans="1:48">
      <c r="A13" s="29">
        <v>2006</v>
      </c>
      <c r="B13" s="19">
        <f>'283α21'!N10</f>
        <v>0</v>
      </c>
      <c r="C13" s="19">
        <f>'283α23'!N11</f>
        <v>0</v>
      </c>
      <c r="D13" s="19">
        <f>'283α23'!O11</f>
        <v>0</v>
      </c>
      <c r="E13" s="19">
        <f>'283α23'!P11</f>
        <v>0</v>
      </c>
      <c r="F13" s="19">
        <f>'283α23'!Q11</f>
        <v>0</v>
      </c>
      <c r="G13" s="19">
        <f>'283α24-25'!N10</f>
        <v>0</v>
      </c>
      <c r="H13" s="380"/>
      <c r="I13" s="381"/>
      <c r="J13" s="382"/>
      <c r="K13" s="389"/>
      <c r="L13" s="390"/>
      <c r="M13" s="391"/>
      <c r="N13" s="372"/>
      <c r="O13" s="372"/>
      <c r="P13" s="19">
        <f>'283ζ'!N11</f>
        <v>513.16362858333343</v>
      </c>
      <c r="Q13" s="19">
        <f>'283ζ'!O11</f>
        <v>615.79635430000008</v>
      </c>
      <c r="R13" s="19">
        <f>'283ζ'!P11</f>
        <v>9134.3125887833357</v>
      </c>
      <c r="S13" s="363"/>
      <c r="T13" s="364"/>
      <c r="U13" s="365"/>
      <c r="V13" s="19">
        <f>'283θ'!AX11</f>
        <v>0</v>
      </c>
      <c r="W13" s="19">
        <f>'283θ'!AY11</f>
        <v>0</v>
      </c>
      <c r="X13" s="19">
        <f>'283θ'!AZ11</f>
        <v>0</v>
      </c>
      <c r="Y13" s="19">
        <f>'283θ'!BA11</f>
        <v>0</v>
      </c>
      <c r="Z13" s="19">
        <f>'283ι'!N11</f>
        <v>0</v>
      </c>
      <c r="AA13" s="19">
        <f>'283ι'!O11</f>
        <v>0</v>
      </c>
      <c r="AB13" s="19">
        <f>'283ι'!P11</f>
        <v>0</v>
      </c>
      <c r="AC13" s="19">
        <f>'283κ'!N11</f>
        <v>0</v>
      </c>
      <c r="AD13" s="19">
        <f>'283κ'!O11</f>
        <v>0</v>
      </c>
      <c r="AE13" s="19">
        <f>'283κ'!P11</f>
        <v>0</v>
      </c>
      <c r="AF13" s="19">
        <f>'283λ'!N10</f>
        <v>0</v>
      </c>
      <c r="AG13" s="19">
        <f>'283μ'!N10</f>
        <v>0</v>
      </c>
      <c r="AH13" s="19"/>
      <c r="AI13" s="19"/>
      <c r="AJ13" s="19"/>
      <c r="AK13" s="19"/>
      <c r="AL13" s="19"/>
      <c r="AM13" s="19">
        <f>'283ο'!N10</f>
        <v>30516.394000000004</v>
      </c>
      <c r="AN13" s="19">
        <f>'283π'!N10</f>
        <v>10398.424000000001</v>
      </c>
      <c r="AO13" s="19">
        <f>'283ρ'!N10</f>
        <v>13224.874599999999</v>
      </c>
      <c r="AP13" s="237"/>
      <c r="AQ13" s="238">
        <f>'283τ1'!O10+'283τ2'!O10+'283τ(3-4)'!O10+'283τ(5-6)'!O10</f>
        <v>2063.5</v>
      </c>
      <c r="AR13" s="238">
        <f>'283τ(7-8)'!O10</f>
        <v>0</v>
      </c>
      <c r="AS13" s="164">
        <f t="shared" si="0"/>
        <v>66466.46517166667</v>
      </c>
      <c r="AV13" s="16">
        <v>16387.1335</v>
      </c>
    </row>
    <row r="14" spans="1:48">
      <c r="A14" s="29">
        <v>2007</v>
      </c>
      <c r="B14" s="19">
        <f>'283α21'!N11</f>
        <v>0</v>
      </c>
      <c r="C14" s="19">
        <f>'283α23'!N12</f>
        <v>0</v>
      </c>
      <c r="D14" s="19">
        <f>'283α23'!O12</f>
        <v>0</v>
      </c>
      <c r="E14" s="19">
        <f>'283α23'!P12</f>
        <v>0</v>
      </c>
      <c r="F14" s="19">
        <f>'283α23'!Q12</f>
        <v>0</v>
      </c>
      <c r="G14" s="19">
        <f>'283α24-25'!N11</f>
        <v>0</v>
      </c>
      <c r="H14" s="38">
        <f>'283β'!T12</f>
        <v>451.28</v>
      </c>
      <c r="I14" s="38">
        <f>'283β'!V12</f>
        <v>213.10450000000003</v>
      </c>
      <c r="J14" s="38">
        <f>'283β'!X12</f>
        <v>4262.09</v>
      </c>
      <c r="K14" s="19">
        <f>'283γ'!N12</f>
        <v>0</v>
      </c>
      <c r="L14" s="19">
        <f>'283γ'!O12</f>
        <v>0</v>
      </c>
      <c r="M14" s="19">
        <f>'283γ'!P12</f>
        <v>0</v>
      </c>
      <c r="N14" s="19">
        <f>'283δ'!N11</f>
        <v>0</v>
      </c>
      <c r="O14" s="19">
        <f>'283ε'!N11</f>
        <v>0</v>
      </c>
      <c r="P14" s="19">
        <f>'283ζ'!N12</f>
        <v>491.56228487500016</v>
      </c>
      <c r="Q14" s="19">
        <f>'283ζ'!O12</f>
        <v>589.87474185000008</v>
      </c>
      <c r="R14" s="19">
        <f>'283ζ'!P12</f>
        <v>8749.8086707750026</v>
      </c>
      <c r="S14" s="363"/>
      <c r="T14" s="364"/>
      <c r="U14" s="365"/>
      <c r="V14" s="19">
        <f>'283θ'!AX12</f>
        <v>0</v>
      </c>
      <c r="W14" s="19">
        <f>'283θ'!AY12</f>
        <v>0</v>
      </c>
      <c r="X14" s="19">
        <f>'283θ'!AZ12</f>
        <v>0</v>
      </c>
      <c r="Y14" s="19">
        <f>'283θ'!BA12</f>
        <v>0</v>
      </c>
      <c r="Z14" s="19">
        <f>'283ι'!N12</f>
        <v>0</v>
      </c>
      <c r="AA14" s="19">
        <f>'283ι'!O12</f>
        <v>0</v>
      </c>
      <c r="AB14" s="19">
        <f>'283ι'!P12</f>
        <v>0</v>
      </c>
      <c r="AC14" s="19">
        <f>'283κ'!N12</f>
        <v>0</v>
      </c>
      <c r="AD14" s="19">
        <f>'283κ'!O12</f>
        <v>0</v>
      </c>
      <c r="AE14" s="19">
        <f>'283κ'!P12</f>
        <v>0</v>
      </c>
      <c r="AF14" s="19">
        <f>'283λ'!N11</f>
        <v>0</v>
      </c>
      <c r="AG14" s="19">
        <f>'283μ'!N11</f>
        <v>0</v>
      </c>
      <c r="AH14" s="19"/>
      <c r="AI14" s="19"/>
      <c r="AJ14" s="19"/>
      <c r="AK14" s="19"/>
      <c r="AL14" s="19"/>
      <c r="AM14" s="19">
        <f>'283ο'!N11</f>
        <v>29231.823000000008</v>
      </c>
      <c r="AN14" s="19">
        <f>'283π'!N11</f>
        <v>9960.7080000000005</v>
      </c>
      <c r="AO14" s="19">
        <f>'283ρ'!N11</f>
        <v>12668.180699999999</v>
      </c>
      <c r="AP14" s="237"/>
      <c r="AQ14" s="238">
        <f>'283τ1'!O11+'283τ2'!O11+'283τ(3-4)'!O11+'283τ(5-6)'!O11</f>
        <v>1993</v>
      </c>
      <c r="AR14" s="238">
        <f>'283τ(7-8)'!O11</f>
        <v>0</v>
      </c>
      <c r="AS14" s="164">
        <f t="shared" si="0"/>
        <v>68611.431897500006</v>
      </c>
      <c r="AV14" s="16">
        <v>23056.265299999999</v>
      </c>
    </row>
    <row r="15" spans="1:48">
      <c r="A15" s="29">
        <v>2008</v>
      </c>
      <c r="B15" s="19">
        <f>'283α21'!N12</f>
        <v>0</v>
      </c>
      <c r="C15" s="19">
        <f>'283α23'!N13</f>
        <v>0</v>
      </c>
      <c r="D15" s="19">
        <f>'283α23'!O13</f>
        <v>0</v>
      </c>
      <c r="E15" s="19">
        <f>'283α23'!P13</f>
        <v>0</v>
      </c>
      <c r="F15" s="19">
        <f>'283α23'!Q13</f>
        <v>0</v>
      </c>
      <c r="G15" s="19">
        <f>'283α24-25'!N12</f>
        <v>0</v>
      </c>
      <c r="H15" s="38">
        <f>'283β'!T13</f>
        <v>370.44</v>
      </c>
      <c r="I15" s="38">
        <f>'283β'!V13</f>
        <v>174.93</v>
      </c>
      <c r="J15" s="38">
        <f>'283β'!X13</f>
        <v>3498.6</v>
      </c>
      <c r="K15" s="19">
        <f>'283γ'!N13</f>
        <v>0</v>
      </c>
      <c r="L15" s="19">
        <f>'283γ'!O13</f>
        <v>0</v>
      </c>
      <c r="M15" s="19">
        <f>'283γ'!P13</f>
        <v>0</v>
      </c>
      <c r="N15" s="19">
        <f>'283δ'!N12</f>
        <v>0</v>
      </c>
      <c r="O15" s="19">
        <f>'283ε'!N12</f>
        <v>0</v>
      </c>
      <c r="P15" s="19">
        <f>'283ζ'!N13</f>
        <v>463.63859666666667</v>
      </c>
      <c r="Q15" s="19">
        <f>'283ζ'!O13</f>
        <v>556.36631599999998</v>
      </c>
      <c r="R15" s="19">
        <f>'283ζ'!P13</f>
        <v>8252.7670206666662</v>
      </c>
      <c r="S15" s="366"/>
      <c r="T15" s="367"/>
      <c r="U15" s="368"/>
      <c r="V15" s="19">
        <f>'283θ'!AX13</f>
        <v>0</v>
      </c>
      <c r="W15" s="19">
        <f>'283θ'!AY13</f>
        <v>0</v>
      </c>
      <c r="X15" s="19">
        <f>'283θ'!AZ13</f>
        <v>0</v>
      </c>
      <c r="Y15" s="19">
        <f>'283θ'!BA13</f>
        <v>0</v>
      </c>
      <c r="Z15" s="19">
        <f>'283ι'!N13</f>
        <v>0</v>
      </c>
      <c r="AA15" s="19">
        <f>'283ι'!O13</f>
        <v>0</v>
      </c>
      <c r="AB15" s="19">
        <f>'283ι'!P13</f>
        <v>0</v>
      </c>
      <c r="AC15" s="19">
        <f>'283κ'!N13</f>
        <v>0</v>
      </c>
      <c r="AD15" s="19">
        <f>'283κ'!O13</f>
        <v>0</v>
      </c>
      <c r="AE15" s="19">
        <f>'283κ'!P13</f>
        <v>0</v>
      </c>
      <c r="AF15" s="19">
        <f>'283λ'!N12</f>
        <v>0</v>
      </c>
      <c r="AG15" s="19">
        <f>'283μ'!N12</f>
        <v>0</v>
      </c>
      <c r="AH15" s="19"/>
      <c r="AI15" s="19"/>
      <c r="AJ15" s="19"/>
      <c r="AK15" s="19"/>
      <c r="AL15" s="19"/>
      <c r="AM15" s="19">
        <f>'283ο'!N12</f>
        <v>27571.280000000002</v>
      </c>
      <c r="AN15" s="19">
        <f>'283π'!N12</f>
        <v>9394.880000000001</v>
      </c>
      <c r="AO15" s="19">
        <f>'283ρ'!N12</f>
        <v>11948.552</v>
      </c>
      <c r="AP15" s="237"/>
      <c r="AQ15" s="238">
        <f>'283τ1'!O12+'283τ2'!O12+'283τ(3-4)'!O12+'283τ(5-6)'!O12</f>
        <v>1960</v>
      </c>
      <c r="AR15" s="238">
        <f>'283τ(7-8)'!O12</f>
        <v>0</v>
      </c>
      <c r="AS15" s="164">
        <f t="shared" si="0"/>
        <v>64191.453933333338</v>
      </c>
      <c r="AV15" s="16">
        <v>25455.710200000001</v>
      </c>
    </row>
    <row r="16" spans="1:48">
      <c r="A16" s="29">
        <v>2009</v>
      </c>
      <c r="B16" s="19">
        <f>'283α21'!N13</f>
        <v>0</v>
      </c>
      <c r="C16" s="19">
        <f>'283α23'!N14</f>
        <v>0</v>
      </c>
      <c r="D16" s="19">
        <f>'283α23'!O14</f>
        <v>0</v>
      </c>
      <c r="E16" s="19">
        <f>'283α23'!P14</f>
        <v>0</v>
      </c>
      <c r="F16" s="19">
        <f>'283α23'!Q14</f>
        <v>0</v>
      </c>
      <c r="G16" s="19">
        <f>'283α24-25'!N13</f>
        <v>0</v>
      </c>
      <c r="H16" s="38">
        <f>'283β'!T14</f>
        <v>377.28</v>
      </c>
      <c r="I16" s="38">
        <f>'283β'!V14</f>
        <v>178.16</v>
      </c>
      <c r="J16" s="38">
        <f>'283β'!X14</f>
        <v>3563.2</v>
      </c>
      <c r="K16" s="19">
        <f>'283γ'!N14</f>
        <v>0</v>
      </c>
      <c r="L16" s="19">
        <f>'283γ'!O14</f>
        <v>0</v>
      </c>
      <c r="M16" s="19">
        <f>'283γ'!P14</f>
        <v>0</v>
      </c>
      <c r="N16" s="19">
        <f>'283δ'!N13</f>
        <v>0</v>
      </c>
      <c r="O16" s="19">
        <f>'283ε'!N13</f>
        <v>0</v>
      </c>
      <c r="P16" s="19">
        <f>'283ζ'!N14</f>
        <v>475.75642362500002</v>
      </c>
      <c r="Q16" s="19">
        <f>'283ζ'!O14</f>
        <v>570.90770835000001</v>
      </c>
      <c r="R16" s="19">
        <f>'283ζ'!P14</f>
        <v>8468.4643405250008</v>
      </c>
      <c r="S16" s="19">
        <f>'283η'!N14</f>
        <v>0</v>
      </c>
      <c r="T16" s="19">
        <f>'283η'!O14</f>
        <v>0</v>
      </c>
      <c r="U16" s="19">
        <f>'283η'!P14</f>
        <v>0</v>
      </c>
      <c r="V16" s="19">
        <f>'283θ'!AX14</f>
        <v>0</v>
      </c>
      <c r="W16" s="19">
        <f>'283θ'!AY14</f>
        <v>0</v>
      </c>
      <c r="X16" s="19">
        <f>'283θ'!AZ14</f>
        <v>0</v>
      </c>
      <c r="Y16" s="19">
        <f>'283θ'!BA14</f>
        <v>0</v>
      </c>
      <c r="Z16" s="19">
        <f>'283ι'!N14</f>
        <v>0</v>
      </c>
      <c r="AA16" s="19">
        <f>'283ι'!O14</f>
        <v>0</v>
      </c>
      <c r="AB16" s="19">
        <f>'283ι'!P14</f>
        <v>0</v>
      </c>
      <c r="AC16" s="19">
        <f>'283κ'!N14</f>
        <v>0</v>
      </c>
      <c r="AD16" s="19">
        <f>'283κ'!O14</f>
        <v>0</v>
      </c>
      <c r="AE16" s="19">
        <f>'283κ'!P14</f>
        <v>0</v>
      </c>
      <c r="AF16" s="19">
        <f>'283λ'!N13</f>
        <v>0</v>
      </c>
      <c r="AG16" s="19">
        <f>'283μ'!N13</f>
        <v>0</v>
      </c>
      <c r="AH16" s="19"/>
      <c r="AI16" s="19"/>
      <c r="AJ16" s="19"/>
      <c r="AK16" s="19"/>
      <c r="AL16" s="19"/>
      <c r="AM16" s="19">
        <f>'283ο'!N13</f>
        <v>28291.893000000007</v>
      </c>
      <c r="AN16" s="19">
        <f>'283π'!N13</f>
        <v>9640.4279999999999</v>
      </c>
      <c r="AO16" s="19">
        <f>'283ρ'!N13</f>
        <v>12260.843699999998</v>
      </c>
      <c r="AP16" s="237"/>
      <c r="AQ16" s="238">
        <f>'283τ1'!O13+'283τ2'!O13+'283τ(3-4)'!O13+'283τ(5-6)'!O13</f>
        <v>1622.5</v>
      </c>
      <c r="AR16" s="238">
        <f>'283τ(7-8)'!O13</f>
        <v>0</v>
      </c>
      <c r="AS16" s="164">
        <f t="shared" si="0"/>
        <v>65449.433172500008</v>
      </c>
      <c r="AV16" s="16">
        <v>21910.849000000002</v>
      </c>
    </row>
    <row r="17" spans="1:48">
      <c r="A17" s="29">
        <v>2010</v>
      </c>
      <c r="B17" s="19">
        <f>'283α21'!N14</f>
        <v>0</v>
      </c>
      <c r="C17" s="19">
        <f>'283α23'!N15</f>
        <v>0</v>
      </c>
      <c r="D17" s="19">
        <f>'283α23'!O15</f>
        <v>0</v>
      </c>
      <c r="E17" s="19">
        <f>'283α23'!P15</f>
        <v>0</v>
      </c>
      <c r="F17" s="19">
        <f>'283α23'!Q15</f>
        <v>0</v>
      </c>
      <c r="G17" s="19">
        <f>'283α24-25'!N14</f>
        <v>0</v>
      </c>
      <c r="H17" s="38">
        <f>'283β'!T15</f>
        <v>536.79999999999995</v>
      </c>
      <c r="I17" s="38">
        <f>'283β'!V15</f>
        <v>253.489</v>
      </c>
      <c r="J17" s="38">
        <f>'283β'!X15</f>
        <v>5069.78</v>
      </c>
      <c r="K17" s="19">
        <f>'283γ'!N15</f>
        <v>0</v>
      </c>
      <c r="L17" s="19">
        <f>'283γ'!O15</f>
        <v>0</v>
      </c>
      <c r="M17" s="19">
        <f>'283γ'!P15</f>
        <v>0</v>
      </c>
      <c r="N17" s="19">
        <f>'283δ'!N14</f>
        <v>0</v>
      </c>
      <c r="O17" s="19">
        <f>'283ε'!N14</f>
        <v>0</v>
      </c>
      <c r="P17" s="19">
        <f>'283ζ'!N15</f>
        <v>476.17560583333329</v>
      </c>
      <c r="Q17" s="19">
        <f>'283ζ'!O15</f>
        <v>571.41072699999984</v>
      </c>
      <c r="R17" s="19">
        <f>'283ζ'!P15</f>
        <v>8475.9257838333324</v>
      </c>
      <c r="S17" s="19">
        <f>'283η'!N15</f>
        <v>0</v>
      </c>
      <c r="T17" s="19">
        <f>'283η'!O15</f>
        <v>0</v>
      </c>
      <c r="U17" s="19">
        <f>'283η'!P15</f>
        <v>0</v>
      </c>
      <c r="V17" s="19">
        <f>'283θ'!AX15</f>
        <v>0</v>
      </c>
      <c r="W17" s="19">
        <f>'283θ'!AY15</f>
        <v>0</v>
      </c>
      <c r="X17" s="19">
        <f>'283θ'!AZ15</f>
        <v>0</v>
      </c>
      <c r="Y17" s="19">
        <f>'283θ'!BA15</f>
        <v>0</v>
      </c>
      <c r="Z17" s="19">
        <f>'283ι'!N15</f>
        <v>0</v>
      </c>
      <c r="AA17" s="19">
        <f>'283ι'!O15</f>
        <v>0</v>
      </c>
      <c r="AB17" s="19">
        <f>'283ι'!P15</f>
        <v>0</v>
      </c>
      <c r="AC17" s="19">
        <f>'283κ'!N15</f>
        <v>0</v>
      </c>
      <c r="AD17" s="19">
        <f>'283κ'!O15</f>
        <v>0</v>
      </c>
      <c r="AE17" s="19">
        <f>'283κ'!P15</f>
        <v>0</v>
      </c>
      <c r="AF17" s="19">
        <f>'283λ'!N14</f>
        <v>0</v>
      </c>
      <c r="AG17" s="19">
        <f>'283μ'!N14</f>
        <v>0</v>
      </c>
      <c r="AH17" s="19"/>
      <c r="AI17" s="19"/>
      <c r="AJ17" s="19"/>
      <c r="AK17" s="19"/>
      <c r="AL17" s="19"/>
      <c r="AM17" s="19">
        <f>'283ο'!N14</f>
        <v>28385.886000000002</v>
      </c>
      <c r="AN17" s="19">
        <f>'283π'!N14</f>
        <v>9672.4560000000001</v>
      </c>
      <c r="AO17" s="19">
        <f>'283ρ'!N14</f>
        <v>12301.577399999998</v>
      </c>
      <c r="AP17" s="237"/>
      <c r="AQ17" s="238">
        <f>'283τ1'!O14+'283τ2'!O14+'283τ(3-4)'!O14+'283τ(5-6)'!O14</f>
        <v>1409</v>
      </c>
      <c r="AR17" s="238">
        <f>'283τ(7-8)'!O14</f>
        <v>0</v>
      </c>
      <c r="AS17" s="164">
        <f t="shared" si="0"/>
        <v>67152.500516666667</v>
      </c>
      <c r="AV17" s="16">
        <v>23462.284</v>
      </c>
    </row>
    <row r="18" spans="1:48">
      <c r="A18" s="29">
        <v>2011</v>
      </c>
      <c r="B18" s="19">
        <f>'283α21'!N15</f>
        <v>0</v>
      </c>
      <c r="C18" s="19">
        <f>'283α23'!N16</f>
        <v>0</v>
      </c>
      <c r="D18" s="19">
        <f>'283α23'!O16</f>
        <v>0</v>
      </c>
      <c r="E18" s="19">
        <f>'283α23'!P16</f>
        <v>0</v>
      </c>
      <c r="F18" s="19">
        <f>'283α23'!Q16</f>
        <v>0</v>
      </c>
      <c r="G18" s="19">
        <f>'283α24-25'!N15</f>
        <v>0</v>
      </c>
      <c r="H18" s="38">
        <f>'283β'!T16</f>
        <v>341.8</v>
      </c>
      <c r="I18" s="38">
        <f>'283β'!V16</f>
        <v>161.40550000000002</v>
      </c>
      <c r="J18" s="38">
        <f>'283β'!X16</f>
        <v>3228.11</v>
      </c>
      <c r="K18" s="392" t="s">
        <v>45</v>
      </c>
      <c r="L18" s="393"/>
      <c r="M18" s="394"/>
      <c r="N18" s="19">
        <f>'283δ'!N15</f>
        <v>0</v>
      </c>
      <c r="O18" s="19">
        <f>'283ε'!N15</f>
        <v>0</v>
      </c>
      <c r="P18" s="19">
        <f>'283ζ'!N16</f>
        <v>455.67798041666668</v>
      </c>
      <c r="Q18" s="19">
        <f>'283ζ'!O16</f>
        <v>546.81357649999995</v>
      </c>
      <c r="R18" s="19">
        <f>'283ζ'!P16</f>
        <v>8111.0680514166661</v>
      </c>
      <c r="S18" s="19">
        <f>'283η'!N16</f>
        <v>0</v>
      </c>
      <c r="T18" s="19">
        <f>'283η'!O16</f>
        <v>0</v>
      </c>
      <c r="U18" s="19">
        <f>'283η'!P16</f>
        <v>0</v>
      </c>
      <c r="V18" s="19">
        <f>'283θ'!AX16</f>
        <v>0</v>
      </c>
      <c r="W18" s="19">
        <f>'283θ'!AY16</f>
        <v>0</v>
      </c>
      <c r="X18" s="19">
        <f>'283θ'!AZ16</f>
        <v>0</v>
      </c>
      <c r="Y18" s="19">
        <f>'283θ'!BA16</f>
        <v>0</v>
      </c>
      <c r="Z18" s="19">
        <f>'283ι'!N16</f>
        <v>0</v>
      </c>
      <c r="AA18" s="19">
        <f>'283ι'!O16</f>
        <v>0</v>
      </c>
      <c r="AB18" s="19">
        <f>'283ι'!P16</f>
        <v>0</v>
      </c>
      <c r="AC18" s="19">
        <f>'283κ'!N16</f>
        <v>0</v>
      </c>
      <c r="AD18" s="19">
        <f>'283κ'!O16</f>
        <v>0</v>
      </c>
      <c r="AE18" s="19">
        <f>'283κ'!P16</f>
        <v>0</v>
      </c>
      <c r="AF18" s="19">
        <f>'283λ'!N15</f>
        <v>0</v>
      </c>
      <c r="AG18" s="19">
        <f>'283μ'!N15</f>
        <v>0</v>
      </c>
      <c r="AH18" s="19"/>
      <c r="AI18" s="19"/>
      <c r="AJ18" s="19"/>
      <c r="AK18" s="19"/>
      <c r="AL18" s="19"/>
      <c r="AM18" s="19">
        <f>'283ο'!N15</f>
        <v>27163.977000000003</v>
      </c>
      <c r="AN18" s="19">
        <f>'283π'!N15</f>
        <v>9256.0920000000006</v>
      </c>
      <c r="AO18" s="19">
        <f>'283ρ'!N15</f>
        <v>11772.039299999999</v>
      </c>
      <c r="AP18" s="237"/>
      <c r="AQ18" s="238">
        <f>'283τ1'!O15+'283τ2'!O15+'283τ(3-4)'!O15+'283τ(5-6)'!O15</f>
        <v>1173</v>
      </c>
      <c r="AR18" s="238">
        <f>'283τ(7-8)'!O15</f>
        <v>0</v>
      </c>
      <c r="AS18" s="164">
        <f t="shared" si="0"/>
        <v>62209.983408333334</v>
      </c>
      <c r="AV18" s="16">
        <v>20436.505499999999</v>
      </c>
    </row>
    <row r="19" spans="1:48">
      <c r="A19" s="29">
        <v>2012</v>
      </c>
      <c r="B19" s="19">
        <f>'283α21'!N16</f>
        <v>0</v>
      </c>
      <c r="C19" s="19">
        <f>'283α23'!N17</f>
        <v>0</v>
      </c>
      <c r="D19" s="19">
        <f>'283α23'!O17</f>
        <v>0</v>
      </c>
      <c r="E19" s="19">
        <f>'283α23'!P17</f>
        <v>0</v>
      </c>
      <c r="F19" s="19">
        <f>'283α23'!Q17</f>
        <v>0</v>
      </c>
      <c r="G19" s="19">
        <f>'283α24-25'!N16</f>
        <v>0</v>
      </c>
      <c r="H19" s="38">
        <f>'283β'!T17</f>
        <v>91.6</v>
      </c>
      <c r="I19" s="38">
        <f>'283β'!V17</f>
        <v>97.75</v>
      </c>
      <c r="J19" s="38">
        <f>'283β'!X17</f>
        <v>1955</v>
      </c>
      <c r="K19" s="395"/>
      <c r="L19" s="396"/>
      <c r="M19" s="397"/>
      <c r="N19" s="19">
        <f>'283δ'!N16</f>
        <v>0</v>
      </c>
      <c r="O19" s="19">
        <f>'283ε'!N16</f>
        <v>0</v>
      </c>
      <c r="P19" s="19">
        <f>'283ζ'!N17</f>
        <v>366.59214687500003</v>
      </c>
      <c r="Q19" s="19">
        <f>'283ζ'!O17</f>
        <v>439.91057624999996</v>
      </c>
      <c r="R19" s="19">
        <f>'283ζ'!P17</f>
        <v>6525.340214375</v>
      </c>
      <c r="S19" s="19">
        <f>'283η'!N17</f>
        <v>0</v>
      </c>
      <c r="T19" s="19">
        <f>'283η'!O17</f>
        <v>0</v>
      </c>
      <c r="U19" s="19">
        <f>'283η'!P17</f>
        <v>0</v>
      </c>
      <c r="V19" s="19">
        <f>'283θ'!AX17</f>
        <v>0</v>
      </c>
      <c r="W19" s="19">
        <f>'283θ'!AY17</f>
        <v>0</v>
      </c>
      <c r="X19" s="19">
        <f>'283θ'!AZ17</f>
        <v>0</v>
      </c>
      <c r="Y19" s="19">
        <f>'283θ'!BA17</f>
        <v>0</v>
      </c>
      <c r="Z19" s="19">
        <f>'283ι'!N17</f>
        <v>0</v>
      </c>
      <c r="AA19" s="19">
        <f>'283ι'!O17</f>
        <v>0</v>
      </c>
      <c r="AB19" s="19">
        <f>'283ι'!P17</f>
        <v>0</v>
      </c>
      <c r="AC19" s="19">
        <f>'283κ'!N17</f>
        <v>0</v>
      </c>
      <c r="AD19" s="19">
        <f>'283κ'!O17</f>
        <v>0</v>
      </c>
      <c r="AE19" s="19">
        <f>'283κ'!P17</f>
        <v>0</v>
      </c>
      <c r="AF19" s="19">
        <f>'283λ'!N16</f>
        <v>0</v>
      </c>
      <c r="AG19" s="19">
        <f>'283μ'!N16</f>
        <v>0</v>
      </c>
      <c r="AH19" s="19"/>
      <c r="AI19" s="19"/>
      <c r="AJ19" s="19"/>
      <c r="AK19" s="19"/>
      <c r="AL19" s="19"/>
      <c r="AM19" s="19">
        <f>'283ο'!N16</f>
        <v>21853.372500000001</v>
      </c>
      <c r="AN19" s="19">
        <f>'283π'!N16</f>
        <v>7446.51</v>
      </c>
      <c r="AO19" s="19">
        <f>'283ρ'!N16</f>
        <v>9470.5852499999983</v>
      </c>
      <c r="AP19" s="237"/>
      <c r="AQ19" s="238">
        <f>'283τ1'!O16+'283τ2'!O16+'283τ(3-4)'!O16+'283τ(5-6)'!O16</f>
        <v>945.5</v>
      </c>
      <c r="AR19" s="238">
        <f>'283τ(7-8)'!O16</f>
        <v>0</v>
      </c>
      <c r="AS19" s="164">
        <f t="shared" si="0"/>
        <v>49192.1606875</v>
      </c>
      <c r="AV19" s="16">
        <v>17918.150000000001</v>
      </c>
    </row>
    <row r="20" spans="1:48" ht="15.75">
      <c r="A20" s="29">
        <v>2013</v>
      </c>
      <c r="B20" s="19">
        <f>'283α21'!N17</f>
        <v>0</v>
      </c>
      <c r="C20" s="19">
        <f>'283α23'!N18</f>
        <v>0</v>
      </c>
      <c r="D20" s="19">
        <f>'283α23'!O18</f>
        <v>0</v>
      </c>
      <c r="E20" s="19">
        <f>'283α23'!P18</f>
        <v>0</v>
      </c>
      <c r="F20" s="19">
        <f>'283α23'!Q18</f>
        <v>0</v>
      </c>
      <c r="G20" s="19">
        <f>'283α24-25'!N17</f>
        <v>0</v>
      </c>
      <c r="H20" s="38">
        <f>'283β'!T18</f>
        <v>124.2</v>
      </c>
      <c r="I20" s="38">
        <f>'283β'!V18</f>
        <v>58.650000000000006</v>
      </c>
      <c r="J20" s="38">
        <f>'283β'!X18</f>
        <v>1173</v>
      </c>
      <c r="K20" s="398"/>
      <c r="L20" s="399"/>
      <c r="M20" s="400"/>
      <c r="N20" s="19">
        <f>'283δ'!N17</f>
        <v>0</v>
      </c>
      <c r="O20" s="19">
        <f>'283ε'!N17</f>
        <v>0</v>
      </c>
      <c r="P20" s="19">
        <f>'283ζ'!N18</f>
        <v>184.47862874999998</v>
      </c>
      <c r="Q20" s="19">
        <f>'283ζ'!O18</f>
        <v>221.37435449999998</v>
      </c>
      <c r="R20" s="19">
        <f>'283ζ'!P18</f>
        <v>3283.7195917499998</v>
      </c>
      <c r="S20" s="19">
        <f>'283η'!N18</f>
        <v>0</v>
      </c>
      <c r="T20" s="19">
        <f>'283η'!O18</f>
        <v>0</v>
      </c>
      <c r="U20" s="19">
        <f>'283η'!P18</f>
        <v>0</v>
      </c>
      <c r="V20" s="19">
        <f>'283θ'!AX18</f>
        <v>0</v>
      </c>
      <c r="W20" s="19">
        <f>'283θ'!AY18</f>
        <v>0</v>
      </c>
      <c r="X20" s="19">
        <f>'283θ'!AZ18</f>
        <v>0</v>
      </c>
      <c r="Y20" s="19">
        <f>'283θ'!BA18</f>
        <v>0</v>
      </c>
      <c r="Z20" s="19">
        <f>'283ι'!N18</f>
        <v>0</v>
      </c>
      <c r="AA20" s="19">
        <f>'283ι'!O18</f>
        <v>0</v>
      </c>
      <c r="AB20" s="19">
        <f>'283ι'!P18</f>
        <v>0</v>
      </c>
      <c r="AC20" s="19">
        <f>'283κ'!N18</f>
        <v>0</v>
      </c>
      <c r="AD20" s="19">
        <f>'283κ'!O18</f>
        <v>0</v>
      </c>
      <c r="AE20" s="19">
        <f>'283κ'!P18</f>
        <v>0</v>
      </c>
      <c r="AF20" s="19">
        <f>'283λ'!N17</f>
        <v>0</v>
      </c>
      <c r="AG20" s="19">
        <f>'283μ'!N17</f>
        <v>0</v>
      </c>
      <c r="AH20" s="19"/>
      <c r="AI20" s="19"/>
      <c r="AJ20" s="19"/>
      <c r="AK20" s="19"/>
      <c r="AL20" s="19"/>
      <c r="AM20" s="19">
        <f>'283ο'!N17</f>
        <v>10997.181</v>
      </c>
      <c r="AN20" s="19">
        <f>'283π'!N17</f>
        <v>3747.2759999999998</v>
      </c>
      <c r="AO20" s="19">
        <f>'283ρ'!N17</f>
        <v>4765.8428999999996</v>
      </c>
      <c r="AP20" s="237"/>
      <c r="AQ20" s="238">
        <f>'283τ1'!O17+'283τ2'!O17+'283τ(3-4)'!O17+'283τ(5-6)'!O17</f>
        <v>1768.6399999999999</v>
      </c>
      <c r="AR20" s="238">
        <f>'283τ(7-8)'!O17</f>
        <v>10</v>
      </c>
      <c r="AS20" s="164">
        <f t="shared" si="0"/>
        <v>26324.362474999998</v>
      </c>
      <c r="AT20" s="15" t="s">
        <v>1</v>
      </c>
      <c r="AU20" s="15" t="s">
        <v>2</v>
      </c>
      <c r="AV20" s="16">
        <v>9347.85</v>
      </c>
    </row>
    <row r="21" spans="1:48" s="32" customFormat="1" ht="15.75">
      <c r="A21" s="13" t="s">
        <v>16</v>
      </c>
      <c r="B21" s="63">
        <f t="shared" ref="B21:AR21" si="1">SUM(B5:B20)</f>
        <v>0</v>
      </c>
      <c r="C21" s="63">
        <f t="shared" si="1"/>
        <v>15.26</v>
      </c>
      <c r="D21" s="85">
        <f t="shared" si="1"/>
        <v>0</v>
      </c>
      <c r="E21" s="30">
        <f t="shared" si="1"/>
        <v>0</v>
      </c>
      <c r="F21" s="30">
        <f t="shared" si="1"/>
        <v>0</v>
      </c>
      <c r="G21" s="63">
        <f t="shared" si="1"/>
        <v>97.440000000000012</v>
      </c>
      <c r="H21" s="85">
        <f t="shared" si="1"/>
        <v>2557.4199999999996</v>
      </c>
      <c r="I21" s="30">
        <f t="shared" si="1"/>
        <v>1263.9145000000001</v>
      </c>
      <c r="J21" s="30">
        <f t="shared" si="1"/>
        <v>25278.29</v>
      </c>
      <c r="K21" s="85">
        <f t="shared" si="1"/>
        <v>0</v>
      </c>
      <c r="L21" s="30">
        <f t="shared" si="1"/>
        <v>0</v>
      </c>
      <c r="M21" s="30">
        <f t="shared" si="1"/>
        <v>0</v>
      </c>
      <c r="N21" s="30">
        <f t="shared" si="1"/>
        <v>414.27</v>
      </c>
      <c r="O21" s="63">
        <f t="shared" si="1"/>
        <v>2369.27</v>
      </c>
      <c r="P21" s="85">
        <f t="shared" si="1"/>
        <v>5584.4876706249997</v>
      </c>
      <c r="Q21" s="30">
        <f t="shared" si="1"/>
        <v>6701.3852047499995</v>
      </c>
      <c r="R21" s="30">
        <f t="shared" si="1"/>
        <v>99403.880537125006</v>
      </c>
      <c r="S21" s="85">
        <f t="shared" si="1"/>
        <v>0</v>
      </c>
      <c r="T21" s="30">
        <f t="shared" si="1"/>
        <v>0</v>
      </c>
      <c r="U21" s="30">
        <f t="shared" si="1"/>
        <v>0</v>
      </c>
      <c r="V21" s="85">
        <f t="shared" si="1"/>
        <v>125.31711665443876</v>
      </c>
      <c r="W21" s="30">
        <f t="shared" si="1"/>
        <v>104.43622890682317</v>
      </c>
      <c r="X21" s="30">
        <f t="shared" si="1"/>
        <v>109.09104915627293</v>
      </c>
      <c r="Y21" s="30">
        <f t="shared" si="1"/>
        <v>63.152516507703595</v>
      </c>
      <c r="Z21" s="85">
        <f t="shared" si="1"/>
        <v>146.14750000000001</v>
      </c>
      <c r="AA21" s="30">
        <f t="shared" si="1"/>
        <v>175.37700000000001</v>
      </c>
      <c r="AB21" s="30">
        <f t="shared" si="1"/>
        <v>2601.4255000000003</v>
      </c>
      <c r="AC21" s="85">
        <f t="shared" si="1"/>
        <v>39.325000000000003</v>
      </c>
      <c r="AD21" s="30">
        <f t="shared" si="1"/>
        <v>47.19</v>
      </c>
      <c r="AE21" s="30">
        <f t="shared" si="1"/>
        <v>699.98500000000001</v>
      </c>
      <c r="AF21" s="30">
        <f t="shared" si="1"/>
        <v>0</v>
      </c>
      <c r="AG21" s="30">
        <f t="shared" si="1"/>
        <v>510.65</v>
      </c>
      <c r="AH21" s="85">
        <f t="shared" si="1"/>
        <v>0</v>
      </c>
      <c r="AI21" s="30">
        <f t="shared" si="1"/>
        <v>0</v>
      </c>
      <c r="AJ21" s="30">
        <f t="shared" si="1"/>
        <v>0</v>
      </c>
      <c r="AK21" s="30">
        <f t="shared" si="1"/>
        <v>0</v>
      </c>
      <c r="AL21" s="30">
        <f t="shared" si="1"/>
        <v>0</v>
      </c>
      <c r="AM21" s="30">
        <f t="shared" si="1"/>
        <v>268631.99400000001</v>
      </c>
      <c r="AN21" s="30">
        <f t="shared" si="1"/>
        <v>91536.024000000005</v>
      </c>
      <c r="AO21" s="30">
        <f t="shared" si="1"/>
        <v>116416.91459999999</v>
      </c>
      <c r="AP21" s="30">
        <f t="shared" si="1"/>
        <v>2706.6952457813645</v>
      </c>
      <c r="AQ21" s="30">
        <f t="shared" si="1"/>
        <v>24171.032961995596</v>
      </c>
      <c r="AR21" s="30">
        <f t="shared" si="1"/>
        <v>10</v>
      </c>
      <c r="AS21" s="31">
        <f>SUM(AS5:AS20)</f>
        <v>651770.37563150225</v>
      </c>
    </row>
    <row r="22" spans="1:48" ht="15.75">
      <c r="A22" s="39"/>
      <c r="B22" s="40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106"/>
      <c r="AJ22" s="106"/>
      <c r="AK22" s="106"/>
      <c r="AL22" s="116"/>
      <c r="AM22" s="116"/>
      <c r="AN22" s="116"/>
      <c r="AO22" s="116"/>
      <c r="AP22" s="116"/>
      <c r="AQ22" s="116"/>
      <c r="AR22" s="116" t="s">
        <v>36</v>
      </c>
      <c r="AS22" s="63">
        <f>B21+C21+G21+O21</f>
        <v>2481.9699999999998</v>
      </c>
    </row>
    <row r="23" spans="1:48">
      <c r="AL23" s="116"/>
      <c r="AM23" s="116"/>
      <c r="AN23" s="116"/>
      <c r="AO23" s="116"/>
      <c r="AP23" s="116"/>
      <c r="AQ23" s="116"/>
      <c r="AR23" s="116" t="s">
        <v>63</v>
      </c>
      <c r="AS23" s="115">
        <f>D21+H21+K21+P21+S21+V21+Z21+AC21+AH21</f>
        <v>8452.6972872794377</v>
      </c>
    </row>
    <row r="25" spans="1:48" ht="15.75">
      <c r="B25" s="373" t="s">
        <v>17</v>
      </c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3"/>
      <c r="AO25" s="373"/>
      <c r="AP25" s="373"/>
      <c r="AQ25" s="373"/>
      <c r="AR25" s="373"/>
      <c r="AS25" s="373"/>
    </row>
    <row r="26" spans="1:48" ht="15.75">
      <c r="B26" s="44">
        <v>15.3</v>
      </c>
      <c r="C26" s="80">
        <v>1836.9599999999998</v>
      </c>
      <c r="D26" s="86">
        <v>978.3</v>
      </c>
      <c r="E26" s="33">
        <v>676.09</v>
      </c>
      <c r="F26" s="33">
        <v>10870.03</v>
      </c>
      <c r="G26" s="75">
        <v>10753.07</v>
      </c>
      <c r="H26" s="86">
        <v>2557.42</v>
      </c>
      <c r="I26" s="33">
        <v>1263.9100000000001</v>
      </c>
      <c r="J26" s="33">
        <v>25278.29</v>
      </c>
      <c r="K26" s="86">
        <v>707.83</v>
      </c>
      <c r="L26" s="33">
        <v>474.2</v>
      </c>
      <c r="M26" s="33">
        <v>6915.84</v>
      </c>
      <c r="N26" s="33">
        <v>3626.18</v>
      </c>
      <c r="O26" s="44">
        <v>2550.0300000000002</v>
      </c>
      <c r="P26" s="86">
        <v>4644</v>
      </c>
      <c r="Q26" s="33">
        <v>3870</v>
      </c>
      <c r="R26" s="33">
        <v>68886</v>
      </c>
      <c r="S26" s="86">
        <v>373</v>
      </c>
      <c r="T26" s="33">
        <v>447.6</v>
      </c>
      <c r="U26" s="33">
        <v>6639.4</v>
      </c>
      <c r="V26" s="86"/>
      <c r="W26" s="33"/>
      <c r="X26" s="33"/>
      <c r="Y26" s="33"/>
      <c r="Z26" s="86">
        <v>4410</v>
      </c>
      <c r="AA26" s="33">
        <v>3675</v>
      </c>
      <c r="AB26" s="33">
        <v>73500</v>
      </c>
      <c r="AC26" s="86"/>
      <c r="AD26" s="33"/>
      <c r="AE26" s="33"/>
      <c r="AF26" s="33"/>
      <c r="AG26" s="33"/>
      <c r="AH26" s="86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1">
        <f>SUM(B26:AL26)</f>
        <v>234948.44999999998</v>
      </c>
    </row>
    <row r="27" spans="1:48" ht="15.75">
      <c r="P27" s="464" t="s">
        <v>72</v>
      </c>
      <c r="Q27" s="464"/>
      <c r="R27" s="464"/>
      <c r="S27" s="359" t="s">
        <v>74</v>
      </c>
      <c r="T27" s="359"/>
      <c r="U27" s="359"/>
      <c r="V27" s="465" t="s">
        <v>74</v>
      </c>
      <c r="W27" s="465"/>
      <c r="X27" s="465"/>
      <c r="Y27" s="465"/>
      <c r="Z27" s="359" t="s">
        <v>74</v>
      </c>
      <c r="AA27" s="359"/>
      <c r="AB27" s="359"/>
      <c r="AL27" s="116"/>
      <c r="AM27" s="116"/>
      <c r="AN27" s="116"/>
      <c r="AO27" s="116"/>
      <c r="AP27" s="116"/>
      <c r="AQ27" s="116"/>
      <c r="AR27" s="116" t="s">
        <v>36</v>
      </c>
      <c r="AS27" s="63">
        <f>B26+C26+G26+O26</f>
        <v>15155.36</v>
      </c>
    </row>
    <row r="28" spans="1:48">
      <c r="H28" s="20"/>
      <c r="I28" s="20"/>
      <c r="AL28" s="116"/>
      <c r="AM28" s="116"/>
      <c r="AN28" s="116"/>
      <c r="AO28" s="116"/>
      <c r="AP28" s="116"/>
      <c r="AQ28" s="116"/>
      <c r="AR28" s="116" t="s">
        <v>63</v>
      </c>
      <c r="AS28" s="86">
        <f>D26+H26+K26+P26+S26+V26+Z26+AC26+AH26</f>
        <v>13670.55</v>
      </c>
      <c r="AV28" s="20"/>
    </row>
    <row r="29" spans="1:48">
      <c r="AS29" s="16"/>
      <c r="AV29" s="20"/>
    </row>
    <row r="30" spans="1:48">
      <c r="AS30" s="16"/>
      <c r="AV30" s="20"/>
    </row>
    <row r="31" spans="1:48" ht="51.75" customHeight="1">
      <c r="B31" s="358" t="s">
        <v>25</v>
      </c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8"/>
      <c r="AL31" s="358"/>
      <c r="AM31" s="358"/>
      <c r="AN31" s="358"/>
      <c r="AO31" s="358"/>
      <c r="AP31" s="358"/>
      <c r="AQ31" s="358"/>
      <c r="AR31" s="358"/>
      <c r="AS31" s="358"/>
      <c r="AV31" s="20"/>
    </row>
    <row r="32" spans="1:48">
      <c r="AS32" s="16"/>
      <c r="AV32" s="20"/>
    </row>
    <row r="33" spans="1:48" ht="62.25" customHeight="1">
      <c r="B33" s="357" t="s">
        <v>24</v>
      </c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V33" s="20"/>
    </row>
    <row r="34" spans="1:48">
      <c r="AS34" s="16"/>
      <c r="AV34" s="20"/>
    </row>
    <row r="35" spans="1:48">
      <c r="AS35" s="16"/>
      <c r="AV35" s="20"/>
    </row>
    <row r="36" spans="1:48">
      <c r="A36" s="29">
        <v>2013</v>
      </c>
      <c r="B36" s="17">
        <f>'283α21'!N33</f>
        <v>0</v>
      </c>
      <c r="C36" s="17">
        <f>'283α23'!N34</f>
        <v>0</v>
      </c>
      <c r="D36" s="17">
        <f>'283α23'!O34</f>
        <v>0</v>
      </c>
      <c r="E36" s="17">
        <f>'283α23'!P34</f>
        <v>0</v>
      </c>
      <c r="F36" s="17">
        <f>'283α23'!Q34</f>
        <v>0</v>
      </c>
      <c r="G36" s="17">
        <f>'283α24-25'!N33</f>
        <v>0</v>
      </c>
      <c r="H36" s="437" t="s">
        <v>45</v>
      </c>
      <c r="I36" s="438"/>
      <c r="J36" s="439"/>
      <c r="K36" s="17">
        <f>'283α21'!W33</f>
        <v>0</v>
      </c>
      <c r="L36" s="17">
        <f>'283α23'!W34</f>
        <v>0</v>
      </c>
      <c r="M36" s="17">
        <f>'283α23'!X34</f>
        <v>0</v>
      </c>
      <c r="N36" s="17">
        <f>'283α21'!Z33</f>
        <v>0</v>
      </c>
      <c r="O36" s="17">
        <f>'283α23'!Z34</f>
        <v>0</v>
      </c>
      <c r="P36" s="119">
        <v>175</v>
      </c>
      <c r="Q36" s="119">
        <v>210</v>
      </c>
      <c r="R36" s="119">
        <v>3115</v>
      </c>
      <c r="S36" s="119">
        <v>50</v>
      </c>
      <c r="T36" s="119">
        <v>60</v>
      </c>
      <c r="U36" s="21">
        <v>890</v>
      </c>
      <c r="V36" s="17">
        <f>'283α21'!AH33</f>
        <v>0</v>
      </c>
      <c r="W36" s="17">
        <f>'283α23'!AH34</f>
        <v>0</v>
      </c>
      <c r="X36" s="17">
        <f>'283α23'!AI34</f>
        <v>0</v>
      </c>
      <c r="Y36" s="17">
        <f>'283α23'!AJ34</f>
        <v>0</v>
      </c>
      <c r="Z36" s="21">
        <v>165</v>
      </c>
      <c r="AA36" s="21">
        <v>198</v>
      </c>
      <c r="AB36" s="21">
        <v>2937</v>
      </c>
      <c r="AC36" s="17">
        <f>'283α23'!AN34</f>
        <v>0</v>
      </c>
      <c r="AD36" s="17">
        <f>'283α23'!AO34</f>
        <v>0</v>
      </c>
      <c r="AE36" s="17">
        <f>'283α23'!AP34</f>
        <v>0</v>
      </c>
      <c r="AF36" s="17">
        <f>'283α21'!AR33</f>
        <v>0</v>
      </c>
      <c r="AG36" s="17">
        <f>'283α23'!AR34</f>
        <v>0</v>
      </c>
      <c r="AH36" s="17">
        <f>'283α23'!AS34</f>
        <v>0</v>
      </c>
      <c r="AI36" s="17">
        <f>'283α23'!AT34</f>
        <v>0</v>
      </c>
      <c r="AJ36" s="17">
        <f>'283α21'!AV33</f>
        <v>0</v>
      </c>
      <c r="AK36" s="17">
        <f>'283α23'!AV34</f>
        <v>0</v>
      </c>
      <c r="AL36" s="17">
        <f>'283α23'!AW34</f>
        <v>0</v>
      </c>
      <c r="AM36" s="17"/>
      <c r="AN36" s="17"/>
      <c r="AO36" s="17"/>
      <c r="AP36" s="239"/>
      <c r="AQ36" s="239"/>
      <c r="AR36" s="239"/>
      <c r="AS36" s="17">
        <f>SUM(B36:AL36)</f>
        <v>7800</v>
      </c>
      <c r="AV36" s="20"/>
    </row>
    <row r="37" spans="1:48">
      <c r="A37" s="29">
        <v>2014</v>
      </c>
      <c r="B37" s="17">
        <f>'283α21'!N34</f>
        <v>0</v>
      </c>
      <c r="C37" s="17">
        <f>'283α21'!O34</f>
        <v>0</v>
      </c>
      <c r="D37" s="17">
        <f>'283α21'!P34</f>
        <v>0</v>
      </c>
      <c r="E37" s="17">
        <f>'283α21'!Q34</f>
        <v>0</v>
      </c>
      <c r="F37" s="17">
        <f>'283α21'!R34</f>
        <v>0</v>
      </c>
      <c r="G37" s="17">
        <f>'283α21'!S34</f>
        <v>0</v>
      </c>
      <c r="H37" s="440"/>
      <c r="I37" s="441"/>
      <c r="J37" s="442"/>
      <c r="K37" s="17">
        <f>'283α21'!W34</f>
        <v>0</v>
      </c>
      <c r="L37" s="17">
        <f>'283α21'!X34</f>
        <v>0</v>
      </c>
      <c r="M37" s="17">
        <f>'283α21'!Y34</f>
        <v>0</v>
      </c>
      <c r="N37" s="17">
        <f>'283α21'!Z34</f>
        <v>0</v>
      </c>
      <c r="O37" s="17">
        <f>'283α21'!AA34</f>
        <v>0</v>
      </c>
      <c r="P37" s="120">
        <v>350</v>
      </c>
      <c r="Q37" s="120">
        <v>420</v>
      </c>
      <c r="R37" s="119">
        <v>6230</v>
      </c>
      <c r="S37" s="120">
        <v>92.5</v>
      </c>
      <c r="T37" s="120">
        <v>111</v>
      </c>
      <c r="U37" s="38">
        <v>1646.5</v>
      </c>
      <c r="V37" s="19"/>
      <c r="W37" s="19"/>
      <c r="X37" s="19"/>
      <c r="Y37" s="19"/>
      <c r="Z37" s="38">
        <v>330</v>
      </c>
      <c r="AA37" s="38">
        <v>396</v>
      </c>
      <c r="AB37" s="38">
        <v>5874</v>
      </c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241"/>
      <c r="AQ37" s="238">
        <f>'283τ1'!O18+'283τ2'!O18+'283τ(3-4)'!O18+'283τ(5-6)'!O18</f>
        <v>1582.5</v>
      </c>
      <c r="AR37" s="38">
        <f>'283τ(7-8)'!O18</f>
        <v>12</v>
      </c>
      <c r="AS37" s="17">
        <f t="shared" ref="AS37:AS43" si="2">SUM(B37:AL37)</f>
        <v>15450</v>
      </c>
      <c r="AV37" s="20"/>
    </row>
    <row r="38" spans="1:48">
      <c r="A38" s="29">
        <v>2015</v>
      </c>
      <c r="B38" s="17">
        <f>'283α21'!N34</f>
        <v>0</v>
      </c>
      <c r="C38" s="17">
        <f>'283α23'!N35</f>
        <v>0</v>
      </c>
      <c r="D38" s="17">
        <f>'283α23'!O35</f>
        <v>0</v>
      </c>
      <c r="E38" s="17">
        <f>'283α23'!P35</f>
        <v>0</v>
      </c>
      <c r="F38" s="17">
        <f>'283α23'!Q35</f>
        <v>0</v>
      </c>
      <c r="G38" s="17">
        <f>'283α24-25'!N34</f>
        <v>0</v>
      </c>
      <c r="H38" s="440"/>
      <c r="I38" s="441"/>
      <c r="J38" s="442"/>
      <c r="K38" s="19">
        <f>'283α21'!W34</f>
        <v>0</v>
      </c>
      <c r="L38" s="19">
        <f>'283α23'!W35</f>
        <v>0</v>
      </c>
      <c r="M38" s="19">
        <f>'283α23'!X35</f>
        <v>0</v>
      </c>
      <c r="N38" s="19">
        <f>'283α21'!Z34</f>
        <v>0</v>
      </c>
      <c r="O38" s="19">
        <f>'283α23'!Z35</f>
        <v>0</v>
      </c>
      <c r="P38" s="120">
        <v>370</v>
      </c>
      <c r="Q38" s="120">
        <v>444</v>
      </c>
      <c r="R38" s="119">
        <v>6586</v>
      </c>
      <c r="S38" s="120">
        <v>90</v>
      </c>
      <c r="T38" s="120">
        <v>108</v>
      </c>
      <c r="U38" s="38">
        <v>1602</v>
      </c>
      <c r="V38" s="19">
        <f>'283α21'!AH34</f>
        <v>0</v>
      </c>
      <c r="W38" s="19">
        <f>'283α23'!AH35</f>
        <v>0</v>
      </c>
      <c r="X38" s="19">
        <f>'283α23'!AI35</f>
        <v>0</v>
      </c>
      <c r="Y38" s="19">
        <f>'283α23'!AJ35</f>
        <v>0</v>
      </c>
      <c r="Z38" s="38">
        <v>330</v>
      </c>
      <c r="AA38" s="38">
        <v>396</v>
      </c>
      <c r="AB38" s="38">
        <v>5874</v>
      </c>
      <c r="AC38" s="19">
        <f>'283α23'!AN35</f>
        <v>0</v>
      </c>
      <c r="AD38" s="19">
        <f>'283α23'!AO35</f>
        <v>0</v>
      </c>
      <c r="AE38" s="19">
        <f>'283α23'!AP35</f>
        <v>0</v>
      </c>
      <c r="AF38" s="19">
        <f>'283α21'!AR34</f>
        <v>0</v>
      </c>
      <c r="AG38" s="19">
        <f>'283α23'!AR35</f>
        <v>0</v>
      </c>
      <c r="AH38" s="19">
        <f>'283α23'!AS35</f>
        <v>0</v>
      </c>
      <c r="AI38" s="19">
        <f>'283α23'!AT35</f>
        <v>0</v>
      </c>
      <c r="AJ38" s="19">
        <f>'283α21'!AV34</f>
        <v>0</v>
      </c>
      <c r="AK38" s="19">
        <f>'283α23'!AV35</f>
        <v>0</v>
      </c>
      <c r="AL38" s="19">
        <f>'283α23'!AW35</f>
        <v>0</v>
      </c>
      <c r="AM38" s="19"/>
      <c r="AN38" s="19"/>
      <c r="AO38" s="19"/>
      <c r="AP38" s="241"/>
      <c r="AQ38" s="238">
        <f>'283τ1'!O19+'283τ2'!O19+'283τ(3-4)'!O19+'283τ(5-6)'!O19</f>
        <v>1972.5</v>
      </c>
      <c r="AR38" s="38">
        <f>'283τ(7-8)'!O19</f>
        <v>10</v>
      </c>
      <c r="AS38" s="17">
        <f t="shared" si="2"/>
        <v>15800</v>
      </c>
      <c r="AV38" s="20"/>
    </row>
    <row r="39" spans="1:48">
      <c r="A39" s="29">
        <v>2016</v>
      </c>
      <c r="B39" s="17">
        <f>'283α21'!N35</f>
        <v>0</v>
      </c>
      <c r="C39" s="17">
        <f>'283α23'!N36</f>
        <v>0</v>
      </c>
      <c r="D39" s="17">
        <f>'283α23'!O36</f>
        <v>0</v>
      </c>
      <c r="E39" s="17">
        <f>'283α23'!P36</f>
        <v>0</v>
      </c>
      <c r="F39" s="17">
        <f>'283α23'!Q36</f>
        <v>0</v>
      </c>
      <c r="G39" s="17">
        <f>'283α24-25'!N35</f>
        <v>0</v>
      </c>
      <c r="H39" s="443"/>
      <c r="I39" s="444"/>
      <c r="J39" s="445"/>
      <c r="K39" s="19">
        <f>'283α21'!W35</f>
        <v>0</v>
      </c>
      <c r="L39" s="19">
        <f>'283α23'!W36</f>
        <v>0</v>
      </c>
      <c r="M39" s="19">
        <f>'283α23'!X36</f>
        <v>0</v>
      </c>
      <c r="N39" s="19">
        <f>'283α21'!Z35</f>
        <v>0</v>
      </c>
      <c r="O39" s="19">
        <f>'283α23'!Z36</f>
        <v>0</v>
      </c>
      <c r="P39" s="120">
        <v>385</v>
      </c>
      <c r="Q39" s="120">
        <v>462</v>
      </c>
      <c r="R39" s="119">
        <v>6853</v>
      </c>
      <c r="S39" s="120">
        <v>97.5</v>
      </c>
      <c r="T39" s="120">
        <v>117</v>
      </c>
      <c r="U39" s="38">
        <v>1735.5</v>
      </c>
      <c r="V39" s="19">
        <f>'283α21'!AH35</f>
        <v>0</v>
      </c>
      <c r="W39" s="19">
        <f>'283α23'!AH36</f>
        <v>0</v>
      </c>
      <c r="X39" s="19">
        <f>'283α23'!AI36</f>
        <v>0</v>
      </c>
      <c r="Y39" s="19">
        <f>'283α23'!AJ36</f>
        <v>0</v>
      </c>
      <c r="Z39" s="38">
        <v>330</v>
      </c>
      <c r="AA39" s="38">
        <v>396</v>
      </c>
      <c r="AB39" s="38">
        <v>5874</v>
      </c>
      <c r="AC39" s="19">
        <f>'283α23'!AN36</f>
        <v>0</v>
      </c>
      <c r="AD39" s="19">
        <f>'283α23'!AO36</f>
        <v>0</v>
      </c>
      <c r="AE39" s="19">
        <f>'283α23'!AP36</f>
        <v>0</v>
      </c>
      <c r="AF39" s="19">
        <f>'283α21'!AR35</f>
        <v>0</v>
      </c>
      <c r="AG39" s="19">
        <f>'283α23'!AR36</f>
        <v>0</v>
      </c>
      <c r="AH39" s="19">
        <f>'283α23'!AS36</f>
        <v>0</v>
      </c>
      <c r="AI39" s="19">
        <f>'283α23'!AT36</f>
        <v>0</v>
      </c>
      <c r="AJ39" s="19">
        <f>'283α21'!AV35</f>
        <v>0</v>
      </c>
      <c r="AK39" s="19">
        <f>'283α23'!AV36</f>
        <v>0</v>
      </c>
      <c r="AL39" s="19">
        <f>'283α23'!AW36</f>
        <v>0</v>
      </c>
      <c r="AM39" s="19"/>
      <c r="AN39" s="19"/>
      <c r="AO39" s="19"/>
      <c r="AP39" s="241"/>
      <c r="AQ39" s="238">
        <f>'283τ1'!O20+'283τ2'!O20+'283τ(3-4)'!O20+'283τ(5-6)'!O20</f>
        <v>1641.8</v>
      </c>
      <c r="AR39" s="38">
        <f>'283τ(7-8)'!O20</f>
        <v>15</v>
      </c>
      <c r="AS39" s="17">
        <f t="shared" si="2"/>
        <v>16250</v>
      </c>
      <c r="AV39" s="20"/>
    </row>
    <row r="40" spans="1:48" ht="15" customHeight="1">
      <c r="A40" s="29">
        <v>2017</v>
      </c>
      <c r="B40" s="446" t="s">
        <v>90</v>
      </c>
      <c r="C40" s="447"/>
      <c r="D40" s="447"/>
      <c r="E40" s="447"/>
      <c r="F40" s="447"/>
      <c r="G40" s="448"/>
      <c r="H40" s="351" t="s">
        <v>91</v>
      </c>
      <c r="I40" s="352"/>
      <c r="J40" s="19" t="e">
        <f>'283β-11'!#REF!</f>
        <v>#REF!</v>
      </c>
      <c r="K40" s="351" t="s">
        <v>91</v>
      </c>
      <c r="L40" s="352"/>
      <c r="M40" s="19">
        <f>'283α23'!X37</f>
        <v>0</v>
      </c>
      <c r="N40" s="19">
        <f>'283α21'!Z36</f>
        <v>0</v>
      </c>
      <c r="O40" s="19">
        <f>'283α23'!Z37</f>
        <v>0</v>
      </c>
      <c r="P40" s="351" t="s">
        <v>91</v>
      </c>
      <c r="Q40" s="352"/>
      <c r="R40" s="119">
        <v>8600</v>
      </c>
      <c r="S40" s="351" t="s">
        <v>91</v>
      </c>
      <c r="T40" s="352"/>
      <c r="U40" s="38">
        <v>1900</v>
      </c>
      <c r="V40" s="19">
        <f>'283α21'!AH36</f>
        <v>0</v>
      </c>
      <c r="W40" s="19">
        <f>'283α23'!AH37</f>
        <v>0</v>
      </c>
      <c r="X40" s="19">
        <f>'283α23'!AI37</f>
        <v>0</v>
      </c>
      <c r="Y40" s="19">
        <f>'283α23'!AJ37</f>
        <v>0</v>
      </c>
      <c r="Z40" s="351" t="s">
        <v>91</v>
      </c>
      <c r="AA40" s="352"/>
      <c r="AB40" s="38">
        <v>5874</v>
      </c>
      <c r="AC40" s="351" t="s">
        <v>91</v>
      </c>
      <c r="AD40" s="352"/>
      <c r="AE40" s="19">
        <f>'283α23'!AP37</f>
        <v>0</v>
      </c>
      <c r="AF40" s="19">
        <f>'283α21'!AR36</f>
        <v>0</v>
      </c>
      <c r="AG40" s="19">
        <f>'283α23'!AR37</f>
        <v>0</v>
      </c>
      <c r="AH40" s="351" t="s">
        <v>91</v>
      </c>
      <c r="AI40" s="352"/>
      <c r="AJ40" s="19">
        <f>'283α21'!AV36</f>
        <v>0</v>
      </c>
      <c r="AK40" s="19">
        <f>'283α23'!AV37</f>
        <v>0</v>
      </c>
      <c r="AL40" s="19">
        <f>'283α23'!AW37</f>
        <v>0</v>
      </c>
      <c r="AM40" s="19"/>
      <c r="AN40" s="19"/>
      <c r="AO40" s="19"/>
      <c r="AP40" s="241"/>
      <c r="AQ40" s="238">
        <f>'283τ1'!O21+'283τ2'!O21+'283τ(3-4)'!O21+'283τ(5-6)'!O21</f>
        <v>4047.5</v>
      </c>
      <c r="AR40" s="38">
        <f>'283τ(7-8)'!O21</f>
        <v>24</v>
      </c>
      <c r="AS40" s="17" t="e">
        <f t="shared" si="2"/>
        <v>#REF!</v>
      </c>
      <c r="AV40" s="20"/>
    </row>
    <row r="41" spans="1:48">
      <c r="A41" s="29">
        <v>2018</v>
      </c>
      <c r="B41" s="449"/>
      <c r="C41" s="450"/>
      <c r="D41" s="450"/>
      <c r="E41" s="450"/>
      <c r="F41" s="450"/>
      <c r="G41" s="451"/>
      <c r="H41" s="353"/>
      <c r="I41" s="354"/>
      <c r="J41" s="19" t="e">
        <f>'283β-11'!#REF!</f>
        <v>#REF!</v>
      </c>
      <c r="K41" s="353"/>
      <c r="L41" s="354"/>
      <c r="M41" s="19">
        <f>'283α23'!X38</f>
        <v>0</v>
      </c>
      <c r="N41" s="19">
        <f>'283α21'!Z37</f>
        <v>0</v>
      </c>
      <c r="O41" s="19">
        <f>'283α23'!Z38</f>
        <v>0</v>
      </c>
      <c r="P41" s="353"/>
      <c r="Q41" s="354"/>
      <c r="R41" s="119">
        <v>8700</v>
      </c>
      <c r="S41" s="353"/>
      <c r="T41" s="354"/>
      <c r="U41" s="38">
        <v>2016</v>
      </c>
      <c r="V41" s="19">
        <f>'283α21'!AH37</f>
        <v>0</v>
      </c>
      <c r="W41" s="19">
        <f>'283α23'!AH38</f>
        <v>0</v>
      </c>
      <c r="X41" s="19">
        <f>'283α23'!AI38</f>
        <v>0</v>
      </c>
      <c r="Y41" s="19">
        <f>'283α23'!AJ38</f>
        <v>0</v>
      </c>
      <c r="Z41" s="353"/>
      <c r="AA41" s="354"/>
      <c r="AB41" s="119">
        <v>6600</v>
      </c>
      <c r="AC41" s="353"/>
      <c r="AD41" s="354"/>
      <c r="AE41" s="19">
        <f>'283α23'!AP38</f>
        <v>0</v>
      </c>
      <c r="AF41" s="19">
        <f>'283α21'!AR37</f>
        <v>0</v>
      </c>
      <c r="AG41" s="19">
        <f>'283α23'!AR38</f>
        <v>0</v>
      </c>
      <c r="AH41" s="353"/>
      <c r="AI41" s="354"/>
      <c r="AJ41" s="19">
        <f>'283α21'!AV37</f>
        <v>0</v>
      </c>
      <c r="AK41" s="19">
        <f>'283α23'!AV38</f>
        <v>0</v>
      </c>
      <c r="AL41" s="19">
        <f>'283α23'!AW38</f>
        <v>0</v>
      </c>
      <c r="AM41" s="19"/>
      <c r="AN41" s="19"/>
      <c r="AO41" s="19"/>
      <c r="AP41" s="241"/>
      <c r="AQ41" s="238">
        <f>'283τ1'!O22+'283τ2'!O22+'283τ(3-4)'!O22+'283τ(5-6)'!O22</f>
        <v>3578.5</v>
      </c>
      <c r="AR41" s="38">
        <f>'283τ(7-8)'!O22</f>
        <v>20</v>
      </c>
      <c r="AS41" s="17" t="e">
        <f t="shared" si="2"/>
        <v>#REF!</v>
      </c>
    </row>
    <row r="42" spans="1:48">
      <c r="A42" s="29">
        <v>2019</v>
      </c>
      <c r="B42" s="449"/>
      <c r="C42" s="450"/>
      <c r="D42" s="450"/>
      <c r="E42" s="450"/>
      <c r="F42" s="450"/>
      <c r="G42" s="451"/>
      <c r="H42" s="353"/>
      <c r="I42" s="354"/>
      <c r="J42" s="38">
        <v>25278.29</v>
      </c>
      <c r="K42" s="353"/>
      <c r="L42" s="354"/>
      <c r="M42" s="19">
        <f>'283α23'!X39</f>
        <v>0</v>
      </c>
      <c r="N42" s="19">
        <f>'283α21'!Z38</f>
        <v>0</v>
      </c>
      <c r="O42" s="19">
        <f>'283α23'!Z39</f>
        <v>0</v>
      </c>
      <c r="P42" s="353"/>
      <c r="Q42" s="354"/>
      <c r="R42" s="119">
        <v>9600</v>
      </c>
      <c r="S42" s="353"/>
      <c r="T42" s="354"/>
      <c r="U42" s="38">
        <v>2200</v>
      </c>
      <c r="V42" s="19">
        <f>'283α21'!AH38</f>
        <v>0</v>
      </c>
      <c r="W42" s="19">
        <f>'283α23'!AH39</f>
        <v>0</v>
      </c>
      <c r="X42" s="19">
        <f>'283α23'!AI39</f>
        <v>0</v>
      </c>
      <c r="Y42" s="19">
        <f>'283α23'!AJ39</f>
        <v>0</v>
      </c>
      <c r="Z42" s="353"/>
      <c r="AA42" s="354"/>
      <c r="AB42" s="119">
        <v>6600</v>
      </c>
      <c r="AC42" s="353"/>
      <c r="AD42" s="354"/>
      <c r="AE42" s="19">
        <f>'283α23'!AP39</f>
        <v>0</v>
      </c>
      <c r="AF42" s="19">
        <f>'283α21'!AR38</f>
        <v>0</v>
      </c>
      <c r="AG42" s="19">
        <f>'283α23'!AR39</f>
        <v>0</v>
      </c>
      <c r="AH42" s="353"/>
      <c r="AI42" s="354"/>
      <c r="AJ42" s="19">
        <f>'283α21'!AV38</f>
        <v>0</v>
      </c>
      <c r="AK42" s="19">
        <f>'283α23'!AV39</f>
        <v>0</v>
      </c>
      <c r="AL42" s="19">
        <f>'283α23'!AW39</f>
        <v>0</v>
      </c>
      <c r="AM42" s="19"/>
      <c r="AN42" s="19"/>
      <c r="AO42" s="19"/>
      <c r="AP42" s="241"/>
      <c r="AQ42" s="238">
        <f>'283τ1'!O23+'283τ2'!O23+'283τ(3-4)'!O23+'283τ(5-6)'!O23</f>
        <v>4378</v>
      </c>
      <c r="AR42" s="38">
        <f>'283τ(7-8)'!O23</f>
        <v>26</v>
      </c>
      <c r="AS42" s="17">
        <f t="shared" si="2"/>
        <v>43678.29</v>
      </c>
    </row>
    <row r="43" spans="1:48">
      <c r="A43" s="29">
        <v>2020</v>
      </c>
      <c r="B43" s="449"/>
      <c r="C43" s="450"/>
      <c r="D43" s="450"/>
      <c r="E43" s="450"/>
      <c r="F43" s="450"/>
      <c r="G43" s="451"/>
      <c r="H43" s="353"/>
      <c r="I43" s="354"/>
      <c r="J43" s="19">
        <f>'283α21'!V39</f>
        <v>0</v>
      </c>
      <c r="K43" s="353"/>
      <c r="L43" s="354"/>
      <c r="M43" s="19">
        <f>'283α23'!X40</f>
        <v>0</v>
      </c>
      <c r="N43" s="19">
        <f>'283α21'!Z39</f>
        <v>0</v>
      </c>
      <c r="O43" s="19">
        <f>'283α23'!Z40</f>
        <v>0</v>
      </c>
      <c r="P43" s="353"/>
      <c r="Q43" s="354"/>
      <c r="R43" s="19">
        <f>'283α23'!AC40</f>
        <v>0</v>
      </c>
      <c r="S43" s="353"/>
      <c r="T43" s="354"/>
      <c r="U43" s="19">
        <f>'283α23'!AF40</f>
        <v>0</v>
      </c>
      <c r="V43" s="19">
        <f>'283α21'!AH39</f>
        <v>0</v>
      </c>
      <c r="W43" s="19">
        <f>'283α23'!AH40</f>
        <v>0</v>
      </c>
      <c r="X43" s="19">
        <f>'283α23'!AI40</f>
        <v>0</v>
      </c>
      <c r="Y43" s="19">
        <f>'283α23'!AJ40</f>
        <v>0</v>
      </c>
      <c r="Z43" s="353"/>
      <c r="AA43" s="354"/>
      <c r="AB43" s="19">
        <f>'283α23'!AM40</f>
        <v>0</v>
      </c>
      <c r="AC43" s="353"/>
      <c r="AD43" s="354"/>
      <c r="AE43" s="19">
        <f>'283α23'!AP40</f>
        <v>0</v>
      </c>
      <c r="AF43" s="19">
        <f>'283α21'!AR39</f>
        <v>0</v>
      </c>
      <c r="AG43" s="19">
        <f>'283α23'!AR40</f>
        <v>0</v>
      </c>
      <c r="AH43" s="353"/>
      <c r="AI43" s="354"/>
      <c r="AJ43" s="19">
        <f>'283α21'!AV39</f>
        <v>0</v>
      </c>
      <c r="AK43" s="19">
        <f>'283α23'!AV40</f>
        <v>0</v>
      </c>
      <c r="AL43" s="19">
        <f>'283α23'!AW40</f>
        <v>0</v>
      </c>
      <c r="AM43" s="19"/>
      <c r="AN43" s="19"/>
      <c r="AO43" s="19"/>
      <c r="AP43" s="241"/>
      <c r="AQ43" s="238">
        <f>'283τ1'!O24+'283τ2'!O24+'283τ(3-4)'!O24+'283τ(5-6)'!O24</f>
        <v>2138</v>
      </c>
      <c r="AR43" s="38">
        <f>'283τ(7-8)'!O24</f>
        <v>0</v>
      </c>
      <c r="AS43" s="17">
        <f t="shared" si="2"/>
        <v>0</v>
      </c>
    </row>
    <row r="44" spans="1:48">
      <c r="A44" s="29">
        <v>2021</v>
      </c>
      <c r="B44" s="449"/>
      <c r="C44" s="450"/>
      <c r="D44" s="450"/>
      <c r="E44" s="450"/>
      <c r="F44" s="450"/>
      <c r="G44" s="451"/>
      <c r="H44" s="353"/>
      <c r="I44" s="354"/>
      <c r="J44" s="19"/>
      <c r="K44" s="353"/>
      <c r="L44" s="354"/>
      <c r="M44" s="19"/>
      <c r="N44" s="19"/>
      <c r="O44" s="19"/>
      <c r="P44" s="353"/>
      <c r="Q44" s="354"/>
      <c r="R44" s="19"/>
      <c r="S44" s="353"/>
      <c r="T44" s="354"/>
      <c r="U44" s="19"/>
      <c r="V44" s="19"/>
      <c r="W44" s="19"/>
      <c r="X44" s="19"/>
      <c r="Y44" s="19"/>
      <c r="Z44" s="353"/>
      <c r="AA44" s="354"/>
      <c r="AB44" s="19"/>
      <c r="AC44" s="353"/>
      <c r="AD44" s="354"/>
      <c r="AE44" s="19"/>
      <c r="AF44" s="19"/>
      <c r="AG44" s="19"/>
      <c r="AH44" s="353"/>
      <c r="AI44" s="354"/>
      <c r="AJ44" s="19"/>
      <c r="AK44" s="19"/>
      <c r="AL44" s="19"/>
      <c r="AM44" s="17"/>
      <c r="AN44" s="17"/>
      <c r="AO44" s="17"/>
      <c r="AP44" s="239"/>
      <c r="AQ44" s="238">
        <f>'283τ1'!O25+'283τ2'!O25+'283τ(3-4)'!O25+'283τ(5-6)'!O25</f>
        <v>0</v>
      </c>
      <c r="AR44" s="38">
        <f>'283τ(7-8)'!O25</f>
        <v>0</v>
      </c>
      <c r="AS44" s="17"/>
    </row>
    <row r="45" spans="1:48">
      <c r="A45" s="29">
        <v>2022</v>
      </c>
      <c r="B45" s="449"/>
      <c r="C45" s="450"/>
      <c r="D45" s="450"/>
      <c r="E45" s="450"/>
      <c r="F45" s="450"/>
      <c r="G45" s="451"/>
      <c r="H45" s="353"/>
      <c r="I45" s="354"/>
      <c r="J45" s="19"/>
      <c r="K45" s="353"/>
      <c r="L45" s="354"/>
      <c r="M45" s="19"/>
      <c r="N45" s="19"/>
      <c r="O45" s="19"/>
      <c r="P45" s="353"/>
      <c r="Q45" s="354"/>
      <c r="R45" s="19"/>
      <c r="S45" s="353"/>
      <c r="T45" s="354"/>
      <c r="U45" s="19"/>
      <c r="V45" s="19"/>
      <c r="W45" s="19"/>
      <c r="X45" s="19"/>
      <c r="Y45" s="19"/>
      <c r="Z45" s="353"/>
      <c r="AA45" s="354"/>
      <c r="AB45" s="19"/>
      <c r="AC45" s="353"/>
      <c r="AD45" s="354"/>
      <c r="AE45" s="19"/>
      <c r="AF45" s="19"/>
      <c r="AG45" s="19"/>
      <c r="AH45" s="353"/>
      <c r="AI45" s="354"/>
      <c r="AJ45" s="19"/>
      <c r="AK45" s="19"/>
      <c r="AL45" s="19"/>
      <c r="AM45" s="17"/>
      <c r="AN45" s="17"/>
      <c r="AO45" s="17"/>
      <c r="AP45" s="239"/>
      <c r="AQ45" s="239"/>
      <c r="AR45" s="241">
        <f>'283τ(7-8)'!O26</f>
        <v>0</v>
      </c>
      <c r="AS45" s="17"/>
    </row>
    <row r="46" spans="1:48">
      <c r="A46" s="29">
        <v>2023</v>
      </c>
      <c r="B46" s="452"/>
      <c r="C46" s="453"/>
      <c r="D46" s="453"/>
      <c r="E46" s="453"/>
      <c r="F46" s="453"/>
      <c r="G46" s="454"/>
      <c r="H46" s="355"/>
      <c r="I46" s="356"/>
      <c r="J46" s="19"/>
      <c r="K46" s="355"/>
      <c r="L46" s="356"/>
      <c r="M46" s="19"/>
      <c r="N46" s="19"/>
      <c r="O46" s="19"/>
      <c r="P46" s="355"/>
      <c r="Q46" s="356"/>
      <c r="R46" s="19"/>
      <c r="S46" s="355"/>
      <c r="T46" s="356"/>
      <c r="U46" s="19"/>
      <c r="V46" s="19"/>
      <c r="W46" s="19"/>
      <c r="X46" s="19"/>
      <c r="Y46" s="19"/>
      <c r="Z46" s="355"/>
      <c r="AA46" s="356"/>
      <c r="AB46" s="19"/>
      <c r="AC46" s="355"/>
      <c r="AD46" s="356"/>
      <c r="AE46" s="19"/>
      <c r="AF46" s="19"/>
      <c r="AG46" s="19"/>
      <c r="AH46" s="355"/>
      <c r="AI46" s="356"/>
      <c r="AJ46" s="19"/>
      <c r="AK46" s="19"/>
      <c r="AL46" s="19"/>
      <c r="AM46" s="17"/>
      <c r="AN46" s="17"/>
      <c r="AO46" s="17"/>
      <c r="AP46" s="239"/>
      <c r="AQ46" s="239"/>
      <c r="AR46" s="241">
        <f>'283τ(7-8)'!O27</f>
        <v>0</v>
      </c>
      <c r="AS46" s="17"/>
    </row>
    <row r="47" spans="1:48" ht="15.75">
      <c r="A47" s="13" t="s">
        <v>16</v>
      </c>
      <c r="B47" s="63">
        <f t="shared" ref="B47:G47" si="3">SUM(B27:B43)</f>
        <v>0</v>
      </c>
      <c r="C47" s="63">
        <f t="shared" si="3"/>
        <v>0</v>
      </c>
      <c r="D47" s="85">
        <f t="shared" si="3"/>
        <v>0</v>
      </c>
      <c r="E47" s="30">
        <f t="shared" si="3"/>
        <v>0</v>
      </c>
      <c r="F47" s="30">
        <f t="shared" si="3"/>
        <v>0</v>
      </c>
      <c r="G47" s="63">
        <f t="shared" si="3"/>
        <v>0</v>
      </c>
      <c r="H47" s="85">
        <v>2672.82</v>
      </c>
      <c r="I47" s="30">
        <v>1712.86</v>
      </c>
      <c r="J47" s="30">
        <v>25278.29</v>
      </c>
      <c r="K47" s="85">
        <f t="shared" ref="K47:AS47" si="4">SUM(K27:K43)</f>
        <v>0</v>
      </c>
      <c r="L47" s="30">
        <f t="shared" si="4"/>
        <v>0</v>
      </c>
      <c r="M47" s="30">
        <f t="shared" si="4"/>
        <v>0</v>
      </c>
      <c r="N47" s="30">
        <f t="shared" si="4"/>
        <v>0</v>
      </c>
      <c r="O47" s="63">
        <f t="shared" si="4"/>
        <v>0</v>
      </c>
      <c r="P47" s="85">
        <f t="shared" si="4"/>
        <v>1280</v>
      </c>
      <c r="Q47" s="30">
        <f t="shared" si="4"/>
        <v>1536</v>
      </c>
      <c r="R47" s="30">
        <f t="shared" si="4"/>
        <v>49684</v>
      </c>
      <c r="S47" s="85">
        <f t="shared" si="4"/>
        <v>330</v>
      </c>
      <c r="T47" s="30">
        <f t="shared" si="4"/>
        <v>396</v>
      </c>
      <c r="U47" s="30">
        <f t="shared" si="4"/>
        <v>11990</v>
      </c>
      <c r="V47" s="85">
        <f t="shared" si="4"/>
        <v>0</v>
      </c>
      <c r="W47" s="30">
        <f t="shared" si="4"/>
        <v>0</v>
      </c>
      <c r="X47" s="30">
        <f t="shared" si="4"/>
        <v>0</v>
      </c>
      <c r="Y47" s="30">
        <f t="shared" si="4"/>
        <v>0</v>
      </c>
      <c r="Z47" s="85">
        <f t="shared" si="4"/>
        <v>1155</v>
      </c>
      <c r="AA47" s="30">
        <f t="shared" si="4"/>
        <v>1386</v>
      </c>
      <c r="AB47" s="30">
        <f t="shared" si="4"/>
        <v>39633</v>
      </c>
      <c r="AC47" s="85">
        <f t="shared" si="4"/>
        <v>0</v>
      </c>
      <c r="AD47" s="30">
        <f t="shared" si="4"/>
        <v>0</v>
      </c>
      <c r="AE47" s="30">
        <f t="shared" si="4"/>
        <v>0</v>
      </c>
      <c r="AF47" s="30">
        <f t="shared" si="4"/>
        <v>0</v>
      </c>
      <c r="AG47" s="30">
        <f t="shared" si="4"/>
        <v>0</v>
      </c>
      <c r="AH47" s="85">
        <f t="shared" si="4"/>
        <v>0</v>
      </c>
      <c r="AI47" s="30">
        <f t="shared" si="4"/>
        <v>0</v>
      </c>
      <c r="AJ47" s="30">
        <f t="shared" si="4"/>
        <v>0</v>
      </c>
      <c r="AK47" s="30">
        <f t="shared" si="4"/>
        <v>0</v>
      </c>
      <c r="AL47" s="30">
        <f t="shared" si="4"/>
        <v>0</v>
      </c>
      <c r="AM47" s="30">
        <f t="shared" si="4"/>
        <v>0</v>
      </c>
      <c r="AN47" s="30">
        <f t="shared" si="4"/>
        <v>0</v>
      </c>
      <c r="AO47" s="30">
        <f t="shared" si="4"/>
        <v>0</v>
      </c>
      <c r="AP47" s="30">
        <f t="shared" si="4"/>
        <v>0</v>
      </c>
      <c r="AQ47" s="30">
        <f t="shared" si="4"/>
        <v>19338.8</v>
      </c>
      <c r="AR47" s="30">
        <f t="shared" si="4"/>
        <v>107</v>
      </c>
      <c r="AS47" s="30" t="e">
        <f t="shared" si="4"/>
        <v>#REF!</v>
      </c>
    </row>
    <row r="48" spans="1:48" ht="15.75">
      <c r="AL48" s="116" t="s">
        <v>36</v>
      </c>
      <c r="AM48" s="116"/>
      <c r="AN48" s="116"/>
      <c r="AO48" s="116"/>
      <c r="AP48" s="116"/>
      <c r="AQ48" s="116"/>
      <c r="AR48" s="116"/>
      <c r="AS48" s="117"/>
    </row>
    <row r="49" spans="16:45" ht="15.75">
      <c r="P49" s="464" t="s">
        <v>72</v>
      </c>
      <c r="Q49" s="464"/>
      <c r="R49" s="464"/>
      <c r="S49" s="359" t="s">
        <v>74</v>
      </c>
      <c r="T49" s="359"/>
      <c r="U49" s="359"/>
      <c r="Z49" s="359" t="s">
        <v>74</v>
      </c>
      <c r="AA49" s="359"/>
      <c r="AB49" s="359"/>
      <c r="AL49" s="116" t="s">
        <v>63</v>
      </c>
      <c r="AM49" s="116"/>
      <c r="AN49" s="116"/>
      <c r="AO49" s="116"/>
      <c r="AP49" s="116"/>
      <c r="AQ49" s="116"/>
      <c r="AR49" s="116"/>
      <c r="AS49" s="117"/>
    </row>
    <row r="51" spans="16:45" ht="15.75">
      <c r="AS51" s="117" t="e">
        <f>SUM(AS40:AS47)</f>
        <v>#REF!</v>
      </c>
    </row>
    <row r="52" spans="16:45" ht="15.75">
      <c r="AS52" s="63">
        <f>B51+C51+G51+O51</f>
        <v>0</v>
      </c>
    </row>
    <row r="53" spans="16:45" ht="15.75">
      <c r="AS53" s="118">
        <f>D51+H51+K51+P51+S51+V51+Z51+AC51+AH51</f>
        <v>0</v>
      </c>
    </row>
  </sheetData>
  <mergeCells count="54">
    <mergeCell ref="P49:R49"/>
    <mergeCell ref="S49:U49"/>
    <mergeCell ref="Z49:AB49"/>
    <mergeCell ref="AQ2:AQ4"/>
    <mergeCell ref="P27:R27"/>
    <mergeCell ref="S27:U27"/>
    <mergeCell ref="V27:Y27"/>
    <mergeCell ref="AC2:AE3"/>
    <mergeCell ref="AF2:AF4"/>
    <mergeCell ref="AG2:AG4"/>
    <mergeCell ref="AH2:AK3"/>
    <mergeCell ref="AL2:AL4"/>
    <mergeCell ref="AO2:AO4"/>
    <mergeCell ref="S40:T46"/>
    <mergeCell ref="Z40:AA46"/>
    <mergeCell ref="AC40:AD46"/>
    <mergeCell ref="K40:L46"/>
    <mergeCell ref="A1:A4"/>
    <mergeCell ref="B3:B4"/>
    <mergeCell ref="C3:F3"/>
    <mergeCell ref="G3:G4"/>
    <mergeCell ref="B2:G2"/>
    <mergeCell ref="AP2:AP4"/>
    <mergeCell ref="AH40:AI46"/>
    <mergeCell ref="AV1:AV4"/>
    <mergeCell ref="B1:AS1"/>
    <mergeCell ref="AS2:AS4"/>
    <mergeCell ref="O2:O4"/>
    <mergeCell ref="S2:U3"/>
    <mergeCell ref="V2:Y3"/>
    <mergeCell ref="P2:R3"/>
    <mergeCell ref="H2:J3"/>
    <mergeCell ref="K2:M3"/>
    <mergeCell ref="N2:N4"/>
    <mergeCell ref="Z2:AB3"/>
    <mergeCell ref="H36:J39"/>
    <mergeCell ref="B40:G46"/>
    <mergeCell ref="H40:I46"/>
    <mergeCell ref="AR2:AR4"/>
    <mergeCell ref="P40:Q46"/>
    <mergeCell ref="B33:AS33"/>
    <mergeCell ref="B31:AS31"/>
    <mergeCell ref="AM2:AM4"/>
    <mergeCell ref="Z27:AB27"/>
    <mergeCell ref="S5:U15"/>
    <mergeCell ref="O7:O9"/>
    <mergeCell ref="O10:O13"/>
    <mergeCell ref="B25:AS25"/>
    <mergeCell ref="H10:J13"/>
    <mergeCell ref="K5:M13"/>
    <mergeCell ref="K18:M20"/>
    <mergeCell ref="N7:N9"/>
    <mergeCell ref="N10:N13"/>
    <mergeCell ref="AN2:AN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E122"/>
  <sheetViews>
    <sheetView workbookViewId="0">
      <selection activeCell="R32" sqref="R32"/>
    </sheetView>
  </sheetViews>
  <sheetFormatPr defaultRowHeight="12.75"/>
  <cols>
    <col min="1" max="1" width="5" style="2" bestFit="1" customWidth="1"/>
    <col min="2" max="2" width="7" style="2" bestFit="1" customWidth="1"/>
    <col min="3" max="3" width="8" style="2" bestFit="1" customWidth="1"/>
    <col min="4" max="5" width="3.88671875" style="2" bestFit="1" customWidth="1"/>
    <col min="6" max="6" width="6.109375" style="2" bestFit="1" customWidth="1"/>
    <col min="7" max="7" width="7" style="2" bestFit="1" customWidth="1"/>
    <col min="8" max="8" width="8.33203125" style="2" bestFit="1" customWidth="1"/>
    <col min="9" max="9" width="8.109375" style="2" bestFit="1" customWidth="1"/>
    <col min="10" max="10" width="9.109375" style="2" bestFit="1" customWidth="1"/>
    <col min="11" max="11" width="8" style="2" bestFit="1" customWidth="1"/>
    <col min="12" max="14" width="9" style="2" bestFit="1" customWidth="1"/>
    <col min="15" max="15" width="8.44140625" style="2" bestFit="1" customWidth="1"/>
    <col min="16" max="16" width="9.21875" style="2" bestFit="1" customWidth="1"/>
    <col min="17" max="17" width="10" style="2" bestFit="1" customWidth="1"/>
    <col min="18" max="18" width="15.6640625" style="2" bestFit="1" customWidth="1"/>
    <col min="19" max="19" width="9.77734375" style="2" customWidth="1"/>
    <col min="20" max="20" width="14.109375" style="2" bestFit="1" customWidth="1"/>
    <col min="21" max="23" width="8.88671875" style="2"/>
    <col min="24" max="24" width="8.44140625" style="2" bestFit="1" customWidth="1"/>
    <col min="25" max="25" width="5.21875" style="2" bestFit="1" customWidth="1"/>
    <col min="26" max="26" width="8.44140625" style="2" bestFit="1" customWidth="1"/>
    <col min="27" max="27" width="5.44140625" style="2" bestFit="1" customWidth="1"/>
    <col min="28" max="28" width="10.44140625" style="2" bestFit="1" customWidth="1"/>
    <col min="29" max="29" width="7.33203125" style="2" customWidth="1"/>
    <col min="30" max="30" width="9" style="2" bestFit="1" customWidth="1"/>
    <col min="31" max="16384" width="8.88671875" style="2"/>
  </cols>
  <sheetData>
    <row r="1" spans="1:31" ht="15">
      <c r="A1" s="490" t="s">
        <v>18</v>
      </c>
      <c r="B1" s="492" t="s">
        <v>4</v>
      </c>
      <c r="C1" s="414" t="s">
        <v>5</v>
      </c>
      <c r="D1" s="494" t="s">
        <v>6</v>
      </c>
      <c r="E1" s="414" t="s">
        <v>7</v>
      </c>
      <c r="F1" s="492" t="s">
        <v>2</v>
      </c>
      <c r="G1" s="414" t="s">
        <v>8</v>
      </c>
      <c r="H1" s="511" t="s">
        <v>9</v>
      </c>
      <c r="I1" s="414" t="s">
        <v>10</v>
      </c>
      <c r="J1" s="492" t="s">
        <v>11</v>
      </c>
      <c r="K1" s="414" t="s">
        <v>12</v>
      </c>
      <c r="L1" s="511" t="s">
        <v>13</v>
      </c>
      <c r="M1" s="513" t="s">
        <v>14</v>
      </c>
      <c r="N1" s="515" t="s">
        <v>16</v>
      </c>
      <c r="O1" s="515"/>
      <c r="P1" s="515"/>
      <c r="Q1" s="515"/>
      <c r="T1" s="128" t="s">
        <v>124</v>
      </c>
      <c r="U1" s="161" t="s">
        <v>1</v>
      </c>
      <c r="V1" s="161" t="s">
        <v>126</v>
      </c>
      <c r="X1" s="410" t="s">
        <v>71</v>
      </c>
      <c r="Y1" s="410"/>
      <c r="Z1" s="410"/>
      <c r="AA1" s="410"/>
      <c r="AB1" s="410"/>
      <c r="AC1" s="410"/>
      <c r="AD1" s="90"/>
      <c r="AE1" s="90"/>
    </row>
    <row r="2" spans="1:31" ht="15.75" customHeight="1" thickBot="1">
      <c r="A2" s="491"/>
      <c r="B2" s="493"/>
      <c r="C2" s="416"/>
      <c r="D2" s="495"/>
      <c r="E2" s="416"/>
      <c r="F2" s="493"/>
      <c r="G2" s="416"/>
      <c r="H2" s="512"/>
      <c r="I2" s="416"/>
      <c r="J2" s="493"/>
      <c r="K2" s="416"/>
      <c r="L2" s="512"/>
      <c r="M2" s="514"/>
      <c r="N2" s="87" t="s">
        <v>55</v>
      </c>
      <c r="O2" s="87" t="s">
        <v>50</v>
      </c>
      <c r="P2" s="87" t="s">
        <v>34</v>
      </c>
      <c r="Q2" s="88" t="s">
        <v>29</v>
      </c>
      <c r="X2" s="410"/>
      <c r="Y2" s="410"/>
      <c r="Z2" s="410"/>
      <c r="AA2" s="410"/>
      <c r="AB2" s="410"/>
      <c r="AC2" s="410"/>
      <c r="AD2" s="90"/>
      <c r="AE2" s="90"/>
    </row>
    <row r="3" spans="1:31" ht="12.75" customHeight="1">
      <c r="A3" s="7">
        <v>1998</v>
      </c>
      <c r="B3" s="9"/>
      <c r="C3" s="9"/>
      <c r="D3" s="9"/>
      <c r="E3" s="9"/>
      <c r="F3" s="9"/>
      <c r="G3" s="9"/>
      <c r="H3" s="9"/>
      <c r="I3" s="123">
        <v>88.04</v>
      </c>
      <c r="J3" s="123">
        <v>390.32</v>
      </c>
      <c r="K3" s="123">
        <v>328.69</v>
      </c>
      <c r="L3" s="123">
        <v>284.67</v>
      </c>
      <c r="M3" s="123">
        <v>754.22</v>
      </c>
      <c r="N3" s="123">
        <f>Q3*5%</f>
        <v>92.297000000000011</v>
      </c>
      <c r="O3" s="123">
        <f>Q3*6%</f>
        <v>110.7564</v>
      </c>
      <c r="P3" s="123">
        <f>Q3*89%</f>
        <v>1642.8866</v>
      </c>
      <c r="Q3" s="123">
        <f>SUM(B3:M3)</f>
        <v>1845.94</v>
      </c>
      <c r="T3" s="6">
        <f>Q3/U3</f>
        <v>7.691416666666667</v>
      </c>
      <c r="U3" s="160">
        <v>240</v>
      </c>
      <c r="V3" s="160"/>
      <c r="X3" s="77">
        <v>108</v>
      </c>
      <c r="Y3" s="499" t="s">
        <v>60</v>
      </c>
      <c r="Z3" s="6">
        <v>90</v>
      </c>
      <c r="AA3" s="499" t="s">
        <v>61</v>
      </c>
      <c r="AB3" s="77">
        <v>1602</v>
      </c>
      <c r="AC3" s="499" t="s">
        <v>46</v>
      </c>
    </row>
    <row r="4" spans="1:31" ht="15">
      <c r="A4" s="1">
        <v>1999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9">
        <f t="shared" ref="N4:N18" si="0">Q4*5%</f>
        <v>220.35908750000004</v>
      </c>
      <c r="O4" s="59">
        <f t="shared" ref="O4:O18" si="1">Q4*6%</f>
        <v>264.43090500000005</v>
      </c>
      <c r="P4" s="59">
        <f t="shared" ref="P4:P18" si="2">Q4*89%</f>
        <v>3922.3917575000005</v>
      </c>
      <c r="Q4" s="59">
        <f>T4</f>
        <v>4407.1817500000006</v>
      </c>
      <c r="T4" s="16">
        <f>V4*T3</f>
        <v>4407.1817500000006</v>
      </c>
      <c r="U4" s="55">
        <v>813</v>
      </c>
      <c r="V4" s="55">
        <f>U4-U3</f>
        <v>573</v>
      </c>
      <c r="X4" s="77">
        <v>222</v>
      </c>
      <c r="Y4" s="499"/>
      <c r="Z4" s="6">
        <v>185</v>
      </c>
      <c r="AA4" s="499"/>
      <c r="AB4" s="77">
        <v>3293</v>
      </c>
      <c r="AC4" s="499"/>
    </row>
    <row r="5" spans="1:31" ht="15">
      <c r="A5" s="1">
        <v>2000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9">
        <f t="shared" si="0"/>
        <v>219.58994583333333</v>
      </c>
      <c r="O5" s="59">
        <f t="shared" si="1"/>
        <v>263.50793499999997</v>
      </c>
      <c r="P5" s="59">
        <f t="shared" si="2"/>
        <v>3908.7010358333332</v>
      </c>
      <c r="Q5" s="59">
        <f t="shared" ref="Q5:Q10" si="3">T5</f>
        <v>4391.7989166666666</v>
      </c>
      <c r="T5" s="16">
        <f>V5*T3</f>
        <v>4391.7989166666666</v>
      </c>
      <c r="U5" s="55">
        <v>1384</v>
      </c>
      <c r="V5" s="55">
        <f t="shared" ref="V5:V18" si="4">U5-U4</f>
        <v>571</v>
      </c>
      <c r="X5" s="77">
        <v>234</v>
      </c>
      <c r="Y5" s="499"/>
      <c r="Z5" s="6">
        <v>195</v>
      </c>
      <c r="AA5" s="499"/>
      <c r="AB5" s="77">
        <v>3471</v>
      </c>
      <c r="AC5" s="499"/>
    </row>
    <row r="6" spans="1:31" ht="15">
      <c r="A6" s="1">
        <v>2001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9">
        <f t="shared" si="0"/>
        <v>220.35908750000004</v>
      </c>
      <c r="O6" s="59">
        <f t="shared" si="1"/>
        <v>264.43090500000005</v>
      </c>
      <c r="P6" s="59">
        <f t="shared" si="2"/>
        <v>3922.3917575000005</v>
      </c>
      <c r="Q6" s="59">
        <f t="shared" si="3"/>
        <v>4407.1817500000006</v>
      </c>
      <c r="T6" s="16">
        <f>V6*T3</f>
        <v>4407.1817500000006</v>
      </c>
      <c r="U6" s="55">
        <v>1957</v>
      </c>
      <c r="V6" s="55">
        <f t="shared" si="4"/>
        <v>573</v>
      </c>
      <c r="X6" s="77">
        <v>246</v>
      </c>
      <c r="Y6" s="499"/>
      <c r="Z6" s="6">
        <v>205</v>
      </c>
      <c r="AA6" s="499"/>
      <c r="AB6" s="77">
        <v>3649</v>
      </c>
      <c r="AC6" s="499"/>
    </row>
    <row r="7" spans="1:31" ht="15">
      <c r="A7" s="1">
        <v>2002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9">
        <f t="shared" si="0"/>
        <v>250.35561250000001</v>
      </c>
      <c r="O7" s="59">
        <f t="shared" si="1"/>
        <v>300.42673500000001</v>
      </c>
      <c r="P7" s="59">
        <f t="shared" si="2"/>
        <v>4456.3299025000006</v>
      </c>
      <c r="Q7" s="59">
        <f t="shared" si="3"/>
        <v>5007.1122500000001</v>
      </c>
      <c r="T7" s="16">
        <f>V7*T3</f>
        <v>5007.1122500000001</v>
      </c>
      <c r="U7" s="55">
        <v>2608</v>
      </c>
      <c r="V7" s="55">
        <f t="shared" si="4"/>
        <v>651</v>
      </c>
      <c r="X7" s="77">
        <v>264</v>
      </c>
      <c r="Y7" s="499"/>
      <c r="Z7" s="6">
        <v>220</v>
      </c>
      <c r="AA7" s="499"/>
      <c r="AB7" s="77">
        <v>3916</v>
      </c>
      <c r="AC7" s="499"/>
    </row>
    <row r="8" spans="1:31" ht="15">
      <c r="A8" s="1">
        <v>2003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59">
        <f t="shared" si="0"/>
        <v>370.34171250000003</v>
      </c>
      <c r="O8" s="59">
        <f t="shared" si="1"/>
        <v>444.410055</v>
      </c>
      <c r="P8" s="59">
        <f t="shared" si="2"/>
        <v>6592.0824825</v>
      </c>
      <c r="Q8" s="59">
        <f t="shared" si="3"/>
        <v>7406.8342499999999</v>
      </c>
      <c r="T8" s="16">
        <f>V8*T3</f>
        <v>7406.8342499999999</v>
      </c>
      <c r="U8" s="55">
        <v>3571</v>
      </c>
      <c r="V8" s="55">
        <f t="shared" si="4"/>
        <v>963</v>
      </c>
      <c r="X8" s="77">
        <v>276</v>
      </c>
      <c r="Y8" s="499"/>
      <c r="Z8" s="77">
        <v>230</v>
      </c>
      <c r="AA8" s="499"/>
      <c r="AB8" s="77">
        <v>4094</v>
      </c>
      <c r="AC8" s="499"/>
    </row>
    <row r="9" spans="1:31" ht="15" customHeight="1">
      <c r="A9" s="1">
        <v>2004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59">
        <f t="shared" si="0"/>
        <v>378.41770000000002</v>
      </c>
      <c r="O9" s="59">
        <f t="shared" si="1"/>
        <v>454.10124000000002</v>
      </c>
      <c r="P9" s="59">
        <f t="shared" si="2"/>
        <v>6735.8350600000003</v>
      </c>
      <c r="Q9" s="59">
        <f t="shared" si="3"/>
        <v>7568.3540000000003</v>
      </c>
      <c r="R9" s="10">
        <v>4</v>
      </c>
      <c r="T9" s="16">
        <f>V9*T3</f>
        <v>7568.3540000000003</v>
      </c>
      <c r="U9" s="55">
        <v>4555</v>
      </c>
      <c r="V9" s="55">
        <f t="shared" si="4"/>
        <v>984</v>
      </c>
      <c r="X9" s="77">
        <v>288</v>
      </c>
      <c r="Y9" s="499"/>
      <c r="Z9" s="77">
        <v>240</v>
      </c>
      <c r="AA9" s="499"/>
      <c r="AB9" s="77">
        <v>4272</v>
      </c>
      <c r="AC9" s="499"/>
    </row>
    <row r="10" spans="1:31" ht="15" customHeight="1">
      <c r="A10" s="1">
        <v>2005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9">
        <f t="shared" si="0"/>
        <v>405.72222916666669</v>
      </c>
      <c r="O10" s="59">
        <f t="shared" si="1"/>
        <v>486.86667499999999</v>
      </c>
      <c r="P10" s="59">
        <f t="shared" si="2"/>
        <v>7221.855679166667</v>
      </c>
      <c r="Q10" s="59">
        <f t="shared" si="3"/>
        <v>8114.4445833333339</v>
      </c>
      <c r="R10" s="162" t="s">
        <v>130</v>
      </c>
      <c r="T10" s="16">
        <f>V10*T3</f>
        <v>8114.4445833333339</v>
      </c>
      <c r="U10" s="55">
        <v>5610</v>
      </c>
      <c r="V10" s="55">
        <f t="shared" si="4"/>
        <v>1055</v>
      </c>
      <c r="X10" s="77">
        <v>300</v>
      </c>
      <c r="Y10" s="499"/>
      <c r="Z10" s="77">
        <v>250</v>
      </c>
      <c r="AA10" s="499"/>
      <c r="AB10" s="77">
        <v>4450</v>
      </c>
      <c r="AC10" s="499"/>
    </row>
    <row r="11" spans="1:31" ht="15" customHeight="1">
      <c r="A11" s="1">
        <v>2006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9">
        <f t="shared" si="0"/>
        <v>513.16362858333343</v>
      </c>
      <c r="O11" s="59">
        <f t="shared" si="1"/>
        <v>615.79635430000008</v>
      </c>
      <c r="P11" s="59">
        <f t="shared" si="2"/>
        <v>9134.3125887833357</v>
      </c>
      <c r="Q11" s="59">
        <f>S11</f>
        <v>10263.272571666668</v>
      </c>
      <c r="R11" s="16">
        <v>1.37</v>
      </c>
      <c r="S11" s="165">
        <f>T11*1.37</f>
        <v>10263.272571666668</v>
      </c>
      <c r="T11" s="16">
        <f>V11*T3</f>
        <v>7491.4398333333338</v>
      </c>
      <c r="U11" s="55">
        <v>6584</v>
      </c>
      <c r="V11" s="55">
        <f t="shared" si="4"/>
        <v>974</v>
      </c>
      <c r="X11" s="77">
        <v>312</v>
      </c>
      <c r="Y11" s="499"/>
      <c r="Z11" s="77">
        <v>260</v>
      </c>
      <c r="AA11" s="499"/>
      <c r="AB11" s="77">
        <v>4628</v>
      </c>
      <c r="AC11" s="499"/>
    </row>
    <row r="12" spans="1:31" ht="15">
      <c r="A12" s="1">
        <v>2007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9">
        <f t="shared" si="0"/>
        <v>491.56228487500016</v>
      </c>
      <c r="O12" s="59">
        <f t="shared" si="1"/>
        <v>589.87474185000008</v>
      </c>
      <c r="P12" s="59">
        <f t="shared" si="2"/>
        <v>8749.8086707750026</v>
      </c>
      <c r="Q12" s="59">
        <f t="shared" ref="Q12:Q14" si="5">S12</f>
        <v>9831.2456975000023</v>
      </c>
      <c r="R12" s="16"/>
      <c r="S12" s="165">
        <f t="shared" ref="S12:S14" si="6">T12*1.37</f>
        <v>9831.2456975000023</v>
      </c>
      <c r="T12" s="16">
        <f>V12*T3</f>
        <v>7176.0917500000005</v>
      </c>
      <c r="U12" s="55">
        <v>7517</v>
      </c>
      <c r="V12" s="55">
        <f t="shared" si="4"/>
        <v>933</v>
      </c>
      <c r="X12" s="78">
        <v>330</v>
      </c>
      <c r="Y12" s="499"/>
      <c r="Z12" s="6">
        <v>275</v>
      </c>
      <c r="AA12" s="499"/>
      <c r="AB12" s="78">
        <v>4895</v>
      </c>
      <c r="AC12" s="499"/>
    </row>
    <row r="13" spans="1:31" ht="15">
      <c r="A13" s="1">
        <v>2008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9">
        <f t="shared" si="0"/>
        <v>463.63859666666667</v>
      </c>
      <c r="O13" s="59">
        <f t="shared" si="1"/>
        <v>556.36631599999998</v>
      </c>
      <c r="P13" s="59">
        <f t="shared" si="2"/>
        <v>8252.7670206666662</v>
      </c>
      <c r="Q13" s="59">
        <f t="shared" si="5"/>
        <v>9272.7719333333334</v>
      </c>
      <c r="R13" s="55">
        <v>6</v>
      </c>
      <c r="S13" s="165">
        <f t="shared" si="6"/>
        <v>9272.7719333333334</v>
      </c>
      <c r="T13" s="16">
        <f>V13*T3</f>
        <v>6768.4466666666667</v>
      </c>
      <c r="U13" s="55">
        <v>8397</v>
      </c>
      <c r="V13" s="55">
        <f t="shared" si="4"/>
        <v>880</v>
      </c>
      <c r="X13" s="78">
        <v>342</v>
      </c>
      <c r="Y13" s="499"/>
      <c r="Z13" s="6">
        <v>285</v>
      </c>
      <c r="AA13" s="499"/>
      <c r="AB13" s="78">
        <v>5073</v>
      </c>
      <c r="AC13" s="499"/>
    </row>
    <row r="14" spans="1:31" ht="15">
      <c r="A14" s="1">
        <v>2009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9">
        <f t="shared" si="0"/>
        <v>475.75642362500002</v>
      </c>
      <c r="O14" s="59">
        <f t="shared" si="1"/>
        <v>570.90770835000001</v>
      </c>
      <c r="P14" s="59">
        <f t="shared" si="2"/>
        <v>8468.4643405250008</v>
      </c>
      <c r="Q14" s="59">
        <f t="shared" si="5"/>
        <v>9515.1284725000005</v>
      </c>
      <c r="R14" s="162" t="s">
        <v>131</v>
      </c>
      <c r="S14" s="165">
        <f t="shared" si="6"/>
        <v>9515.1284725000005</v>
      </c>
      <c r="T14" s="16">
        <f>V14*T3</f>
        <v>6945.3492500000002</v>
      </c>
      <c r="U14" s="55">
        <v>9300</v>
      </c>
      <c r="V14" s="55">
        <f t="shared" si="4"/>
        <v>903</v>
      </c>
      <c r="X14" s="78">
        <v>360</v>
      </c>
      <c r="Y14" s="499"/>
      <c r="Z14" s="6">
        <v>300</v>
      </c>
      <c r="AA14" s="499"/>
      <c r="AB14" s="78">
        <v>5340</v>
      </c>
      <c r="AC14" s="499"/>
    </row>
    <row r="15" spans="1:31" ht="15">
      <c r="A15" s="1">
        <v>2010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9">
        <f t="shared" si="0"/>
        <v>476.17560583333329</v>
      </c>
      <c r="O15" s="59">
        <f t="shared" si="1"/>
        <v>571.41072699999984</v>
      </c>
      <c r="P15" s="59">
        <f t="shared" si="2"/>
        <v>8475.9257838333324</v>
      </c>
      <c r="Q15" s="59">
        <f>S15</f>
        <v>9523.512116666665</v>
      </c>
      <c r="R15" s="16">
        <v>2.0499999999999998</v>
      </c>
      <c r="S15" s="165">
        <f>T15*2.05</f>
        <v>9523.512116666665</v>
      </c>
      <c r="T15" s="16">
        <f>V15*T3</f>
        <v>4645.6156666666666</v>
      </c>
      <c r="U15" s="55">
        <v>9904</v>
      </c>
      <c r="V15" s="55">
        <f t="shared" si="4"/>
        <v>604</v>
      </c>
      <c r="X15" s="78">
        <v>378</v>
      </c>
      <c r="Y15" s="499"/>
      <c r="Z15" s="6">
        <v>315</v>
      </c>
      <c r="AA15" s="499"/>
      <c r="AB15" s="78">
        <v>5607</v>
      </c>
      <c r="AC15" s="499"/>
    </row>
    <row r="16" spans="1:31" ht="15">
      <c r="A16" s="1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9">
        <f t="shared" si="0"/>
        <v>455.67798041666668</v>
      </c>
      <c r="O16" s="59">
        <f t="shared" si="1"/>
        <v>546.81357649999995</v>
      </c>
      <c r="P16" s="59">
        <f t="shared" si="2"/>
        <v>8111.0680514166661</v>
      </c>
      <c r="Q16" s="59">
        <f t="shared" ref="Q16:Q18" si="7">S16</f>
        <v>9113.559608333333</v>
      </c>
      <c r="S16" s="165">
        <f t="shared" ref="S16:S18" si="8">T16*2.05</f>
        <v>9113.559608333333</v>
      </c>
      <c r="T16" s="16">
        <f>V16*T3</f>
        <v>4445.6388333333334</v>
      </c>
      <c r="U16" s="55">
        <v>10482</v>
      </c>
      <c r="V16" s="55">
        <f t="shared" si="4"/>
        <v>578</v>
      </c>
      <c r="X16" s="78">
        <v>390</v>
      </c>
      <c r="Y16" s="499"/>
      <c r="Z16" s="6">
        <v>325</v>
      </c>
      <c r="AA16" s="499"/>
      <c r="AB16" s="78">
        <v>5785</v>
      </c>
      <c r="AC16" s="499"/>
    </row>
    <row r="17" spans="1:29" ht="15">
      <c r="A17" s="1">
        <v>2012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9">
        <f t="shared" si="0"/>
        <v>366.59214687500003</v>
      </c>
      <c r="O17" s="59">
        <f t="shared" si="1"/>
        <v>439.91057624999996</v>
      </c>
      <c r="P17" s="59">
        <f t="shared" si="2"/>
        <v>6525.340214375</v>
      </c>
      <c r="Q17" s="59">
        <f t="shared" si="7"/>
        <v>7331.8429374999996</v>
      </c>
      <c r="S17" s="165">
        <f t="shared" si="8"/>
        <v>7331.8429374999996</v>
      </c>
      <c r="T17" s="16">
        <f>V17*T3</f>
        <v>3576.50875</v>
      </c>
      <c r="U17" s="55">
        <v>10947</v>
      </c>
      <c r="V17" s="55">
        <f t="shared" si="4"/>
        <v>465</v>
      </c>
      <c r="X17" s="78">
        <v>402</v>
      </c>
      <c r="Y17" s="499"/>
      <c r="Z17" s="6">
        <v>335</v>
      </c>
      <c r="AA17" s="499"/>
      <c r="AB17" s="78">
        <v>5963</v>
      </c>
      <c r="AC17" s="499"/>
    </row>
    <row r="18" spans="1:29" ht="15">
      <c r="A18" s="1">
        <v>2013</v>
      </c>
      <c r="B18" s="3"/>
      <c r="C18" s="3"/>
      <c r="D18" s="3"/>
      <c r="E18" s="3"/>
      <c r="F18" s="3"/>
      <c r="G18" s="8"/>
      <c r="H18" s="8"/>
      <c r="I18" s="8"/>
      <c r="J18" s="8"/>
      <c r="K18" s="8"/>
      <c r="L18" s="8"/>
      <c r="M18" s="8"/>
      <c r="N18" s="59">
        <f t="shared" si="0"/>
        <v>184.47862874999998</v>
      </c>
      <c r="O18" s="59">
        <f t="shared" si="1"/>
        <v>221.37435449999998</v>
      </c>
      <c r="P18" s="59">
        <f t="shared" si="2"/>
        <v>3283.7195917499998</v>
      </c>
      <c r="Q18" s="59">
        <f t="shared" si="7"/>
        <v>3689.5725749999997</v>
      </c>
      <c r="R18" s="5" t="s">
        <v>132</v>
      </c>
      <c r="S18" s="165">
        <f t="shared" si="8"/>
        <v>3689.5725749999997</v>
      </c>
      <c r="T18" s="16">
        <f>V18*T3</f>
        <v>1799.7915</v>
      </c>
      <c r="U18" s="55">
        <v>11181</v>
      </c>
      <c r="V18" s="55">
        <f t="shared" si="4"/>
        <v>234</v>
      </c>
      <c r="W18" s="5"/>
      <c r="X18" s="77">
        <v>192</v>
      </c>
      <c r="Y18" s="499"/>
      <c r="Z18" s="6">
        <v>160</v>
      </c>
      <c r="AA18" s="499"/>
      <c r="AB18" s="77">
        <v>2848</v>
      </c>
      <c r="AC18" s="499"/>
    </row>
    <row r="19" spans="1:29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f>SUM(N3:N18)</f>
        <v>5584.4876706249997</v>
      </c>
      <c r="O19" s="3">
        <f t="shared" ref="O19:Q19" si="9">SUM(O3:O18)</f>
        <v>6701.3852047499995</v>
      </c>
      <c r="P19" s="3">
        <f t="shared" si="9"/>
        <v>99403.880537125006</v>
      </c>
      <c r="Q19" s="3">
        <f t="shared" si="9"/>
        <v>111689.75341250001</v>
      </c>
      <c r="X19" s="4">
        <f>SUM(X3:X18)</f>
        <v>4644</v>
      </c>
      <c r="Z19" s="48">
        <f>SUM(Z3:Z18)</f>
        <v>3870</v>
      </c>
      <c r="AB19" s="48">
        <f>SUM(AB3:AB18)</f>
        <v>68886</v>
      </c>
    </row>
    <row r="22" spans="1:29" s="10" customFormat="1" ht="15">
      <c r="A22"/>
      <c r="X22" s="537" t="s">
        <v>58</v>
      </c>
      <c r="Y22" s="537"/>
      <c r="Z22" s="537"/>
      <c r="AA22" s="537"/>
      <c r="AB22" s="537"/>
      <c r="AC22" s="537"/>
    </row>
    <row r="23" spans="1:29" s="10" customFormat="1" ht="15.75" customHeight="1">
      <c r="A23" s="474" t="s">
        <v>57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60"/>
      <c r="S23" s="60"/>
      <c r="T23" s="60"/>
      <c r="U23" s="60"/>
      <c r="V23" s="60"/>
      <c r="W23" s="60"/>
      <c r="X23" s="60"/>
      <c r="Y23" s="60"/>
      <c r="Z23" s="60"/>
      <c r="AA23" s="60"/>
    </row>
    <row r="24" spans="1:29" s="10" customFormat="1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77"/>
      <c r="O24" s="43"/>
      <c r="P24" s="43"/>
      <c r="Q24" s="43"/>
      <c r="AB24" s="20"/>
    </row>
    <row r="25" spans="1:29" s="10" customFormat="1" ht="15">
      <c r="M25" s="10">
        <v>20000</v>
      </c>
      <c r="N25" s="77"/>
      <c r="R25" s="16"/>
      <c r="AB25" s="20"/>
    </row>
    <row r="26" spans="1:29" s="10" customFormat="1" ht="15">
      <c r="M26" s="16">
        <f>M25/340.75</f>
        <v>58.694057226705795</v>
      </c>
      <c r="N26" s="77"/>
      <c r="R26" s="16"/>
      <c r="AB26" s="20"/>
    </row>
    <row r="27" spans="1:29" s="10" customFormat="1" ht="15">
      <c r="N27" s="77"/>
      <c r="AB27" s="20"/>
    </row>
    <row r="28" spans="1:29" s="10" customFormat="1" ht="15">
      <c r="N28" s="77"/>
      <c r="AB28" s="20"/>
    </row>
    <row r="29" spans="1:29" s="10" customFormat="1" ht="15">
      <c r="N29" s="77"/>
      <c r="AB29" s="20"/>
    </row>
    <row r="30" spans="1:29" s="10" customFormat="1" ht="15">
      <c r="N30" s="77"/>
      <c r="AB30" s="20"/>
    </row>
    <row r="31" spans="1:29" s="10" customFormat="1" ht="15">
      <c r="N31" s="77"/>
      <c r="AB31" s="20"/>
    </row>
    <row r="32" spans="1:29" s="10" customFormat="1" ht="15">
      <c r="N32" s="77"/>
      <c r="AB32" s="20"/>
    </row>
    <row r="33" spans="14:28" s="10" customFormat="1" ht="15">
      <c r="N33" s="78"/>
      <c r="AB33" s="20"/>
    </row>
    <row r="34" spans="14:28" s="10" customFormat="1" ht="15">
      <c r="N34" s="78"/>
      <c r="AB34" s="20"/>
    </row>
    <row r="35" spans="14:28" s="10" customFormat="1" ht="15">
      <c r="N35" s="78"/>
      <c r="AB35" s="20"/>
    </row>
    <row r="36" spans="14:28" s="10" customFormat="1" ht="15">
      <c r="N36" s="78"/>
      <c r="AB36" s="20"/>
    </row>
    <row r="37" spans="14:28" s="10" customFormat="1" ht="15">
      <c r="N37" s="78"/>
      <c r="AB37" s="20"/>
    </row>
    <row r="38" spans="14:28" s="10" customFormat="1" ht="15">
      <c r="N38" s="78"/>
      <c r="AB38" s="20"/>
    </row>
    <row r="39" spans="14:28" s="10" customFormat="1" ht="15">
      <c r="N39" s="77"/>
      <c r="AB39" s="20"/>
    </row>
    <row r="40" spans="14:28" s="10" customFormat="1" ht="15"/>
    <row r="41" spans="14:28" s="10" customFormat="1" ht="15"/>
    <row r="42" spans="14:28" s="10" customFormat="1" ht="15"/>
    <row r="43" spans="14:28" s="10" customFormat="1" ht="15"/>
    <row r="44" spans="14:28" s="10" customFormat="1" ht="15"/>
    <row r="45" spans="14:28" s="10" customFormat="1" ht="15"/>
    <row r="46" spans="14:28" s="10" customFormat="1" ht="15"/>
    <row r="47" spans="14:28" s="10" customFormat="1" ht="15"/>
    <row r="48" spans="14:28" s="10" customFormat="1" ht="15"/>
    <row r="49" s="10" customFormat="1" ht="15"/>
    <row r="50" s="10" customFormat="1" ht="15"/>
    <row r="51" s="10" customFormat="1" ht="15"/>
    <row r="52" s="10" customFormat="1" ht="15"/>
    <row r="53" s="10" customFormat="1" ht="15"/>
    <row r="54" s="10" customFormat="1" ht="15"/>
    <row r="55" s="10" customFormat="1" ht="15"/>
    <row r="56" s="10" customFormat="1" ht="15"/>
    <row r="57" s="10" customFormat="1" ht="15"/>
    <row r="58" s="10" customFormat="1" ht="15"/>
    <row r="59" s="10" customFormat="1" ht="15"/>
    <row r="60" s="10" customFormat="1" ht="15"/>
    <row r="61" s="10" customFormat="1" ht="15"/>
    <row r="62" s="10" customFormat="1" ht="15"/>
    <row r="63" s="10" customFormat="1" ht="15"/>
    <row r="64" s="10" customFormat="1" ht="15"/>
    <row r="65" s="10" customFormat="1" ht="15"/>
    <row r="66" s="10" customFormat="1" ht="15"/>
    <row r="67" s="10" customFormat="1" ht="15"/>
    <row r="68" s="10" customFormat="1" ht="15"/>
    <row r="69" s="10" customFormat="1" ht="15"/>
    <row r="70" s="10" customFormat="1" ht="15"/>
    <row r="71" s="10" customFormat="1" ht="15"/>
    <row r="72" s="10" customFormat="1" ht="15"/>
    <row r="73" s="10" customFormat="1" ht="15"/>
    <row r="74" s="10" customFormat="1" ht="15"/>
    <row r="75" s="10" customFormat="1" ht="15"/>
    <row r="76" s="10" customFormat="1" ht="15"/>
    <row r="77" s="10" customFormat="1" ht="15"/>
    <row r="78" s="10" customFormat="1" ht="15"/>
    <row r="79" s="10" customFormat="1" ht="15"/>
    <row r="80" s="10" customFormat="1" ht="15"/>
    <row r="81" s="10" customFormat="1" ht="15"/>
    <row r="82" s="10" customFormat="1" ht="15"/>
    <row r="83" s="10" customFormat="1" ht="15"/>
    <row r="84" s="10" customFormat="1" ht="15"/>
    <row r="85" s="10" customFormat="1" ht="15"/>
    <row r="86" s="10" customFormat="1" ht="15"/>
    <row r="87" s="10" customFormat="1" ht="15"/>
    <row r="88" s="10" customFormat="1" ht="15"/>
    <row r="89" s="10" customFormat="1" ht="15"/>
    <row r="90" s="10" customFormat="1" ht="15"/>
    <row r="91" s="10" customFormat="1" ht="15"/>
    <row r="92" s="10" customFormat="1" ht="15"/>
    <row r="93" s="10" customFormat="1" ht="15"/>
    <row r="94" s="10" customFormat="1" ht="15"/>
    <row r="95" s="10" customFormat="1" ht="15"/>
    <row r="96" s="10" customFormat="1" ht="15"/>
    <row r="97" s="10" customFormat="1" ht="15"/>
    <row r="98" s="10" customFormat="1" ht="15"/>
    <row r="99" s="10" customFormat="1" ht="15"/>
    <row r="100" s="10" customFormat="1" ht="15"/>
    <row r="101" s="10" customFormat="1" ht="15"/>
    <row r="102" s="10" customFormat="1" ht="15"/>
    <row r="103" s="10" customFormat="1" ht="15"/>
    <row r="104" s="10" customFormat="1" ht="15"/>
    <row r="105" s="10" customFormat="1" ht="15"/>
    <row r="106" s="10" customFormat="1" ht="15"/>
    <row r="107" s="10" customFormat="1" ht="15"/>
    <row r="108" s="10" customFormat="1" ht="15"/>
    <row r="109" s="10" customFormat="1" ht="15"/>
    <row r="110" s="10" customFormat="1" ht="15"/>
    <row r="111" s="10" customFormat="1" ht="15"/>
    <row r="112" s="10" customFormat="1" ht="15"/>
    <row r="113" s="10" customFormat="1" ht="15"/>
    <row r="114" s="10" customFormat="1" ht="15"/>
    <row r="115" s="10" customFormat="1" ht="15"/>
    <row r="116" s="10" customFormat="1" ht="15"/>
    <row r="117" s="10" customFormat="1" ht="15"/>
    <row r="118" s="10" customFormat="1" ht="15"/>
    <row r="119" s="10" customFormat="1" ht="15"/>
    <row r="120" s="10" customFormat="1" ht="15"/>
    <row r="121" s="10" customFormat="1" ht="15"/>
    <row r="122" s="10" customFormat="1" ht="15"/>
  </sheetData>
  <mergeCells count="20">
    <mergeCell ref="A23:Q23"/>
    <mergeCell ref="M1:M2"/>
    <mergeCell ref="N1:Q1"/>
    <mergeCell ref="X1:AC2"/>
    <mergeCell ref="Y3:Y18"/>
    <mergeCell ref="AA3:AA18"/>
    <mergeCell ref="AC3:AC18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  <mergeCell ref="X22:AC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D122"/>
  <sheetViews>
    <sheetView workbookViewId="0">
      <selection activeCell="G29" sqref="G29"/>
    </sheetView>
  </sheetViews>
  <sheetFormatPr defaultRowHeight="12.75"/>
  <cols>
    <col min="1" max="1" width="3.88671875" style="2" bestFit="1" customWidth="1"/>
    <col min="2" max="2" width="7" style="2" bestFit="1" customWidth="1"/>
    <col min="3" max="3" width="8" style="2" bestFit="1" customWidth="1"/>
    <col min="4" max="5" width="3.88671875" style="2" bestFit="1" customWidth="1"/>
    <col min="6" max="6" width="6.109375" style="2" bestFit="1" customWidth="1"/>
    <col min="7" max="7" width="7" style="2" bestFit="1" customWidth="1"/>
    <col min="8" max="8" width="8.33203125" style="2" bestFit="1" customWidth="1"/>
    <col min="9" max="9" width="8" style="2" bestFit="1" customWidth="1"/>
    <col min="10" max="10" width="9" style="2" bestFit="1" customWidth="1"/>
    <col min="11" max="11" width="8" style="2" bestFit="1" customWidth="1"/>
    <col min="12" max="13" width="9" style="2" bestFit="1" customWidth="1"/>
    <col min="14" max="14" width="8.88671875" style="2"/>
    <col min="15" max="15" width="6" style="2" bestFit="1" customWidth="1"/>
    <col min="16" max="16" width="6" style="2" customWidth="1"/>
    <col min="17" max="17" width="5.6640625" style="2" bestFit="1" customWidth="1"/>
    <col min="18" max="19" width="5.109375" style="2" customWidth="1"/>
    <col min="20" max="21" width="8.88671875" style="2"/>
    <col min="22" max="22" width="6.33203125" style="2" customWidth="1"/>
    <col min="23" max="23" width="8.44140625" style="2" bestFit="1" customWidth="1"/>
    <col min="24" max="24" width="5.21875" style="2" bestFit="1" customWidth="1"/>
    <col min="25" max="25" width="8.44140625" style="2" bestFit="1" customWidth="1"/>
    <col min="26" max="26" width="5.44140625" style="2" bestFit="1" customWidth="1"/>
    <col min="27" max="27" width="9.21875" style="2" bestFit="1" customWidth="1"/>
    <col min="28" max="28" width="7.33203125" style="2" customWidth="1"/>
    <col min="29" max="29" width="9" style="2" bestFit="1" customWidth="1"/>
    <col min="30" max="16384" width="8.88671875" style="2"/>
  </cols>
  <sheetData>
    <row r="1" spans="1:30" ht="15">
      <c r="A1" s="490" t="s">
        <v>18</v>
      </c>
      <c r="B1" s="492" t="s">
        <v>4</v>
      </c>
      <c r="C1" s="414" t="s">
        <v>5</v>
      </c>
      <c r="D1" s="494" t="s">
        <v>6</v>
      </c>
      <c r="E1" s="414" t="s">
        <v>7</v>
      </c>
      <c r="F1" s="492" t="s">
        <v>2</v>
      </c>
      <c r="G1" s="414" t="s">
        <v>8</v>
      </c>
      <c r="H1" s="511" t="s">
        <v>9</v>
      </c>
      <c r="I1" s="414" t="s">
        <v>10</v>
      </c>
      <c r="J1" s="492" t="s">
        <v>11</v>
      </c>
      <c r="K1" s="414" t="s">
        <v>12</v>
      </c>
      <c r="L1" s="511" t="s">
        <v>13</v>
      </c>
      <c r="M1" s="513" t="s">
        <v>14</v>
      </c>
      <c r="N1" s="515" t="s">
        <v>16</v>
      </c>
      <c r="O1" s="515"/>
      <c r="P1" s="515"/>
      <c r="Q1" s="515"/>
      <c r="U1" s="410" t="s">
        <v>71</v>
      </c>
      <c r="V1" s="410"/>
      <c r="W1" s="410"/>
      <c r="X1" s="410"/>
      <c r="Y1" s="410"/>
      <c r="Z1" s="410"/>
      <c r="AA1" s="410"/>
      <c r="AB1" s="410"/>
      <c r="AC1" s="90"/>
      <c r="AD1" s="90"/>
    </row>
    <row r="2" spans="1:30" ht="15.75" customHeight="1" thickBot="1">
      <c r="A2" s="491"/>
      <c r="B2" s="493"/>
      <c r="C2" s="416"/>
      <c r="D2" s="495"/>
      <c r="E2" s="416"/>
      <c r="F2" s="493"/>
      <c r="G2" s="416"/>
      <c r="H2" s="512"/>
      <c r="I2" s="416"/>
      <c r="J2" s="493"/>
      <c r="K2" s="416"/>
      <c r="L2" s="512"/>
      <c r="M2" s="514"/>
      <c r="N2" s="87" t="s">
        <v>55</v>
      </c>
      <c r="O2" s="87" t="s">
        <v>50</v>
      </c>
      <c r="P2" s="87" t="s">
        <v>34</v>
      </c>
      <c r="Q2" s="88" t="s">
        <v>29</v>
      </c>
      <c r="U2" s="410"/>
      <c r="V2" s="410"/>
      <c r="W2" s="410"/>
      <c r="X2" s="410"/>
      <c r="Y2" s="410"/>
      <c r="Z2" s="410"/>
      <c r="AA2" s="410"/>
      <c r="AB2" s="410"/>
      <c r="AC2" s="90"/>
      <c r="AD2" s="90"/>
    </row>
    <row r="3" spans="1:30" ht="12.75" customHeight="1">
      <c r="A3" s="7">
        <v>1998</v>
      </c>
      <c r="B3" s="9"/>
      <c r="C3" s="9"/>
      <c r="D3" s="9"/>
      <c r="E3" s="9"/>
      <c r="F3" s="9"/>
      <c r="G3" s="9"/>
      <c r="H3" s="9"/>
      <c r="I3" s="9"/>
      <c r="J3" s="130"/>
      <c r="K3" s="130"/>
      <c r="L3" s="130"/>
      <c r="M3" s="9"/>
      <c r="N3" s="9"/>
      <c r="O3" s="9"/>
      <c r="P3" s="9"/>
      <c r="Q3" s="9"/>
      <c r="U3" s="101">
        <v>210</v>
      </c>
      <c r="V3" s="499" t="s">
        <v>59</v>
      </c>
      <c r="W3" s="101">
        <f>U3*5%</f>
        <v>10.5</v>
      </c>
      <c r="X3" s="499" t="s">
        <v>60</v>
      </c>
      <c r="Y3" s="102">
        <f>U3*6%</f>
        <v>12.6</v>
      </c>
      <c r="Z3" s="499" t="s">
        <v>61</v>
      </c>
      <c r="AA3" s="101">
        <f>U3*89%</f>
        <v>186.9</v>
      </c>
      <c r="AB3" s="499" t="s">
        <v>46</v>
      </c>
    </row>
    <row r="4" spans="1:30">
      <c r="A4" s="1">
        <v>1999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U4" s="101">
        <v>300</v>
      </c>
      <c r="V4" s="499"/>
      <c r="W4" s="101">
        <f t="shared" ref="W4:W18" si="0">U4*5%</f>
        <v>15</v>
      </c>
      <c r="X4" s="499"/>
      <c r="Y4" s="102">
        <f t="shared" ref="Y4:Y18" si="1">U4*6%</f>
        <v>18</v>
      </c>
      <c r="Z4" s="499"/>
      <c r="AA4" s="101">
        <f t="shared" ref="AA4:AA18" si="2">U4*89%</f>
        <v>267</v>
      </c>
      <c r="AB4" s="499"/>
    </row>
    <row r="5" spans="1:30">
      <c r="A5" s="1">
        <v>2000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U5" s="101">
        <v>350</v>
      </c>
      <c r="V5" s="499"/>
      <c r="W5" s="101">
        <f t="shared" si="0"/>
        <v>17.5</v>
      </c>
      <c r="X5" s="499"/>
      <c r="Y5" s="102">
        <f t="shared" si="1"/>
        <v>21</v>
      </c>
      <c r="Z5" s="499"/>
      <c r="AA5" s="101">
        <f t="shared" si="2"/>
        <v>311.5</v>
      </c>
      <c r="AB5" s="499"/>
    </row>
    <row r="6" spans="1:30">
      <c r="A6" s="1">
        <v>2001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9"/>
      <c r="P6" s="9"/>
      <c r="Q6" s="9"/>
      <c r="U6" s="101">
        <v>350</v>
      </c>
      <c r="V6" s="499"/>
      <c r="W6" s="101">
        <f t="shared" si="0"/>
        <v>17.5</v>
      </c>
      <c r="X6" s="499"/>
      <c r="Y6" s="102">
        <f t="shared" si="1"/>
        <v>21</v>
      </c>
      <c r="Z6" s="499"/>
      <c r="AA6" s="101">
        <f t="shared" si="2"/>
        <v>311.5</v>
      </c>
      <c r="AB6" s="499"/>
    </row>
    <row r="7" spans="1:30">
      <c r="A7" s="1">
        <v>2002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9"/>
      <c r="P7" s="9"/>
      <c r="Q7" s="9"/>
      <c r="U7" s="101">
        <v>400</v>
      </c>
      <c r="V7" s="499"/>
      <c r="W7" s="101">
        <f t="shared" si="0"/>
        <v>20</v>
      </c>
      <c r="X7" s="499"/>
      <c r="Y7" s="102">
        <f t="shared" si="1"/>
        <v>24</v>
      </c>
      <c r="Z7" s="499"/>
      <c r="AA7" s="101">
        <f t="shared" si="2"/>
        <v>356</v>
      </c>
      <c r="AB7" s="499"/>
    </row>
    <row r="8" spans="1:30">
      <c r="A8" s="1">
        <v>2003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9"/>
      <c r="O8" s="9"/>
      <c r="P8" s="9"/>
      <c r="Q8" s="9"/>
      <c r="U8" s="101">
        <v>400</v>
      </c>
      <c r="V8" s="499"/>
      <c r="W8" s="101">
        <f t="shared" si="0"/>
        <v>20</v>
      </c>
      <c r="X8" s="499"/>
      <c r="Y8" s="102">
        <f t="shared" si="1"/>
        <v>24</v>
      </c>
      <c r="Z8" s="499"/>
      <c r="AA8" s="101">
        <f t="shared" si="2"/>
        <v>356</v>
      </c>
      <c r="AB8" s="499"/>
    </row>
    <row r="9" spans="1:30" ht="15" customHeight="1">
      <c r="A9" s="1">
        <v>2004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9"/>
      <c r="O9" s="9"/>
      <c r="P9" s="9"/>
      <c r="Q9" s="9"/>
      <c r="U9" s="101">
        <v>400</v>
      </c>
      <c r="V9" s="499"/>
      <c r="W9" s="101">
        <f t="shared" si="0"/>
        <v>20</v>
      </c>
      <c r="X9" s="499"/>
      <c r="Y9" s="102">
        <f t="shared" si="1"/>
        <v>24</v>
      </c>
      <c r="Z9" s="499"/>
      <c r="AA9" s="101">
        <f t="shared" si="2"/>
        <v>356</v>
      </c>
      <c r="AB9" s="499"/>
    </row>
    <row r="10" spans="1:30" ht="15" customHeight="1">
      <c r="A10" s="1">
        <v>2005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  <c r="O10" s="9"/>
      <c r="P10" s="9"/>
      <c r="Q10" s="9"/>
      <c r="U10" s="101">
        <v>450</v>
      </c>
      <c r="V10" s="499"/>
      <c r="W10" s="101">
        <f t="shared" si="0"/>
        <v>22.5</v>
      </c>
      <c r="X10" s="499"/>
      <c r="Y10" s="102">
        <f t="shared" si="1"/>
        <v>27</v>
      </c>
      <c r="Z10" s="499"/>
      <c r="AA10" s="101">
        <f t="shared" si="2"/>
        <v>400.5</v>
      </c>
      <c r="AB10" s="499"/>
    </row>
    <row r="11" spans="1:30" ht="15" customHeight="1">
      <c r="A11" s="1">
        <v>2006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  <c r="O11" s="9"/>
      <c r="P11" s="9"/>
      <c r="Q11" s="9"/>
      <c r="U11" s="101">
        <v>450</v>
      </c>
      <c r="V11" s="499"/>
      <c r="W11" s="101">
        <f t="shared" si="0"/>
        <v>22.5</v>
      </c>
      <c r="X11" s="499"/>
      <c r="Y11" s="102">
        <f t="shared" si="1"/>
        <v>27</v>
      </c>
      <c r="Z11" s="499"/>
      <c r="AA11" s="101">
        <f t="shared" si="2"/>
        <v>400.5</v>
      </c>
      <c r="AB11" s="499"/>
    </row>
    <row r="12" spans="1:30">
      <c r="A12" s="1">
        <v>2007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O12" s="9"/>
      <c r="P12" s="9"/>
      <c r="Q12" s="9"/>
      <c r="U12" s="101">
        <v>500</v>
      </c>
      <c r="V12" s="499"/>
      <c r="W12" s="101">
        <f t="shared" si="0"/>
        <v>25</v>
      </c>
      <c r="X12" s="499"/>
      <c r="Y12" s="102">
        <f t="shared" si="1"/>
        <v>30</v>
      </c>
      <c r="Z12" s="499"/>
      <c r="AA12" s="101">
        <f t="shared" si="2"/>
        <v>445</v>
      </c>
      <c r="AB12" s="499"/>
    </row>
    <row r="13" spans="1:30">
      <c r="A13" s="1">
        <v>2008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  <c r="O13" s="9"/>
      <c r="P13" s="9"/>
      <c r="Q13" s="9"/>
      <c r="U13" s="101">
        <v>550</v>
      </c>
      <c r="V13" s="499"/>
      <c r="W13" s="101">
        <f t="shared" si="0"/>
        <v>27.5</v>
      </c>
      <c r="X13" s="499"/>
      <c r="Y13" s="102">
        <f t="shared" si="1"/>
        <v>33</v>
      </c>
      <c r="Z13" s="499"/>
      <c r="AA13" s="101">
        <f t="shared" si="2"/>
        <v>489.5</v>
      </c>
      <c r="AB13" s="499"/>
    </row>
    <row r="14" spans="1:30">
      <c r="A14" s="1">
        <v>2009</v>
      </c>
      <c r="B14" s="8"/>
      <c r="C14" s="8"/>
      <c r="D14" s="8"/>
      <c r="E14" s="8"/>
      <c r="F14" s="8"/>
      <c r="G14" s="8"/>
      <c r="H14" s="8"/>
      <c r="I14" s="3"/>
      <c r="J14" s="3"/>
      <c r="K14" s="3"/>
      <c r="L14" s="3"/>
      <c r="M14" s="3"/>
      <c r="N14" s="59">
        <f t="shared" ref="N14:N18" si="3">Q14*5%</f>
        <v>0</v>
      </c>
      <c r="O14" s="59">
        <f t="shared" ref="O14:O18" si="4">Q14*6%</f>
        <v>0</v>
      </c>
      <c r="P14" s="59">
        <f t="shared" ref="P14:P18" si="5">Q14*89%</f>
        <v>0</v>
      </c>
      <c r="Q14" s="59">
        <f t="shared" ref="Q14:Q18" si="6">SUM(B14:M14)</f>
        <v>0</v>
      </c>
      <c r="U14" s="101">
        <v>550</v>
      </c>
      <c r="V14" s="499"/>
      <c r="W14" s="101">
        <f t="shared" si="0"/>
        <v>27.5</v>
      </c>
      <c r="X14" s="499"/>
      <c r="Y14" s="102">
        <f t="shared" si="1"/>
        <v>33</v>
      </c>
      <c r="Z14" s="499"/>
      <c r="AA14" s="101">
        <f t="shared" si="2"/>
        <v>489.5</v>
      </c>
      <c r="AB14" s="499"/>
    </row>
    <row r="15" spans="1:30">
      <c r="A15" s="1">
        <v>2010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9">
        <f t="shared" si="3"/>
        <v>0</v>
      </c>
      <c r="O15" s="59">
        <f t="shared" si="4"/>
        <v>0</v>
      </c>
      <c r="P15" s="59">
        <f t="shared" si="5"/>
        <v>0</v>
      </c>
      <c r="Q15" s="59">
        <f t="shared" si="6"/>
        <v>0</v>
      </c>
      <c r="U15" s="101">
        <v>600</v>
      </c>
      <c r="V15" s="499"/>
      <c r="W15" s="101">
        <f t="shared" si="0"/>
        <v>30</v>
      </c>
      <c r="X15" s="499"/>
      <c r="Y15" s="102">
        <f t="shared" si="1"/>
        <v>36</v>
      </c>
      <c r="Z15" s="499"/>
      <c r="AA15" s="101">
        <f t="shared" si="2"/>
        <v>534</v>
      </c>
      <c r="AB15" s="499"/>
    </row>
    <row r="16" spans="1:30">
      <c r="A16" s="1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9">
        <f t="shared" si="3"/>
        <v>0</v>
      </c>
      <c r="O16" s="59">
        <f t="shared" si="4"/>
        <v>0</v>
      </c>
      <c r="P16" s="59">
        <f t="shared" si="5"/>
        <v>0</v>
      </c>
      <c r="Q16" s="59">
        <f t="shared" si="6"/>
        <v>0</v>
      </c>
      <c r="U16" s="101">
        <v>600</v>
      </c>
      <c r="V16" s="499"/>
      <c r="W16" s="101">
        <f t="shared" si="0"/>
        <v>30</v>
      </c>
      <c r="X16" s="499"/>
      <c r="Y16" s="102">
        <f t="shared" si="1"/>
        <v>36</v>
      </c>
      <c r="Z16" s="499"/>
      <c r="AA16" s="101">
        <f t="shared" si="2"/>
        <v>534</v>
      </c>
      <c r="AB16" s="499"/>
    </row>
    <row r="17" spans="1:28">
      <c r="A17" s="1">
        <v>2012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9">
        <f t="shared" si="3"/>
        <v>0</v>
      </c>
      <c r="O17" s="59">
        <f t="shared" si="4"/>
        <v>0</v>
      </c>
      <c r="P17" s="59">
        <f t="shared" si="5"/>
        <v>0</v>
      </c>
      <c r="Q17" s="59">
        <f t="shared" si="6"/>
        <v>0</v>
      </c>
      <c r="U17" s="101">
        <v>650</v>
      </c>
      <c r="V17" s="499"/>
      <c r="W17" s="101">
        <f t="shared" si="0"/>
        <v>32.5</v>
      </c>
      <c r="X17" s="499"/>
      <c r="Y17" s="102">
        <f t="shared" si="1"/>
        <v>39</v>
      </c>
      <c r="Z17" s="499"/>
      <c r="AA17" s="101">
        <f t="shared" si="2"/>
        <v>578.5</v>
      </c>
      <c r="AB17" s="499"/>
    </row>
    <row r="18" spans="1:28">
      <c r="A18" s="1">
        <v>2013</v>
      </c>
      <c r="B18" s="3"/>
      <c r="C18" s="3"/>
      <c r="D18" s="3"/>
      <c r="E18" s="3"/>
      <c r="F18" s="3"/>
      <c r="G18" s="8"/>
      <c r="H18" s="8"/>
      <c r="I18" s="8"/>
      <c r="J18" s="8"/>
      <c r="K18" s="8"/>
      <c r="L18" s="8"/>
      <c r="M18" s="8"/>
      <c r="N18" s="59">
        <f t="shared" si="3"/>
        <v>0</v>
      </c>
      <c r="O18" s="59">
        <f t="shared" si="4"/>
        <v>0</v>
      </c>
      <c r="P18" s="59">
        <f t="shared" si="5"/>
        <v>0</v>
      </c>
      <c r="Q18" s="59">
        <f t="shared" si="6"/>
        <v>0</v>
      </c>
      <c r="R18" s="5"/>
      <c r="S18" s="5" t="s">
        <v>1</v>
      </c>
      <c r="T18" s="5" t="s">
        <v>2</v>
      </c>
      <c r="U18" s="101">
        <v>700</v>
      </c>
      <c r="V18" s="499"/>
      <c r="W18" s="101">
        <f t="shared" si="0"/>
        <v>35</v>
      </c>
      <c r="X18" s="499"/>
      <c r="Y18" s="102">
        <f t="shared" si="1"/>
        <v>42</v>
      </c>
      <c r="Z18" s="499"/>
      <c r="AA18" s="101">
        <f t="shared" si="2"/>
        <v>623</v>
      </c>
      <c r="AB18" s="499"/>
    </row>
    <row r="19" spans="1:28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f>SUM(N3:N18)</f>
        <v>0</v>
      </c>
      <c r="O19" s="3">
        <f t="shared" ref="O19:Q19" si="7">SUM(O3:O18)</f>
        <v>0</v>
      </c>
      <c r="P19" s="3">
        <f t="shared" si="7"/>
        <v>0</v>
      </c>
      <c r="Q19" s="3">
        <f t="shared" si="7"/>
        <v>0</v>
      </c>
      <c r="W19" s="4">
        <f>SUM(W3:W18)</f>
        <v>373</v>
      </c>
      <c r="Y19" s="48">
        <f>SUM(Y3:Y18)</f>
        <v>447.6</v>
      </c>
      <c r="AA19" s="48">
        <f>SUM(AA3:AA18)</f>
        <v>6639.4</v>
      </c>
    </row>
    <row r="22" spans="1:28" s="10" customFormat="1" ht="15">
      <c r="A22"/>
      <c r="U22" s="537" t="s">
        <v>73</v>
      </c>
      <c r="V22" s="537"/>
      <c r="W22" s="537"/>
      <c r="X22" s="537"/>
      <c r="Y22" s="537"/>
      <c r="Z22" s="537"/>
      <c r="AA22" s="537"/>
      <c r="AB22" s="537"/>
    </row>
    <row r="23" spans="1:28" s="10" customFormat="1" ht="15.75" customHeight="1">
      <c r="A23" s="474" t="s">
        <v>101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60"/>
      <c r="S23" s="60"/>
      <c r="T23" s="60"/>
      <c r="U23" s="60"/>
      <c r="V23" s="60"/>
      <c r="W23" s="60"/>
      <c r="X23" s="60"/>
      <c r="Y23" s="60"/>
      <c r="Z23" s="60"/>
    </row>
    <row r="24" spans="1:28" s="10" customFormat="1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28" s="10" customFormat="1" ht="15"/>
    <row r="26" spans="1:28" s="10" customFormat="1" ht="15"/>
    <row r="27" spans="1:28" s="10" customFormat="1" ht="15"/>
    <row r="28" spans="1:28" s="10" customFormat="1" ht="15"/>
    <row r="29" spans="1:28" s="10" customFormat="1" ht="15"/>
    <row r="30" spans="1:28" s="10" customFormat="1" ht="15"/>
    <row r="31" spans="1:28" s="10" customFormat="1" ht="15"/>
    <row r="32" spans="1:28" s="10" customFormat="1" ht="15"/>
    <row r="33" s="10" customFormat="1" ht="15"/>
    <row r="34" s="10" customFormat="1" ht="15"/>
    <row r="35" s="10" customFormat="1" ht="15"/>
    <row r="36" s="10" customFormat="1" ht="15"/>
    <row r="37" s="10" customFormat="1" ht="15"/>
    <row r="38" s="10" customFormat="1" ht="15"/>
    <row r="39" s="10" customFormat="1" ht="15"/>
    <row r="40" s="10" customFormat="1" ht="15"/>
    <row r="41" s="10" customFormat="1" ht="15"/>
    <row r="42" s="10" customFormat="1" ht="15"/>
    <row r="43" s="10" customFormat="1" ht="15"/>
    <row r="44" s="10" customFormat="1" ht="15"/>
    <row r="45" s="10" customFormat="1" ht="15"/>
    <row r="46" s="10" customFormat="1" ht="15"/>
    <row r="47" s="10" customFormat="1" ht="15"/>
    <row r="48" s="10" customFormat="1" ht="15"/>
    <row r="49" s="10" customFormat="1" ht="15"/>
    <row r="50" s="10" customFormat="1" ht="15"/>
    <row r="51" s="10" customFormat="1" ht="15"/>
    <row r="52" s="10" customFormat="1" ht="15"/>
    <row r="53" s="10" customFormat="1" ht="15"/>
    <row r="54" s="10" customFormat="1" ht="15"/>
    <row r="55" s="10" customFormat="1" ht="15"/>
    <row r="56" s="10" customFormat="1" ht="15"/>
    <row r="57" s="10" customFormat="1" ht="15"/>
    <row r="58" s="10" customFormat="1" ht="15"/>
    <row r="59" s="10" customFormat="1" ht="15"/>
    <row r="60" s="10" customFormat="1" ht="15"/>
    <row r="61" s="10" customFormat="1" ht="15"/>
    <row r="62" s="10" customFormat="1" ht="15"/>
    <row r="63" s="10" customFormat="1" ht="15"/>
    <row r="64" s="10" customFormat="1" ht="15"/>
    <row r="65" s="10" customFormat="1" ht="15"/>
    <row r="66" s="10" customFormat="1" ht="15"/>
    <row r="67" s="10" customFormat="1" ht="15"/>
    <row r="68" s="10" customFormat="1" ht="15"/>
    <row r="69" s="10" customFormat="1" ht="15"/>
    <row r="70" s="10" customFormat="1" ht="15"/>
    <row r="71" s="10" customFormat="1" ht="15"/>
    <row r="72" s="10" customFormat="1" ht="15"/>
    <row r="73" s="10" customFormat="1" ht="15"/>
    <row r="74" s="10" customFormat="1" ht="15"/>
    <row r="75" s="10" customFormat="1" ht="15"/>
    <row r="76" s="10" customFormat="1" ht="15"/>
    <row r="77" s="10" customFormat="1" ht="15"/>
    <row r="78" s="10" customFormat="1" ht="15"/>
    <row r="79" s="10" customFormat="1" ht="15"/>
    <row r="80" s="10" customFormat="1" ht="15"/>
    <row r="81" s="10" customFormat="1" ht="15"/>
    <row r="82" s="10" customFormat="1" ht="15"/>
    <row r="83" s="10" customFormat="1" ht="15"/>
    <row r="84" s="10" customFormat="1" ht="15"/>
    <row r="85" s="10" customFormat="1" ht="15"/>
    <row r="86" s="10" customFormat="1" ht="15"/>
    <row r="87" s="10" customFormat="1" ht="15"/>
    <row r="88" s="10" customFormat="1" ht="15"/>
    <row r="89" s="10" customFormat="1" ht="15"/>
    <row r="90" s="10" customFormat="1" ht="15"/>
    <row r="91" s="10" customFormat="1" ht="15"/>
    <row r="92" s="10" customFormat="1" ht="15"/>
    <row r="93" s="10" customFormat="1" ht="15"/>
    <row r="94" s="10" customFormat="1" ht="15"/>
    <row r="95" s="10" customFormat="1" ht="15"/>
    <row r="96" s="10" customFormat="1" ht="15"/>
    <row r="97" s="10" customFormat="1" ht="15"/>
    <row r="98" s="10" customFormat="1" ht="15"/>
    <row r="99" s="10" customFormat="1" ht="15"/>
    <row r="100" s="10" customFormat="1" ht="15"/>
    <row r="101" s="10" customFormat="1" ht="15"/>
    <row r="102" s="10" customFormat="1" ht="15"/>
    <row r="103" s="10" customFormat="1" ht="15"/>
    <row r="104" s="10" customFormat="1" ht="15"/>
    <row r="105" s="10" customFormat="1" ht="15"/>
    <row r="106" s="10" customFormat="1" ht="15"/>
    <row r="107" s="10" customFormat="1" ht="15"/>
    <row r="108" s="10" customFormat="1" ht="15"/>
    <row r="109" s="10" customFormat="1" ht="15"/>
    <row r="110" s="10" customFormat="1" ht="15"/>
    <row r="111" s="10" customFormat="1" ht="15"/>
    <row r="112" s="10" customFormat="1" ht="15"/>
    <row r="113" s="10" customFormat="1" ht="15"/>
    <row r="114" s="10" customFormat="1" ht="15"/>
    <row r="115" s="10" customFormat="1" ht="15"/>
    <row r="116" s="10" customFormat="1" ht="15"/>
    <row r="117" s="10" customFormat="1" ht="15"/>
    <row r="118" s="10" customFormat="1" ht="15"/>
    <row r="119" s="10" customFormat="1" ht="15"/>
    <row r="120" s="10" customFormat="1" ht="15"/>
    <row r="121" s="10" customFormat="1" ht="15"/>
    <row r="122" s="10" customFormat="1" ht="15"/>
  </sheetData>
  <mergeCells count="21">
    <mergeCell ref="A23:Q23"/>
    <mergeCell ref="V3:V18"/>
    <mergeCell ref="U22:AB22"/>
    <mergeCell ref="U1:AB2"/>
    <mergeCell ref="M1:M2"/>
    <mergeCell ref="N1:Q1"/>
    <mergeCell ref="X3:X18"/>
    <mergeCell ref="Z3:Z18"/>
    <mergeCell ref="AB3:AB18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H159"/>
  <sheetViews>
    <sheetView workbookViewId="0">
      <pane ySplit="2" topLeftCell="A3" activePane="bottomLeft" state="frozen"/>
      <selection pane="bottomLeft" activeCell="A110" sqref="A110"/>
    </sheetView>
  </sheetViews>
  <sheetFormatPr defaultRowHeight="11.25"/>
  <cols>
    <col min="1" max="2" width="5" style="128" bestFit="1" customWidth="1"/>
    <col min="3" max="4" width="5" style="128" customWidth="1"/>
    <col min="5" max="5" width="5.109375" style="128" customWidth="1"/>
    <col min="6" max="8" width="5" style="128" customWidth="1"/>
    <col min="9" max="9" width="5.109375" style="128" customWidth="1"/>
    <col min="10" max="12" width="5" style="128" customWidth="1"/>
    <col min="13" max="13" width="6.33203125" style="128" customWidth="1"/>
    <col min="14" max="16" width="5" style="128" customWidth="1"/>
    <col min="17" max="17" width="6.33203125" style="128" customWidth="1"/>
    <col min="18" max="20" width="5" style="128" customWidth="1"/>
    <col min="21" max="21" width="6.109375" style="128" customWidth="1"/>
    <col min="22" max="22" width="5.6640625" style="128" customWidth="1"/>
    <col min="23" max="24" width="5" style="128" customWidth="1"/>
    <col min="25" max="25" width="6.109375" style="128" customWidth="1"/>
    <col min="26" max="28" width="5" style="128" customWidth="1"/>
    <col min="29" max="29" width="6.109375" style="128" customWidth="1"/>
    <col min="30" max="32" width="5.77734375" style="128" customWidth="1"/>
    <col min="33" max="33" width="6.21875" style="128" customWidth="1"/>
    <col min="34" max="34" width="5.88671875" style="128" customWidth="1"/>
    <col min="35" max="35" width="5" style="128" customWidth="1"/>
    <col min="36" max="36" width="5.6640625" style="128" customWidth="1"/>
    <col min="37" max="37" width="6.109375" style="128" customWidth="1"/>
    <col min="38" max="40" width="5.6640625" style="128" customWidth="1"/>
    <col min="41" max="41" width="6.109375" style="128" customWidth="1"/>
    <col min="42" max="42" width="4.77734375" style="128" customWidth="1"/>
    <col min="43" max="44" width="5.6640625" style="128" customWidth="1"/>
    <col min="45" max="45" width="6.109375" style="128" customWidth="1"/>
    <col min="46" max="47" width="5" style="128" customWidth="1"/>
    <col min="48" max="48" width="5.6640625" style="128" customWidth="1"/>
    <col min="49" max="49" width="6.109375" style="128" customWidth="1"/>
    <col min="50" max="50" width="6.33203125" style="128" customWidth="1"/>
    <col min="51" max="51" width="6.77734375" style="128" customWidth="1"/>
    <col min="52" max="52" width="6.5546875" style="128" customWidth="1"/>
    <col min="53" max="53" width="6.21875" style="128" customWidth="1"/>
    <col min="54" max="54" width="3.5546875" style="128" bestFit="1" customWidth="1"/>
    <col min="55" max="55" width="6.33203125" style="128" bestFit="1" customWidth="1"/>
    <col min="56" max="56" width="8.6640625" style="128" bestFit="1" customWidth="1"/>
    <col min="57" max="57" width="6.5546875" style="128" customWidth="1"/>
    <col min="58" max="58" width="7.44140625" style="128" bestFit="1" customWidth="1"/>
    <col min="59" max="59" width="4.5546875" style="128" customWidth="1"/>
    <col min="60" max="60" width="3.6640625" style="128" bestFit="1" customWidth="1"/>
    <col min="61" max="16384" width="8.88671875" style="128"/>
  </cols>
  <sheetData>
    <row r="1" spans="1:60">
      <c r="A1" s="479" t="s">
        <v>18</v>
      </c>
      <c r="B1" s="541" t="s">
        <v>4</v>
      </c>
      <c r="C1" s="541"/>
      <c r="D1" s="541"/>
      <c r="E1" s="541"/>
      <c r="F1" s="539" t="s">
        <v>5</v>
      </c>
      <c r="G1" s="539"/>
      <c r="H1" s="539"/>
      <c r="I1" s="539"/>
      <c r="J1" s="541" t="s">
        <v>6</v>
      </c>
      <c r="K1" s="541"/>
      <c r="L1" s="541"/>
      <c r="M1" s="541"/>
      <c r="N1" s="539" t="s">
        <v>7</v>
      </c>
      <c r="O1" s="539"/>
      <c r="P1" s="539"/>
      <c r="Q1" s="539"/>
      <c r="R1" s="541" t="s">
        <v>2</v>
      </c>
      <c r="S1" s="541"/>
      <c r="T1" s="541"/>
      <c r="U1" s="541"/>
      <c r="V1" s="539" t="s">
        <v>8</v>
      </c>
      <c r="W1" s="539"/>
      <c r="X1" s="539"/>
      <c r="Y1" s="539"/>
      <c r="Z1" s="541" t="s">
        <v>9</v>
      </c>
      <c r="AA1" s="541"/>
      <c r="AB1" s="541"/>
      <c r="AC1" s="541"/>
      <c r="AD1" s="545" t="s">
        <v>10</v>
      </c>
      <c r="AE1" s="546"/>
      <c r="AF1" s="546"/>
      <c r="AG1" s="547"/>
      <c r="AH1" s="542" t="s">
        <v>11</v>
      </c>
      <c r="AI1" s="543"/>
      <c r="AJ1" s="543"/>
      <c r="AK1" s="544"/>
      <c r="AL1" s="545" t="s">
        <v>12</v>
      </c>
      <c r="AM1" s="546"/>
      <c r="AN1" s="546"/>
      <c r="AO1" s="547"/>
      <c r="AP1" s="542" t="s">
        <v>13</v>
      </c>
      <c r="AQ1" s="543"/>
      <c r="AR1" s="543"/>
      <c r="AS1" s="544"/>
      <c r="AT1" s="539" t="s">
        <v>14</v>
      </c>
      <c r="AU1" s="539"/>
      <c r="AV1" s="539"/>
      <c r="AW1" s="539"/>
      <c r="AX1" s="542" t="s">
        <v>16</v>
      </c>
      <c r="AY1" s="543"/>
      <c r="AZ1" s="543"/>
      <c r="BA1" s="544"/>
    </row>
    <row r="2" spans="1:60" ht="15.75" customHeight="1" thickBot="1">
      <c r="A2" s="540"/>
      <c r="B2" s="87" t="s">
        <v>63</v>
      </c>
      <c r="C2" s="87" t="s">
        <v>56</v>
      </c>
      <c r="D2" s="87" t="s">
        <v>65</v>
      </c>
      <c r="E2" s="247" t="s">
        <v>64</v>
      </c>
      <c r="F2" s="87" t="s">
        <v>63</v>
      </c>
      <c r="G2" s="87" t="s">
        <v>56</v>
      </c>
      <c r="H2" s="87" t="s">
        <v>65</v>
      </c>
      <c r="I2" s="248" t="s">
        <v>64</v>
      </c>
      <c r="J2" s="87" t="s">
        <v>63</v>
      </c>
      <c r="K2" s="87" t="s">
        <v>56</v>
      </c>
      <c r="L2" s="87" t="s">
        <v>65</v>
      </c>
      <c r="M2" s="247" t="s">
        <v>64</v>
      </c>
      <c r="N2" s="87" t="s">
        <v>63</v>
      </c>
      <c r="O2" s="87" t="s">
        <v>56</v>
      </c>
      <c r="P2" s="87" t="s">
        <v>65</v>
      </c>
      <c r="Q2" s="248" t="s">
        <v>64</v>
      </c>
      <c r="R2" s="87" t="s">
        <v>63</v>
      </c>
      <c r="S2" s="87" t="s">
        <v>56</v>
      </c>
      <c r="T2" s="87" t="s">
        <v>65</v>
      </c>
      <c r="U2" s="247" t="s">
        <v>64</v>
      </c>
      <c r="V2" s="87" t="s">
        <v>63</v>
      </c>
      <c r="W2" s="87" t="s">
        <v>56</v>
      </c>
      <c r="X2" s="87" t="s">
        <v>65</v>
      </c>
      <c r="Y2" s="248" t="s">
        <v>64</v>
      </c>
      <c r="Z2" s="87" t="s">
        <v>63</v>
      </c>
      <c r="AA2" s="87" t="s">
        <v>56</v>
      </c>
      <c r="AB2" s="87" t="s">
        <v>65</v>
      </c>
      <c r="AC2" s="247" t="s">
        <v>64</v>
      </c>
      <c r="AD2" s="87" t="s">
        <v>63</v>
      </c>
      <c r="AE2" s="87" t="s">
        <v>56</v>
      </c>
      <c r="AF2" s="87" t="s">
        <v>65</v>
      </c>
      <c r="AG2" s="248" t="s">
        <v>64</v>
      </c>
      <c r="AH2" s="87" t="s">
        <v>63</v>
      </c>
      <c r="AI2" s="87" t="s">
        <v>56</v>
      </c>
      <c r="AJ2" s="87" t="s">
        <v>65</v>
      </c>
      <c r="AK2" s="247" t="s">
        <v>64</v>
      </c>
      <c r="AL2" s="87" t="s">
        <v>63</v>
      </c>
      <c r="AM2" s="87" t="s">
        <v>56</v>
      </c>
      <c r="AN2" s="87" t="s">
        <v>65</v>
      </c>
      <c r="AO2" s="248" t="s">
        <v>64</v>
      </c>
      <c r="AP2" s="87" t="s">
        <v>63</v>
      </c>
      <c r="AQ2" s="87" t="s">
        <v>56</v>
      </c>
      <c r="AR2" s="87" t="s">
        <v>65</v>
      </c>
      <c r="AS2" s="247" t="s">
        <v>64</v>
      </c>
      <c r="AT2" s="87" t="s">
        <v>63</v>
      </c>
      <c r="AU2" s="87" t="s">
        <v>56</v>
      </c>
      <c r="AV2" s="87" t="s">
        <v>65</v>
      </c>
      <c r="AW2" s="248" t="s">
        <v>64</v>
      </c>
      <c r="AX2" s="87" t="s">
        <v>63</v>
      </c>
      <c r="AY2" s="87" t="s">
        <v>56</v>
      </c>
      <c r="AZ2" s="87" t="s">
        <v>65</v>
      </c>
      <c r="BA2" s="247" t="s">
        <v>64</v>
      </c>
      <c r="BC2" s="128" t="s">
        <v>29</v>
      </c>
      <c r="BD2" s="264" t="s">
        <v>139</v>
      </c>
      <c r="BE2" s="128" t="s">
        <v>177</v>
      </c>
      <c r="BF2" s="264" t="s">
        <v>139</v>
      </c>
    </row>
    <row r="3" spans="1:60" ht="12.75" customHeight="1">
      <c r="A3" s="249">
        <v>1998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1">
        <v>0.59</v>
      </c>
      <c r="AE3" s="251">
        <v>0.7</v>
      </c>
      <c r="AF3" s="251">
        <v>0.28999999999999998</v>
      </c>
      <c r="AG3" s="251">
        <v>0.59</v>
      </c>
      <c r="AH3" s="251"/>
      <c r="AI3" s="251"/>
      <c r="AJ3" s="251">
        <v>0.65</v>
      </c>
      <c r="AK3" s="251"/>
      <c r="AL3" s="251">
        <v>0.16</v>
      </c>
      <c r="AM3" s="251">
        <v>0.85</v>
      </c>
      <c r="AN3" s="251">
        <v>1</v>
      </c>
      <c r="AO3" s="251">
        <v>7.34</v>
      </c>
      <c r="AP3" s="251">
        <v>1.82</v>
      </c>
      <c r="AQ3" s="251">
        <v>0.17</v>
      </c>
      <c r="AR3" s="251">
        <v>1.18</v>
      </c>
      <c r="AS3" s="251">
        <v>2.15</v>
      </c>
      <c r="AT3" s="251">
        <v>4.47</v>
      </c>
      <c r="AU3" s="251">
        <v>4.93</v>
      </c>
      <c r="AV3" s="251">
        <v>5.04</v>
      </c>
      <c r="AW3" s="251">
        <v>6.77</v>
      </c>
      <c r="AX3" s="251">
        <f>B3+F3+J3+N3+R3+V3+Z3+AD3+AH3+AL3+AP3+AT3</f>
        <v>7.04</v>
      </c>
      <c r="AY3" s="251">
        <f t="shared" ref="AY3:BA18" si="0">C3+G3+K3+O3+S3+W3+AA3+AE3+AI3+AM3+AQ3+AU3</f>
        <v>6.6499999999999995</v>
      </c>
      <c r="AZ3" s="251">
        <f t="shared" si="0"/>
        <v>8.16</v>
      </c>
      <c r="BA3" s="251">
        <f t="shared" si="0"/>
        <v>16.850000000000001</v>
      </c>
      <c r="BC3" s="129">
        <f>SUM(AX3:BB3)</f>
        <v>38.700000000000003</v>
      </c>
      <c r="BD3" s="259">
        <v>567</v>
      </c>
      <c r="BE3" s="129">
        <f>BC3*BH3</f>
        <v>11.610000000000001</v>
      </c>
      <c r="BF3" s="266">
        <f>BD3*BH3</f>
        <v>170.1</v>
      </c>
      <c r="BH3" s="319">
        <v>0.3</v>
      </c>
    </row>
    <row r="4" spans="1:60">
      <c r="A4" s="252">
        <v>1999</v>
      </c>
      <c r="B4" s="142">
        <v>0.5</v>
      </c>
      <c r="C4" s="142">
        <v>0.54</v>
      </c>
      <c r="D4" s="142">
        <v>0.28999999999999998</v>
      </c>
      <c r="E4" s="142">
        <v>1.38</v>
      </c>
      <c r="F4" s="142">
        <v>1.49</v>
      </c>
      <c r="G4" s="142">
        <v>1.88</v>
      </c>
      <c r="H4" s="142">
        <v>1.47</v>
      </c>
      <c r="I4" s="142">
        <v>8.75</v>
      </c>
      <c r="J4" s="142">
        <v>0.73</v>
      </c>
      <c r="K4" s="142">
        <v>0.88</v>
      </c>
      <c r="L4" s="142">
        <v>0.59</v>
      </c>
      <c r="M4" s="142">
        <v>0.87</v>
      </c>
      <c r="N4" s="142">
        <v>1.32</v>
      </c>
      <c r="O4" s="142">
        <v>1.44</v>
      </c>
      <c r="P4" s="142">
        <v>1.29</v>
      </c>
      <c r="Q4" s="142">
        <v>1.69</v>
      </c>
      <c r="R4" s="142">
        <v>0.18</v>
      </c>
      <c r="S4" s="142">
        <v>0.19</v>
      </c>
      <c r="T4" s="142"/>
      <c r="U4" s="142"/>
      <c r="V4" s="142">
        <v>10.52</v>
      </c>
      <c r="W4" s="142">
        <v>6.95</v>
      </c>
      <c r="X4" s="142">
        <v>5.54</v>
      </c>
      <c r="Y4" s="142">
        <v>7.28</v>
      </c>
      <c r="Z4" s="142"/>
      <c r="AA4" s="142"/>
      <c r="AB4" s="142"/>
      <c r="AC4" s="142"/>
      <c r="AD4" s="142">
        <v>4.04</v>
      </c>
      <c r="AE4" s="142">
        <v>4.4000000000000004</v>
      </c>
      <c r="AF4" s="142">
        <v>3.23</v>
      </c>
      <c r="AG4" s="142">
        <v>5.64</v>
      </c>
      <c r="AH4" s="142">
        <v>5.84</v>
      </c>
      <c r="AI4" s="142">
        <v>5.77</v>
      </c>
      <c r="AJ4" s="142">
        <v>3.83</v>
      </c>
      <c r="AK4" s="142">
        <v>8.66</v>
      </c>
      <c r="AL4" s="142"/>
      <c r="AM4" s="142"/>
      <c r="AN4" s="142">
        <v>0.59</v>
      </c>
      <c r="AO4" s="142">
        <v>0.65</v>
      </c>
      <c r="AP4" s="142">
        <v>1.94</v>
      </c>
      <c r="AQ4" s="142">
        <v>2.04</v>
      </c>
      <c r="AR4" s="142">
        <v>1.18</v>
      </c>
      <c r="AS4" s="142">
        <v>3.02</v>
      </c>
      <c r="AT4" s="142"/>
      <c r="AU4" s="251"/>
      <c r="AV4" s="251"/>
      <c r="AW4" s="142"/>
      <c r="AX4" s="251">
        <f t="shared" ref="AX4:AX18" si="1">B4+F4+J4+N4+R4+V4+Z4+AD4+AH4+AL4+AP4+AT4</f>
        <v>26.56</v>
      </c>
      <c r="AY4" s="251">
        <f t="shared" si="0"/>
        <v>24.09</v>
      </c>
      <c r="AZ4" s="251">
        <f t="shared" si="0"/>
        <v>18.010000000000002</v>
      </c>
      <c r="BA4" s="251">
        <f t="shared" si="0"/>
        <v>37.94</v>
      </c>
      <c r="BC4" s="129">
        <f>SUM(AX4:BB4)</f>
        <v>106.6</v>
      </c>
      <c r="BD4" s="259">
        <v>1400</v>
      </c>
      <c r="BE4" s="129">
        <f t="shared" ref="BE4:BE18" si="2">BC4*BH4</f>
        <v>42.64</v>
      </c>
      <c r="BF4" s="266">
        <f t="shared" ref="BF4:BF17" si="3">BD4*BH4</f>
        <v>560</v>
      </c>
      <c r="BH4" s="320">
        <v>0.4</v>
      </c>
    </row>
    <row r="5" spans="1:60">
      <c r="A5" s="252">
        <v>2000</v>
      </c>
      <c r="B5" s="142"/>
      <c r="C5" s="142"/>
      <c r="D5" s="142">
        <v>0.3</v>
      </c>
      <c r="E5" s="142">
        <v>0.7</v>
      </c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>
        <f>R99/340.75</f>
        <v>0.99779897285399854</v>
      </c>
      <c r="S5" s="142">
        <f t="shared" ref="S5:U5" si="4">S99/340.75</f>
        <v>1.0858400586940573</v>
      </c>
      <c r="T5" s="142">
        <f t="shared" si="4"/>
        <v>1.173881144534116</v>
      </c>
      <c r="U5" s="142">
        <f t="shared" si="4"/>
        <v>3.3925165077035948</v>
      </c>
      <c r="V5" s="142"/>
      <c r="W5" s="142"/>
      <c r="X5" s="142"/>
      <c r="Y5" s="142"/>
      <c r="Z5" s="142">
        <v>0.67</v>
      </c>
      <c r="AA5" s="142">
        <v>0.94</v>
      </c>
      <c r="AB5" s="142">
        <v>0.88</v>
      </c>
      <c r="AC5" s="142">
        <v>1.54</v>
      </c>
      <c r="AD5" s="142">
        <v>0.28999999999999998</v>
      </c>
      <c r="AE5" s="142">
        <v>0.28999999999999998</v>
      </c>
      <c r="AF5" s="142">
        <v>0.59</v>
      </c>
      <c r="AG5" s="142">
        <v>1.47</v>
      </c>
      <c r="AH5" s="142"/>
      <c r="AI5" s="142"/>
      <c r="AJ5" s="142"/>
      <c r="AK5" s="142"/>
      <c r="AL5" s="142">
        <v>0.73</v>
      </c>
      <c r="AM5" s="142">
        <v>0.9</v>
      </c>
      <c r="AN5" s="142">
        <v>0.59</v>
      </c>
      <c r="AO5" s="142">
        <v>0.82</v>
      </c>
      <c r="AP5" s="142">
        <v>1.17</v>
      </c>
      <c r="AQ5" s="142">
        <v>1.2</v>
      </c>
      <c r="AR5" s="142">
        <v>0.88</v>
      </c>
      <c r="AS5" s="142">
        <v>0.44</v>
      </c>
      <c r="AT5" s="142"/>
      <c r="AU5" s="251"/>
      <c r="AV5" s="251"/>
      <c r="AW5" s="251"/>
      <c r="AX5" s="251">
        <f t="shared" si="1"/>
        <v>3.8577989728539985</v>
      </c>
      <c r="AY5" s="251">
        <f t="shared" si="0"/>
        <v>4.4158400586940569</v>
      </c>
      <c r="AZ5" s="251">
        <f t="shared" si="0"/>
        <v>4.4138811445341162</v>
      </c>
      <c r="BA5" s="251">
        <f t="shared" si="0"/>
        <v>8.3625165077035941</v>
      </c>
      <c r="BC5" s="129">
        <f>SUM(AX5:BB5)</f>
        <v>21.050036683785766</v>
      </c>
      <c r="BD5" s="278">
        <v>210</v>
      </c>
      <c r="BE5" s="129">
        <f t="shared" si="2"/>
        <v>9.4725165077035953</v>
      </c>
      <c r="BF5" s="266">
        <f t="shared" si="3"/>
        <v>94.5</v>
      </c>
      <c r="BH5" s="320">
        <v>0.45</v>
      </c>
    </row>
    <row r="6" spans="1:60" s="275" customFormat="1">
      <c r="A6" s="282">
        <v>2001</v>
      </c>
      <c r="B6" s="142">
        <f>B110/340.75</f>
        <v>0.88041085840058697</v>
      </c>
      <c r="C6" s="142">
        <f t="shared" ref="C6:E6" si="5">C110/340.75</f>
        <v>0.74834922964049888</v>
      </c>
      <c r="D6" s="142">
        <f t="shared" si="5"/>
        <v>0.58694057226705798</v>
      </c>
      <c r="E6" s="142">
        <f t="shared" si="5"/>
        <v>0</v>
      </c>
      <c r="F6" s="142">
        <f>F122</f>
        <v>7.0432868672046958</v>
      </c>
      <c r="G6" s="142">
        <f t="shared" ref="G6:H6" si="6">G122</f>
        <v>6.8282024944974316</v>
      </c>
      <c r="H6" s="142">
        <f t="shared" si="6"/>
        <v>3.9347028613352899</v>
      </c>
      <c r="I6" s="142"/>
      <c r="J6" s="142">
        <f>J115</f>
        <v>7.6434336023477627</v>
      </c>
      <c r="K6" s="142">
        <f t="shared" ref="K6:L6" si="7">K115</f>
        <v>1.4431254585473221</v>
      </c>
      <c r="L6" s="142">
        <f t="shared" si="7"/>
        <v>0.910410858400587</v>
      </c>
      <c r="M6" s="142"/>
      <c r="N6" s="142">
        <f>N111/340.75</f>
        <v>0.82171680117388113</v>
      </c>
      <c r="O6" s="142">
        <f t="shared" ref="O6:P6" si="8">O111/340.75</f>
        <v>0.89508437270726338</v>
      </c>
      <c r="P6" s="142">
        <f t="shared" si="8"/>
        <v>0.29347028613352899</v>
      </c>
      <c r="Q6" s="142"/>
      <c r="R6" s="142"/>
      <c r="S6" s="142"/>
      <c r="T6" s="142"/>
      <c r="U6" s="142"/>
      <c r="V6" s="142">
        <f>V112/340.75</f>
        <v>1.9955979457079971</v>
      </c>
      <c r="W6" s="142">
        <f t="shared" ref="W6:X6" si="9">W112/340.75</f>
        <v>0.7630227439471754</v>
      </c>
      <c r="X6" s="142">
        <f t="shared" si="9"/>
        <v>0.58694057226705798</v>
      </c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>
        <f>AP112/340.75</f>
        <v>1.8195157740278798</v>
      </c>
      <c r="AQ6" s="142">
        <f t="shared" ref="AQ6:AR6" si="10">AQ112/340.75</f>
        <v>0.82171680117388113</v>
      </c>
      <c r="AR6" s="142">
        <f t="shared" si="10"/>
        <v>1.173881144534116</v>
      </c>
      <c r="AS6" s="142"/>
      <c r="AT6" s="142">
        <f>AT118</f>
        <v>6.1153558327219368</v>
      </c>
      <c r="AU6" s="142">
        <f t="shared" ref="AU6:AV6" si="11">AU118</f>
        <v>6.7308877476155544</v>
      </c>
      <c r="AV6" s="142">
        <f t="shared" si="11"/>
        <v>4.2608217168011739</v>
      </c>
      <c r="AW6" s="251"/>
      <c r="AX6" s="251">
        <f t="shared" si="1"/>
        <v>26.319317681584742</v>
      </c>
      <c r="AY6" s="251">
        <f t="shared" si="0"/>
        <v>18.230388848129127</v>
      </c>
      <c r="AZ6" s="251">
        <f t="shared" si="0"/>
        <v>11.747168011738811</v>
      </c>
      <c r="BA6" s="251">
        <f t="shared" si="0"/>
        <v>0</v>
      </c>
      <c r="BC6" s="129">
        <f>SUM(AX6:BB6)</f>
        <v>56.296874541452681</v>
      </c>
      <c r="BD6" s="278">
        <v>495</v>
      </c>
      <c r="BE6" s="129">
        <f t="shared" si="2"/>
        <v>22.518749816581074</v>
      </c>
      <c r="BF6" s="266">
        <f t="shared" si="3"/>
        <v>198</v>
      </c>
      <c r="BH6" s="320">
        <v>0.4</v>
      </c>
    </row>
    <row r="7" spans="1:60">
      <c r="A7" s="252">
        <v>2002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>
        <f>N127</f>
        <v>1.28</v>
      </c>
      <c r="O7" s="142">
        <f t="shared" ref="O7:P7" si="12">O127</f>
        <v>0.68</v>
      </c>
      <c r="P7" s="142">
        <f t="shared" si="12"/>
        <v>2</v>
      </c>
      <c r="Q7" s="142"/>
      <c r="R7" s="142">
        <f>R125</f>
        <v>1</v>
      </c>
      <c r="S7" s="142">
        <f t="shared" ref="S7:T7" si="13">S125</f>
        <v>0.85</v>
      </c>
      <c r="T7" s="142">
        <f t="shared" si="13"/>
        <v>1</v>
      </c>
      <c r="U7" s="142"/>
      <c r="V7" s="142">
        <f>V127</f>
        <v>0.74</v>
      </c>
      <c r="W7" s="142">
        <f t="shared" ref="W7:X7" si="14">W127</f>
        <v>0.48</v>
      </c>
      <c r="X7" s="142">
        <f t="shared" si="14"/>
        <v>1.5</v>
      </c>
      <c r="Y7" s="142"/>
      <c r="Z7" s="142">
        <f>Z128</f>
        <v>0.81</v>
      </c>
      <c r="AA7" s="142">
        <f t="shared" ref="AA7:AB7" si="15">AA128</f>
        <v>0.86999999999999988</v>
      </c>
      <c r="AB7" s="142">
        <f t="shared" si="15"/>
        <v>1.5</v>
      </c>
      <c r="AC7" s="142"/>
      <c r="AD7" s="142">
        <f>AD125</f>
        <v>1.1599999999999999</v>
      </c>
      <c r="AE7" s="142">
        <f t="shared" ref="AE7:AF7" si="16">AE125</f>
        <v>0.08</v>
      </c>
      <c r="AF7" s="142">
        <f t="shared" si="16"/>
        <v>0.5</v>
      </c>
      <c r="AG7" s="142"/>
      <c r="AH7" s="142"/>
      <c r="AI7" s="142"/>
      <c r="AJ7" s="142"/>
      <c r="AK7" s="142"/>
      <c r="AL7" s="142">
        <f>AL125</f>
        <v>0.96</v>
      </c>
      <c r="AM7" s="142">
        <f t="shared" ref="AM7:AN7" si="17">AM125</f>
        <v>0.06</v>
      </c>
      <c r="AN7" s="142">
        <f t="shared" si="17"/>
        <v>1</v>
      </c>
      <c r="AO7" s="142"/>
      <c r="AP7" s="142"/>
      <c r="AQ7" s="142"/>
      <c r="AR7" s="142"/>
      <c r="AS7" s="142"/>
      <c r="AT7" s="142">
        <f>AT127</f>
        <v>2</v>
      </c>
      <c r="AU7" s="142">
        <f t="shared" ref="AU7:AV7" si="18">AU127</f>
        <v>1.6600000000000001</v>
      </c>
      <c r="AV7" s="142">
        <f t="shared" si="18"/>
        <v>0.26</v>
      </c>
      <c r="AW7" s="251"/>
      <c r="AX7" s="251">
        <f t="shared" si="1"/>
        <v>7.95</v>
      </c>
      <c r="AY7" s="251">
        <f t="shared" si="0"/>
        <v>4.68</v>
      </c>
      <c r="AZ7" s="251">
        <f t="shared" si="0"/>
        <v>7.76</v>
      </c>
      <c r="BA7" s="251">
        <f t="shared" si="0"/>
        <v>0</v>
      </c>
      <c r="BC7" s="129">
        <f>SUM(AX7:BB7)</f>
        <v>20.39</v>
      </c>
      <c r="BD7" s="259">
        <v>160</v>
      </c>
      <c r="BE7" s="129">
        <f t="shared" si="2"/>
        <v>8.1560000000000006</v>
      </c>
      <c r="BF7" s="266">
        <f t="shared" si="3"/>
        <v>64</v>
      </c>
      <c r="BH7" s="320">
        <v>0.4</v>
      </c>
    </row>
    <row r="8" spans="1:60">
      <c r="A8" s="252">
        <v>2003</v>
      </c>
      <c r="B8" s="306"/>
      <c r="C8" s="306"/>
      <c r="D8" s="306"/>
      <c r="E8" s="306"/>
      <c r="F8" s="306"/>
      <c r="G8" s="306"/>
      <c r="H8" s="306"/>
      <c r="I8" s="306"/>
      <c r="J8" s="306">
        <v>0.64</v>
      </c>
      <c r="K8" s="306">
        <v>0.68</v>
      </c>
      <c r="L8" s="306"/>
      <c r="M8" s="306"/>
      <c r="N8" s="306">
        <f>N133</f>
        <v>0.02</v>
      </c>
      <c r="O8" s="306">
        <f t="shared" ref="O8:P8" si="19">O133</f>
        <v>7.0000000000000007E-2</v>
      </c>
      <c r="P8" s="306">
        <f t="shared" si="19"/>
        <v>0.5</v>
      </c>
      <c r="Q8" s="306"/>
      <c r="R8" s="306">
        <f>R131</f>
        <v>1.1200000000000001</v>
      </c>
      <c r="S8" s="306">
        <f t="shared" ref="S8:T8" si="20">S131</f>
        <v>1.19</v>
      </c>
      <c r="T8" s="306">
        <f t="shared" si="20"/>
        <v>1</v>
      </c>
      <c r="U8" s="306"/>
      <c r="V8" s="306">
        <f>V133</f>
        <v>1.8800000000000001</v>
      </c>
      <c r="W8" s="306">
        <f t="shared" ref="W8:X8" si="21">W133</f>
        <v>1.22</v>
      </c>
      <c r="X8" s="306">
        <f t="shared" si="21"/>
        <v>1</v>
      </c>
      <c r="Y8" s="306"/>
      <c r="Z8" s="306">
        <f>Z131</f>
        <v>0.7</v>
      </c>
      <c r="AA8" s="306">
        <f t="shared" ref="AA8:AB8" si="22">AA131</f>
        <v>0</v>
      </c>
      <c r="AB8" s="306">
        <f t="shared" si="22"/>
        <v>1</v>
      </c>
      <c r="AC8" s="306"/>
      <c r="AD8" s="306">
        <f>AD133</f>
        <v>1.91</v>
      </c>
      <c r="AE8" s="306">
        <f t="shared" ref="AE8:AF8" si="23">AE133</f>
        <v>1.08</v>
      </c>
      <c r="AF8" s="306">
        <f t="shared" si="23"/>
        <v>1.5</v>
      </c>
      <c r="AG8" s="306"/>
      <c r="AH8" s="306">
        <f>AH131</f>
        <v>0.6</v>
      </c>
      <c r="AI8" s="306">
        <f t="shared" ref="AI8:AJ8" si="24">AI131</f>
        <v>0.06</v>
      </c>
      <c r="AJ8" s="306">
        <f t="shared" si="24"/>
        <v>1</v>
      </c>
      <c r="AK8" s="306"/>
      <c r="AL8" s="306">
        <f>AL141</f>
        <v>8.629999999999999</v>
      </c>
      <c r="AM8" s="306">
        <f t="shared" ref="AM8:AN8" si="25">AM141</f>
        <v>5.8600000000000012</v>
      </c>
      <c r="AN8" s="306">
        <f t="shared" si="25"/>
        <v>9</v>
      </c>
      <c r="AO8" s="306"/>
      <c r="AP8" s="306">
        <f>AP134</f>
        <v>1.8499999999999999</v>
      </c>
      <c r="AQ8" s="306">
        <f t="shared" ref="AQ8:AR8" si="26">AQ134</f>
        <v>1.74</v>
      </c>
      <c r="AR8" s="306">
        <f t="shared" si="26"/>
        <v>3</v>
      </c>
      <c r="AS8" s="306"/>
      <c r="AT8" s="306"/>
      <c r="AU8" s="314"/>
      <c r="AV8" s="314">
        <f>AV131</f>
        <v>0.5</v>
      </c>
      <c r="AW8" s="314"/>
      <c r="AX8" s="251">
        <f t="shared" si="1"/>
        <v>17.350000000000001</v>
      </c>
      <c r="AY8" s="251">
        <f t="shared" si="0"/>
        <v>11.9</v>
      </c>
      <c r="AZ8" s="251">
        <f t="shared" si="0"/>
        <v>18.5</v>
      </c>
      <c r="BA8" s="251">
        <f t="shared" si="0"/>
        <v>0</v>
      </c>
      <c r="BC8" s="129">
        <f t="shared" ref="BC8:BC16" si="27">SUM(AX8:BB8)</f>
        <v>47.75</v>
      </c>
      <c r="BD8" s="259">
        <v>339</v>
      </c>
      <c r="BE8" s="129">
        <f t="shared" si="2"/>
        <v>19.100000000000001</v>
      </c>
      <c r="BF8" s="266">
        <f t="shared" si="3"/>
        <v>135.6</v>
      </c>
      <c r="BH8" s="319">
        <v>0.4</v>
      </c>
    </row>
    <row r="9" spans="1:60" s="275" customFormat="1">
      <c r="A9" s="282">
        <v>2004</v>
      </c>
      <c r="B9" s="306"/>
      <c r="C9" s="306"/>
      <c r="D9" s="306"/>
      <c r="E9" s="306"/>
      <c r="F9" s="306">
        <f>F144</f>
        <v>1.02</v>
      </c>
      <c r="G9" s="306">
        <f t="shared" ref="G9:H9" si="28">G144</f>
        <v>1.02</v>
      </c>
      <c r="H9" s="306">
        <f t="shared" si="28"/>
        <v>1</v>
      </c>
      <c r="I9" s="306"/>
      <c r="J9" s="306"/>
      <c r="K9" s="306"/>
      <c r="L9" s="306"/>
      <c r="M9" s="306"/>
      <c r="N9" s="306">
        <f>N146</f>
        <v>1.51</v>
      </c>
      <c r="O9" s="306">
        <f t="shared" ref="O9:P9" si="29">O146</f>
        <v>1.7</v>
      </c>
      <c r="P9" s="306">
        <f t="shared" si="29"/>
        <v>2</v>
      </c>
      <c r="Q9" s="306"/>
      <c r="R9" s="306">
        <f>R146</f>
        <v>1.1000000000000001</v>
      </c>
      <c r="S9" s="306">
        <f t="shared" ref="S9:T9" si="30">S146</f>
        <v>1.31</v>
      </c>
      <c r="T9" s="306">
        <f t="shared" si="30"/>
        <v>1</v>
      </c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>
        <f>AH144</f>
        <v>0.8</v>
      </c>
      <c r="AI9" s="306">
        <f t="shared" ref="AI9:AJ9" si="31">AI144</f>
        <v>0.85</v>
      </c>
      <c r="AJ9" s="306">
        <f t="shared" si="31"/>
        <v>1</v>
      </c>
      <c r="AK9" s="306"/>
      <c r="AL9" s="306">
        <f>AL147</f>
        <v>2.2599999999999998</v>
      </c>
      <c r="AM9" s="306">
        <f t="shared" ref="AM9:AN9" si="32">AM147</f>
        <v>1.3399999999999999</v>
      </c>
      <c r="AN9" s="306">
        <f t="shared" si="32"/>
        <v>3</v>
      </c>
      <c r="AO9" s="306"/>
      <c r="AP9" s="306"/>
      <c r="AQ9" s="306"/>
      <c r="AR9" s="306"/>
      <c r="AS9" s="306"/>
      <c r="AT9" s="306">
        <f>AT147</f>
        <v>4.2700000000000005</v>
      </c>
      <c r="AU9" s="306">
        <f t="shared" ref="AU9:AV9" si="33">AU147</f>
        <v>3.8200000000000003</v>
      </c>
      <c r="AV9" s="306">
        <f t="shared" si="33"/>
        <v>4.5</v>
      </c>
      <c r="AW9" s="314"/>
      <c r="AX9" s="251">
        <f t="shared" si="1"/>
        <v>10.96</v>
      </c>
      <c r="AY9" s="251">
        <f t="shared" si="0"/>
        <v>10.039999999999999</v>
      </c>
      <c r="AZ9" s="251">
        <f t="shared" si="0"/>
        <v>12.5</v>
      </c>
      <c r="BA9" s="251">
        <f t="shared" si="0"/>
        <v>0</v>
      </c>
      <c r="BC9" s="324">
        <f t="shared" si="27"/>
        <v>33.5</v>
      </c>
      <c r="BD9" s="278">
        <v>215</v>
      </c>
      <c r="BE9" s="129">
        <f t="shared" si="2"/>
        <v>13.4</v>
      </c>
      <c r="BF9" s="266">
        <f t="shared" si="3"/>
        <v>86</v>
      </c>
      <c r="BH9" s="320">
        <v>0.4</v>
      </c>
    </row>
    <row r="10" spans="1:60">
      <c r="A10" s="252">
        <v>2005</v>
      </c>
      <c r="B10" s="142"/>
      <c r="C10" s="142"/>
      <c r="D10" s="142"/>
      <c r="E10" s="142"/>
      <c r="F10" s="142">
        <f>F150</f>
        <v>1.96</v>
      </c>
      <c r="G10" s="142">
        <f t="shared" ref="G10:H10" si="34">G150</f>
        <v>1.19</v>
      </c>
      <c r="H10" s="142">
        <f t="shared" si="34"/>
        <v>1.5</v>
      </c>
      <c r="I10" s="142"/>
      <c r="J10" s="142">
        <f>J154</f>
        <v>3.89</v>
      </c>
      <c r="K10" s="142">
        <f t="shared" ref="K10:L10" si="35">K154</f>
        <v>3.05</v>
      </c>
      <c r="L10" s="142">
        <f t="shared" si="35"/>
        <v>3</v>
      </c>
      <c r="M10" s="142"/>
      <c r="N10" s="142">
        <f>N152</f>
        <v>1.87</v>
      </c>
      <c r="O10" s="142">
        <f t="shared" ref="O10:P10" si="36">O152</f>
        <v>0.12</v>
      </c>
      <c r="P10" s="142">
        <f t="shared" si="36"/>
        <v>2</v>
      </c>
      <c r="Q10" s="142"/>
      <c r="R10" s="142">
        <f>R151</f>
        <v>0.7</v>
      </c>
      <c r="S10" s="142">
        <f t="shared" ref="S10:T10" si="37">S151</f>
        <v>0.68</v>
      </c>
      <c r="T10" s="142">
        <f t="shared" si="37"/>
        <v>0.5</v>
      </c>
      <c r="U10" s="142"/>
      <c r="V10" s="142"/>
      <c r="W10" s="142"/>
      <c r="X10" s="142"/>
      <c r="Y10" s="142"/>
      <c r="Z10" s="142"/>
      <c r="AA10" s="142"/>
      <c r="AB10" s="142"/>
      <c r="AC10" s="142"/>
      <c r="AD10" s="142">
        <f>AD150</f>
        <v>0.64</v>
      </c>
      <c r="AE10" s="142">
        <f t="shared" ref="AE10:AF10" si="38">AE150</f>
        <v>0.85</v>
      </c>
      <c r="AF10" s="142">
        <f t="shared" si="38"/>
        <v>1</v>
      </c>
      <c r="AG10" s="142"/>
      <c r="AH10" s="142">
        <f>AH155</f>
        <v>3.56</v>
      </c>
      <c r="AI10" s="142">
        <f t="shared" ref="AI10:AJ10" si="39">AI155</f>
        <v>4.24</v>
      </c>
      <c r="AJ10" s="142">
        <f t="shared" si="39"/>
        <v>4</v>
      </c>
      <c r="AK10" s="142"/>
      <c r="AL10" s="142">
        <f>AL156</f>
        <v>6.6499999999999995</v>
      </c>
      <c r="AM10" s="142">
        <f t="shared" ref="AM10:AN10" si="40">AM156</f>
        <v>6.1000000000000005</v>
      </c>
      <c r="AN10" s="142">
        <f t="shared" si="40"/>
        <v>6</v>
      </c>
      <c r="AO10" s="142"/>
      <c r="AP10" s="142">
        <f>AP152</f>
        <v>1.18</v>
      </c>
      <c r="AQ10" s="142">
        <f t="shared" ref="AQ10:AR10" si="41">AQ152</f>
        <v>1.8</v>
      </c>
      <c r="AR10" s="142">
        <f t="shared" si="41"/>
        <v>5</v>
      </c>
      <c r="AS10" s="142"/>
      <c r="AT10" s="142">
        <f>AT155</f>
        <v>4.83</v>
      </c>
      <c r="AU10" s="142">
        <f t="shared" ref="AU10:AV10" si="42">AU155</f>
        <v>6.3999999999999995</v>
      </c>
      <c r="AV10" s="142">
        <f t="shared" si="42"/>
        <v>5</v>
      </c>
      <c r="AW10" s="251"/>
      <c r="AX10" s="251">
        <f t="shared" si="1"/>
        <v>25.28</v>
      </c>
      <c r="AY10" s="251">
        <f t="shared" si="0"/>
        <v>24.43</v>
      </c>
      <c r="AZ10" s="251">
        <f t="shared" si="0"/>
        <v>28</v>
      </c>
      <c r="BA10" s="251">
        <f t="shared" si="0"/>
        <v>0</v>
      </c>
      <c r="BC10" s="129">
        <f t="shared" si="27"/>
        <v>77.710000000000008</v>
      </c>
      <c r="BD10" s="259">
        <v>452</v>
      </c>
      <c r="BE10" s="129">
        <f t="shared" si="2"/>
        <v>31.084000000000003</v>
      </c>
      <c r="BF10" s="266">
        <f t="shared" si="3"/>
        <v>180.8</v>
      </c>
      <c r="BH10" s="319">
        <v>0.4</v>
      </c>
    </row>
    <row r="11" spans="1:60">
      <c r="A11" s="252">
        <v>2006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4"/>
      <c r="AV11" s="254"/>
      <c r="AW11" s="254"/>
      <c r="AX11" s="254">
        <f t="shared" si="1"/>
        <v>0</v>
      </c>
      <c r="AY11" s="254">
        <f t="shared" si="0"/>
        <v>0</v>
      </c>
      <c r="AZ11" s="254">
        <f t="shared" si="0"/>
        <v>0</v>
      </c>
      <c r="BA11" s="254">
        <f t="shared" si="0"/>
        <v>0</v>
      </c>
      <c r="BC11" s="129">
        <f t="shared" si="27"/>
        <v>0</v>
      </c>
      <c r="BD11" s="259"/>
      <c r="BE11" s="129">
        <f t="shared" si="2"/>
        <v>0</v>
      </c>
      <c r="BF11" s="266">
        <f t="shared" si="3"/>
        <v>0</v>
      </c>
      <c r="BH11" s="319">
        <v>0.4</v>
      </c>
    </row>
    <row r="12" spans="1:60">
      <c r="A12" s="252">
        <v>2007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4"/>
      <c r="AV12" s="254"/>
      <c r="AW12" s="254"/>
      <c r="AX12" s="254">
        <f t="shared" si="1"/>
        <v>0</v>
      </c>
      <c r="AY12" s="254">
        <f t="shared" si="0"/>
        <v>0</v>
      </c>
      <c r="AZ12" s="254">
        <f t="shared" si="0"/>
        <v>0</v>
      </c>
      <c r="BA12" s="254">
        <f t="shared" si="0"/>
        <v>0</v>
      </c>
      <c r="BC12" s="129">
        <f t="shared" si="27"/>
        <v>0</v>
      </c>
      <c r="BD12" s="259"/>
      <c r="BE12" s="129">
        <f t="shared" si="2"/>
        <v>0</v>
      </c>
      <c r="BF12" s="266">
        <f t="shared" si="3"/>
        <v>0</v>
      </c>
      <c r="BH12" s="319">
        <v>0.4</v>
      </c>
    </row>
    <row r="13" spans="1:60">
      <c r="A13" s="252">
        <v>2008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4"/>
      <c r="AV13" s="254"/>
      <c r="AW13" s="254"/>
      <c r="AX13" s="254">
        <f t="shared" si="1"/>
        <v>0</v>
      </c>
      <c r="AY13" s="254">
        <f t="shared" si="0"/>
        <v>0</v>
      </c>
      <c r="AZ13" s="254">
        <f t="shared" si="0"/>
        <v>0</v>
      </c>
      <c r="BA13" s="254">
        <f t="shared" si="0"/>
        <v>0</v>
      </c>
      <c r="BC13" s="129">
        <f t="shared" si="27"/>
        <v>0</v>
      </c>
      <c r="BD13" s="259"/>
      <c r="BE13" s="129">
        <f t="shared" si="2"/>
        <v>0</v>
      </c>
      <c r="BF13" s="266">
        <f t="shared" si="3"/>
        <v>0</v>
      </c>
      <c r="BH13" s="319">
        <v>0.4</v>
      </c>
    </row>
    <row r="14" spans="1:60">
      <c r="A14" s="252">
        <v>2009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4"/>
      <c r="AV14" s="254"/>
      <c r="AW14" s="254"/>
      <c r="AX14" s="254">
        <f t="shared" si="1"/>
        <v>0</v>
      </c>
      <c r="AY14" s="254">
        <f t="shared" si="0"/>
        <v>0</v>
      </c>
      <c r="AZ14" s="254">
        <f t="shared" si="0"/>
        <v>0</v>
      </c>
      <c r="BA14" s="254">
        <f t="shared" si="0"/>
        <v>0</v>
      </c>
      <c r="BC14" s="129">
        <f t="shared" si="27"/>
        <v>0</v>
      </c>
      <c r="BD14" s="259"/>
      <c r="BE14" s="129">
        <f t="shared" si="2"/>
        <v>0</v>
      </c>
      <c r="BF14" s="266">
        <f t="shared" si="3"/>
        <v>0</v>
      </c>
      <c r="BH14" s="319">
        <v>0.35</v>
      </c>
    </row>
    <row r="15" spans="1:60">
      <c r="A15" s="252">
        <v>2010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4"/>
      <c r="AV15" s="254"/>
      <c r="AW15" s="254"/>
      <c r="AX15" s="254">
        <f t="shared" si="1"/>
        <v>0</v>
      </c>
      <c r="AY15" s="254">
        <f t="shared" si="0"/>
        <v>0</v>
      </c>
      <c r="AZ15" s="254">
        <f t="shared" si="0"/>
        <v>0</v>
      </c>
      <c r="BA15" s="254">
        <f t="shared" si="0"/>
        <v>0</v>
      </c>
      <c r="BC15" s="129">
        <f t="shared" si="27"/>
        <v>0</v>
      </c>
      <c r="BD15" s="259"/>
      <c r="BE15" s="129">
        <f t="shared" si="2"/>
        <v>0</v>
      </c>
      <c r="BF15" s="266">
        <f t="shared" si="3"/>
        <v>0</v>
      </c>
      <c r="BH15" s="319">
        <v>0.45</v>
      </c>
    </row>
    <row r="16" spans="1:60">
      <c r="A16" s="252">
        <v>2011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4"/>
      <c r="AV16" s="254"/>
      <c r="AW16" s="254"/>
      <c r="AX16" s="254">
        <f t="shared" si="1"/>
        <v>0</v>
      </c>
      <c r="AY16" s="254">
        <f t="shared" si="0"/>
        <v>0</v>
      </c>
      <c r="AZ16" s="254">
        <f t="shared" si="0"/>
        <v>0</v>
      </c>
      <c r="BA16" s="254">
        <f t="shared" si="0"/>
        <v>0</v>
      </c>
      <c r="BC16" s="129">
        <f t="shared" si="27"/>
        <v>0</v>
      </c>
      <c r="BD16" s="259"/>
      <c r="BE16" s="129">
        <f t="shared" si="2"/>
        <v>0</v>
      </c>
      <c r="BF16" s="266">
        <f t="shared" si="3"/>
        <v>0</v>
      </c>
      <c r="BH16" s="319">
        <v>0.35</v>
      </c>
    </row>
    <row r="17" spans="1:60">
      <c r="A17" s="252">
        <v>2012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4"/>
      <c r="AV17" s="254"/>
      <c r="AW17" s="254"/>
      <c r="AX17" s="254">
        <f t="shared" si="1"/>
        <v>0</v>
      </c>
      <c r="AY17" s="254">
        <f t="shared" si="0"/>
        <v>0</v>
      </c>
      <c r="AZ17" s="254">
        <f t="shared" si="0"/>
        <v>0</v>
      </c>
      <c r="BA17" s="254">
        <f t="shared" si="0"/>
        <v>0</v>
      </c>
      <c r="BD17" s="259"/>
      <c r="BE17" s="129">
        <f t="shared" si="2"/>
        <v>0</v>
      </c>
      <c r="BF17" s="266">
        <f t="shared" si="3"/>
        <v>0</v>
      </c>
      <c r="BH17" s="319">
        <v>0.18</v>
      </c>
    </row>
    <row r="18" spans="1:60">
      <c r="A18" s="252">
        <v>2013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250"/>
      <c r="AV18" s="250"/>
      <c r="AW18" s="250"/>
      <c r="AX18" s="254">
        <f t="shared" si="1"/>
        <v>0</v>
      </c>
      <c r="AY18" s="254">
        <f t="shared" si="0"/>
        <v>0</v>
      </c>
      <c r="AZ18" s="254">
        <f t="shared" si="0"/>
        <v>0</v>
      </c>
      <c r="BA18" s="254">
        <f t="shared" si="0"/>
        <v>0</v>
      </c>
      <c r="BD18" s="259"/>
      <c r="BE18" s="129">
        <f t="shared" si="2"/>
        <v>0</v>
      </c>
      <c r="BF18" s="266">
        <f t="shared" ref="BF18" si="43">BD18*BH18</f>
        <v>0</v>
      </c>
      <c r="BH18" s="319">
        <v>0.26</v>
      </c>
    </row>
    <row r="19" spans="1:60"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42">
        <f>SUM(AX3:AX18)</f>
        <v>125.31711665443876</v>
      </c>
      <c r="AY19" s="142">
        <f t="shared" ref="AY19:BA19" si="44">SUM(AY3:AY18)</f>
        <v>104.43622890682317</v>
      </c>
      <c r="AZ19" s="142">
        <f t="shared" si="44"/>
        <v>109.09104915627293</v>
      </c>
      <c r="BA19" s="142">
        <f t="shared" si="44"/>
        <v>63.152516507703595</v>
      </c>
      <c r="BC19" s="129">
        <f>SUM(BC3:BC18)</f>
        <v>401.99691122523848</v>
      </c>
      <c r="BD19" s="266">
        <f>SUM(BD3:BD18)</f>
        <v>3838</v>
      </c>
      <c r="BE19" s="162">
        <f t="shared" ref="BE19:BF19" si="45">SUM(BE3:BE18)</f>
        <v>157.98126632428469</v>
      </c>
      <c r="BF19" s="259">
        <f t="shared" si="45"/>
        <v>1488.9999999999998</v>
      </c>
    </row>
    <row r="20" spans="1:60">
      <c r="BD20" s="263">
        <v>46063</v>
      </c>
      <c r="BE20" s="265">
        <v>299</v>
      </c>
    </row>
    <row r="21" spans="1:60">
      <c r="BA21" s="129"/>
      <c r="BD21" s="260" t="s">
        <v>182</v>
      </c>
    </row>
    <row r="23" spans="1:60" ht="15.75" customHeight="1">
      <c r="A23" s="538" t="s">
        <v>62</v>
      </c>
      <c r="B23" s="538"/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8"/>
      <c r="AB23" s="538"/>
      <c r="AC23" s="538"/>
      <c r="AD23" s="538"/>
      <c r="AE23" s="538"/>
      <c r="AF23" s="538"/>
      <c r="AG23" s="538"/>
      <c r="AH23" s="538"/>
      <c r="AI23" s="538"/>
      <c r="AJ23" s="538"/>
      <c r="AK23" s="538"/>
      <c r="AL23" s="538"/>
      <c r="AM23" s="538"/>
      <c r="AN23" s="538"/>
      <c r="AO23" s="538"/>
      <c r="AP23" s="538"/>
      <c r="AQ23" s="538"/>
      <c r="AR23" s="538"/>
      <c r="AS23" s="538"/>
      <c r="AT23" s="538"/>
      <c r="AU23" s="538"/>
      <c r="AV23" s="538"/>
      <c r="AW23" s="538"/>
      <c r="AX23" s="538"/>
      <c r="AY23" s="538"/>
      <c r="AZ23" s="538"/>
      <c r="BA23" s="538"/>
      <c r="BB23" s="255"/>
    </row>
    <row r="24" spans="1:60">
      <c r="A24" s="256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</row>
    <row r="25" spans="1:60">
      <c r="A25" s="128">
        <v>1998</v>
      </c>
    </row>
    <row r="26" spans="1:60">
      <c r="AK26" s="128">
        <v>106</v>
      </c>
      <c r="AO26" s="260">
        <v>7.34</v>
      </c>
    </row>
    <row r="27" spans="1:60">
      <c r="AO27" s="128">
        <v>119</v>
      </c>
      <c r="AP27" s="128">
        <v>1</v>
      </c>
      <c r="AQ27" s="128">
        <v>0.09</v>
      </c>
      <c r="AR27" s="128">
        <v>0.59</v>
      </c>
      <c r="AS27" s="128">
        <v>1.1599999999999999</v>
      </c>
    </row>
    <row r="28" spans="1:60">
      <c r="AO28" s="128">
        <v>120</v>
      </c>
      <c r="AP28" s="128">
        <v>0.82</v>
      </c>
      <c r="AQ28" s="128">
        <v>0.08</v>
      </c>
      <c r="AR28" s="128">
        <v>0.59</v>
      </c>
      <c r="AS28" s="128">
        <v>0.99</v>
      </c>
    </row>
    <row r="29" spans="1:60">
      <c r="AP29" s="260">
        <f>SUM(AP27:AP28)</f>
        <v>1.8199999999999998</v>
      </c>
      <c r="AQ29" s="260">
        <f t="shared" ref="AQ29:AS29" si="46">SUM(AQ27:AQ28)</f>
        <v>0.16999999999999998</v>
      </c>
      <c r="AR29" s="260">
        <f t="shared" si="46"/>
        <v>1.18</v>
      </c>
      <c r="AS29" s="260">
        <f t="shared" si="46"/>
        <v>2.15</v>
      </c>
    </row>
    <row r="30" spans="1:60">
      <c r="AS30" s="128">
        <v>154</v>
      </c>
      <c r="AT30" s="128">
        <v>0.16</v>
      </c>
      <c r="AU30" s="128">
        <v>0.84</v>
      </c>
      <c r="AV30" s="128">
        <v>1.5</v>
      </c>
    </row>
    <row r="31" spans="1:60">
      <c r="AS31" s="128">
        <v>161</v>
      </c>
      <c r="AT31" s="261" t="s">
        <v>174</v>
      </c>
      <c r="AU31" s="261" t="s">
        <v>174</v>
      </c>
      <c r="AV31" s="261" t="s">
        <v>174</v>
      </c>
      <c r="AW31" s="261" t="s">
        <v>174</v>
      </c>
      <c r="AX31" s="262" t="s">
        <v>175</v>
      </c>
    </row>
    <row r="32" spans="1:60">
      <c r="AS32" s="128">
        <v>167</v>
      </c>
      <c r="AT32" s="128">
        <v>0.82</v>
      </c>
      <c r="AU32" s="128">
        <v>0.81</v>
      </c>
      <c r="AV32" s="128">
        <v>0.59</v>
      </c>
      <c r="AW32" s="128">
        <v>1.51</v>
      </c>
    </row>
    <row r="33" spans="1:55">
      <c r="AS33" s="128">
        <v>192</v>
      </c>
      <c r="AT33" s="128">
        <v>0.82</v>
      </c>
      <c r="AU33" s="128">
        <v>0.09</v>
      </c>
      <c r="AV33" s="128">
        <v>0.59</v>
      </c>
      <c r="AW33" s="128">
        <v>1.23</v>
      </c>
    </row>
    <row r="34" spans="1:55">
      <c r="AS34" s="128">
        <v>209</v>
      </c>
      <c r="AT34" s="128">
        <v>0.82</v>
      </c>
      <c r="AU34" s="128">
        <v>0.92</v>
      </c>
      <c r="AV34" s="128">
        <v>0.59</v>
      </c>
      <c r="AW34" s="128">
        <v>1.02</v>
      </c>
    </row>
    <row r="35" spans="1:55">
      <c r="AS35" s="128">
        <v>222</v>
      </c>
      <c r="AT35" s="128">
        <v>1.01</v>
      </c>
      <c r="AU35" s="128">
        <v>1.34</v>
      </c>
      <c r="AV35" s="128">
        <v>1.18</v>
      </c>
      <c r="AW35" s="128">
        <v>1.8</v>
      </c>
      <c r="AX35" s="262" t="s">
        <v>175</v>
      </c>
    </row>
    <row r="36" spans="1:55">
      <c r="AS36" s="128">
        <v>234</v>
      </c>
      <c r="AT36" s="128">
        <v>0.84</v>
      </c>
      <c r="AU36" s="128">
        <v>0.93</v>
      </c>
      <c r="AV36" s="128">
        <v>0.59</v>
      </c>
      <c r="AW36" s="128">
        <v>1.21</v>
      </c>
    </row>
    <row r="37" spans="1:55">
      <c r="AT37" s="260">
        <f>SUM(AT30:AT36)</f>
        <v>4.47</v>
      </c>
      <c r="AU37" s="260">
        <f t="shared" ref="AU37:AW37" si="47">SUM(AU30:AU36)</f>
        <v>4.93</v>
      </c>
      <c r="AV37" s="260">
        <f t="shared" si="47"/>
        <v>5.0399999999999991</v>
      </c>
      <c r="AW37" s="260">
        <f t="shared" si="47"/>
        <v>6.7700000000000005</v>
      </c>
    </row>
    <row r="39" spans="1:55" ht="12" thickBot="1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</row>
    <row r="41" spans="1:55">
      <c r="A41" s="128">
        <v>1999</v>
      </c>
    </row>
    <row r="42" spans="1:55">
      <c r="A42" s="345" t="s">
        <v>195</v>
      </c>
      <c r="B42" s="258">
        <v>0.5</v>
      </c>
      <c r="C42" s="258">
        <v>0.54</v>
      </c>
      <c r="D42" s="258">
        <v>0.28999999999999998</v>
      </c>
      <c r="E42" s="258">
        <v>1.38</v>
      </c>
    </row>
    <row r="43" spans="1:55">
      <c r="B43" s="162"/>
      <c r="C43" s="162"/>
      <c r="D43" s="162"/>
      <c r="E43" s="345" t="s">
        <v>195</v>
      </c>
      <c r="F43" s="162">
        <v>0.67</v>
      </c>
      <c r="G43" s="162">
        <v>0.98</v>
      </c>
      <c r="H43" s="162">
        <v>0.59</v>
      </c>
      <c r="I43" s="162">
        <v>1.44</v>
      </c>
    </row>
    <row r="44" spans="1:55">
      <c r="B44" s="162"/>
      <c r="C44" s="162"/>
      <c r="D44" s="162"/>
      <c r="E44" s="345" t="s">
        <v>195</v>
      </c>
      <c r="F44" s="162"/>
      <c r="G44" s="162"/>
      <c r="H44" s="162">
        <v>0.28999999999999998</v>
      </c>
      <c r="I44" s="162">
        <v>0.35</v>
      </c>
    </row>
    <row r="45" spans="1:55">
      <c r="B45" s="162"/>
      <c r="C45" s="162"/>
      <c r="D45" s="162"/>
      <c r="E45" s="345" t="s">
        <v>195</v>
      </c>
      <c r="F45" s="162"/>
      <c r="G45" s="162"/>
      <c r="H45" s="162"/>
      <c r="I45" s="162">
        <v>5.56</v>
      </c>
    </row>
    <row r="46" spans="1:55">
      <c r="B46" s="162"/>
      <c r="C46" s="162"/>
      <c r="D46" s="162"/>
      <c r="E46" s="345" t="s">
        <v>195</v>
      </c>
      <c r="F46" s="162">
        <v>0.82</v>
      </c>
      <c r="G46" s="162">
        <v>0.9</v>
      </c>
      <c r="H46" s="162">
        <v>0.59</v>
      </c>
      <c r="I46" s="162">
        <v>1.4</v>
      </c>
    </row>
    <row r="47" spans="1:55">
      <c r="B47" s="257"/>
      <c r="C47" s="257"/>
      <c r="D47" s="257"/>
      <c r="E47" s="257"/>
      <c r="F47" s="257">
        <f>SUM(F43:F46)</f>
        <v>1.49</v>
      </c>
      <c r="G47" s="257">
        <f t="shared" ref="G47" si="48">SUM(G43:G46)</f>
        <v>1.88</v>
      </c>
      <c r="H47" s="257">
        <f t="shared" ref="H47" si="49">SUM(H43:H46)</f>
        <v>1.4699999999999998</v>
      </c>
      <c r="I47" s="257">
        <f t="shared" ref="I47" si="50">SUM(I43:I46)</f>
        <v>8.75</v>
      </c>
    </row>
    <row r="48" spans="1:55">
      <c r="I48" s="345" t="s">
        <v>195</v>
      </c>
      <c r="J48" s="258">
        <v>0.73</v>
      </c>
      <c r="K48" s="258">
        <v>0.88</v>
      </c>
      <c r="L48" s="258">
        <v>0.59</v>
      </c>
      <c r="M48" s="258">
        <v>0.87</v>
      </c>
      <c r="R48" s="162"/>
    </row>
    <row r="49" spans="10:31">
      <c r="J49" s="162"/>
      <c r="K49" s="162"/>
      <c r="L49" s="162"/>
      <c r="M49" s="345" t="s">
        <v>195</v>
      </c>
      <c r="N49" s="162">
        <v>0.5</v>
      </c>
      <c r="O49" s="162">
        <v>0.54</v>
      </c>
      <c r="P49" s="162">
        <v>0.7</v>
      </c>
      <c r="Q49" s="162">
        <v>0.7</v>
      </c>
      <c r="AD49" s="128">
        <v>455</v>
      </c>
      <c r="AE49" s="162">
        <f>AD49/340.75</f>
        <v>1.3352898019075568</v>
      </c>
    </row>
    <row r="50" spans="10:31">
      <c r="J50" s="162"/>
      <c r="K50" s="162"/>
      <c r="L50" s="162"/>
      <c r="M50" s="345" t="s">
        <v>195</v>
      </c>
      <c r="N50" s="162">
        <v>0.82</v>
      </c>
      <c r="O50" s="162">
        <v>0.9</v>
      </c>
      <c r="P50" s="162">
        <v>0.59</v>
      </c>
      <c r="Q50" s="162">
        <v>0.99</v>
      </c>
    </row>
    <row r="51" spans="10:31">
      <c r="J51" s="162"/>
      <c r="K51" s="162"/>
      <c r="L51" s="162"/>
      <c r="M51" s="259"/>
      <c r="N51" s="258">
        <f>SUM(N49:N50)</f>
        <v>1.3199999999999998</v>
      </c>
      <c r="O51" s="258">
        <f t="shared" ref="O51:Q51" si="51">SUM(O49:O50)</f>
        <v>1.44</v>
      </c>
      <c r="P51" s="258">
        <f t="shared" si="51"/>
        <v>1.29</v>
      </c>
      <c r="Q51" s="258">
        <f t="shared" si="51"/>
        <v>1.69</v>
      </c>
    </row>
    <row r="52" spans="10:31">
      <c r="J52" s="162"/>
      <c r="K52" s="162"/>
      <c r="L52" s="162"/>
      <c r="M52" s="259"/>
      <c r="N52" s="162"/>
      <c r="O52" s="162"/>
      <c r="P52" s="162"/>
      <c r="Q52" s="259">
        <v>394</v>
      </c>
      <c r="R52" s="260">
        <v>0.18</v>
      </c>
      <c r="S52" s="260">
        <v>0.19</v>
      </c>
    </row>
    <row r="53" spans="10:31">
      <c r="J53" s="162"/>
      <c r="K53" s="162"/>
      <c r="L53" s="162"/>
      <c r="M53" s="259"/>
      <c r="N53" s="162"/>
      <c r="O53" s="162"/>
      <c r="P53" s="162"/>
      <c r="Q53" s="259"/>
      <c r="U53" s="345" t="s">
        <v>195</v>
      </c>
      <c r="V53" s="162">
        <v>0.82</v>
      </c>
      <c r="W53" s="162">
        <v>0.9</v>
      </c>
      <c r="X53" s="162">
        <v>0.59</v>
      </c>
      <c r="Y53" s="162">
        <v>0.99</v>
      </c>
    </row>
    <row r="54" spans="10:31">
      <c r="J54" s="162"/>
      <c r="K54" s="162"/>
      <c r="L54" s="162"/>
      <c r="M54" s="259"/>
      <c r="N54" s="162"/>
      <c r="O54" s="162"/>
      <c r="P54" s="162"/>
      <c r="Q54" s="259"/>
      <c r="U54" s="345" t="s">
        <v>195</v>
      </c>
      <c r="V54" s="162">
        <v>0.97</v>
      </c>
      <c r="W54" s="162">
        <v>1.0900000000000001</v>
      </c>
      <c r="X54" s="162">
        <v>0.59</v>
      </c>
      <c r="Y54" s="162">
        <v>1.87</v>
      </c>
    </row>
    <row r="55" spans="10:31">
      <c r="J55" s="162"/>
      <c r="K55" s="162"/>
      <c r="L55" s="162"/>
      <c r="M55" s="259"/>
      <c r="N55" s="162"/>
      <c r="O55" s="162"/>
      <c r="P55" s="162"/>
      <c r="Q55" s="259"/>
      <c r="U55" s="345" t="s">
        <v>195</v>
      </c>
      <c r="V55" s="162">
        <v>0.82</v>
      </c>
      <c r="W55" s="162">
        <v>0.9</v>
      </c>
      <c r="X55" s="162">
        <v>0.59</v>
      </c>
      <c r="Y55" s="162">
        <v>0.87</v>
      </c>
    </row>
    <row r="56" spans="10:31">
      <c r="J56" s="162"/>
      <c r="K56" s="162"/>
      <c r="L56" s="162"/>
      <c r="M56" s="259"/>
      <c r="N56" s="162"/>
      <c r="O56" s="162"/>
      <c r="P56" s="162"/>
      <c r="Q56" s="259"/>
      <c r="U56" s="345" t="s">
        <v>195</v>
      </c>
      <c r="V56" s="162">
        <v>0.82</v>
      </c>
      <c r="W56" s="162">
        <v>0.9</v>
      </c>
      <c r="X56" s="162">
        <v>0.59</v>
      </c>
      <c r="Y56" s="162">
        <v>0.87</v>
      </c>
    </row>
    <row r="57" spans="10:31">
      <c r="J57" s="162"/>
      <c r="K57" s="162"/>
      <c r="L57" s="162"/>
      <c r="M57" s="259"/>
      <c r="N57" s="162"/>
      <c r="O57" s="162"/>
      <c r="P57" s="162"/>
      <c r="Q57" s="259"/>
      <c r="U57" s="345" t="s">
        <v>195</v>
      </c>
      <c r="V57" s="162">
        <v>4.5999999999999996</v>
      </c>
      <c r="W57" s="162">
        <v>0.68</v>
      </c>
      <c r="X57" s="162">
        <v>1</v>
      </c>
      <c r="Y57" s="162"/>
    </row>
    <row r="58" spans="10:31">
      <c r="J58" s="162"/>
      <c r="K58" s="162"/>
      <c r="L58" s="162"/>
      <c r="M58" s="259"/>
      <c r="N58" s="162"/>
      <c r="O58" s="162"/>
      <c r="P58" s="162"/>
      <c r="Q58" s="259"/>
      <c r="U58" s="345" t="s">
        <v>195</v>
      </c>
      <c r="V58" s="162">
        <v>0.85</v>
      </c>
      <c r="W58" s="162">
        <v>0.68</v>
      </c>
      <c r="X58" s="162">
        <v>1</v>
      </c>
      <c r="Y58" s="162"/>
    </row>
    <row r="59" spans="10:31">
      <c r="J59" s="162"/>
      <c r="K59" s="162"/>
      <c r="L59" s="162"/>
      <c r="M59" s="259"/>
      <c r="N59" s="162"/>
      <c r="O59" s="162"/>
      <c r="P59" s="162"/>
      <c r="Q59" s="259"/>
      <c r="U59" s="345" t="s">
        <v>195</v>
      </c>
      <c r="V59" s="162">
        <v>0.82</v>
      </c>
      <c r="W59" s="162">
        <v>0.9</v>
      </c>
      <c r="X59" s="162">
        <v>0.59</v>
      </c>
      <c r="Y59" s="162">
        <v>1.34</v>
      </c>
    </row>
    <row r="60" spans="10:31">
      <c r="M60" s="259"/>
      <c r="N60" s="162"/>
      <c r="O60" s="162"/>
      <c r="P60" s="162"/>
      <c r="Q60" s="259"/>
      <c r="U60" s="345" t="s">
        <v>195</v>
      </c>
      <c r="V60" s="162">
        <v>0.82</v>
      </c>
      <c r="W60" s="162">
        <v>0.9</v>
      </c>
      <c r="X60" s="162">
        <v>0.59</v>
      </c>
      <c r="Y60" s="162">
        <v>1.34</v>
      </c>
    </row>
    <row r="61" spans="10:31">
      <c r="M61" s="259"/>
      <c r="N61" s="162"/>
      <c r="O61" s="162"/>
      <c r="P61" s="162"/>
      <c r="Q61" s="162"/>
      <c r="V61" s="257">
        <f>SUM(V53:V60)</f>
        <v>10.52</v>
      </c>
      <c r="W61" s="257">
        <f t="shared" ref="W61:Y61" si="52">SUM(W53:W60)</f>
        <v>6.95</v>
      </c>
      <c r="X61" s="257">
        <f t="shared" si="52"/>
        <v>5.5399999999999991</v>
      </c>
      <c r="Y61" s="257">
        <f t="shared" si="52"/>
        <v>7.28</v>
      </c>
    </row>
    <row r="62" spans="10:31">
      <c r="N62" s="162"/>
      <c r="O62" s="162"/>
      <c r="P62" s="162"/>
      <c r="Q62" s="162"/>
      <c r="Y62" s="345" t="s">
        <v>195</v>
      </c>
      <c r="Z62" s="261" t="s">
        <v>174</v>
      </c>
      <c r="AA62" s="261" t="s">
        <v>174</v>
      </c>
      <c r="AB62" s="261" t="s">
        <v>174</v>
      </c>
      <c r="AC62" s="261" t="s">
        <v>174</v>
      </c>
    </row>
    <row r="63" spans="10:31">
      <c r="N63" s="162"/>
      <c r="O63" s="162"/>
      <c r="P63" s="162"/>
      <c r="Q63" s="162"/>
      <c r="Y63" s="345" t="s">
        <v>195</v>
      </c>
      <c r="Z63" s="261" t="s">
        <v>174</v>
      </c>
      <c r="AA63" s="261" t="s">
        <v>174</v>
      </c>
      <c r="AB63" s="261" t="s">
        <v>174</v>
      </c>
      <c r="AC63" s="261" t="s">
        <v>174</v>
      </c>
    </row>
    <row r="65" spans="29:37">
      <c r="AC65" s="345" t="s">
        <v>195</v>
      </c>
      <c r="AD65" s="128">
        <v>0.82</v>
      </c>
      <c r="AE65" s="128">
        <v>0.84</v>
      </c>
      <c r="AF65" s="128">
        <v>0.59</v>
      </c>
      <c r="AG65" s="128">
        <v>0.99</v>
      </c>
    </row>
    <row r="66" spans="29:37">
      <c r="AC66" s="345" t="s">
        <v>195</v>
      </c>
      <c r="AD66" s="128">
        <v>0.82</v>
      </c>
      <c r="AE66" s="128">
        <v>0.87</v>
      </c>
      <c r="AF66" s="128">
        <v>0.28999999999999998</v>
      </c>
      <c r="AG66" s="128">
        <v>0.88</v>
      </c>
    </row>
    <row r="67" spans="29:37">
      <c r="AC67" s="345" t="s">
        <v>195</v>
      </c>
      <c r="AD67" s="261" t="s">
        <v>174</v>
      </c>
      <c r="AE67" s="261" t="s">
        <v>174</v>
      </c>
      <c r="AF67" s="261" t="s">
        <v>174</v>
      </c>
      <c r="AG67" s="261" t="s">
        <v>174</v>
      </c>
    </row>
    <row r="68" spans="29:37">
      <c r="AC68" s="345" t="s">
        <v>195</v>
      </c>
      <c r="AD68" s="261" t="s">
        <v>174</v>
      </c>
      <c r="AE68" s="261" t="s">
        <v>174</v>
      </c>
      <c r="AF68" s="261" t="s">
        <v>174</v>
      </c>
      <c r="AG68" s="261" t="s">
        <v>174</v>
      </c>
    </row>
    <row r="69" spans="29:37">
      <c r="AC69" s="345" t="s">
        <v>195</v>
      </c>
      <c r="AD69" s="261" t="s">
        <v>174</v>
      </c>
      <c r="AE69" s="261" t="s">
        <v>174</v>
      </c>
      <c r="AF69" s="261" t="s">
        <v>174</v>
      </c>
      <c r="AG69" s="261" t="s">
        <v>174</v>
      </c>
    </row>
    <row r="70" spans="29:37">
      <c r="AC70" s="345" t="s">
        <v>195</v>
      </c>
      <c r="AD70" s="128">
        <v>0.82</v>
      </c>
      <c r="AE70" s="128">
        <v>0.87</v>
      </c>
      <c r="AF70" s="128">
        <v>0.59</v>
      </c>
      <c r="AG70" s="128">
        <v>0.99</v>
      </c>
    </row>
    <row r="71" spans="29:37">
      <c r="AC71" s="345" t="s">
        <v>195</v>
      </c>
      <c r="AD71" s="128">
        <v>0.82</v>
      </c>
      <c r="AE71" s="128">
        <v>0.87</v>
      </c>
      <c r="AF71" s="128">
        <v>0.59</v>
      </c>
      <c r="AG71" s="128">
        <v>0.99</v>
      </c>
    </row>
    <row r="72" spans="29:37">
      <c r="AC72" s="345" t="s">
        <v>195</v>
      </c>
      <c r="AD72" s="128">
        <v>0.76</v>
      </c>
      <c r="AE72" s="128">
        <v>0.95</v>
      </c>
      <c r="AF72" s="128">
        <v>0.59</v>
      </c>
      <c r="AG72" s="128">
        <v>0.7</v>
      </c>
    </row>
    <row r="73" spans="29:37">
      <c r="AC73" s="345" t="s">
        <v>195</v>
      </c>
      <c r="AF73" s="128">
        <v>0.28999999999999998</v>
      </c>
      <c r="AG73" s="128">
        <v>0.28000000000000003</v>
      </c>
    </row>
    <row r="74" spans="29:37">
      <c r="AC74" s="345" t="s">
        <v>195</v>
      </c>
      <c r="AD74" s="261" t="s">
        <v>174</v>
      </c>
      <c r="AE74" s="261" t="s">
        <v>174</v>
      </c>
      <c r="AF74" s="261" t="s">
        <v>174</v>
      </c>
      <c r="AG74" s="261" t="s">
        <v>174</v>
      </c>
    </row>
    <row r="75" spans="29:37">
      <c r="AC75" s="345" t="s">
        <v>195</v>
      </c>
      <c r="AD75" s="261" t="s">
        <v>174</v>
      </c>
      <c r="AE75" s="261" t="s">
        <v>174</v>
      </c>
      <c r="AF75" s="261" t="s">
        <v>174</v>
      </c>
      <c r="AG75" s="261" t="s">
        <v>174</v>
      </c>
      <c r="AH75" s="262" t="s">
        <v>175</v>
      </c>
    </row>
    <row r="76" spans="29:37">
      <c r="AC76" s="345" t="s">
        <v>195</v>
      </c>
      <c r="AF76" s="128">
        <v>0.28999999999999998</v>
      </c>
      <c r="AG76" s="128">
        <v>0.81</v>
      </c>
    </row>
    <row r="77" spans="29:37">
      <c r="AC77" s="345" t="s">
        <v>195</v>
      </c>
      <c r="AD77" s="261" t="s">
        <v>174</v>
      </c>
      <c r="AE77" s="261" t="s">
        <v>174</v>
      </c>
      <c r="AF77" s="261" t="s">
        <v>174</v>
      </c>
      <c r="AG77" s="261" t="s">
        <v>174</v>
      </c>
    </row>
    <row r="78" spans="29:37">
      <c r="AD78" s="260">
        <f>SUM(AD65:AD77)</f>
        <v>4.04</v>
      </c>
      <c r="AE78" s="260">
        <f t="shared" ref="AE78:AG78" si="53">SUM(AE65:AE77)</f>
        <v>4.4000000000000004</v>
      </c>
      <c r="AF78" s="260">
        <f t="shared" si="53"/>
        <v>3.2299999999999995</v>
      </c>
      <c r="AG78" s="260">
        <f t="shared" si="53"/>
        <v>5.6400000000000006</v>
      </c>
    </row>
    <row r="79" spans="29:37">
      <c r="AG79" s="345" t="s">
        <v>195</v>
      </c>
      <c r="AH79" s="128">
        <v>1.1399999999999999</v>
      </c>
      <c r="AI79" s="128">
        <v>1.19</v>
      </c>
      <c r="AJ79" s="128">
        <v>0.59</v>
      </c>
      <c r="AK79" s="128">
        <v>1.76</v>
      </c>
    </row>
    <row r="80" spans="29:37">
      <c r="AG80" s="345" t="s">
        <v>195</v>
      </c>
      <c r="AH80" s="128">
        <v>0.97</v>
      </c>
      <c r="AI80" s="128">
        <v>1.06</v>
      </c>
      <c r="AJ80" s="128">
        <v>0.59</v>
      </c>
      <c r="AK80" s="128">
        <v>1.76</v>
      </c>
    </row>
    <row r="81" spans="1:55">
      <c r="AG81" s="345" t="s">
        <v>195</v>
      </c>
      <c r="AH81" s="128">
        <v>0.97</v>
      </c>
      <c r="AI81" s="128">
        <v>1.06</v>
      </c>
      <c r="AJ81" s="128">
        <v>0.59</v>
      </c>
      <c r="AK81" s="128">
        <v>1.76</v>
      </c>
    </row>
    <row r="82" spans="1:55">
      <c r="AG82" s="345" t="s">
        <v>195</v>
      </c>
      <c r="AH82" s="128">
        <v>0.97</v>
      </c>
      <c r="AI82" s="128">
        <v>1.06</v>
      </c>
      <c r="AJ82" s="128">
        <v>0.59</v>
      </c>
      <c r="AK82" s="128">
        <v>1.76</v>
      </c>
    </row>
    <row r="83" spans="1:55">
      <c r="AG83" s="345" t="s">
        <v>195</v>
      </c>
      <c r="AH83" s="128">
        <v>0.82</v>
      </c>
      <c r="AI83" s="128">
        <v>0.84</v>
      </c>
      <c r="AJ83" s="128">
        <v>0.59</v>
      </c>
    </row>
    <row r="84" spans="1:55">
      <c r="AG84" s="345" t="s">
        <v>195</v>
      </c>
      <c r="AH84" s="128">
        <v>0.97</v>
      </c>
      <c r="AI84" s="128">
        <v>0.56000000000000005</v>
      </c>
      <c r="AJ84" s="128">
        <v>0.59</v>
      </c>
      <c r="AK84" s="128">
        <v>0.81</v>
      </c>
    </row>
    <row r="85" spans="1:55">
      <c r="AG85" s="345" t="s">
        <v>195</v>
      </c>
      <c r="AJ85" s="128">
        <v>0.28999999999999998</v>
      </c>
      <c r="AK85" s="128">
        <v>0.81</v>
      </c>
    </row>
    <row r="86" spans="1:55">
      <c r="AH86" s="260">
        <f>SUM(AH79:AH85)</f>
        <v>5.84</v>
      </c>
      <c r="AI86" s="260">
        <f t="shared" ref="AI86:AK86" si="54">SUM(AI79:AI85)</f>
        <v>5.77</v>
      </c>
      <c r="AJ86" s="260">
        <f t="shared" si="54"/>
        <v>3.8299999999999996</v>
      </c>
      <c r="AK86" s="260">
        <f t="shared" si="54"/>
        <v>8.66</v>
      </c>
    </row>
    <row r="87" spans="1:55">
      <c r="AK87" s="345" t="s">
        <v>195</v>
      </c>
      <c r="AL87" s="261" t="s">
        <v>174</v>
      </c>
      <c r="AM87" s="261" t="s">
        <v>174</v>
      </c>
      <c r="AN87" s="261" t="s">
        <v>174</v>
      </c>
      <c r="AO87" s="261" t="s">
        <v>174</v>
      </c>
      <c r="AP87" s="262" t="s">
        <v>176</v>
      </c>
    </row>
    <row r="88" spans="1:55">
      <c r="AK88" s="345" t="s">
        <v>195</v>
      </c>
      <c r="AL88" s="261" t="s">
        <v>174</v>
      </c>
      <c r="AM88" s="261" t="s">
        <v>174</v>
      </c>
      <c r="AN88" s="261" t="s">
        <v>174</v>
      </c>
      <c r="AO88" s="261" t="s">
        <v>174</v>
      </c>
      <c r="AP88" s="262" t="s">
        <v>176</v>
      </c>
    </row>
    <row r="89" spans="1:55">
      <c r="AK89" s="345" t="s">
        <v>195</v>
      </c>
      <c r="AL89" s="261" t="s">
        <v>174</v>
      </c>
      <c r="AM89" s="261" t="s">
        <v>174</v>
      </c>
      <c r="AN89" s="261" t="s">
        <v>174</v>
      </c>
      <c r="AO89" s="261" t="s">
        <v>174</v>
      </c>
      <c r="AP89" s="262" t="s">
        <v>176</v>
      </c>
    </row>
    <row r="90" spans="1:55">
      <c r="AK90" s="345" t="s">
        <v>195</v>
      </c>
      <c r="AL90" s="261" t="s">
        <v>174</v>
      </c>
      <c r="AM90" s="261" t="s">
        <v>174</v>
      </c>
      <c r="AN90" s="261" t="s">
        <v>174</v>
      </c>
      <c r="AO90" s="261" t="s">
        <v>174</v>
      </c>
      <c r="AP90" s="262" t="s">
        <v>176</v>
      </c>
    </row>
    <row r="91" spans="1:55">
      <c r="AK91" s="345" t="s">
        <v>195</v>
      </c>
      <c r="AN91" s="260">
        <v>0.59</v>
      </c>
      <c r="AO91" s="260">
        <v>0.65</v>
      </c>
    </row>
    <row r="92" spans="1:55">
      <c r="AO92" s="345" t="s">
        <v>195</v>
      </c>
      <c r="AP92" s="128">
        <v>0.97</v>
      </c>
      <c r="AQ92" s="128">
        <v>1.02</v>
      </c>
      <c r="AR92" s="128">
        <v>0.59</v>
      </c>
      <c r="AS92" s="128">
        <v>1.51</v>
      </c>
    </row>
    <row r="93" spans="1:55">
      <c r="AO93" s="345" t="s">
        <v>195</v>
      </c>
      <c r="AP93" s="128">
        <v>0.97</v>
      </c>
      <c r="AQ93" s="128">
        <v>1.02</v>
      </c>
      <c r="AR93" s="128">
        <v>0.59</v>
      </c>
      <c r="AS93" s="128">
        <v>1.51</v>
      </c>
    </row>
    <row r="94" spans="1:55">
      <c r="AP94" s="260">
        <f>SUM(AP92:AP93)</f>
        <v>1.94</v>
      </c>
      <c r="AQ94" s="260">
        <f t="shared" ref="AQ94:AS94" si="55">SUM(AQ92:AQ93)</f>
        <v>2.04</v>
      </c>
      <c r="AR94" s="260">
        <f t="shared" si="55"/>
        <v>1.18</v>
      </c>
      <c r="AS94" s="260">
        <f t="shared" si="55"/>
        <v>3.02</v>
      </c>
    </row>
    <row r="95" spans="1:55" ht="12" thickBot="1">
      <c r="A95" s="315"/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  <c r="V95" s="315"/>
      <c r="W95" s="315"/>
      <c r="X95" s="315"/>
      <c r="Y95" s="315"/>
      <c r="Z95" s="315"/>
      <c r="AA95" s="315"/>
      <c r="AB95" s="315"/>
      <c r="AC95" s="315"/>
      <c r="AD95" s="315"/>
      <c r="AE95" s="315"/>
      <c r="AF95" s="315"/>
      <c r="AG95" s="315"/>
      <c r="AH95" s="315"/>
      <c r="AI95" s="315"/>
      <c r="AJ95" s="315"/>
      <c r="AK95" s="315"/>
      <c r="AL95" s="315"/>
      <c r="AM95" s="315"/>
      <c r="AN95" s="315"/>
      <c r="AO95" s="315"/>
      <c r="AP95" s="315"/>
      <c r="AQ95" s="315"/>
      <c r="AR95" s="315"/>
      <c r="AS95" s="315"/>
      <c r="AT95" s="315"/>
      <c r="AU95" s="315"/>
      <c r="AV95" s="315"/>
      <c r="AW95" s="315"/>
      <c r="AX95" s="315"/>
      <c r="AY95" s="315"/>
      <c r="AZ95" s="315"/>
      <c r="BA95" s="315"/>
      <c r="BB95" s="315"/>
      <c r="BC95" s="315"/>
    </row>
    <row r="97" spans="1:55">
      <c r="A97" s="128">
        <v>2000</v>
      </c>
      <c r="Q97" s="345" t="s">
        <v>195</v>
      </c>
      <c r="R97" s="128">
        <v>340</v>
      </c>
      <c r="S97" s="128">
        <v>370</v>
      </c>
      <c r="T97" s="128">
        <v>200</v>
      </c>
      <c r="U97" s="128">
        <v>804</v>
      </c>
      <c r="Y97" s="345" t="s">
        <v>195</v>
      </c>
      <c r="Z97" s="128">
        <v>180</v>
      </c>
      <c r="AA97" s="128">
        <v>270</v>
      </c>
      <c r="AB97" s="128">
        <v>200</v>
      </c>
      <c r="AC97" s="128">
        <v>276</v>
      </c>
      <c r="AK97" s="345" t="s">
        <v>195</v>
      </c>
      <c r="AL97" s="128">
        <v>250</v>
      </c>
      <c r="AM97" s="128">
        <v>305</v>
      </c>
      <c r="AN97" s="128">
        <v>200</v>
      </c>
      <c r="AO97" s="128">
        <v>280</v>
      </c>
    </row>
    <row r="98" spans="1:55">
      <c r="A98" s="345" t="s">
        <v>195</v>
      </c>
      <c r="B98" s="261">
        <v>50</v>
      </c>
      <c r="C98" s="261">
        <v>50</v>
      </c>
      <c r="D98" s="261">
        <v>100</v>
      </c>
      <c r="E98" s="261">
        <v>266</v>
      </c>
      <c r="Q98" s="345" t="s">
        <v>195</v>
      </c>
      <c r="T98" s="128">
        <v>200</v>
      </c>
      <c r="U98" s="128">
        <v>352</v>
      </c>
      <c r="Y98" s="345" t="s">
        <v>195</v>
      </c>
      <c r="Z98" s="261">
        <v>50</v>
      </c>
      <c r="AA98" s="261">
        <v>50</v>
      </c>
      <c r="AB98" s="261">
        <v>100</v>
      </c>
      <c r="AC98" s="261">
        <v>250</v>
      </c>
      <c r="AL98" s="162">
        <f>AL97/340.75</f>
        <v>0.73367571533382248</v>
      </c>
      <c r="AM98" s="162">
        <f t="shared" ref="AM98:AO98" si="56">AM97/340.75</f>
        <v>0.89508437270726338</v>
      </c>
      <c r="AN98" s="162">
        <f t="shared" si="56"/>
        <v>0.58694057226705798</v>
      </c>
      <c r="AO98" s="162">
        <f t="shared" si="56"/>
        <v>0.82171680117388113</v>
      </c>
    </row>
    <row r="99" spans="1:55">
      <c r="R99" s="260">
        <f>SUM(R97:R98)</f>
        <v>340</v>
      </c>
      <c r="S99" s="260">
        <f t="shared" ref="S99:U99" si="57">SUM(S97:S98)</f>
        <v>370</v>
      </c>
      <c r="T99" s="260">
        <f t="shared" si="57"/>
        <v>400</v>
      </c>
      <c r="U99" s="260">
        <f t="shared" si="57"/>
        <v>1156</v>
      </c>
    </row>
    <row r="100" spans="1:55">
      <c r="Z100" s="260">
        <f>SUM(Z97:Z99)</f>
        <v>230</v>
      </c>
      <c r="AA100" s="260">
        <f t="shared" ref="AA100" si="58">SUM(AA97:AA99)</f>
        <v>320</v>
      </c>
      <c r="AB100" s="260">
        <f t="shared" ref="AB100" si="59">SUM(AB97:AB99)</f>
        <v>300</v>
      </c>
      <c r="AC100" s="260">
        <f t="shared" ref="AC100" si="60">SUM(AC97:AC99)</f>
        <v>526</v>
      </c>
      <c r="AO100" s="345" t="s">
        <v>195</v>
      </c>
      <c r="AP100" s="128">
        <v>210</v>
      </c>
      <c r="AQ100" s="128">
        <v>240</v>
      </c>
      <c r="AR100" s="128">
        <v>100</v>
      </c>
      <c r="AS100" s="128">
        <v>150</v>
      </c>
    </row>
    <row r="101" spans="1:55">
      <c r="Z101" s="162">
        <f>Z100/340.75</f>
        <v>0.67498165810711663</v>
      </c>
      <c r="AA101" s="162">
        <f t="shared" ref="AA101" si="61">AA100/340.75</f>
        <v>0.9391049156272927</v>
      </c>
      <c r="AB101" s="162">
        <f t="shared" ref="AB101" si="62">AB100/340.75</f>
        <v>0.88041085840058697</v>
      </c>
      <c r="AC101" s="162">
        <f t="shared" ref="AC101" si="63">AC100/340.75</f>
        <v>1.5436537050623624</v>
      </c>
      <c r="AO101" s="345" t="s">
        <v>195</v>
      </c>
      <c r="AP101" s="128">
        <v>190</v>
      </c>
      <c r="AQ101" s="128">
        <v>170</v>
      </c>
      <c r="AR101" s="128">
        <v>200</v>
      </c>
    </row>
    <row r="102" spans="1:55">
      <c r="AP102" s="260">
        <f>SUM(AP99:AP101)</f>
        <v>400</v>
      </c>
      <c r="AQ102" s="260">
        <f t="shared" ref="AQ102:AS102" si="64">SUM(AQ99:AQ101)</f>
        <v>410</v>
      </c>
      <c r="AR102" s="260">
        <f t="shared" si="64"/>
        <v>300</v>
      </c>
      <c r="AS102" s="260">
        <f t="shared" si="64"/>
        <v>150</v>
      </c>
    </row>
    <row r="103" spans="1:55">
      <c r="AC103" s="345" t="s">
        <v>195</v>
      </c>
      <c r="AD103" s="261">
        <v>50</v>
      </c>
      <c r="AE103" s="261">
        <v>50</v>
      </c>
      <c r="AF103" s="261">
        <v>100</v>
      </c>
      <c r="AG103" s="261">
        <v>250</v>
      </c>
      <c r="AP103" s="162">
        <f>AP102/340.75</f>
        <v>1.173881144534116</v>
      </c>
      <c r="AQ103" s="162">
        <f t="shared" ref="AQ103:AS103" si="65">AQ102/340.75</f>
        <v>1.2032281731474688</v>
      </c>
      <c r="AR103" s="162">
        <f t="shared" si="65"/>
        <v>0.88041085840058697</v>
      </c>
      <c r="AS103" s="162">
        <f t="shared" si="65"/>
        <v>0.44020542920029349</v>
      </c>
    </row>
    <row r="104" spans="1:55">
      <c r="AC104" s="345" t="s">
        <v>195</v>
      </c>
      <c r="AD104" s="261">
        <v>50</v>
      </c>
      <c r="AE104" s="261">
        <v>50</v>
      </c>
      <c r="AF104" s="261">
        <v>100</v>
      </c>
      <c r="AG104" s="261">
        <v>250</v>
      </c>
    </row>
    <row r="105" spans="1:55">
      <c r="AD105" s="260">
        <f>SUM(AD102:AD104)</f>
        <v>100</v>
      </c>
      <c r="AE105" s="260">
        <f t="shared" ref="AE105" si="66">SUM(AE102:AE104)</f>
        <v>100</v>
      </c>
      <c r="AF105" s="260">
        <f t="shared" ref="AF105" si="67">SUM(AF102:AF104)</f>
        <v>200</v>
      </c>
      <c r="AG105" s="260">
        <f t="shared" ref="AG105" si="68">SUM(AG102:AG104)</f>
        <v>500</v>
      </c>
    </row>
    <row r="106" spans="1:55">
      <c r="AD106" s="162">
        <f>AD105/340.75</f>
        <v>0.29347028613352899</v>
      </c>
      <c r="AE106" s="162">
        <f t="shared" ref="AE106" si="69">AE105/340.75</f>
        <v>0.29347028613352899</v>
      </c>
      <c r="AF106" s="162">
        <f t="shared" ref="AF106" si="70">AF105/340.75</f>
        <v>0.58694057226705798</v>
      </c>
      <c r="AG106" s="162">
        <f t="shared" ref="AG106" si="71">AG105/340.75</f>
        <v>1.467351430667645</v>
      </c>
    </row>
    <row r="107" spans="1:55" ht="12" thickBot="1">
      <c r="A107" s="315"/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15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5"/>
      <c r="AI107" s="315"/>
      <c r="AJ107" s="315"/>
      <c r="AK107" s="315"/>
      <c r="AL107" s="315"/>
      <c r="AM107" s="315"/>
      <c r="AN107" s="315"/>
      <c r="AO107" s="315"/>
      <c r="AP107" s="315"/>
      <c r="AQ107" s="315"/>
      <c r="AR107" s="315"/>
      <c r="AS107" s="315"/>
      <c r="AT107" s="315"/>
      <c r="AU107" s="315"/>
      <c r="AV107" s="315"/>
      <c r="AW107" s="315"/>
      <c r="AX107" s="315"/>
      <c r="AY107" s="315"/>
      <c r="AZ107" s="315"/>
      <c r="BA107" s="315"/>
      <c r="BB107" s="315"/>
      <c r="BC107" s="315"/>
    </row>
    <row r="108" spans="1:55">
      <c r="Y108" s="275"/>
      <c r="Z108" s="276"/>
      <c r="AA108" s="276"/>
      <c r="AB108" s="276"/>
      <c r="AC108" s="276"/>
      <c r="AD108" s="275"/>
      <c r="AE108" s="275"/>
      <c r="AF108" s="275"/>
      <c r="AG108" s="275"/>
    </row>
    <row r="109" spans="1:55">
      <c r="A109" s="128">
        <v>2001</v>
      </c>
      <c r="Y109" s="275"/>
      <c r="Z109" s="277"/>
      <c r="AA109" s="277"/>
      <c r="AB109" s="277"/>
      <c r="AC109" s="277"/>
      <c r="AD109" s="275"/>
      <c r="AE109" s="275"/>
      <c r="AF109" s="275"/>
      <c r="AG109" s="275"/>
      <c r="AS109" s="345" t="s">
        <v>195</v>
      </c>
      <c r="AT109" s="128">
        <v>330</v>
      </c>
      <c r="AU109" s="128">
        <v>325</v>
      </c>
      <c r="AV109" s="128">
        <v>200</v>
      </c>
    </row>
    <row r="110" spans="1:55">
      <c r="A110" s="345" t="s">
        <v>195</v>
      </c>
      <c r="B110" s="260">
        <v>300</v>
      </c>
      <c r="C110" s="260">
        <v>255</v>
      </c>
      <c r="D110" s="260">
        <v>200</v>
      </c>
      <c r="I110" s="345" t="s">
        <v>195</v>
      </c>
      <c r="J110" s="128">
        <v>280</v>
      </c>
      <c r="K110" s="128">
        <v>275</v>
      </c>
      <c r="L110" s="128">
        <v>200</v>
      </c>
      <c r="U110" s="345" t="s">
        <v>195</v>
      </c>
      <c r="V110" s="128">
        <v>340</v>
      </c>
      <c r="W110" s="128">
        <v>130</v>
      </c>
      <c r="X110" s="128">
        <v>100</v>
      </c>
      <c r="Y110" s="275"/>
      <c r="Z110" s="275"/>
      <c r="AA110" s="275"/>
      <c r="AB110" s="275"/>
      <c r="AC110" s="275"/>
      <c r="AD110" s="275"/>
      <c r="AE110" s="275"/>
      <c r="AF110" s="275"/>
      <c r="AG110" s="275"/>
      <c r="AO110" s="345" t="s">
        <v>195</v>
      </c>
      <c r="AP110" s="128">
        <v>440</v>
      </c>
      <c r="AQ110" s="128">
        <v>115</v>
      </c>
      <c r="AR110" s="128">
        <v>200</v>
      </c>
      <c r="AS110" s="345" t="s">
        <v>195</v>
      </c>
      <c r="AT110" s="162">
        <v>1.1299999999999999</v>
      </c>
      <c r="AU110" s="162">
        <v>1.19</v>
      </c>
      <c r="AV110" s="162">
        <v>0.5</v>
      </c>
    </row>
    <row r="111" spans="1:55">
      <c r="E111" s="345" t="s">
        <v>195</v>
      </c>
      <c r="G111" s="285">
        <v>0.68</v>
      </c>
      <c r="H111" s="285">
        <v>1</v>
      </c>
      <c r="I111" s="345" t="s">
        <v>195</v>
      </c>
      <c r="J111" s="128">
        <v>280</v>
      </c>
      <c r="K111" s="128">
        <v>60</v>
      </c>
      <c r="L111" s="128">
        <v>100</v>
      </c>
      <c r="M111" s="345" t="s">
        <v>195</v>
      </c>
      <c r="N111" s="260">
        <v>280</v>
      </c>
      <c r="O111" s="260">
        <v>305</v>
      </c>
      <c r="P111" s="260">
        <v>100</v>
      </c>
      <c r="U111" s="345" t="s">
        <v>195</v>
      </c>
      <c r="V111" s="128">
        <v>340</v>
      </c>
      <c r="W111" s="128">
        <v>130</v>
      </c>
      <c r="X111" s="128">
        <v>100</v>
      </c>
      <c r="Y111" s="275"/>
      <c r="Z111" s="275"/>
      <c r="AA111" s="275"/>
      <c r="AB111" s="275"/>
      <c r="AC111" s="275"/>
      <c r="AD111" s="275"/>
      <c r="AE111" s="275"/>
      <c r="AF111" s="275"/>
      <c r="AG111" s="275"/>
      <c r="AO111" s="345" t="s">
        <v>195</v>
      </c>
      <c r="AP111" s="128">
        <v>180</v>
      </c>
      <c r="AQ111" s="128">
        <v>165</v>
      </c>
      <c r="AR111" s="128">
        <v>200</v>
      </c>
      <c r="AS111" s="345" t="s">
        <v>195</v>
      </c>
      <c r="AT111" s="128">
        <v>380</v>
      </c>
      <c r="AU111" s="128">
        <v>275</v>
      </c>
      <c r="AV111" s="128">
        <v>200</v>
      </c>
    </row>
    <row r="112" spans="1:55">
      <c r="E112" s="345" t="s">
        <v>195</v>
      </c>
      <c r="F112" s="128">
        <v>570</v>
      </c>
      <c r="G112" s="128">
        <v>230</v>
      </c>
      <c r="H112" s="128">
        <v>200</v>
      </c>
      <c r="J112" s="162">
        <v>6</v>
      </c>
      <c r="K112" s="162">
        <v>0.46</v>
      </c>
      <c r="L112" s="162">
        <v>0.03</v>
      </c>
      <c r="V112" s="260">
        <f>SUM(V110:V111)</f>
        <v>680</v>
      </c>
      <c r="W112" s="260">
        <f t="shared" ref="W112:X112" si="72">SUM(W110:W111)</f>
        <v>260</v>
      </c>
      <c r="X112" s="260">
        <f t="shared" si="72"/>
        <v>200</v>
      </c>
      <c r="Y112" s="275"/>
      <c r="Z112" s="275"/>
      <c r="AA112" s="275"/>
      <c r="AB112" s="275"/>
      <c r="AC112" s="275"/>
      <c r="AD112" s="275"/>
      <c r="AE112" s="275"/>
      <c r="AF112" s="275"/>
      <c r="AG112" s="275"/>
      <c r="AP112" s="260">
        <f>SUM(AP110:AP111)</f>
        <v>620</v>
      </c>
      <c r="AQ112" s="260">
        <f t="shared" ref="AQ112:AR112" si="73">SUM(AQ110:AQ111)</f>
        <v>280</v>
      </c>
      <c r="AR112" s="260">
        <f t="shared" si="73"/>
        <v>400</v>
      </c>
      <c r="AS112" s="345" t="s">
        <v>195</v>
      </c>
      <c r="AT112" s="162">
        <v>0.8</v>
      </c>
      <c r="AU112" s="162">
        <v>0.85</v>
      </c>
      <c r="AV112" s="162">
        <v>1</v>
      </c>
    </row>
    <row r="113" spans="1:55">
      <c r="E113" s="345" t="s">
        <v>195</v>
      </c>
      <c r="F113" s="128">
        <v>330</v>
      </c>
      <c r="G113" s="128">
        <v>325</v>
      </c>
      <c r="H113" s="128">
        <v>200</v>
      </c>
      <c r="J113" s="283">
        <f>J110+J111</f>
        <v>560</v>
      </c>
      <c r="K113" s="283">
        <f t="shared" ref="K113:L113" si="74">K110+K111</f>
        <v>335</v>
      </c>
      <c r="L113" s="283">
        <f t="shared" si="74"/>
        <v>300</v>
      </c>
      <c r="Y113" s="275"/>
      <c r="Z113" s="275"/>
      <c r="AA113" s="275"/>
      <c r="AB113" s="275"/>
      <c r="AC113" s="275"/>
      <c r="AD113" s="276"/>
      <c r="AE113" s="276"/>
      <c r="AF113" s="276"/>
      <c r="AG113" s="276"/>
      <c r="AS113" s="345" t="s">
        <v>195</v>
      </c>
      <c r="AT113" s="128">
        <v>280</v>
      </c>
      <c r="AU113" s="128">
        <v>535</v>
      </c>
      <c r="AV113" s="128">
        <v>200</v>
      </c>
    </row>
    <row r="114" spans="1:55">
      <c r="E114" s="345" t="s">
        <v>195</v>
      </c>
      <c r="F114" s="128">
        <v>100</v>
      </c>
      <c r="G114" s="128">
        <v>165</v>
      </c>
      <c r="H114" s="128">
        <v>100</v>
      </c>
      <c r="J114" s="162">
        <f>J113/340.75</f>
        <v>1.6434336023477623</v>
      </c>
      <c r="K114" s="162">
        <f t="shared" ref="K114:L114" si="75">K113/340.75</f>
        <v>0.98312545854732203</v>
      </c>
      <c r="L114" s="162">
        <f t="shared" si="75"/>
        <v>0.88041085840058697</v>
      </c>
      <c r="Y114" s="275"/>
      <c r="Z114" s="275"/>
      <c r="AA114" s="275"/>
      <c r="AB114" s="275"/>
      <c r="AC114" s="275"/>
      <c r="AD114" s="277"/>
      <c r="AE114" s="277"/>
      <c r="AF114" s="277"/>
      <c r="AG114" s="277"/>
      <c r="AS114" s="345" t="s">
        <v>195</v>
      </c>
      <c r="AT114" s="162">
        <v>1.28</v>
      </c>
      <c r="AU114" s="162">
        <v>1.36</v>
      </c>
      <c r="AV114" s="162">
        <v>1</v>
      </c>
    </row>
    <row r="115" spans="1:55">
      <c r="E115" s="345" t="s">
        <v>195</v>
      </c>
      <c r="F115" s="128">
        <v>280</v>
      </c>
      <c r="G115" s="128">
        <v>275</v>
      </c>
      <c r="H115" s="128">
        <v>100</v>
      </c>
      <c r="J115" s="257">
        <f>J112+J114</f>
        <v>7.6434336023477627</v>
      </c>
      <c r="K115" s="257">
        <f t="shared" ref="K115:L115" si="76">K112+K114</f>
        <v>1.4431254585473221</v>
      </c>
      <c r="L115" s="257">
        <f t="shared" si="76"/>
        <v>0.910410858400587</v>
      </c>
      <c r="Y115" s="275"/>
      <c r="Z115" s="275"/>
      <c r="AA115" s="275"/>
      <c r="AB115" s="275"/>
      <c r="AC115" s="275"/>
      <c r="AD115" s="275"/>
      <c r="AE115" s="275"/>
      <c r="AF115" s="275"/>
      <c r="AG115" s="275"/>
      <c r="AT115" s="283">
        <f>AT109+AT111+AT113</f>
        <v>990</v>
      </c>
      <c r="AU115" s="283">
        <f t="shared" ref="AU115:AV115" si="77">AU109+AU111+AU113</f>
        <v>1135</v>
      </c>
      <c r="AV115" s="283">
        <f t="shared" si="77"/>
        <v>600</v>
      </c>
    </row>
    <row r="116" spans="1:55">
      <c r="E116" s="345" t="s">
        <v>195</v>
      </c>
      <c r="F116" s="128">
        <v>280</v>
      </c>
      <c r="G116" s="128">
        <v>275</v>
      </c>
      <c r="H116" s="128">
        <v>100</v>
      </c>
      <c r="AT116" s="162">
        <f>AT115/340.75</f>
        <v>2.9053558327219369</v>
      </c>
      <c r="AU116" s="162">
        <f t="shared" ref="AU116:AV116" si="78">AU115/340.75</f>
        <v>3.3308877476155541</v>
      </c>
      <c r="AV116" s="162">
        <f t="shared" si="78"/>
        <v>1.7608217168011739</v>
      </c>
    </row>
    <row r="117" spans="1:55">
      <c r="E117" s="345" t="s">
        <v>195</v>
      </c>
      <c r="F117" s="128">
        <v>280</v>
      </c>
      <c r="G117" s="128">
        <v>275</v>
      </c>
      <c r="H117" s="128">
        <v>100</v>
      </c>
      <c r="AT117" s="286">
        <f>AT110+AT112+AT114</f>
        <v>3.21</v>
      </c>
      <c r="AU117" s="286">
        <f t="shared" ref="AU117:AV117" si="79">AU110+AU112+AU114</f>
        <v>3.4000000000000004</v>
      </c>
      <c r="AV117" s="286">
        <f t="shared" si="79"/>
        <v>2.5</v>
      </c>
    </row>
    <row r="118" spans="1:55">
      <c r="E118" s="345" t="s">
        <v>195</v>
      </c>
      <c r="F118" s="128">
        <v>280</v>
      </c>
      <c r="G118" s="128">
        <v>275</v>
      </c>
      <c r="H118" s="128">
        <v>100</v>
      </c>
      <c r="AT118" s="257">
        <f>AT116+AT117</f>
        <v>6.1153558327219368</v>
      </c>
      <c r="AU118" s="257">
        <f t="shared" ref="AU118:AV118" si="80">AU116+AU117</f>
        <v>6.7308877476155544</v>
      </c>
      <c r="AV118" s="257">
        <f t="shared" si="80"/>
        <v>4.2608217168011739</v>
      </c>
    </row>
    <row r="119" spans="1:55">
      <c r="E119" s="345" t="s">
        <v>195</v>
      </c>
      <c r="F119" s="128">
        <v>280</v>
      </c>
      <c r="G119" s="128">
        <v>275</v>
      </c>
      <c r="H119" s="128">
        <v>100</v>
      </c>
    </row>
    <row r="120" spans="1:55">
      <c r="F120" s="284">
        <f>SUM(F112:F119)</f>
        <v>2400</v>
      </c>
      <c r="G120" s="284">
        <f t="shared" ref="G120:H120" si="81">SUM(G112:G119)</f>
        <v>2095</v>
      </c>
      <c r="H120" s="284">
        <f t="shared" si="81"/>
        <v>1000</v>
      </c>
    </row>
    <row r="121" spans="1:55">
      <c r="F121" s="162">
        <f>F120/340.75</f>
        <v>7.0432868672046958</v>
      </c>
      <c r="G121" s="162">
        <f t="shared" ref="G121:H121" si="82">G120/340.75</f>
        <v>6.1482024944974318</v>
      </c>
      <c r="H121" s="162">
        <f t="shared" si="82"/>
        <v>2.9347028613352899</v>
      </c>
    </row>
    <row r="122" spans="1:55">
      <c r="F122" s="257">
        <f>F111+F121</f>
        <v>7.0432868672046958</v>
      </c>
      <c r="G122" s="257">
        <f t="shared" ref="G122:H122" si="83">G111+G121</f>
        <v>6.8282024944974316</v>
      </c>
      <c r="H122" s="257">
        <f t="shared" si="83"/>
        <v>3.9347028613352899</v>
      </c>
    </row>
    <row r="123" spans="1:55" ht="12" thickBot="1">
      <c r="A123" s="315"/>
      <c r="B123" s="315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15"/>
      <c r="V123" s="315"/>
      <c r="W123" s="315"/>
      <c r="X123" s="315"/>
      <c r="Y123" s="315"/>
      <c r="Z123" s="315"/>
      <c r="AA123" s="315"/>
      <c r="AB123" s="315"/>
      <c r="AC123" s="315"/>
      <c r="AD123" s="315"/>
      <c r="AE123" s="315"/>
      <c r="AF123" s="315"/>
      <c r="AG123" s="315"/>
      <c r="AH123" s="315"/>
      <c r="AI123" s="315"/>
      <c r="AJ123" s="315"/>
      <c r="AK123" s="315"/>
      <c r="AL123" s="315"/>
      <c r="AM123" s="315"/>
      <c r="AN123" s="315"/>
      <c r="AO123" s="315"/>
      <c r="AP123" s="315"/>
      <c r="AQ123" s="315"/>
      <c r="AR123" s="315"/>
      <c r="AS123" s="315"/>
      <c r="AT123" s="315"/>
      <c r="AU123" s="315"/>
      <c r="AV123" s="315"/>
      <c r="AW123" s="315"/>
      <c r="AX123" s="315"/>
      <c r="AY123" s="315"/>
      <c r="AZ123" s="315"/>
      <c r="BA123" s="315"/>
      <c r="BB123" s="315"/>
      <c r="BC123" s="315"/>
    </row>
    <row r="125" spans="1:55">
      <c r="A125" s="128">
        <v>2002</v>
      </c>
      <c r="M125" s="295">
        <v>2114</v>
      </c>
      <c r="N125" s="162">
        <v>0.64</v>
      </c>
      <c r="O125" s="162">
        <v>0.34</v>
      </c>
      <c r="P125" s="162">
        <v>1</v>
      </c>
      <c r="Q125" s="295">
        <v>2170</v>
      </c>
      <c r="R125" s="258">
        <v>1</v>
      </c>
      <c r="S125" s="258">
        <v>0.85</v>
      </c>
      <c r="T125" s="258">
        <v>1</v>
      </c>
      <c r="U125" s="295">
        <v>2182</v>
      </c>
      <c r="V125" s="162">
        <v>0.47</v>
      </c>
      <c r="W125" s="162">
        <v>0.19</v>
      </c>
      <c r="X125" s="162">
        <v>1</v>
      </c>
      <c r="Y125" s="295">
        <v>2252</v>
      </c>
      <c r="Z125" s="128">
        <v>0.27</v>
      </c>
      <c r="AA125" s="128">
        <v>0.28999999999999998</v>
      </c>
      <c r="AB125" s="128">
        <v>0.5</v>
      </c>
      <c r="AC125" s="295">
        <v>2232</v>
      </c>
      <c r="AD125" s="128">
        <v>1.1599999999999999</v>
      </c>
      <c r="AE125" s="128">
        <v>0.08</v>
      </c>
      <c r="AF125" s="128">
        <v>0.5</v>
      </c>
      <c r="AK125" s="295">
        <v>2487</v>
      </c>
      <c r="AL125" s="162">
        <v>0.96</v>
      </c>
      <c r="AM125" s="162">
        <v>0.06</v>
      </c>
      <c r="AN125" s="162">
        <v>1</v>
      </c>
      <c r="AS125" s="295">
        <v>2562</v>
      </c>
      <c r="AT125" s="162">
        <v>1</v>
      </c>
      <c r="AU125" s="162">
        <v>0.86</v>
      </c>
      <c r="AV125" s="162">
        <v>0.05</v>
      </c>
    </row>
    <row r="126" spans="1:55">
      <c r="M126" s="295">
        <v>2115</v>
      </c>
      <c r="N126" s="162">
        <v>0.64</v>
      </c>
      <c r="O126" s="162">
        <v>0.34</v>
      </c>
      <c r="P126" s="162">
        <v>1</v>
      </c>
      <c r="Q126" s="295"/>
      <c r="U126" s="295">
        <v>2206</v>
      </c>
      <c r="V126" s="162">
        <v>0.27</v>
      </c>
      <c r="W126" s="162">
        <v>0.28999999999999998</v>
      </c>
      <c r="X126" s="162">
        <v>0.5</v>
      </c>
      <c r="Y126" s="295">
        <v>2254</v>
      </c>
      <c r="Z126" s="128">
        <v>0.27</v>
      </c>
      <c r="AA126" s="128">
        <v>0.28999999999999998</v>
      </c>
      <c r="AB126" s="128">
        <v>0.5</v>
      </c>
      <c r="AC126" s="295"/>
      <c r="AS126" s="295">
        <v>2605</v>
      </c>
      <c r="AT126" s="162">
        <v>1</v>
      </c>
      <c r="AU126" s="162">
        <v>0.8</v>
      </c>
      <c r="AV126" s="162">
        <v>0.21</v>
      </c>
    </row>
    <row r="127" spans="1:55">
      <c r="M127" s="295"/>
      <c r="N127" s="257">
        <f>SUM(N125:N126)</f>
        <v>1.28</v>
      </c>
      <c r="O127" s="257">
        <f t="shared" ref="O127:P127" si="84">SUM(O125:O126)</f>
        <v>0.68</v>
      </c>
      <c r="P127" s="257">
        <f t="shared" si="84"/>
        <v>2</v>
      </c>
      <c r="U127" s="295"/>
      <c r="V127" s="258">
        <f>SUM(V125:V126)</f>
        <v>0.74</v>
      </c>
      <c r="W127" s="258">
        <f t="shared" ref="W127:X127" si="85">SUM(W125:W126)</f>
        <v>0.48</v>
      </c>
      <c r="X127" s="258">
        <f t="shared" si="85"/>
        <v>1.5</v>
      </c>
      <c r="Y127" s="295">
        <v>2255</v>
      </c>
      <c r="Z127" s="128">
        <v>0.27</v>
      </c>
      <c r="AA127" s="128">
        <v>0.28999999999999998</v>
      </c>
      <c r="AB127" s="128">
        <v>0.5</v>
      </c>
      <c r="AC127" s="295"/>
      <c r="AS127" s="295"/>
      <c r="AT127" s="258">
        <f>SUM(AT125:AT126)</f>
        <v>2</v>
      </c>
      <c r="AU127" s="258">
        <f t="shared" ref="AU127:AV127" si="86">SUM(AU125:AU126)</f>
        <v>1.6600000000000001</v>
      </c>
      <c r="AV127" s="258">
        <f t="shared" si="86"/>
        <v>0.26</v>
      </c>
    </row>
    <row r="128" spans="1:55">
      <c r="Y128" s="295"/>
      <c r="Z128" s="260">
        <f>SUM(Z125:Z127)</f>
        <v>0.81</v>
      </c>
      <c r="AA128" s="260">
        <f t="shared" ref="AA128:AB128" si="87">SUM(AA125:AA127)</f>
        <v>0.86999999999999988</v>
      </c>
      <c r="AB128" s="260">
        <f t="shared" si="87"/>
        <v>1.5</v>
      </c>
      <c r="AC128" s="295"/>
    </row>
    <row r="129" spans="1:57" ht="12" thickBot="1">
      <c r="A129" s="315"/>
      <c r="B129" s="315"/>
      <c r="C129" s="315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7"/>
      <c r="AD129" s="315"/>
      <c r="AE129" s="315"/>
      <c r="AF129" s="315"/>
      <c r="AG129" s="315"/>
      <c r="AH129" s="315"/>
      <c r="AI129" s="315"/>
      <c r="AJ129" s="315"/>
      <c r="AK129" s="315"/>
      <c r="AL129" s="315"/>
      <c r="AM129" s="315"/>
      <c r="AN129" s="315"/>
      <c r="AO129" s="315"/>
      <c r="AP129" s="315"/>
      <c r="AQ129" s="315"/>
      <c r="AR129" s="315"/>
      <c r="AS129" s="315"/>
      <c r="AT129" s="315"/>
      <c r="AU129" s="315"/>
      <c r="AV129" s="315"/>
      <c r="AW129" s="315"/>
      <c r="AX129" s="315"/>
      <c r="AY129" s="315"/>
      <c r="AZ129" s="315"/>
      <c r="BA129" s="315"/>
      <c r="BB129" s="315"/>
      <c r="BC129" s="315"/>
    </row>
    <row r="131" spans="1:57">
      <c r="A131" s="128">
        <v>2003</v>
      </c>
      <c r="I131" s="295">
        <v>2702</v>
      </c>
      <c r="J131" s="128">
        <v>0.32</v>
      </c>
      <c r="K131" s="128">
        <v>0.34</v>
      </c>
      <c r="M131" s="295">
        <v>2796</v>
      </c>
      <c r="P131" s="128">
        <v>0.5</v>
      </c>
      <c r="Q131" s="295">
        <v>2816</v>
      </c>
      <c r="R131" s="128">
        <v>1.1200000000000001</v>
      </c>
      <c r="S131" s="128">
        <v>1.19</v>
      </c>
      <c r="T131" s="128">
        <v>1</v>
      </c>
      <c r="U131" s="295">
        <v>2891</v>
      </c>
      <c r="V131" s="128">
        <v>1.1200000000000001</v>
      </c>
      <c r="W131" s="128">
        <v>1.17</v>
      </c>
      <c r="X131" s="162">
        <v>1</v>
      </c>
      <c r="Y131" s="295">
        <v>3026</v>
      </c>
      <c r="Z131" s="128">
        <v>0.7</v>
      </c>
      <c r="AB131" s="128">
        <v>1</v>
      </c>
      <c r="AC131" s="295">
        <v>3067</v>
      </c>
      <c r="AD131" s="128">
        <v>0.95</v>
      </c>
      <c r="AE131" s="128">
        <v>1.02</v>
      </c>
      <c r="AF131" s="162">
        <v>0.5</v>
      </c>
      <c r="AG131" s="295">
        <v>3291</v>
      </c>
      <c r="AH131" s="128">
        <v>0.6</v>
      </c>
      <c r="AI131" s="128">
        <v>0.06</v>
      </c>
      <c r="AJ131" s="128">
        <v>1</v>
      </c>
      <c r="AK131" s="295">
        <v>3320</v>
      </c>
      <c r="AL131" s="162">
        <v>1.1000000000000001</v>
      </c>
      <c r="AM131" s="162">
        <v>0.22</v>
      </c>
      <c r="AN131" s="162">
        <v>1</v>
      </c>
      <c r="AO131" s="295">
        <v>3447</v>
      </c>
      <c r="AP131" s="162">
        <v>0.95</v>
      </c>
      <c r="AQ131" s="162">
        <v>0.72</v>
      </c>
      <c r="AR131" s="162">
        <v>1</v>
      </c>
      <c r="AS131" s="295">
        <v>3558</v>
      </c>
      <c r="AV131" s="128">
        <v>0.5</v>
      </c>
    </row>
    <row r="132" spans="1:57">
      <c r="I132" s="295">
        <v>2705</v>
      </c>
      <c r="J132" s="128">
        <v>0.32</v>
      </c>
      <c r="K132" s="128">
        <v>0.34</v>
      </c>
      <c r="M132" s="295">
        <v>2808</v>
      </c>
      <c r="N132" s="128">
        <v>0.02</v>
      </c>
      <c r="O132" s="128">
        <v>7.0000000000000007E-2</v>
      </c>
      <c r="U132" s="295">
        <v>2960</v>
      </c>
      <c r="V132" s="128">
        <v>0.76</v>
      </c>
      <c r="W132" s="128">
        <v>0.05</v>
      </c>
      <c r="X132" s="162"/>
      <c r="AC132" s="295">
        <v>3136</v>
      </c>
      <c r="AD132" s="128">
        <v>0.96</v>
      </c>
      <c r="AE132" s="128">
        <v>0.06</v>
      </c>
      <c r="AF132" s="162">
        <v>1</v>
      </c>
      <c r="AK132" s="295">
        <v>3330</v>
      </c>
      <c r="AL132" s="162">
        <v>0.48</v>
      </c>
      <c r="AM132" s="162">
        <v>0.34</v>
      </c>
      <c r="AN132" s="162">
        <v>1</v>
      </c>
      <c r="AO132" s="295">
        <v>3450</v>
      </c>
      <c r="AP132" s="162">
        <v>0.45</v>
      </c>
      <c r="AQ132" s="162">
        <v>0.51</v>
      </c>
      <c r="AR132" s="162">
        <v>1</v>
      </c>
    </row>
    <row r="133" spans="1:57">
      <c r="J133" s="260">
        <f>SUM(J131:J132)</f>
        <v>0.64</v>
      </c>
      <c r="K133" s="260">
        <f>SUM(K131:K132)</f>
        <v>0.68</v>
      </c>
      <c r="L133" s="260"/>
      <c r="M133" s="260"/>
      <c r="N133" s="260">
        <f t="shared" ref="N133:P133" si="88">SUM(N131:N132)</f>
        <v>0.02</v>
      </c>
      <c r="O133" s="260">
        <f t="shared" si="88"/>
        <v>7.0000000000000007E-2</v>
      </c>
      <c r="P133" s="260">
        <f t="shared" si="88"/>
        <v>0.5</v>
      </c>
      <c r="V133" s="260">
        <f>SUM(V131:V132)</f>
        <v>1.8800000000000001</v>
      </c>
      <c r="W133" s="260">
        <f t="shared" ref="W133:X133" si="89">SUM(W131:W132)</f>
        <v>1.22</v>
      </c>
      <c r="X133" s="260">
        <f t="shared" si="89"/>
        <v>1</v>
      </c>
      <c r="AD133" s="258">
        <f>SUM(AD131:AD132)</f>
        <v>1.91</v>
      </c>
      <c r="AE133" s="258">
        <f t="shared" ref="AE133:AF133" si="90">SUM(AE131:AE132)</f>
        <v>1.08</v>
      </c>
      <c r="AF133" s="258">
        <f t="shared" si="90"/>
        <v>1.5</v>
      </c>
      <c r="AK133" s="295">
        <v>3331</v>
      </c>
      <c r="AL133" s="162">
        <v>0.48</v>
      </c>
      <c r="AM133" s="162">
        <v>0.51</v>
      </c>
      <c r="AN133" s="162">
        <v>1</v>
      </c>
      <c r="AO133" s="295">
        <v>3451</v>
      </c>
      <c r="AP133" s="162">
        <v>0.45</v>
      </c>
      <c r="AQ133" s="162">
        <v>0.51</v>
      </c>
      <c r="AR133" s="162">
        <v>1</v>
      </c>
    </row>
    <row r="134" spans="1:57">
      <c r="AK134" s="295">
        <v>3332</v>
      </c>
      <c r="AL134" s="162">
        <v>0.48</v>
      </c>
      <c r="AM134" s="162">
        <v>0.51</v>
      </c>
      <c r="AN134" s="162">
        <v>1</v>
      </c>
      <c r="AO134" s="295"/>
      <c r="AP134" s="258">
        <f>SUM(AP131:AP133)</f>
        <v>1.8499999999999999</v>
      </c>
      <c r="AQ134" s="258">
        <f t="shared" ref="AQ134:AR134" si="91">SUM(AQ131:AQ133)</f>
        <v>1.74</v>
      </c>
      <c r="AR134" s="258">
        <f t="shared" si="91"/>
        <v>3</v>
      </c>
    </row>
    <row r="135" spans="1:57">
      <c r="AK135" s="295">
        <v>3333</v>
      </c>
      <c r="AL135" s="162">
        <v>1.34</v>
      </c>
      <c r="AM135" s="162">
        <v>0.74</v>
      </c>
      <c r="AN135" s="162">
        <v>1</v>
      </c>
      <c r="AO135" s="295"/>
      <c r="AP135" s="162"/>
      <c r="AQ135" s="162"/>
      <c r="AR135" s="162"/>
    </row>
    <row r="136" spans="1:57">
      <c r="AK136" s="295">
        <v>3334</v>
      </c>
      <c r="AL136" s="162">
        <v>0.76</v>
      </c>
      <c r="AM136" s="162">
        <v>0.85</v>
      </c>
      <c r="AN136" s="162">
        <v>1</v>
      </c>
      <c r="AO136" s="295"/>
      <c r="AP136" s="162"/>
      <c r="AQ136" s="162"/>
      <c r="AR136" s="162"/>
    </row>
    <row r="137" spans="1:57">
      <c r="AK137" s="295">
        <v>3335</v>
      </c>
      <c r="AL137" s="162">
        <v>0.2</v>
      </c>
      <c r="AM137" s="162">
        <v>0.02</v>
      </c>
      <c r="AN137" s="162">
        <v>0.5</v>
      </c>
      <c r="AP137" s="162"/>
      <c r="AQ137" s="162"/>
      <c r="AR137" s="162"/>
    </row>
    <row r="138" spans="1:57">
      <c r="AJ138" s="128" t="s">
        <v>189</v>
      </c>
      <c r="AK138" s="295">
        <v>3348</v>
      </c>
      <c r="AL138" s="162">
        <v>1.4</v>
      </c>
      <c r="AM138" s="162">
        <v>0.12</v>
      </c>
      <c r="AN138" s="162">
        <v>1</v>
      </c>
      <c r="AP138" s="162"/>
      <c r="AQ138" s="162"/>
      <c r="AR138" s="162"/>
    </row>
    <row r="139" spans="1:57">
      <c r="AK139" s="295">
        <v>3380</v>
      </c>
      <c r="AL139" s="162">
        <v>1.44</v>
      </c>
      <c r="AM139" s="162">
        <v>1.53</v>
      </c>
      <c r="AN139" s="162">
        <v>1</v>
      </c>
      <c r="AP139" s="162"/>
      <c r="AQ139" s="162"/>
      <c r="AR139" s="162"/>
    </row>
    <row r="140" spans="1:57">
      <c r="AK140" s="295">
        <v>3401</v>
      </c>
      <c r="AL140" s="162">
        <v>0.95</v>
      </c>
      <c r="AM140" s="162">
        <v>1.02</v>
      </c>
      <c r="AN140" s="162">
        <v>0.5</v>
      </c>
      <c r="AP140" s="162"/>
      <c r="AQ140" s="162"/>
      <c r="AR140" s="162"/>
    </row>
    <row r="141" spans="1:57">
      <c r="AL141" s="258">
        <f>SUM(AL131:AL140)</f>
        <v>8.629999999999999</v>
      </c>
      <c r="AM141" s="258">
        <f t="shared" ref="AM141:AN141" si="92">SUM(AM131:AM140)</f>
        <v>5.8600000000000012</v>
      </c>
      <c r="AN141" s="258">
        <f t="shared" si="92"/>
        <v>9</v>
      </c>
      <c r="AP141" s="162"/>
      <c r="AQ141" s="162"/>
      <c r="AR141" s="162"/>
    </row>
    <row r="142" spans="1:57" ht="12" thickBot="1">
      <c r="A142" s="315"/>
      <c r="B142" s="315"/>
      <c r="C142" s="315"/>
      <c r="D142" s="315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15"/>
      <c r="AC142" s="315"/>
      <c r="AD142" s="315"/>
      <c r="AE142" s="315"/>
      <c r="AF142" s="315"/>
      <c r="AG142" s="315"/>
      <c r="AH142" s="315"/>
      <c r="AI142" s="315"/>
      <c r="AJ142" s="315"/>
      <c r="AK142" s="315"/>
      <c r="AL142" s="318"/>
      <c r="AM142" s="318"/>
      <c r="AN142" s="318"/>
      <c r="AO142" s="315"/>
      <c r="AP142" s="315"/>
      <c r="AQ142" s="315"/>
      <c r="AR142" s="315"/>
      <c r="AS142" s="315"/>
      <c r="AT142" s="315"/>
      <c r="AU142" s="315"/>
      <c r="AV142" s="315"/>
      <c r="AW142" s="315"/>
      <c r="AX142" s="315"/>
      <c r="AY142" s="315"/>
      <c r="AZ142" s="315"/>
      <c r="BA142" s="315"/>
      <c r="BB142" s="315"/>
      <c r="BC142" s="315"/>
    </row>
    <row r="143" spans="1:57">
      <c r="AL143" s="162"/>
      <c r="AM143" s="162"/>
      <c r="AN143" s="162"/>
      <c r="AS143" s="295">
        <v>4532</v>
      </c>
      <c r="AT143" s="162">
        <v>1.72</v>
      </c>
      <c r="AU143" s="162">
        <v>1.78</v>
      </c>
      <c r="AV143" s="162">
        <v>1.5</v>
      </c>
      <c r="AW143" s="162"/>
    </row>
    <row r="144" spans="1:57">
      <c r="A144" s="128">
        <v>2004</v>
      </c>
      <c r="E144" s="326">
        <v>3619</v>
      </c>
      <c r="F144" s="327">
        <v>1.02</v>
      </c>
      <c r="G144" s="327">
        <v>1.02</v>
      </c>
      <c r="H144" s="327">
        <v>1</v>
      </c>
      <c r="I144" s="275"/>
      <c r="J144" s="275"/>
      <c r="K144" s="275"/>
      <c r="L144" s="275"/>
      <c r="M144" s="326">
        <v>3775</v>
      </c>
      <c r="N144" s="277">
        <v>0.49</v>
      </c>
      <c r="O144" s="277">
        <v>0.51</v>
      </c>
      <c r="P144" s="277">
        <v>1</v>
      </c>
      <c r="Q144" s="275"/>
      <c r="R144" s="275"/>
      <c r="S144" s="275"/>
      <c r="T144" s="275"/>
      <c r="U144" s="275"/>
      <c r="V144" s="275"/>
      <c r="W144" s="275"/>
      <c r="AG144" s="326">
        <v>4226</v>
      </c>
      <c r="AH144" s="327">
        <v>0.8</v>
      </c>
      <c r="AI144" s="327">
        <v>0.85</v>
      </c>
      <c r="AJ144" s="327">
        <v>1</v>
      </c>
      <c r="AK144" s="326">
        <v>4379</v>
      </c>
      <c r="AL144" s="277">
        <v>0.6</v>
      </c>
      <c r="AM144" s="277">
        <v>0.2</v>
      </c>
      <c r="AN144" s="277">
        <v>1</v>
      </c>
      <c r="AO144" s="275"/>
      <c r="AP144" s="275"/>
      <c r="AQ144" s="275"/>
      <c r="AR144" s="275"/>
      <c r="AS144" s="326">
        <v>4539</v>
      </c>
      <c r="AT144" s="277">
        <v>0.48</v>
      </c>
      <c r="AU144" s="277">
        <v>0.51</v>
      </c>
      <c r="AV144" s="277">
        <v>1</v>
      </c>
      <c r="AW144" s="277"/>
      <c r="AX144" s="275"/>
      <c r="AY144" s="275"/>
      <c r="AZ144" s="275"/>
      <c r="BA144" s="275"/>
      <c r="BB144" s="275"/>
      <c r="BC144" s="275"/>
      <c r="BD144" s="275"/>
      <c r="BE144" s="275"/>
    </row>
    <row r="145" spans="1:57">
      <c r="E145" s="275"/>
      <c r="F145" s="275"/>
      <c r="G145" s="275"/>
      <c r="H145" s="275"/>
      <c r="I145" s="275"/>
      <c r="J145" s="275"/>
      <c r="K145" s="275"/>
      <c r="L145" s="275"/>
      <c r="M145" s="326">
        <v>3840</v>
      </c>
      <c r="N145" s="277">
        <v>1.02</v>
      </c>
      <c r="O145" s="277">
        <v>1.19</v>
      </c>
      <c r="P145" s="277">
        <v>1</v>
      </c>
      <c r="Q145" s="275"/>
      <c r="R145" s="275"/>
      <c r="S145" s="275"/>
      <c r="T145" s="275"/>
      <c r="U145" s="275"/>
      <c r="V145" s="275"/>
      <c r="W145" s="275"/>
      <c r="AG145" s="275"/>
      <c r="AH145" s="275"/>
      <c r="AI145" s="275"/>
      <c r="AJ145" s="275"/>
      <c r="AK145" s="326">
        <v>4383</v>
      </c>
      <c r="AL145" s="277">
        <v>0.6</v>
      </c>
      <c r="AM145" s="277">
        <v>0.17</v>
      </c>
      <c r="AN145" s="277">
        <v>1</v>
      </c>
      <c r="AO145" s="275"/>
      <c r="AP145" s="275"/>
      <c r="AQ145" s="275"/>
      <c r="AR145" s="275"/>
      <c r="AS145" s="326">
        <v>4540</v>
      </c>
      <c r="AT145" s="277">
        <v>1.21</v>
      </c>
      <c r="AU145" s="277">
        <v>1.02</v>
      </c>
      <c r="AV145" s="277">
        <v>1</v>
      </c>
      <c r="AW145" s="277"/>
      <c r="AX145" s="275"/>
      <c r="AY145" s="275"/>
      <c r="AZ145" s="275"/>
      <c r="BA145" s="275"/>
      <c r="BB145" s="275"/>
      <c r="BC145" s="275"/>
      <c r="BD145" s="275"/>
      <c r="BE145" s="275"/>
    </row>
    <row r="146" spans="1:57">
      <c r="E146" s="275"/>
      <c r="F146" s="275"/>
      <c r="G146" s="275"/>
      <c r="H146" s="275"/>
      <c r="I146" s="275"/>
      <c r="J146" s="275"/>
      <c r="K146" s="275"/>
      <c r="L146" s="275"/>
      <c r="M146" s="275"/>
      <c r="N146" s="328">
        <f>SUM(N144:N145)</f>
        <v>1.51</v>
      </c>
      <c r="O146" s="328">
        <f t="shared" ref="O146:P146" si="93">SUM(O144:O145)</f>
        <v>1.7</v>
      </c>
      <c r="P146" s="328">
        <f t="shared" si="93"/>
        <v>2</v>
      </c>
      <c r="Q146" s="326">
        <v>3924</v>
      </c>
      <c r="R146" s="327">
        <v>1.1000000000000001</v>
      </c>
      <c r="S146" s="327">
        <v>1.31</v>
      </c>
      <c r="T146" s="327">
        <v>1</v>
      </c>
      <c r="U146" s="275"/>
      <c r="V146" s="275"/>
      <c r="W146" s="275"/>
      <c r="AG146" s="275"/>
      <c r="AH146" s="275"/>
      <c r="AI146" s="275"/>
      <c r="AJ146" s="275"/>
      <c r="AK146" s="326">
        <v>4385</v>
      </c>
      <c r="AL146" s="277">
        <v>1.06</v>
      </c>
      <c r="AM146" s="277">
        <v>0.97</v>
      </c>
      <c r="AN146" s="277">
        <v>1</v>
      </c>
      <c r="AO146" s="275"/>
      <c r="AP146" s="275"/>
      <c r="AQ146" s="275"/>
      <c r="AR146" s="275"/>
      <c r="AS146" s="326">
        <v>4542</v>
      </c>
      <c r="AT146" s="277">
        <v>0.86</v>
      </c>
      <c r="AU146" s="277">
        <v>0.51</v>
      </c>
      <c r="AV146" s="277">
        <v>1</v>
      </c>
      <c r="AW146" s="277"/>
      <c r="AX146" s="275"/>
      <c r="AY146" s="275"/>
      <c r="AZ146" s="275"/>
      <c r="BA146" s="275"/>
      <c r="BB146" s="275"/>
      <c r="BC146" s="275"/>
      <c r="BD146" s="275"/>
      <c r="BE146" s="275"/>
    </row>
    <row r="147" spans="1:57"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  <c r="AG147" s="275"/>
      <c r="AH147" s="275"/>
      <c r="AI147" s="275"/>
      <c r="AJ147" s="275"/>
      <c r="AK147" s="275"/>
      <c r="AL147" s="327">
        <f>SUM(AL144:AL146)</f>
        <v>2.2599999999999998</v>
      </c>
      <c r="AM147" s="327">
        <f t="shared" ref="AM147:AN147" si="94">SUM(AM144:AM146)</f>
        <v>1.3399999999999999</v>
      </c>
      <c r="AN147" s="327">
        <f t="shared" si="94"/>
        <v>3</v>
      </c>
      <c r="AO147" s="275"/>
      <c r="AP147" s="275"/>
      <c r="AQ147" s="275"/>
      <c r="AR147" s="275"/>
      <c r="AS147" s="275"/>
      <c r="AT147" s="327">
        <f>SUM(AT143:AT146)</f>
        <v>4.2700000000000005</v>
      </c>
      <c r="AU147" s="327">
        <f t="shared" ref="AU147:AV147" si="95">SUM(AU143:AU146)</f>
        <v>3.8200000000000003</v>
      </c>
      <c r="AV147" s="327">
        <f t="shared" si="95"/>
        <v>4.5</v>
      </c>
      <c r="AW147" s="277"/>
      <c r="AX147" s="275"/>
      <c r="AY147" s="275"/>
      <c r="AZ147" s="275"/>
      <c r="BA147" s="275"/>
      <c r="BB147" s="275"/>
      <c r="BC147" s="275"/>
      <c r="BD147" s="275"/>
      <c r="BE147" s="275"/>
    </row>
    <row r="148" spans="1:57" ht="12" thickBot="1">
      <c r="A148" s="315"/>
      <c r="B148" s="315"/>
      <c r="C148" s="315"/>
      <c r="D148" s="315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5"/>
      <c r="Y148" s="315"/>
      <c r="Z148" s="315"/>
      <c r="AA148" s="315"/>
      <c r="AB148" s="315"/>
      <c r="AC148" s="315"/>
      <c r="AD148" s="315"/>
      <c r="AE148" s="315"/>
      <c r="AF148" s="315"/>
      <c r="AG148" s="316"/>
      <c r="AH148" s="316"/>
      <c r="AI148" s="316"/>
      <c r="AJ148" s="316"/>
      <c r="AK148" s="316"/>
      <c r="AL148" s="316"/>
      <c r="AM148" s="316"/>
      <c r="AN148" s="316"/>
      <c r="AO148" s="316"/>
      <c r="AP148" s="316"/>
      <c r="AQ148" s="316"/>
      <c r="AR148" s="316"/>
      <c r="AS148" s="316"/>
      <c r="AT148" s="329"/>
      <c r="AU148" s="329"/>
      <c r="AV148" s="329"/>
      <c r="AW148" s="329"/>
      <c r="AX148" s="316"/>
      <c r="AY148" s="316"/>
      <c r="AZ148" s="316"/>
      <c r="BA148" s="316"/>
      <c r="BB148" s="316"/>
      <c r="BC148" s="316"/>
      <c r="BD148" s="275"/>
      <c r="BE148" s="275"/>
    </row>
    <row r="149" spans="1:57">
      <c r="E149" s="275"/>
      <c r="F149" s="275"/>
      <c r="G149" s="275"/>
      <c r="H149" s="275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  <c r="AG149" s="275"/>
      <c r="AH149" s="275"/>
      <c r="AI149" s="275"/>
      <c r="AJ149" s="275"/>
      <c r="AK149" s="275"/>
      <c r="AL149" s="275"/>
      <c r="AM149" s="275"/>
      <c r="AN149" s="275"/>
      <c r="AO149" s="337"/>
      <c r="AP149" s="275"/>
      <c r="AQ149" s="337" t="s">
        <v>192</v>
      </c>
      <c r="AR149" s="277">
        <v>3</v>
      </c>
      <c r="AS149" s="275"/>
      <c r="AT149" s="277"/>
      <c r="AU149" s="277"/>
      <c r="AV149" s="277"/>
      <c r="AW149" s="277"/>
      <c r="AX149" s="275"/>
      <c r="AY149" s="275"/>
      <c r="AZ149" s="275"/>
      <c r="BA149" s="275"/>
      <c r="BB149" s="275"/>
      <c r="BC149" s="275"/>
      <c r="BD149" s="275"/>
      <c r="BE149" s="275"/>
    </row>
    <row r="150" spans="1:57">
      <c r="A150" s="128">
        <v>2005</v>
      </c>
      <c r="E150" s="326">
        <v>4626</v>
      </c>
      <c r="F150" s="334">
        <v>1.96</v>
      </c>
      <c r="G150" s="334">
        <v>1.19</v>
      </c>
      <c r="H150" s="334">
        <v>1.5</v>
      </c>
      <c r="I150" s="275"/>
      <c r="J150" s="275"/>
      <c r="K150" s="275"/>
      <c r="L150" s="275"/>
      <c r="M150" s="326">
        <v>4725</v>
      </c>
      <c r="N150" s="275">
        <v>0.96</v>
      </c>
      <c r="O150" s="275">
        <v>0.06</v>
      </c>
      <c r="P150" s="275">
        <v>1</v>
      </c>
      <c r="Q150" s="275"/>
      <c r="R150" s="275"/>
      <c r="S150" s="275"/>
      <c r="T150" s="275"/>
      <c r="U150" s="275"/>
      <c r="V150" s="275"/>
      <c r="W150" s="275"/>
      <c r="AC150" s="326">
        <v>5071</v>
      </c>
      <c r="AD150" s="260">
        <v>0.64</v>
      </c>
      <c r="AE150" s="260">
        <v>0.85</v>
      </c>
      <c r="AF150" s="260">
        <v>1</v>
      </c>
      <c r="AG150" s="275"/>
      <c r="AH150" s="275"/>
      <c r="AI150" s="275"/>
      <c r="AJ150" s="275"/>
      <c r="AK150" s="326">
        <v>5320</v>
      </c>
      <c r="AL150" s="275">
        <v>0.86</v>
      </c>
      <c r="AM150" s="275">
        <v>0.92</v>
      </c>
      <c r="AN150" s="275">
        <v>1</v>
      </c>
      <c r="AO150" s="326">
        <v>5440</v>
      </c>
      <c r="AP150" s="277">
        <v>0.59</v>
      </c>
      <c r="AQ150" s="277">
        <v>0.9</v>
      </c>
      <c r="AR150" s="277">
        <v>1</v>
      </c>
      <c r="AS150" s="326">
        <v>5569</v>
      </c>
      <c r="AT150" s="277">
        <v>0.96</v>
      </c>
      <c r="AU150" s="277">
        <v>1.38</v>
      </c>
      <c r="AV150" s="277">
        <v>1</v>
      </c>
      <c r="AW150" s="277"/>
      <c r="AX150" s="275"/>
      <c r="AY150" s="275"/>
      <c r="AZ150" s="275"/>
      <c r="BA150" s="275"/>
      <c r="BB150" s="275"/>
      <c r="BC150" s="275"/>
      <c r="BD150" s="275"/>
      <c r="BE150" s="275"/>
    </row>
    <row r="151" spans="1:57">
      <c r="E151" s="275"/>
      <c r="F151" s="275"/>
      <c r="G151" s="275"/>
      <c r="H151" s="275"/>
      <c r="I151" s="326">
        <v>4639</v>
      </c>
      <c r="J151" s="275">
        <v>0.66</v>
      </c>
      <c r="K151" s="275">
        <v>0.55000000000000004</v>
      </c>
      <c r="L151" s="275">
        <v>1</v>
      </c>
      <c r="M151" s="326">
        <v>4726</v>
      </c>
      <c r="N151" s="275">
        <v>0.91</v>
      </c>
      <c r="O151" s="275">
        <v>0.06</v>
      </c>
      <c r="P151" s="275">
        <v>1</v>
      </c>
      <c r="Q151" s="326">
        <v>4743</v>
      </c>
      <c r="R151" s="334">
        <v>0.7</v>
      </c>
      <c r="S151" s="334">
        <v>0.68</v>
      </c>
      <c r="T151" s="334">
        <v>0.5</v>
      </c>
      <c r="U151" s="275"/>
      <c r="V151" s="275"/>
      <c r="W151" s="275"/>
      <c r="AG151" s="326">
        <v>5148</v>
      </c>
      <c r="AH151" s="128">
        <v>0.56000000000000005</v>
      </c>
      <c r="AI151" s="128">
        <v>0.85</v>
      </c>
      <c r="AJ151" s="128">
        <v>1</v>
      </c>
      <c r="AK151" s="326">
        <v>5321</v>
      </c>
      <c r="AL151" s="128">
        <v>1.0900000000000001</v>
      </c>
      <c r="AM151" s="128">
        <v>1.08</v>
      </c>
      <c r="AN151" s="128">
        <v>1</v>
      </c>
      <c r="AO151" s="326">
        <v>5471</v>
      </c>
      <c r="AP151" s="162">
        <v>0.59</v>
      </c>
      <c r="AQ151" s="162">
        <v>0.9</v>
      </c>
      <c r="AR151" s="162">
        <v>1</v>
      </c>
      <c r="AS151" s="326">
        <v>5578</v>
      </c>
      <c r="AT151" s="162">
        <v>0.99</v>
      </c>
      <c r="AU151" s="162">
        <v>1.24</v>
      </c>
      <c r="AV151" s="162">
        <v>1</v>
      </c>
      <c r="AW151" s="162"/>
    </row>
    <row r="152" spans="1:57">
      <c r="E152" s="275"/>
      <c r="F152" s="275"/>
      <c r="G152" s="275"/>
      <c r="H152" s="275"/>
      <c r="I152" s="326">
        <v>4659</v>
      </c>
      <c r="J152" s="275">
        <v>1.96</v>
      </c>
      <c r="K152" s="275">
        <v>1.47</v>
      </c>
      <c r="L152" s="275">
        <v>1</v>
      </c>
      <c r="M152" s="275"/>
      <c r="N152" s="276">
        <f>SUM(N150:N151)</f>
        <v>1.87</v>
      </c>
      <c r="O152" s="276">
        <f t="shared" ref="O152:P152" si="96">SUM(O150:O151)</f>
        <v>0.12</v>
      </c>
      <c r="P152" s="276">
        <f t="shared" si="96"/>
        <v>2</v>
      </c>
      <c r="Q152" s="275"/>
      <c r="R152" s="275"/>
      <c r="S152" s="275"/>
      <c r="T152" s="275"/>
      <c r="U152" s="275"/>
      <c r="V152" s="275"/>
      <c r="W152" s="275"/>
      <c r="AG152" s="326">
        <v>5150</v>
      </c>
      <c r="AH152" s="128">
        <v>0.96</v>
      </c>
      <c r="AI152" s="128">
        <v>1.02</v>
      </c>
      <c r="AJ152" s="128">
        <v>1</v>
      </c>
      <c r="AK152" s="326">
        <v>5322</v>
      </c>
      <c r="AL152" s="128">
        <v>0.96</v>
      </c>
      <c r="AM152" s="128">
        <v>1.19</v>
      </c>
      <c r="AN152" s="128">
        <v>1</v>
      </c>
      <c r="AO152" s="326"/>
      <c r="AP152" s="258">
        <f t="shared" ref="AP152:AQ152" si="97">SUM(AP149:AP151)</f>
        <v>1.18</v>
      </c>
      <c r="AQ152" s="258">
        <f t="shared" si="97"/>
        <v>1.8</v>
      </c>
      <c r="AR152" s="258">
        <f>SUM(AR149:AR151)</f>
        <v>5</v>
      </c>
      <c r="AS152" s="326">
        <v>5579</v>
      </c>
      <c r="AT152" s="162">
        <v>0.98</v>
      </c>
      <c r="AU152" s="162">
        <v>1.18</v>
      </c>
      <c r="AV152" s="162">
        <v>1</v>
      </c>
      <c r="AW152" s="162"/>
    </row>
    <row r="153" spans="1:57">
      <c r="E153" s="275"/>
      <c r="F153" s="275"/>
      <c r="G153" s="275"/>
      <c r="H153" s="275"/>
      <c r="I153" s="326">
        <v>4677</v>
      </c>
      <c r="J153" s="275">
        <v>1.27</v>
      </c>
      <c r="K153" s="275">
        <v>1.03</v>
      </c>
      <c r="L153" s="275">
        <v>1</v>
      </c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AG153" s="326">
        <v>5148</v>
      </c>
      <c r="AH153" s="128">
        <v>0.96</v>
      </c>
      <c r="AI153" s="128">
        <v>1.02</v>
      </c>
      <c r="AJ153" s="128">
        <v>1</v>
      </c>
      <c r="AK153" s="326">
        <v>5323</v>
      </c>
      <c r="AL153" s="128">
        <v>0.96</v>
      </c>
      <c r="AM153" s="128">
        <v>1.19</v>
      </c>
      <c r="AN153" s="128">
        <v>1</v>
      </c>
      <c r="AO153" s="326"/>
      <c r="AP153" s="162"/>
      <c r="AQ153" s="162"/>
      <c r="AR153" s="162"/>
      <c r="AS153" s="326">
        <v>5580</v>
      </c>
      <c r="AT153" s="162">
        <v>0.92</v>
      </c>
      <c r="AU153" s="162">
        <v>1.42</v>
      </c>
      <c r="AV153" s="162">
        <v>1</v>
      </c>
      <c r="AW153" s="162"/>
    </row>
    <row r="154" spans="1:57">
      <c r="J154" s="260">
        <f>SUM(J151:J153)</f>
        <v>3.89</v>
      </c>
      <c r="K154" s="260">
        <f t="shared" ref="K154:L154" si="98">SUM(K151:K153)</f>
        <v>3.05</v>
      </c>
      <c r="L154" s="260">
        <f t="shared" si="98"/>
        <v>3</v>
      </c>
      <c r="AG154" s="326">
        <v>5196</v>
      </c>
      <c r="AH154" s="128">
        <v>1.08</v>
      </c>
      <c r="AI154" s="128">
        <v>1.35</v>
      </c>
      <c r="AJ154" s="128">
        <v>1</v>
      </c>
      <c r="AK154" s="326">
        <v>5341</v>
      </c>
      <c r="AL154" s="128">
        <v>1.98</v>
      </c>
      <c r="AM154" s="128">
        <v>1.19</v>
      </c>
      <c r="AN154" s="128">
        <v>1.5</v>
      </c>
      <c r="AO154" s="326"/>
      <c r="AP154" s="162"/>
      <c r="AQ154" s="162"/>
      <c r="AR154" s="162"/>
      <c r="AS154" s="326">
        <v>5604</v>
      </c>
      <c r="AT154" s="162">
        <v>0.98</v>
      </c>
      <c r="AU154" s="162">
        <v>1.18</v>
      </c>
      <c r="AV154" s="162">
        <v>1</v>
      </c>
    </row>
    <row r="155" spans="1:57">
      <c r="AH155" s="262">
        <f>SUM(AH151:AH154)</f>
        <v>3.56</v>
      </c>
      <c r="AI155" s="262">
        <f t="shared" ref="AI155:AJ155" si="99">SUM(AI151:AI154)</f>
        <v>4.24</v>
      </c>
      <c r="AJ155" s="262">
        <f t="shared" si="99"/>
        <v>4</v>
      </c>
      <c r="AK155" s="326">
        <v>5362</v>
      </c>
      <c r="AL155" s="128">
        <v>0.8</v>
      </c>
      <c r="AM155" s="128">
        <v>0.53</v>
      </c>
      <c r="AN155" s="128">
        <v>0.5</v>
      </c>
      <c r="AO155" s="326"/>
      <c r="AP155" s="162"/>
      <c r="AQ155" s="162"/>
      <c r="AR155" s="162"/>
      <c r="AT155" s="258">
        <f>SUM(AT150:AT154)</f>
        <v>4.83</v>
      </c>
      <c r="AU155" s="258">
        <f t="shared" ref="AU155:AV155" si="100">SUM(AU150:AU154)</f>
        <v>6.3999999999999995</v>
      </c>
      <c r="AV155" s="258">
        <f t="shared" si="100"/>
        <v>5</v>
      </c>
    </row>
    <row r="156" spans="1:57">
      <c r="AK156" s="326"/>
      <c r="AL156" s="258">
        <f>SUM(AL150:AL155)</f>
        <v>6.6499999999999995</v>
      </c>
      <c r="AM156" s="258">
        <f t="shared" ref="AM156:AN156" si="101">SUM(AM150:AM155)</f>
        <v>6.1000000000000005</v>
      </c>
      <c r="AN156" s="258">
        <f t="shared" si="101"/>
        <v>6</v>
      </c>
      <c r="AO156" s="326"/>
      <c r="AP156" s="162"/>
      <c r="AQ156" s="162"/>
      <c r="AR156" s="162"/>
      <c r="AT156" s="162"/>
      <c r="AU156" s="162"/>
      <c r="AV156" s="162"/>
    </row>
    <row r="157" spans="1:57">
      <c r="AK157" s="326"/>
      <c r="AO157" s="326"/>
      <c r="AP157" s="162"/>
      <c r="AQ157" s="162"/>
      <c r="AR157" s="162"/>
    </row>
    <row r="158" spans="1:57">
      <c r="AK158" s="326"/>
      <c r="AO158" s="326"/>
      <c r="AP158" s="162"/>
      <c r="AQ158" s="162"/>
      <c r="AR158" s="162"/>
    </row>
    <row r="159" spans="1:57">
      <c r="AK159" s="326"/>
      <c r="AO159" s="326"/>
      <c r="AP159" s="162"/>
      <c r="AQ159" s="162"/>
      <c r="AR159" s="162"/>
    </row>
  </sheetData>
  <mergeCells count="15">
    <mergeCell ref="A23:BA23"/>
    <mergeCell ref="N1:Q1"/>
    <mergeCell ref="A1:A2"/>
    <mergeCell ref="J1:M1"/>
    <mergeCell ref="AX1:BA1"/>
    <mergeCell ref="R1:U1"/>
    <mergeCell ref="V1:Y1"/>
    <mergeCell ref="Z1:AC1"/>
    <mergeCell ref="AD1:AG1"/>
    <mergeCell ref="AP1:AS1"/>
    <mergeCell ref="AL1:AO1"/>
    <mergeCell ref="AH1:AK1"/>
    <mergeCell ref="AT1:AW1"/>
    <mergeCell ref="B1:E1"/>
    <mergeCell ref="F1:I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D53"/>
  <sheetViews>
    <sheetView workbookViewId="0">
      <pane ySplit="2" topLeftCell="A3" activePane="bottomLeft" state="frozen"/>
      <selection pane="bottomLeft" activeCell="I38" sqref="I38"/>
    </sheetView>
  </sheetViews>
  <sheetFormatPr defaultRowHeight="12.75"/>
  <cols>
    <col min="1" max="1" width="5" style="2" bestFit="1" customWidth="1"/>
    <col min="2" max="2" width="6.88671875" style="2" bestFit="1" customWidth="1"/>
    <col min="3" max="3" width="6.44140625" style="2" bestFit="1" customWidth="1"/>
    <col min="4" max="8" width="3.88671875" style="2" bestFit="1" customWidth="1"/>
    <col min="9" max="9" width="7.33203125" style="2" bestFit="1" customWidth="1"/>
    <col min="10" max="10" width="8.44140625" style="2" bestFit="1" customWidth="1"/>
    <col min="11" max="11" width="8" style="2" bestFit="1" customWidth="1"/>
    <col min="12" max="14" width="9" style="2" bestFit="1" customWidth="1"/>
    <col min="15" max="15" width="7.21875" style="2" bestFit="1" customWidth="1"/>
    <col min="16" max="16" width="8.44140625" style="2" bestFit="1" customWidth="1"/>
    <col min="17" max="17" width="9.109375" style="2" bestFit="1" customWidth="1"/>
    <col min="18" max="19" width="5.109375" style="2" customWidth="1"/>
    <col min="20" max="20" width="10.44140625" style="2" bestFit="1" customWidth="1"/>
    <col min="21" max="21" width="8.88671875" style="2"/>
    <col min="22" max="22" width="6.33203125" style="2" customWidth="1"/>
    <col min="23" max="23" width="8.44140625" style="2" bestFit="1" customWidth="1"/>
    <col min="24" max="24" width="5.21875" style="2" bestFit="1" customWidth="1"/>
    <col min="25" max="25" width="8.44140625" style="2" bestFit="1" customWidth="1"/>
    <col min="26" max="26" width="5.44140625" style="2" bestFit="1" customWidth="1"/>
    <col min="27" max="27" width="9.21875" style="2" bestFit="1" customWidth="1"/>
    <col min="28" max="28" width="7.33203125" style="2" customWidth="1"/>
    <col min="29" max="29" width="9" style="2" bestFit="1" customWidth="1"/>
    <col min="30" max="16384" width="8.88671875" style="2"/>
  </cols>
  <sheetData>
    <row r="1" spans="1:30" ht="15">
      <c r="A1" s="490" t="s">
        <v>18</v>
      </c>
      <c r="B1" s="492" t="s">
        <v>4</v>
      </c>
      <c r="C1" s="414" t="s">
        <v>5</v>
      </c>
      <c r="D1" s="494" t="s">
        <v>6</v>
      </c>
      <c r="E1" s="414" t="s">
        <v>7</v>
      </c>
      <c r="F1" s="492" t="s">
        <v>2</v>
      </c>
      <c r="G1" s="414" t="s">
        <v>8</v>
      </c>
      <c r="H1" s="511" t="s">
        <v>9</v>
      </c>
      <c r="I1" s="414" t="s">
        <v>10</v>
      </c>
      <c r="J1" s="492" t="s">
        <v>11</v>
      </c>
      <c r="K1" s="414" t="s">
        <v>12</v>
      </c>
      <c r="L1" s="511" t="s">
        <v>13</v>
      </c>
      <c r="M1" s="513" t="s">
        <v>14</v>
      </c>
      <c r="N1" s="515" t="s">
        <v>16</v>
      </c>
      <c r="O1" s="515"/>
      <c r="P1" s="515"/>
      <c r="Q1" s="515"/>
      <c r="U1" s="410" t="s">
        <v>71</v>
      </c>
      <c r="V1" s="410"/>
      <c r="W1" s="410"/>
      <c r="X1" s="410"/>
      <c r="Y1" s="410"/>
      <c r="Z1" s="410"/>
      <c r="AA1" s="410"/>
      <c r="AB1" s="410"/>
      <c r="AC1" s="90"/>
      <c r="AD1" s="90"/>
    </row>
    <row r="2" spans="1:30" ht="15.75" customHeight="1" thickBot="1">
      <c r="A2" s="491"/>
      <c r="B2" s="493"/>
      <c r="C2" s="416"/>
      <c r="D2" s="495"/>
      <c r="E2" s="416"/>
      <c r="F2" s="493"/>
      <c r="G2" s="416"/>
      <c r="H2" s="512"/>
      <c r="I2" s="416"/>
      <c r="J2" s="493"/>
      <c r="K2" s="416"/>
      <c r="L2" s="512"/>
      <c r="M2" s="514"/>
      <c r="N2" s="87" t="s">
        <v>55</v>
      </c>
      <c r="O2" s="87" t="s">
        <v>50</v>
      </c>
      <c r="P2" s="87" t="s">
        <v>34</v>
      </c>
      <c r="Q2" s="88" t="s">
        <v>29</v>
      </c>
      <c r="U2" s="410"/>
      <c r="V2" s="410"/>
      <c r="W2" s="410"/>
      <c r="X2" s="410"/>
      <c r="Y2" s="410"/>
      <c r="Z2" s="410"/>
      <c r="AA2" s="410"/>
      <c r="AB2" s="410"/>
      <c r="AC2" s="90"/>
      <c r="AD2" s="90"/>
    </row>
    <row r="3" spans="1:30" ht="12.75" customHeight="1">
      <c r="A3" s="7">
        <v>1998</v>
      </c>
      <c r="B3" s="9"/>
      <c r="C3" s="9"/>
      <c r="D3" s="9"/>
      <c r="E3" s="9"/>
      <c r="F3" s="9"/>
      <c r="G3" s="9"/>
      <c r="H3" s="9"/>
      <c r="I3" s="123">
        <v>176.08</v>
      </c>
      <c r="J3" s="123">
        <v>1012.47</v>
      </c>
      <c r="K3" s="123">
        <v>352.16</v>
      </c>
      <c r="L3" s="123">
        <v>551.72</v>
      </c>
      <c r="M3" s="123">
        <v>830.52</v>
      </c>
      <c r="N3" s="123">
        <f>Q3*5%</f>
        <v>146.14750000000001</v>
      </c>
      <c r="O3" s="123">
        <f>Q3*6%</f>
        <v>175.37700000000001</v>
      </c>
      <c r="P3" s="123">
        <f>Q3*89%</f>
        <v>2601.4255000000003</v>
      </c>
      <c r="Q3" s="123">
        <f>SUM(B3:M3)</f>
        <v>2922.9500000000003</v>
      </c>
      <c r="U3" s="77">
        <v>1998</v>
      </c>
      <c r="V3" s="499" t="s">
        <v>59</v>
      </c>
      <c r="W3" s="77">
        <v>90</v>
      </c>
      <c r="X3" s="499" t="s">
        <v>60</v>
      </c>
      <c r="Y3" s="77">
        <v>108</v>
      </c>
      <c r="Z3" s="499" t="s">
        <v>61</v>
      </c>
      <c r="AA3" s="77">
        <v>1800</v>
      </c>
      <c r="AB3" s="499" t="s">
        <v>46</v>
      </c>
    </row>
    <row r="4" spans="1:30">
      <c r="A4" s="1">
        <v>1999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9">
        <f t="shared" ref="N4:N18" si="0">Q4*5%</f>
        <v>0</v>
      </c>
      <c r="O4" s="59">
        <f t="shared" ref="O4:O18" si="1">Q4*6%</f>
        <v>0</v>
      </c>
      <c r="P4" s="59">
        <f t="shared" ref="P4:P18" si="2">Q4*89%</f>
        <v>0</v>
      </c>
      <c r="Q4" s="59">
        <f t="shared" ref="Q4:Q18" si="3">SUM(B4:M4)</f>
        <v>0</v>
      </c>
      <c r="U4" s="77">
        <v>4440</v>
      </c>
      <c r="V4" s="499"/>
      <c r="W4" s="77">
        <v>200</v>
      </c>
      <c r="X4" s="499"/>
      <c r="Y4" s="77">
        <v>240</v>
      </c>
      <c r="Z4" s="499"/>
      <c r="AA4" s="77">
        <v>4000</v>
      </c>
      <c r="AB4" s="499"/>
    </row>
    <row r="5" spans="1:30">
      <c r="A5" s="1">
        <v>2000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9">
        <f t="shared" si="0"/>
        <v>0</v>
      </c>
      <c r="O5" s="59">
        <f t="shared" si="1"/>
        <v>0</v>
      </c>
      <c r="P5" s="59">
        <f t="shared" si="2"/>
        <v>0</v>
      </c>
      <c r="Q5" s="59">
        <f t="shared" si="3"/>
        <v>0</v>
      </c>
      <c r="U5" s="77">
        <v>4440</v>
      </c>
      <c r="V5" s="499"/>
      <c r="W5" s="77">
        <v>200</v>
      </c>
      <c r="X5" s="499"/>
      <c r="Y5" s="77">
        <v>240</v>
      </c>
      <c r="Z5" s="499"/>
      <c r="AA5" s="77">
        <v>4000</v>
      </c>
      <c r="AB5" s="499"/>
    </row>
    <row r="6" spans="1:30">
      <c r="A6" s="1">
        <v>2001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9">
        <f t="shared" si="0"/>
        <v>0</v>
      </c>
      <c r="O6" s="59">
        <f t="shared" si="1"/>
        <v>0</v>
      </c>
      <c r="P6" s="59">
        <f t="shared" si="2"/>
        <v>0</v>
      </c>
      <c r="Q6" s="59">
        <f t="shared" si="3"/>
        <v>0</v>
      </c>
      <c r="U6" s="77">
        <v>4440</v>
      </c>
      <c r="V6" s="499"/>
      <c r="W6" s="77">
        <v>200</v>
      </c>
      <c r="X6" s="499"/>
      <c r="Y6" s="77">
        <v>240</v>
      </c>
      <c r="Z6" s="499"/>
      <c r="AA6" s="77">
        <v>4000</v>
      </c>
      <c r="AB6" s="499"/>
    </row>
    <row r="7" spans="1:30">
      <c r="A7" s="1">
        <v>2002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9">
        <f t="shared" si="0"/>
        <v>0</v>
      </c>
      <c r="O7" s="59">
        <f t="shared" si="1"/>
        <v>0</v>
      </c>
      <c r="P7" s="59">
        <f t="shared" si="2"/>
        <v>0</v>
      </c>
      <c r="Q7" s="59">
        <f t="shared" si="3"/>
        <v>0</v>
      </c>
      <c r="U7" s="77">
        <v>4440</v>
      </c>
      <c r="V7" s="499"/>
      <c r="W7" s="77">
        <v>200</v>
      </c>
      <c r="X7" s="499"/>
      <c r="Y7" s="77">
        <v>240</v>
      </c>
      <c r="Z7" s="499"/>
      <c r="AA7" s="77">
        <v>4000</v>
      </c>
      <c r="AB7" s="499"/>
    </row>
    <row r="8" spans="1:30">
      <c r="A8" s="1">
        <v>2003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59">
        <f t="shared" si="0"/>
        <v>0</v>
      </c>
      <c r="O8" s="59">
        <f t="shared" si="1"/>
        <v>0</v>
      </c>
      <c r="P8" s="59">
        <f t="shared" si="2"/>
        <v>0</v>
      </c>
      <c r="Q8" s="59">
        <f t="shared" si="3"/>
        <v>0</v>
      </c>
      <c r="U8" s="77">
        <v>4440</v>
      </c>
      <c r="V8" s="499"/>
      <c r="W8" s="77">
        <v>200</v>
      </c>
      <c r="X8" s="499"/>
      <c r="Y8" s="77">
        <v>240</v>
      </c>
      <c r="Z8" s="499"/>
      <c r="AA8" s="77">
        <v>4000</v>
      </c>
      <c r="AB8" s="499"/>
    </row>
    <row r="9" spans="1:30" ht="15" customHeight="1">
      <c r="A9" s="1">
        <v>2004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59">
        <f t="shared" si="0"/>
        <v>0</v>
      </c>
      <c r="O9" s="59">
        <f t="shared" si="1"/>
        <v>0</v>
      </c>
      <c r="P9" s="59">
        <f t="shared" si="2"/>
        <v>0</v>
      </c>
      <c r="Q9" s="59">
        <f t="shared" si="3"/>
        <v>0</v>
      </c>
      <c r="U9" s="77">
        <v>4884</v>
      </c>
      <c r="V9" s="499"/>
      <c r="W9" s="77">
        <v>220</v>
      </c>
      <c r="X9" s="499"/>
      <c r="Y9" s="77">
        <v>264</v>
      </c>
      <c r="Z9" s="499"/>
      <c r="AA9" s="77">
        <v>4400</v>
      </c>
      <c r="AB9" s="499"/>
    </row>
    <row r="10" spans="1:30" ht="15" customHeight="1">
      <c r="A10" s="1">
        <v>2005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9">
        <f t="shared" si="0"/>
        <v>0</v>
      </c>
      <c r="O10" s="59">
        <f t="shared" si="1"/>
        <v>0</v>
      </c>
      <c r="P10" s="59">
        <f t="shared" si="2"/>
        <v>0</v>
      </c>
      <c r="Q10" s="59">
        <f t="shared" si="3"/>
        <v>0</v>
      </c>
      <c r="U10" s="77">
        <v>4884</v>
      </c>
      <c r="V10" s="499"/>
      <c r="W10" s="77">
        <v>220</v>
      </c>
      <c r="X10" s="499"/>
      <c r="Y10" s="77">
        <v>264</v>
      </c>
      <c r="Z10" s="499"/>
      <c r="AA10" s="77">
        <v>4400</v>
      </c>
      <c r="AB10" s="499"/>
    </row>
    <row r="11" spans="1:30" ht="15" customHeight="1">
      <c r="A11" s="1">
        <v>2006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9">
        <f t="shared" si="0"/>
        <v>0</v>
      </c>
      <c r="O11" s="59">
        <f t="shared" si="1"/>
        <v>0</v>
      </c>
      <c r="P11" s="59">
        <f t="shared" si="2"/>
        <v>0</v>
      </c>
      <c r="Q11" s="59">
        <f t="shared" si="3"/>
        <v>0</v>
      </c>
      <c r="U11" s="77">
        <v>4884</v>
      </c>
      <c r="V11" s="499"/>
      <c r="W11" s="77">
        <v>220</v>
      </c>
      <c r="X11" s="499"/>
      <c r="Y11" s="77">
        <v>264</v>
      </c>
      <c r="Z11" s="499"/>
      <c r="AA11" s="77">
        <v>4400</v>
      </c>
      <c r="AB11" s="499"/>
    </row>
    <row r="12" spans="1:30">
      <c r="A12" s="1">
        <v>2007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9">
        <f t="shared" si="0"/>
        <v>0</v>
      </c>
      <c r="O12" s="59">
        <f t="shared" si="1"/>
        <v>0</v>
      </c>
      <c r="P12" s="59">
        <f t="shared" si="2"/>
        <v>0</v>
      </c>
      <c r="Q12" s="59">
        <f t="shared" si="3"/>
        <v>0</v>
      </c>
      <c r="U12" s="77">
        <v>4884</v>
      </c>
      <c r="V12" s="499"/>
      <c r="W12" s="77">
        <v>220</v>
      </c>
      <c r="X12" s="499"/>
      <c r="Y12" s="77">
        <v>264</v>
      </c>
      <c r="Z12" s="499"/>
      <c r="AA12" s="77">
        <v>4400</v>
      </c>
      <c r="AB12" s="499"/>
    </row>
    <row r="13" spans="1:30">
      <c r="A13" s="1">
        <v>2008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9">
        <f t="shared" si="0"/>
        <v>0</v>
      </c>
      <c r="O13" s="59">
        <f t="shared" si="1"/>
        <v>0</v>
      </c>
      <c r="P13" s="59">
        <f t="shared" si="2"/>
        <v>0</v>
      </c>
      <c r="Q13" s="59">
        <f t="shared" si="3"/>
        <v>0</v>
      </c>
      <c r="U13" s="77">
        <v>4884</v>
      </c>
      <c r="V13" s="499"/>
      <c r="W13" s="77">
        <v>220</v>
      </c>
      <c r="X13" s="499"/>
      <c r="Y13" s="77">
        <v>264</v>
      </c>
      <c r="Z13" s="499"/>
      <c r="AA13" s="77">
        <v>4400</v>
      </c>
      <c r="AB13" s="499"/>
    </row>
    <row r="14" spans="1:30">
      <c r="A14" s="1">
        <v>2009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9">
        <f t="shared" si="0"/>
        <v>0</v>
      </c>
      <c r="O14" s="59">
        <f t="shared" si="1"/>
        <v>0</v>
      </c>
      <c r="P14" s="59">
        <f t="shared" si="2"/>
        <v>0</v>
      </c>
      <c r="Q14" s="59">
        <f t="shared" si="3"/>
        <v>0</v>
      </c>
      <c r="U14" s="77">
        <v>7326</v>
      </c>
      <c r="V14" s="499"/>
      <c r="W14" s="77">
        <v>330</v>
      </c>
      <c r="X14" s="499"/>
      <c r="Y14" s="77">
        <v>396</v>
      </c>
      <c r="Z14" s="499"/>
      <c r="AA14" s="77">
        <v>6600</v>
      </c>
      <c r="AB14" s="499"/>
    </row>
    <row r="15" spans="1:30">
      <c r="A15" s="1">
        <v>2010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9">
        <f t="shared" si="0"/>
        <v>0</v>
      </c>
      <c r="O15" s="59">
        <f t="shared" si="1"/>
        <v>0</v>
      </c>
      <c r="P15" s="59">
        <f t="shared" si="2"/>
        <v>0</v>
      </c>
      <c r="Q15" s="59">
        <f t="shared" si="3"/>
        <v>0</v>
      </c>
      <c r="U15" s="77">
        <v>7326</v>
      </c>
      <c r="V15" s="499"/>
      <c r="W15" s="77">
        <v>330</v>
      </c>
      <c r="X15" s="499"/>
      <c r="Y15" s="77">
        <v>396</v>
      </c>
      <c r="Z15" s="499"/>
      <c r="AA15" s="77">
        <v>6600</v>
      </c>
      <c r="AB15" s="499"/>
    </row>
    <row r="16" spans="1:30">
      <c r="A16" s="1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9">
        <f t="shared" si="0"/>
        <v>0</v>
      </c>
      <c r="O16" s="59">
        <f t="shared" si="1"/>
        <v>0</v>
      </c>
      <c r="P16" s="59">
        <f t="shared" si="2"/>
        <v>0</v>
      </c>
      <c r="Q16" s="59">
        <f t="shared" si="3"/>
        <v>0</v>
      </c>
      <c r="U16" s="77">
        <v>7326</v>
      </c>
      <c r="V16" s="499"/>
      <c r="W16" s="77">
        <v>330</v>
      </c>
      <c r="X16" s="499"/>
      <c r="Y16" s="77">
        <v>396</v>
      </c>
      <c r="Z16" s="499"/>
      <c r="AA16" s="77">
        <v>6600</v>
      </c>
      <c r="AB16" s="499"/>
    </row>
    <row r="17" spans="1:28">
      <c r="A17" s="1">
        <v>2012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9">
        <f t="shared" si="0"/>
        <v>0</v>
      </c>
      <c r="O17" s="59">
        <f t="shared" si="1"/>
        <v>0</v>
      </c>
      <c r="P17" s="59">
        <f t="shared" si="2"/>
        <v>0</v>
      </c>
      <c r="Q17" s="59">
        <f t="shared" si="3"/>
        <v>0</v>
      </c>
      <c r="U17" s="77">
        <v>7326</v>
      </c>
      <c r="V17" s="499"/>
      <c r="W17" s="77">
        <v>330</v>
      </c>
      <c r="X17" s="499"/>
      <c r="Y17" s="77">
        <v>396</v>
      </c>
      <c r="Z17" s="499"/>
      <c r="AA17" s="77">
        <v>6600</v>
      </c>
      <c r="AB17" s="499"/>
    </row>
    <row r="18" spans="1:28">
      <c r="A18" s="1">
        <v>2013</v>
      </c>
      <c r="B18" s="3"/>
      <c r="C18" s="3"/>
      <c r="D18" s="3"/>
      <c r="E18" s="3"/>
      <c r="F18" s="3"/>
      <c r="G18" s="8"/>
      <c r="H18" s="8"/>
      <c r="I18" s="8"/>
      <c r="J18" s="8"/>
      <c r="K18" s="8"/>
      <c r="L18" s="8"/>
      <c r="M18" s="8"/>
      <c r="N18" s="59">
        <f t="shared" si="0"/>
        <v>0</v>
      </c>
      <c r="O18" s="59">
        <f t="shared" si="1"/>
        <v>0</v>
      </c>
      <c r="P18" s="59">
        <f t="shared" si="2"/>
        <v>0</v>
      </c>
      <c r="Q18" s="59">
        <f t="shared" si="3"/>
        <v>0</v>
      </c>
      <c r="R18" s="5"/>
      <c r="S18" s="5" t="s">
        <v>1</v>
      </c>
      <c r="T18" s="5" t="s">
        <v>2</v>
      </c>
      <c r="U18" s="77">
        <v>3663</v>
      </c>
      <c r="V18" s="499"/>
      <c r="W18" s="77">
        <v>165</v>
      </c>
      <c r="X18" s="499"/>
      <c r="Y18" s="77">
        <v>198</v>
      </c>
      <c r="Z18" s="499"/>
      <c r="AA18" s="77">
        <v>3300</v>
      </c>
      <c r="AB18" s="499"/>
    </row>
    <row r="19" spans="1:28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f>SUM(N3:N18)</f>
        <v>146.14750000000001</v>
      </c>
      <c r="O19" s="3">
        <f t="shared" ref="O19:Q19" si="4">SUM(O3:O18)</f>
        <v>175.37700000000001</v>
      </c>
      <c r="P19" s="3">
        <f t="shared" si="4"/>
        <v>2601.4255000000003</v>
      </c>
      <c r="Q19" s="3">
        <f t="shared" si="4"/>
        <v>2922.9500000000003</v>
      </c>
      <c r="W19" s="4">
        <f>SUM(W3:W18)</f>
        <v>3675</v>
      </c>
      <c r="Y19" s="48">
        <f>SUM(Y3:Y18)</f>
        <v>4410</v>
      </c>
      <c r="AA19" s="48">
        <f>SUM(AA3:AA18)</f>
        <v>73500</v>
      </c>
    </row>
    <row r="22" spans="1:28" s="10" customFormat="1" ht="15">
      <c r="A22"/>
      <c r="U22" s="537" t="s">
        <v>73</v>
      </c>
      <c r="V22" s="537"/>
      <c r="W22" s="537"/>
      <c r="X22" s="537"/>
      <c r="Y22" s="537"/>
      <c r="Z22" s="537"/>
      <c r="AA22" s="537"/>
      <c r="AB22" s="537"/>
    </row>
    <row r="23" spans="1:28" s="10" customFormat="1" ht="15.75">
      <c r="A23" s="474" t="s">
        <v>77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60"/>
      <c r="S23" s="60"/>
      <c r="T23" s="60"/>
      <c r="U23" s="60"/>
      <c r="V23" s="60"/>
      <c r="W23" s="60"/>
      <c r="X23" s="60"/>
      <c r="Y23" s="60"/>
      <c r="Z23" s="60"/>
    </row>
    <row r="24" spans="1:28" s="10" customFormat="1" ht="15.75"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28" s="10" customFormat="1" ht="15">
      <c r="A25" s="10">
        <v>1998</v>
      </c>
      <c r="B25" s="548" t="s">
        <v>102</v>
      </c>
      <c r="C25" s="548"/>
      <c r="D25" s="548"/>
      <c r="E25" s="548"/>
      <c r="F25" s="548"/>
      <c r="G25" s="548"/>
      <c r="H25" s="139"/>
      <c r="I25" s="139"/>
      <c r="J25" s="139"/>
      <c r="K25" s="139"/>
      <c r="L25" s="139"/>
      <c r="M25" s="139"/>
      <c r="N25" s="139"/>
      <c r="O25" s="139"/>
      <c r="P25" s="139"/>
      <c r="Q25" s="139"/>
    </row>
    <row r="26" spans="1:28" s="10" customFormat="1" ht="15">
      <c r="B26" s="549" t="s">
        <v>103</v>
      </c>
      <c r="C26" s="549"/>
      <c r="D26" s="549"/>
      <c r="E26" s="549"/>
      <c r="F26" s="549"/>
      <c r="G26" s="549"/>
      <c r="H26" s="549"/>
      <c r="I26" s="549"/>
      <c r="J26" s="549"/>
      <c r="K26" s="549"/>
      <c r="L26" s="549"/>
      <c r="M26" s="549"/>
      <c r="N26" s="549"/>
      <c r="O26" s="549"/>
      <c r="P26" s="549"/>
      <c r="Q26" s="549"/>
      <c r="R26" s="139"/>
    </row>
    <row r="27" spans="1:28" s="10" customFormat="1" ht="15">
      <c r="A27" s="10">
        <v>1999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42"/>
    </row>
    <row r="28" spans="1:28" s="10" customFormat="1" ht="15">
      <c r="A28" s="10">
        <v>2000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42"/>
      <c r="U28" s="10">
        <v>57000</v>
      </c>
    </row>
    <row r="29" spans="1:28" s="10" customFormat="1" ht="15">
      <c r="A29" s="10">
        <v>2001</v>
      </c>
      <c r="B29" s="90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42"/>
      <c r="U29" s="16">
        <f>U28/340.75</f>
        <v>167.27806309611151</v>
      </c>
    </row>
    <row r="30" spans="1:28" s="10" customFormat="1" ht="15">
      <c r="A30" s="10">
        <v>2002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1:28" s="10" customFormat="1" ht="15">
      <c r="A31" s="10">
        <v>2003</v>
      </c>
      <c r="B31" s="90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42"/>
    </row>
    <row r="32" spans="1:28" s="10" customFormat="1" ht="15">
      <c r="A32" s="10">
        <v>2004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</row>
    <row r="33" spans="1:14" s="10" customFormat="1" ht="15">
      <c r="A33" s="10">
        <v>2005</v>
      </c>
      <c r="B33" s="90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</row>
    <row r="34" spans="1:14" s="10" customFormat="1" ht="15">
      <c r="A34" s="10">
        <v>2006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</row>
    <row r="35" spans="1:14" s="10" customFormat="1" ht="15">
      <c r="A35" s="10">
        <v>2007</v>
      </c>
      <c r="B35" s="90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</row>
    <row r="36" spans="1:14" s="10" customFormat="1" ht="15">
      <c r="A36" s="10">
        <v>2008</v>
      </c>
      <c r="B36" s="90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</row>
    <row r="37" spans="1:14" s="10" customFormat="1" ht="15">
      <c r="A37" s="10">
        <v>2009</v>
      </c>
      <c r="B37" s="90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</row>
    <row r="38" spans="1:14" s="10" customFormat="1" ht="15">
      <c r="A38" s="10">
        <v>2010</v>
      </c>
      <c r="B38" s="90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</row>
    <row r="39" spans="1:14" s="10" customFormat="1" ht="15"/>
    <row r="40" spans="1:14" s="10" customFormat="1" ht="15"/>
    <row r="41" spans="1:14" s="10" customFormat="1" ht="15"/>
    <row r="42" spans="1:14" s="10" customFormat="1" ht="15"/>
    <row r="43" spans="1:14" s="10" customFormat="1" ht="15"/>
    <row r="44" spans="1:14" s="10" customFormat="1" ht="15"/>
    <row r="45" spans="1:14" s="10" customFormat="1" ht="15"/>
    <row r="46" spans="1:14" s="10" customFormat="1" ht="15"/>
    <row r="47" spans="1:14" s="10" customFormat="1" ht="15"/>
    <row r="48" spans="1:14" s="10" customFormat="1" ht="15"/>
    <row r="49" s="10" customFormat="1" ht="15"/>
    <row r="50" s="10" customFormat="1" ht="15"/>
    <row r="51" s="10" customFormat="1" ht="15"/>
    <row r="52" s="10" customFormat="1" ht="15"/>
    <row r="53" s="10" customFormat="1" ht="15"/>
  </sheetData>
  <mergeCells count="23">
    <mergeCell ref="L1:L2"/>
    <mergeCell ref="F1:F2"/>
    <mergeCell ref="A1:A2"/>
    <mergeCell ref="B1:B2"/>
    <mergeCell ref="C1:C2"/>
    <mergeCell ref="D1:D2"/>
    <mergeCell ref="E1:E2"/>
    <mergeCell ref="B25:G25"/>
    <mergeCell ref="B26:Q26"/>
    <mergeCell ref="U22:AB22"/>
    <mergeCell ref="A23:Q23"/>
    <mergeCell ref="M1:M2"/>
    <mergeCell ref="N1:Q1"/>
    <mergeCell ref="U1:AB2"/>
    <mergeCell ref="V3:V18"/>
    <mergeCell ref="X3:X18"/>
    <mergeCell ref="Z3:Z18"/>
    <mergeCell ref="AB3:AB18"/>
    <mergeCell ref="G1:G2"/>
    <mergeCell ref="H1:H2"/>
    <mergeCell ref="I1:I2"/>
    <mergeCell ref="J1:J2"/>
    <mergeCell ref="K1: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C105"/>
  <sheetViews>
    <sheetView workbookViewId="0">
      <pane ySplit="2" topLeftCell="A3" activePane="bottomLeft" state="frozen"/>
      <selection pane="bottomLeft" activeCell="C43" sqref="C43:C48"/>
    </sheetView>
  </sheetViews>
  <sheetFormatPr defaultRowHeight="12.75"/>
  <cols>
    <col min="1" max="1" width="5" style="2" bestFit="1" customWidth="1"/>
    <col min="2" max="2" width="7" style="2" bestFit="1" customWidth="1"/>
    <col min="3" max="3" width="8" style="2" bestFit="1" customWidth="1"/>
    <col min="4" max="4" width="8.6640625" style="2" customWidth="1"/>
    <col min="5" max="5" width="7.77734375" style="2" customWidth="1"/>
    <col min="6" max="6" width="8.44140625" style="2" customWidth="1"/>
    <col min="7" max="7" width="8.6640625" style="2" customWidth="1"/>
    <col min="8" max="8" width="8.33203125" style="2" bestFit="1" customWidth="1"/>
    <col min="9" max="9" width="8" style="2" bestFit="1" customWidth="1"/>
    <col min="10" max="10" width="9" style="2" bestFit="1" customWidth="1"/>
    <col min="11" max="11" width="8.44140625" style="2" bestFit="1" customWidth="1"/>
    <col min="12" max="13" width="9" style="2" bestFit="1" customWidth="1"/>
    <col min="14" max="15" width="6.44140625" style="2" bestFit="1" customWidth="1"/>
    <col min="16" max="17" width="7.21875" style="2" bestFit="1" customWidth="1"/>
    <col min="18" max="18" width="6.33203125" style="2" bestFit="1" customWidth="1"/>
    <col min="19" max="19" width="9" style="2" bestFit="1" customWidth="1"/>
    <col min="20" max="20" width="8.88671875" style="2"/>
    <col min="21" max="21" width="6.33203125" style="2" customWidth="1"/>
    <col min="22" max="22" width="11.44140625" style="2" bestFit="1" customWidth="1"/>
    <col min="23" max="23" width="5.21875" style="2" bestFit="1" customWidth="1"/>
    <col min="24" max="24" width="8.44140625" style="2" bestFit="1" customWidth="1"/>
    <col min="25" max="25" width="5.44140625" style="2" bestFit="1" customWidth="1"/>
    <col min="26" max="26" width="9.21875" style="2" bestFit="1" customWidth="1"/>
    <col min="27" max="27" width="7.33203125" style="2" customWidth="1"/>
    <col min="28" max="28" width="9" style="2" bestFit="1" customWidth="1"/>
    <col min="29" max="16384" width="8.88671875" style="2"/>
  </cols>
  <sheetData>
    <row r="1" spans="1:29" ht="15">
      <c r="A1" s="490" t="s">
        <v>18</v>
      </c>
      <c r="B1" s="492" t="s">
        <v>4</v>
      </c>
      <c r="C1" s="414" t="s">
        <v>5</v>
      </c>
      <c r="D1" s="494" t="s">
        <v>6</v>
      </c>
      <c r="E1" s="414" t="s">
        <v>7</v>
      </c>
      <c r="F1" s="492" t="s">
        <v>2</v>
      </c>
      <c r="G1" s="414" t="s">
        <v>8</v>
      </c>
      <c r="H1" s="511" t="s">
        <v>9</v>
      </c>
      <c r="I1" s="414" t="s">
        <v>10</v>
      </c>
      <c r="J1" s="492" t="s">
        <v>11</v>
      </c>
      <c r="K1" s="414" t="s">
        <v>12</v>
      </c>
      <c r="L1" s="511" t="s">
        <v>13</v>
      </c>
      <c r="M1" s="513" t="s">
        <v>14</v>
      </c>
      <c r="N1" s="563" t="s">
        <v>16</v>
      </c>
      <c r="O1" s="564"/>
      <c r="P1" s="564"/>
      <c r="Q1" s="565"/>
      <c r="T1" s="410" t="s">
        <v>71</v>
      </c>
      <c r="U1" s="410"/>
      <c r="V1" s="410"/>
      <c r="W1" s="410"/>
      <c r="X1" s="410"/>
      <c r="Y1" s="410"/>
      <c r="Z1" s="410"/>
      <c r="AA1" s="410"/>
      <c r="AB1" s="90"/>
      <c r="AC1" s="90"/>
    </row>
    <row r="2" spans="1:29" ht="15.75" customHeight="1" thickBot="1">
      <c r="A2" s="491"/>
      <c r="B2" s="493"/>
      <c r="C2" s="416"/>
      <c r="D2" s="495"/>
      <c r="E2" s="416"/>
      <c r="F2" s="493"/>
      <c r="G2" s="416"/>
      <c r="H2" s="512"/>
      <c r="I2" s="416"/>
      <c r="J2" s="493"/>
      <c r="K2" s="416"/>
      <c r="L2" s="512"/>
      <c r="M2" s="514"/>
      <c r="N2" s="87" t="s">
        <v>63</v>
      </c>
      <c r="O2" s="87" t="s">
        <v>56</v>
      </c>
      <c r="P2" s="87" t="s">
        <v>34</v>
      </c>
      <c r="Q2" s="88" t="s">
        <v>29</v>
      </c>
      <c r="T2" s="410"/>
      <c r="U2" s="410"/>
      <c r="V2" s="410"/>
      <c r="W2" s="410"/>
      <c r="X2" s="410"/>
      <c r="Y2" s="410"/>
      <c r="Z2" s="410"/>
      <c r="AA2" s="410"/>
      <c r="AB2" s="90"/>
      <c r="AC2" s="90"/>
    </row>
    <row r="3" spans="1:29" ht="12.75" customHeight="1">
      <c r="A3" s="7">
        <v>1998</v>
      </c>
      <c r="B3" s="9"/>
      <c r="C3" s="9"/>
      <c r="D3" s="9"/>
      <c r="E3" s="9"/>
      <c r="F3" s="9"/>
      <c r="G3" s="9"/>
      <c r="H3" s="9"/>
      <c r="I3" s="123"/>
      <c r="J3" s="123">
        <v>143.80000000000001</v>
      </c>
      <c r="K3" s="123">
        <v>173.15</v>
      </c>
      <c r="L3" s="123">
        <v>252.38</v>
      </c>
      <c r="M3" s="123">
        <v>217.17</v>
      </c>
      <c r="N3" s="123">
        <f>Q3*5%</f>
        <v>39.325000000000003</v>
      </c>
      <c r="O3" s="123">
        <f>Q3*6%</f>
        <v>47.19</v>
      </c>
      <c r="P3" s="123">
        <f>Q3*89%</f>
        <v>699.98500000000001</v>
      </c>
      <c r="Q3" s="123">
        <f>SUM(B3:M3)</f>
        <v>786.5</v>
      </c>
      <c r="T3" s="101"/>
      <c r="U3" s="499" t="s">
        <v>59</v>
      </c>
      <c r="V3" s="101">
        <f>T3*5%</f>
        <v>0</v>
      </c>
      <c r="W3" s="499" t="s">
        <v>60</v>
      </c>
      <c r="X3" s="102">
        <f>T3*6%</f>
        <v>0</v>
      </c>
      <c r="Y3" s="499" t="s">
        <v>61</v>
      </c>
      <c r="Z3" s="101">
        <f>T3*89%</f>
        <v>0</v>
      </c>
      <c r="AA3" s="499" t="s">
        <v>46</v>
      </c>
    </row>
    <row r="4" spans="1:29">
      <c r="A4" s="1">
        <v>1999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9"/>
      <c r="O4" s="59"/>
      <c r="P4" s="59"/>
      <c r="Q4" s="59"/>
      <c r="T4" s="101"/>
      <c r="U4" s="499"/>
      <c r="V4" s="101">
        <f t="shared" ref="V4:V18" si="0">T4*5%</f>
        <v>0</v>
      </c>
      <c r="W4" s="499"/>
      <c r="X4" s="102">
        <f t="shared" ref="X4:X18" si="1">T4*6%</f>
        <v>0</v>
      </c>
      <c r="Y4" s="499"/>
      <c r="Z4" s="101">
        <f t="shared" ref="Z4:Z18" si="2">T4*89%</f>
        <v>0</v>
      </c>
      <c r="AA4" s="499"/>
    </row>
    <row r="5" spans="1:29">
      <c r="A5" s="1">
        <v>2000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9"/>
      <c r="O5" s="59"/>
      <c r="P5" s="59"/>
      <c r="Q5" s="59"/>
      <c r="T5" s="101"/>
      <c r="U5" s="499"/>
      <c r="V5" s="101">
        <f t="shared" si="0"/>
        <v>0</v>
      </c>
      <c r="W5" s="499"/>
      <c r="X5" s="102">
        <f t="shared" si="1"/>
        <v>0</v>
      </c>
      <c r="Y5" s="499"/>
      <c r="Z5" s="101">
        <f t="shared" si="2"/>
        <v>0</v>
      </c>
      <c r="AA5" s="499"/>
    </row>
    <row r="6" spans="1:29">
      <c r="A6" s="1">
        <v>2001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9"/>
      <c r="O6" s="59"/>
      <c r="P6" s="59"/>
      <c r="Q6" s="59"/>
      <c r="T6" s="101"/>
      <c r="U6" s="499"/>
      <c r="V6" s="101">
        <f t="shared" si="0"/>
        <v>0</v>
      </c>
      <c r="W6" s="499"/>
      <c r="X6" s="102">
        <f t="shared" si="1"/>
        <v>0</v>
      </c>
      <c r="Y6" s="499"/>
      <c r="Z6" s="101">
        <f t="shared" si="2"/>
        <v>0</v>
      </c>
      <c r="AA6" s="499"/>
    </row>
    <row r="7" spans="1:29">
      <c r="A7" s="1">
        <v>2002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9"/>
      <c r="O7" s="59"/>
      <c r="P7" s="59"/>
      <c r="Q7" s="59"/>
      <c r="T7" s="101"/>
      <c r="U7" s="499"/>
      <c r="V7" s="101">
        <f t="shared" si="0"/>
        <v>0</v>
      </c>
      <c r="W7" s="499"/>
      <c r="X7" s="102">
        <f t="shared" si="1"/>
        <v>0</v>
      </c>
      <c r="Y7" s="499"/>
      <c r="Z7" s="101">
        <f t="shared" si="2"/>
        <v>0</v>
      </c>
      <c r="AA7" s="499"/>
    </row>
    <row r="8" spans="1:29">
      <c r="A8" s="1">
        <v>2003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59"/>
      <c r="O8" s="59"/>
      <c r="P8" s="59"/>
      <c r="Q8" s="59"/>
      <c r="T8" s="101"/>
      <c r="U8" s="499"/>
      <c r="V8" s="101">
        <f t="shared" si="0"/>
        <v>0</v>
      </c>
      <c r="W8" s="499"/>
      <c r="X8" s="102">
        <f t="shared" si="1"/>
        <v>0</v>
      </c>
      <c r="Y8" s="499"/>
      <c r="Z8" s="101">
        <f t="shared" si="2"/>
        <v>0</v>
      </c>
      <c r="AA8" s="499"/>
    </row>
    <row r="9" spans="1:29" ht="15" customHeight="1">
      <c r="A9" s="1">
        <v>2004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59"/>
      <c r="O9" s="59"/>
      <c r="P9" s="59"/>
      <c r="Q9" s="59"/>
      <c r="T9" s="101"/>
      <c r="U9" s="499"/>
      <c r="V9" s="101">
        <f t="shared" si="0"/>
        <v>0</v>
      </c>
      <c r="W9" s="499"/>
      <c r="X9" s="102">
        <f t="shared" si="1"/>
        <v>0</v>
      </c>
      <c r="Y9" s="499"/>
      <c r="Z9" s="101">
        <f t="shared" si="2"/>
        <v>0</v>
      </c>
      <c r="AA9" s="499"/>
    </row>
    <row r="10" spans="1:29" ht="15" customHeight="1">
      <c r="A10" s="1">
        <v>2005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9"/>
      <c r="O10" s="59"/>
      <c r="P10" s="59"/>
      <c r="Q10" s="59"/>
      <c r="T10" s="101"/>
      <c r="U10" s="499"/>
      <c r="V10" s="101">
        <f t="shared" si="0"/>
        <v>0</v>
      </c>
      <c r="W10" s="499"/>
      <c r="X10" s="102">
        <f t="shared" si="1"/>
        <v>0</v>
      </c>
      <c r="Y10" s="499"/>
      <c r="Z10" s="101">
        <f t="shared" si="2"/>
        <v>0</v>
      </c>
      <c r="AA10" s="499"/>
    </row>
    <row r="11" spans="1:29" ht="15" customHeight="1">
      <c r="A11" s="1">
        <v>2006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9"/>
      <c r="O11" s="59"/>
      <c r="P11" s="59"/>
      <c r="Q11" s="59"/>
      <c r="T11" s="101"/>
      <c r="U11" s="499"/>
      <c r="V11" s="101">
        <f t="shared" si="0"/>
        <v>0</v>
      </c>
      <c r="W11" s="499"/>
      <c r="X11" s="102">
        <f t="shared" si="1"/>
        <v>0</v>
      </c>
      <c r="Y11" s="499"/>
      <c r="Z11" s="101">
        <f t="shared" si="2"/>
        <v>0</v>
      </c>
      <c r="AA11" s="499"/>
    </row>
    <row r="12" spans="1:29">
      <c r="A12" s="1">
        <v>2007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9"/>
      <c r="O12" s="59"/>
      <c r="P12" s="59"/>
      <c r="Q12" s="59"/>
      <c r="T12" s="101"/>
      <c r="U12" s="499"/>
      <c r="V12" s="101">
        <f t="shared" si="0"/>
        <v>0</v>
      </c>
      <c r="W12" s="499"/>
      <c r="X12" s="102">
        <f t="shared" si="1"/>
        <v>0</v>
      </c>
      <c r="Y12" s="499"/>
      <c r="Z12" s="101">
        <f t="shared" si="2"/>
        <v>0</v>
      </c>
      <c r="AA12" s="499"/>
    </row>
    <row r="13" spans="1:29">
      <c r="A13" s="1">
        <v>2008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9"/>
      <c r="O13" s="59"/>
      <c r="P13" s="59"/>
      <c r="Q13" s="59"/>
      <c r="T13" s="101"/>
      <c r="U13" s="499"/>
      <c r="V13" s="101">
        <f t="shared" si="0"/>
        <v>0</v>
      </c>
      <c r="W13" s="499"/>
      <c r="X13" s="102">
        <f t="shared" si="1"/>
        <v>0</v>
      </c>
      <c r="Y13" s="499"/>
      <c r="Z13" s="101">
        <f t="shared" si="2"/>
        <v>0</v>
      </c>
      <c r="AA13" s="499"/>
    </row>
    <row r="14" spans="1:29">
      <c r="A14" s="1">
        <v>2009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9"/>
      <c r="O14" s="59"/>
      <c r="P14" s="59"/>
      <c r="Q14" s="59"/>
      <c r="T14" s="101"/>
      <c r="U14" s="499"/>
      <c r="V14" s="101">
        <f t="shared" si="0"/>
        <v>0</v>
      </c>
      <c r="W14" s="499"/>
      <c r="X14" s="102">
        <f t="shared" si="1"/>
        <v>0</v>
      </c>
      <c r="Y14" s="499"/>
      <c r="Z14" s="101">
        <f t="shared" si="2"/>
        <v>0</v>
      </c>
      <c r="AA14" s="499"/>
    </row>
    <row r="15" spans="1:29">
      <c r="A15" s="1">
        <v>2010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9"/>
      <c r="O15" s="59"/>
      <c r="P15" s="59"/>
      <c r="Q15" s="59"/>
      <c r="T15" s="101"/>
      <c r="U15" s="499"/>
      <c r="V15" s="101">
        <f t="shared" si="0"/>
        <v>0</v>
      </c>
      <c r="W15" s="499"/>
      <c r="X15" s="102">
        <f t="shared" si="1"/>
        <v>0</v>
      </c>
      <c r="Y15" s="499"/>
      <c r="Z15" s="101">
        <f t="shared" si="2"/>
        <v>0</v>
      </c>
      <c r="AA15" s="499"/>
    </row>
    <row r="16" spans="1:29">
      <c r="A16" s="1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9"/>
      <c r="O16" s="59"/>
      <c r="P16" s="59"/>
      <c r="Q16" s="59"/>
      <c r="T16" s="101"/>
      <c r="U16" s="499"/>
      <c r="V16" s="101">
        <f t="shared" si="0"/>
        <v>0</v>
      </c>
      <c r="W16" s="499"/>
      <c r="X16" s="102">
        <f t="shared" si="1"/>
        <v>0</v>
      </c>
      <c r="Y16" s="499"/>
      <c r="Z16" s="101">
        <f t="shared" si="2"/>
        <v>0</v>
      </c>
      <c r="AA16" s="499"/>
    </row>
    <row r="17" spans="1:27">
      <c r="A17" s="1">
        <v>2012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9"/>
      <c r="O17" s="59"/>
      <c r="P17" s="59"/>
      <c r="Q17" s="59"/>
      <c r="T17" s="101"/>
      <c r="U17" s="499"/>
      <c r="V17" s="101">
        <f t="shared" si="0"/>
        <v>0</v>
      </c>
      <c r="W17" s="499"/>
      <c r="X17" s="102">
        <f t="shared" si="1"/>
        <v>0</v>
      </c>
      <c r="Y17" s="499"/>
      <c r="Z17" s="101">
        <f t="shared" si="2"/>
        <v>0</v>
      </c>
      <c r="AA17" s="499"/>
    </row>
    <row r="18" spans="1:27">
      <c r="A18" s="1">
        <v>2013</v>
      </c>
      <c r="B18" s="3"/>
      <c r="C18" s="3"/>
      <c r="D18" s="3"/>
      <c r="E18" s="3"/>
      <c r="F18" s="3"/>
      <c r="G18" s="8"/>
      <c r="H18" s="8"/>
      <c r="I18" s="8"/>
      <c r="J18" s="8"/>
      <c r="K18" s="8"/>
      <c r="L18" s="8"/>
      <c r="M18" s="8"/>
      <c r="N18" s="59"/>
      <c r="O18" s="59"/>
      <c r="P18" s="59"/>
      <c r="Q18" s="59"/>
      <c r="R18" s="5" t="s">
        <v>1</v>
      </c>
      <c r="S18" s="5" t="s">
        <v>2</v>
      </c>
      <c r="T18" s="101"/>
      <c r="U18" s="499"/>
      <c r="V18" s="101">
        <f t="shared" si="0"/>
        <v>0</v>
      </c>
      <c r="W18" s="499"/>
      <c r="X18" s="102">
        <f t="shared" si="1"/>
        <v>0</v>
      </c>
      <c r="Y18" s="499"/>
      <c r="Z18" s="101">
        <f t="shared" si="2"/>
        <v>0</v>
      </c>
      <c r="AA18" s="499"/>
    </row>
    <row r="19" spans="1:27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f>SUM(N3:N18)</f>
        <v>39.325000000000003</v>
      </c>
      <c r="O19" s="3">
        <f t="shared" ref="O19:Q19" si="3">SUM(O3:O18)</f>
        <v>47.19</v>
      </c>
      <c r="P19" s="3">
        <f t="shared" si="3"/>
        <v>699.98500000000001</v>
      </c>
      <c r="Q19" s="3">
        <f t="shared" si="3"/>
        <v>786.5</v>
      </c>
      <c r="V19" s="4">
        <f>SUM(V3:V18)</f>
        <v>0</v>
      </c>
      <c r="X19" s="48">
        <f>SUM(X3:X18)</f>
        <v>0</v>
      </c>
      <c r="Z19" s="48">
        <f>SUM(Z3:Z18)</f>
        <v>0</v>
      </c>
    </row>
    <row r="22" spans="1:27" s="10" customFormat="1" ht="15">
      <c r="A22"/>
      <c r="T22" s="537" t="s">
        <v>73</v>
      </c>
      <c r="U22" s="537"/>
      <c r="V22" s="537"/>
      <c r="W22" s="537"/>
      <c r="X22" s="537"/>
      <c r="Y22" s="537"/>
      <c r="Z22" s="537"/>
      <c r="AA22" s="537"/>
    </row>
    <row r="23" spans="1:27" s="10" customFormat="1" ht="15.75">
      <c r="A23" s="474" t="s">
        <v>78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60"/>
      <c r="S23" s="60"/>
      <c r="T23" s="60"/>
      <c r="U23" s="60"/>
      <c r="V23" s="60"/>
      <c r="W23" s="60"/>
      <c r="X23" s="60"/>
      <c r="Y23" s="60"/>
    </row>
    <row r="24" spans="1:27" s="10" customFormat="1" ht="15.7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27" s="10" customFormat="1" ht="15"/>
    <row r="26" spans="1:27" s="10" customFormat="1" ht="15">
      <c r="A26" s="475" t="s">
        <v>18</v>
      </c>
      <c r="B26" s="477" t="s">
        <v>20</v>
      </c>
      <c r="C26" s="479" t="s">
        <v>22</v>
      </c>
      <c r="D26" s="473" t="s">
        <v>21</v>
      </c>
      <c r="E26" s="473"/>
      <c r="F26" s="473"/>
      <c r="G26" s="473"/>
      <c r="H26" s="473"/>
      <c r="I26" s="473"/>
      <c r="J26" s="473"/>
      <c r="K26" s="473"/>
      <c r="L26" s="479" t="s">
        <v>23</v>
      </c>
      <c r="M26" s="550" t="s">
        <v>81</v>
      </c>
      <c r="N26" s="551"/>
      <c r="O26" s="552"/>
      <c r="P26" s="500" t="s">
        <v>35</v>
      </c>
      <c r="Q26" s="501"/>
      <c r="R26" s="502"/>
      <c r="S26" s="128"/>
    </row>
    <row r="27" spans="1:27" s="10" customFormat="1" ht="15">
      <c r="A27" s="476"/>
      <c r="B27" s="478"/>
      <c r="C27" s="480"/>
      <c r="D27" s="566" t="s">
        <v>80</v>
      </c>
      <c r="E27" s="567"/>
      <c r="F27" s="567"/>
      <c r="G27" s="568"/>
      <c r="H27" s="556" t="s">
        <v>34</v>
      </c>
      <c r="I27" s="557"/>
      <c r="J27" s="557"/>
      <c r="K27" s="558"/>
      <c r="L27" s="480"/>
      <c r="M27" s="49" t="s">
        <v>82</v>
      </c>
      <c r="N27" s="61" t="s">
        <v>34</v>
      </c>
      <c r="O27" s="105" t="s">
        <v>19</v>
      </c>
      <c r="P27" s="49" t="s">
        <v>63</v>
      </c>
      <c r="Q27" s="49" t="s">
        <v>56</v>
      </c>
      <c r="R27" s="61" t="s">
        <v>34</v>
      </c>
      <c r="S27" s="128"/>
      <c r="V27" s="55">
        <v>3550000</v>
      </c>
    </row>
    <row r="28" spans="1:27" s="10" customFormat="1" ht="15">
      <c r="A28" s="571">
        <v>1998</v>
      </c>
      <c r="B28" s="561">
        <v>44076</v>
      </c>
      <c r="C28" s="588" t="s">
        <v>196</v>
      </c>
      <c r="D28" s="496" t="s">
        <v>93</v>
      </c>
      <c r="E28" s="497"/>
      <c r="F28" s="497"/>
      <c r="G28" s="498"/>
      <c r="H28" s="553"/>
      <c r="I28" s="554"/>
      <c r="J28" s="554"/>
      <c r="K28" s="555"/>
      <c r="L28" s="104"/>
      <c r="M28" s="50">
        <v>70.400000000000006</v>
      </c>
      <c r="N28" s="58"/>
      <c r="O28" s="65">
        <f>M28-N28</f>
        <v>70.400000000000006</v>
      </c>
      <c r="P28" s="65">
        <f>O28*5%</f>
        <v>3.5200000000000005</v>
      </c>
      <c r="Q28" s="65">
        <f>O28*5%</f>
        <v>3.5200000000000005</v>
      </c>
      <c r="R28" s="65">
        <f>O28-P28-Q28</f>
        <v>63.360000000000007</v>
      </c>
      <c r="S28" s="128"/>
      <c r="V28" s="16">
        <f>V27/340.75</f>
        <v>10418.19515774028</v>
      </c>
      <c r="X28" t="s">
        <v>98</v>
      </c>
      <c r="Z28" s="10">
        <v>58.69</v>
      </c>
    </row>
    <row r="29" spans="1:27" s="10" customFormat="1" ht="15">
      <c r="A29" s="572"/>
      <c r="B29" s="562"/>
      <c r="C29" s="560"/>
      <c r="D29" s="496" t="s">
        <v>92</v>
      </c>
      <c r="E29" s="497"/>
      <c r="F29" s="497"/>
      <c r="G29" s="498"/>
      <c r="H29" s="496" t="s">
        <v>92</v>
      </c>
      <c r="I29" s="497"/>
      <c r="J29" s="497"/>
      <c r="K29" s="498"/>
      <c r="L29" s="104">
        <v>4695.5200000000004</v>
      </c>
      <c r="M29" s="50"/>
      <c r="N29" s="58"/>
      <c r="O29" s="65">
        <f t="shared" ref="O29:O56" si="4">M29-N29</f>
        <v>0</v>
      </c>
      <c r="P29" s="65">
        <f t="shared" ref="P29:P56" si="5">O29*5%</f>
        <v>0</v>
      </c>
      <c r="Q29" s="65">
        <f t="shared" ref="Q29:Q56" si="6">O29*5%</f>
        <v>0</v>
      </c>
      <c r="R29" s="65">
        <f t="shared" ref="R29:R56" si="7">O29-P29-Q29</f>
        <v>0</v>
      </c>
      <c r="S29" s="128"/>
      <c r="X29" t="s">
        <v>99</v>
      </c>
      <c r="Y29" s="10">
        <v>7</v>
      </c>
      <c r="Z29" s="10">
        <f>Y29*2.35</f>
        <v>16.45</v>
      </c>
    </row>
    <row r="30" spans="1:27" s="10" customFormat="1" ht="15">
      <c r="A30" s="572"/>
      <c r="B30" s="561">
        <v>44088</v>
      </c>
      <c r="C30" s="588" t="s">
        <v>196</v>
      </c>
      <c r="D30" s="496" t="s">
        <v>93</v>
      </c>
      <c r="E30" s="497"/>
      <c r="F30" s="497"/>
      <c r="G30" s="498"/>
      <c r="H30" s="553"/>
      <c r="I30" s="554"/>
      <c r="J30" s="554"/>
      <c r="K30" s="555"/>
      <c r="L30" s="104"/>
      <c r="M30" s="50">
        <v>68.09</v>
      </c>
      <c r="N30" s="62"/>
      <c r="O30" s="65">
        <f t="shared" si="4"/>
        <v>68.09</v>
      </c>
      <c r="P30" s="65">
        <f t="shared" si="5"/>
        <v>3.4045000000000005</v>
      </c>
      <c r="Q30" s="65">
        <f t="shared" si="6"/>
        <v>3.4045000000000005</v>
      </c>
      <c r="R30" s="65">
        <f t="shared" si="7"/>
        <v>61.281000000000006</v>
      </c>
      <c r="S30" s="128"/>
      <c r="Z30" s="10">
        <f>SUM(Z28:Z29)</f>
        <v>75.14</v>
      </c>
    </row>
    <row r="31" spans="1:27" s="10" customFormat="1" ht="15">
      <c r="A31" s="572"/>
      <c r="B31" s="562"/>
      <c r="C31" s="560"/>
      <c r="D31" s="496" t="s">
        <v>96</v>
      </c>
      <c r="E31" s="497"/>
      <c r="F31" s="497"/>
      <c r="G31" s="498"/>
      <c r="H31" s="496" t="s">
        <v>93</v>
      </c>
      <c r="I31" s="497"/>
      <c r="J31" s="497"/>
      <c r="K31" s="498"/>
      <c r="L31" s="104"/>
      <c r="M31" s="50"/>
      <c r="N31" s="62"/>
      <c r="O31" s="65">
        <f t="shared" si="4"/>
        <v>0</v>
      </c>
      <c r="P31" s="65">
        <f t="shared" si="5"/>
        <v>0</v>
      </c>
      <c r="Q31" s="65">
        <f t="shared" si="6"/>
        <v>0</v>
      </c>
      <c r="R31" s="65">
        <f t="shared" si="7"/>
        <v>0</v>
      </c>
      <c r="S31" s="129">
        <f>O28+O30</f>
        <v>138.49</v>
      </c>
    </row>
    <row r="32" spans="1:27" s="10" customFormat="1" ht="15">
      <c r="A32" s="572"/>
      <c r="B32" s="561">
        <v>44111</v>
      </c>
      <c r="C32" s="588" t="s">
        <v>196</v>
      </c>
      <c r="D32" s="496" t="s">
        <v>93</v>
      </c>
      <c r="E32" s="497"/>
      <c r="F32" s="497"/>
      <c r="G32" s="498"/>
      <c r="H32" s="553"/>
      <c r="I32" s="554"/>
      <c r="J32" s="554"/>
      <c r="K32" s="555"/>
      <c r="L32" s="104"/>
      <c r="M32" s="50">
        <v>70.44</v>
      </c>
      <c r="N32" s="62"/>
      <c r="O32" s="65">
        <f t="shared" si="4"/>
        <v>70.44</v>
      </c>
      <c r="P32" s="65">
        <f t="shared" si="5"/>
        <v>3.5220000000000002</v>
      </c>
      <c r="Q32" s="65">
        <f t="shared" si="6"/>
        <v>3.5220000000000002</v>
      </c>
      <c r="R32" s="65">
        <f t="shared" si="7"/>
        <v>63.395999999999994</v>
      </c>
      <c r="S32" s="128"/>
    </row>
    <row r="33" spans="1:19" s="10" customFormat="1" ht="15">
      <c r="A33" s="572"/>
      <c r="B33" s="562"/>
      <c r="C33" s="560"/>
      <c r="D33" s="496" t="s">
        <v>96</v>
      </c>
      <c r="E33" s="497"/>
      <c r="F33" s="497"/>
      <c r="G33" s="498"/>
      <c r="H33" s="496" t="s">
        <v>95</v>
      </c>
      <c r="I33" s="497"/>
      <c r="J33" s="497"/>
      <c r="K33" s="498"/>
      <c r="L33" s="104"/>
      <c r="M33" s="50"/>
      <c r="N33" s="62"/>
      <c r="O33" s="65">
        <f t="shared" si="4"/>
        <v>0</v>
      </c>
      <c r="P33" s="65">
        <f t="shared" si="5"/>
        <v>0</v>
      </c>
      <c r="Q33" s="65">
        <f t="shared" si="6"/>
        <v>0</v>
      </c>
      <c r="R33" s="65">
        <f t="shared" si="7"/>
        <v>0</v>
      </c>
      <c r="S33" s="128"/>
    </row>
    <row r="34" spans="1:19" s="10" customFormat="1" ht="15">
      <c r="A34" s="572"/>
      <c r="B34" s="561">
        <v>44113</v>
      </c>
      <c r="C34" s="588" t="s">
        <v>196</v>
      </c>
      <c r="D34" s="496" t="s">
        <v>97</v>
      </c>
      <c r="E34" s="497"/>
      <c r="F34" s="497"/>
      <c r="G34" s="498"/>
      <c r="H34" s="553"/>
      <c r="I34" s="554"/>
      <c r="J34" s="554"/>
      <c r="K34" s="555"/>
      <c r="L34" s="122">
        <v>2289.0700000000002</v>
      </c>
      <c r="M34" s="50">
        <v>31.75</v>
      </c>
      <c r="N34" s="51"/>
      <c r="O34" s="65">
        <f t="shared" si="4"/>
        <v>31.75</v>
      </c>
      <c r="P34" s="65">
        <f>O34*9%</f>
        <v>2.8574999999999999</v>
      </c>
      <c r="Q34" s="65">
        <f t="shared" si="6"/>
        <v>1.5875000000000001</v>
      </c>
      <c r="R34" s="65">
        <f t="shared" si="7"/>
        <v>27.305</v>
      </c>
      <c r="S34" s="128"/>
    </row>
    <row r="35" spans="1:19" s="10" customFormat="1" ht="15">
      <c r="A35" s="572"/>
      <c r="B35" s="562"/>
      <c r="C35" s="560"/>
      <c r="D35" s="496" t="s">
        <v>92</v>
      </c>
      <c r="E35" s="497"/>
      <c r="F35" s="497"/>
      <c r="G35" s="498"/>
      <c r="H35" s="496" t="s">
        <v>92</v>
      </c>
      <c r="I35" s="497"/>
      <c r="J35" s="497"/>
      <c r="K35" s="498"/>
      <c r="L35" s="122">
        <v>1526.05</v>
      </c>
      <c r="M35" s="50"/>
      <c r="N35" s="51"/>
      <c r="O35" s="65">
        <f t="shared" si="4"/>
        <v>0</v>
      </c>
      <c r="P35" s="65">
        <f t="shared" si="5"/>
        <v>0</v>
      </c>
      <c r="Q35" s="65">
        <f t="shared" si="6"/>
        <v>0</v>
      </c>
      <c r="R35" s="65">
        <f t="shared" si="7"/>
        <v>0</v>
      </c>
      <c r="S35" s="128"/>
    </row>
    <row r="36" spans="1:19" s="10" customFormat="1" ht="15">
      <c r="A36" s="572"/>
      <c r="B36" s="561">
        <v>44130</v>
      </c>
      <c r="C36" s="588" t="s">
        <v>196</v>
      </c>
      <c r="D36" s="496" t="s">
        <v>93</v>
      </c>
      <c r="E36" s="497"/>
      <c r="F36" s="497"/>
      <c r="G36" s="498"/>
      <c r="H36" s="553"/>
      <c r="I36" s="554"/>
      <c r="J36" s="554"/>
      <c r="K36" s="555"/>
      <c r="L36" s="104"/>
      <c r="M36" s="50">
        <v>77.489999999999995</v>
      </c>
      <c r="N36" s="51"/>
      <c r="O36" s="65">
        <f t="shared" si="4"/>
        <v>77.489999999999995</v>
      </c>
      <c r="P36" s="65">
        <f t="shared" si="5"/>
        <v>3.8744999999999998</v>
      </c>
      <c r="Q36" s="65">
        <f t="shared" si="6"/>
        <v>3.8744999999999998</v>
      </c>
      <c r="R36" s="65">
        <f t="shared" si="7"/>
        <v>69.741</v>
      </c>
      <c r="S36" s="128"/>
    </row>
    <row r="37" spans="1:19" s="10" customFormat="1" ht="15">
      <c r="A37" s="572"/>
      <c r="B37" s="562"/>
      <c r="C37" s="560"/>
      <c r="D37" s="496" t="s">
        <v>96</v>
      </c>
      <c r="E37" s="497"/>
      <c r="F37" s="497"/>
      <c r="G37" s="498"/>
      <c r="H37" s="496" t="s">
        <v>95</v>
      </c>
      <c r="I37" s="497"/>
      <c r="J37" s="497"/>
      <c r="K37" s="498"/>
      <c r="L37" s="104"/>
      <c r="M37" s="50"/>
      <c r="N37" s="51"/>
      <c r="O37" s="65">
        <f t="shared" si="4"/>
        <v>0</v>
      </c>
      <c r="P37" s="65">
        <f t="shared" si="5"/>
        <v>0</v>
      </c>
      <c r="Q37" s="65">
        <f t="shared" si="6"/>
        <v>0</v>
      </c>
      <c r="R37" s="65">
        <f t="shared" si="7"/>
        <v>0</v>
      </c>
      <c r="S37" s="129">
        <f>O32+O34+O36</f>
        <v>179.68</v>
      </c>
    </row>
    <row r="38" spans="1:19" s="10" customFormat="1" ht="15">
      <c r="A38" s="572"/>
      <c r="B38" s="561">
        <v>44139</v>
      </c>
      <c r="C38" s="559" t="s">
        <v>196</v>
      </c>
      <c r="D38" s="496" t="s">
        <v>120</v>
      </c>
      <c r="E38" s="497"/>
      <c r="F38" s="497"/>
      <c r="G38" s="498"/>
      <c r="H38" s="553"/>
      <c r="I38" s="554"/>
      <c r="J38" s="554"/>
      <c r="K38" s="555"/>
      <c r="L38" s="104"/>
      <c r="M38" s="50">
        <v>154.97999999999999</v>
      </c>
      <c r="N38" s="51"/>
      <c r="O38" s="65">
        <f t="shared" si="4"/>
        <v>154.97999999999999</v>
      </c>
      <c r="P38" s="65">
        <f t="shared" si="5"/>
        <v>7.7489999999999997</v>
      </c>
      <c r="Q38" s="65">
        <f t="shared" si="6"/>
        <v>7.7489999999999997</v>
      </c>
      <c r="R38" s="65">
        <f t="shared" si="7"/>
        <v>139.482</v>
      </c>
      <c r="S38" s="128"/>
    </row>
    <row r="39" spans="1:19" s="10" customFormat="1" ht="15">
      <c r="A39" s="572"/>
      <c r="B39" s="569"/>
      <c r="C39" s="570"/>
      <c r="D39" s="496" t="s">
        <v>117</v>
      </c>
      <c r="E39" s="497"/>
      <c r="F39" s="497"/>
      <c r="G39" s="498"/>
      <c r="H39" s="147"/>
      <c r="I39" s="148"/>
      <c r="J39" s="148"/>
      <c r="K39" s="149"/>
      <c r="L39" s="146"/>
      <c r="M39" s="50"/>
      <c r="N39" s="51"/>
      <c r="O39" s="65"/>
      <c r="P39" s="65"/>
      <c r="Q39" s="65"/>
      <c r="R39" s="65"/>
      <c r="S39" s="128"/>
    </row>
    <row r="40" spans="1:19" s="10" customFormat="1" ht="15">
      <c r="A40" s="572"/>
      <c r="B40" s="562"/>
      <c r="C40" s="560"/>
      <c r="D40" s="496" t="s">
        <v>96</v>
      </c>
      <c r="E40" s="497"/>
      <c r="F40" s="497"/>
      <c r="G40" s="498"/>
      <c r="H40" s="496" t="s">
        <v>96</v>
      </c>
      <c r="I40" s="497"/>
      <c r="J40" s="497"/>
      <c r="K40" s="498"/>
      <c r="L40" s="104">
        <v>17608.22</v>
      </c>
      <c r="M40" s="50"/>
      <c r="N40" s="51"/>
      <c r="O40" s="65">
        <f t="shared" si="4"/>
        <v>0</v>
      </c>
      <c r="P40" s="65">
        <f t="shared" si="5"/>
        <v>0</v>
      </c>
      <c r="Q40" s="65">
        <f t="shared" si="6"/>
        <v>0</v>
      </c>
      <c r="R40" s="65">
        <f t="shared" si="7"/>
        <v>0</v>
      </c>
      <c r="S40" s="128"/>
    </row>
    <row r="41" spans="1:19" s="10" customFormat="1" ht="15">
      <c r="A41" s="572"/>
      <c r="B41" s="561">
        <v>44140</v>
      </c>
      <c r="C41" s="588" t="s">
        <v>196</v>
      </c>
      <c r="D41" s="496" t="s">
        <v>93</v>
      </c>
      <c r="E41" s="497"/>
      <c r="F41" s="497"/>
      <c r="G41" s="498"/>
      <c r="H41" s="553"/>
      <c r="I41" s="554"/>
      <c r="J41" s="554"/>
      <c r="K41" s="555"/>
      <c r="L41" s="104"/>
      <c r="M41" s="50">
        <v>70.44</v>
      </c>
      <c r="N41" s="51"/>
      <c r="O41" s="65">
        <f t="shared" si="4"/>
        <v>70.44</v>
      </c>
      <c r="P41" s="65">
        <f t="shared" si="5"/>
        <v>3.5220000000000002</v>
      </c>
      <c r="Q41" s="65">
        <f t="shared" si="6"/>
        <v>3.5220000000000002</v>
      </c>
      <c r="R41" s="65">
        <f t="shared" si="7"/>
        <v>63.395999999999994</v>
      </c>
      <c r="S41" s="128"/>
    </row>
    <row r="42" spans="1:19" s="10" customFormat="1" ht="15">
      <c r="A42" s="572"/>
      <c r="B42" s="562"/>
      <c r="C42" s="560"/>
      <c r="D42" s="496" t="s">
        <v>92</v>
      </c>
      <c r="E42" s="497"/>
      <c r="F42" s="497"/>
      <c r="G42" s="498"/>
      <c r="H42" s="496" t="s">
        <v>92</v>
      </c>
      <c r="I42" s="497"/>
      <c r="J42" s="497"/>
      <c r="K42" s="498"/>
      <c r="L42" s="104">
        <v>10418.200000000001</v>
      </c>
      <c r="M42" s="50"/>
      <c r="N42" s="51"/>
      <c r="O42" s="65">
        <f t="shared" si="4"/>
        <v>0</v>
      </c>
      <c r="P42" s="65">
        <f t="shared" si="5"/>
        <v>0</v>
      </c>
      <c r="Q42" s="65">
        <f t="shared" si="6"/>
        <v>0</v>
      </c>
      <c r="R42" s="65">
        <f t="shared" si="7"/>
        <v>0</v>
      </c>
      <c r="S42" s="129">
        <f>M38+M41</f>
        <v>225.42</v>
      </c>
    </row>
    <row r="43" spans="1:19" s="10" customFormat="1" ht="15">
      <c r="A43" s="572"/>
      <c r="B43" s="561">
        <v>44173</v>
      </c>
      <c r="C43" s="588" t="s">
        <v>196</v>
      </c>
      <c r="D43" s="496" t="s">
        <v>117</v>
      </c>
      <c r="E43" s="497"/>
      <c r="F43" s="497"/>
      <c r="G43" s="498"/>
      <c r="H43" s="553"/>
      <c r="I43" s="554"/>
      <c r="J43" s="554"/>
      <c r="K43" s="555"/>
      <c r="L43" s="104"/>
      <c r="M43" s="50">
        <v>148.58000000000001</v>
      </c>
      <c r="N43" s="51"/>
      <c r="O43" s="65">
        <f t="shared" si="4"/>
        <v>148.58000000000001</v>
      </c>
      <c r="P43" s="65">
        <f t="shared" si="5"/>
        <v>7.4290000000000012</v>
      </c>
      <c r="Q43" s="65">
        <f t="shared" si="6"/>
        <v>7.4290000000000012</v>
      </c>
      <c r="R43" s="65">
        <f t="shared" si="7"/>
        <v>133.72200000000001</v>
      </c>
      <c r="S43" s="128"/>
    </row>
    <row r="44" spans="1:19" s="10" customFormat="1" ht="15">
      <c r="A44" s="572"/>
      <c r="B44" s="569"/>
      <c r="C44" s="560"/>
      <c r="D44" s="496" t="s">
        <v>119</v>
      </c>
      <c r="E44" s="497"/>
      <c r="F44" s="497"/>
      <c r="G44" s="498"/>
      <c r="H44" s="147"/>
      <c r="I44" s="148"/>
      <c r="J44" s="148"/>
      <c r="K44" s="149"/>
      <c r="L44" s="146"/>
      <c r="M44" s="50"/>
      <c r="N44" s="51"/>
      <c r="O44" s="65"/>
      <c r="P44" s="65"/>
      <c r="Q44" s="65"/>
      <c r="R44" s="65"/>
      <c r="S44" s="128"/>
    </row>
    <row r="45" spans="1:19" s="10" customFormat="1" ht="15">
      <c r="A45" s="572"/>
      <c r="B45" s="562"/>
      <c r="C45" s="588" t="s">
        <v>196</v>
      </c>
      <c r="D45" s="496" t="s">
        <v>118</v>
      </c>
      <c r="E45" s="497"/>
      <c r="F45" s="497"/>
      <c r="G45" s="498"/>
      <c r="H45" s="496" t="s">
        <v>94</v>
      </c>
      <c r="I45" s="497"/>
      <c r="J45" s="497"/>
      <c r="K45" s="498"/>
      <c r="L45" s="122">
        <v>13124.25</v>
      </c>
      <c r="M45" s="50"/>
      <c r="N45" s="51"/>
      <c r="O45" s="65">
        <f t="shared" si="4"/>
        <v>0</v>
      </c>
      <c r="P45" s="65">
        <f t="shared" si="5"/>
        <v>0</v>
      </c>
      <c r="Q45" s="65">
        <f t="shared" si="6"/>
        <v>0</v>
      </c>
      <c r="R45" s="65">
        <f t="shared" si="7"/>
        <v>0</v>
      </c>
      <c r="S45" s="128"/>
    </row>
    <row r="46" spans="1:19" s="10" customFormat="1" ht="15">
      <c r="A46" s="572"/>
      <c r="B46" s="561">
        <v>44195</v>
      </c>
      <c r="C46" s="560"/>
      <c r="D46" s="496" t="s">
        <v>117</v>
      </c>
      <c r="E46" s="497"/>
      <c r="F46" s="497"/>
      <c r="G46" s="498"/>
      <c r="H46" s="553"/>
      <c r="I46" s="554"/>
      <c r="J46" s="554"/>
      <c r="K46" s="555"/>
      <c r="L46" s="122"/>
      <c r="M46" s="50">
        <v>150.28</v>
      </c>
      <c r="N46" s="51"/>
      <c r="O46" s="65">
        <f t="shared" si="4"/>
        <v>150.28</v>
      </c>
      <c r="P46" s="65">
        <f t="shared" si="5"/>
        <v>7.5140000000000002</v>
      </c>
      <c r="Q46" s="65">
        <f t="shared" si="6"/>
        <v>7.5140000000000002</v>
      </c>
      <c r="R46" s="65">
        <f t="shared" si="7"/>
        <v>135.25199999999998</v>
      </c>
      <c r="S46" s="128"/>
    </row>
    <row r="47" spans="1:19" s="10" customFormat="1" ht="15">
      <c r="A47" s="572"/>
      <c r="B47" s="569"/>
      <c r="C47" s="588" t="s">
        <v>196</v>
      </c>
      <c r="D47" s="496" t="s">
        <v>116</v>
      </c>
      <c r="E47" s="497"/>
      <c r="F47" s="497"/>
      <c r="G47" s="498"/>
      <c r="H47" s="147"/>
      <c r="I47" s="148"/>
      <c r="J47" s="148"/>
      <c r="K47" s="149"/>
      <c r="L47" s="146"/>
      <c r="M47" s="50"/>
      <c r="N47" s="51"/>
      <c r="O47" s="65"/>
      <c r="P47" s="65"/>
      <c r="Q47" s="65"/>
      <c r="R47" s="65"/>
      <c r="S47" s="128"/>
    </row>
    <row r="48" spans="1:19" s="10" customFormat="1" ht="15">
      <c r="A48" s="573"/>
      <c r="B48" s="562"/>
      <c r="C48" s="560"/>
      <c r="D48" s="496" t="s">
        <v>115</v>
      </c>
      <c r="E48" s="497"/>
      <c r="F48" s="497"/>
      <c r="G48" s="498"/>
      <c r="H48" s="496" t="s">
        <v>92</v>
      </c>
      <c r="I48" s="497"/>
      <c r="J48" s="497"/>
      <c r="K48" s="498"/>
      <c r="L48" s="122">
        <v>56933.24</v>
      </c>
      <c r="M48" s="50"/>
      <c r="N48" s="51"/>
      <c r="O48" s="65">
        <f t="shared" si="4"/>
        <v>0</v>
      </c>
      <c r="P48" s="65">
        <f t="shared" si="5"/>
        <v>0</v>
      </c>
      <c r="Q48" s="65">
        <f t="shared" si="6"/>
        <v>0</v>
      </c>
      <c r="R48" s="65">
        <f t="shared" si="7"/>
        <v>0</v>
      </c>
      <c r="S48" s="129">
        <f>O43+O46</f>
        <v>298.86</v>
      </c>
    </row>
    <row r="49" spans="1:19" s="10" customFormat="1" ht="15">
      <c r="A49" s="13"/>
      <c r="B49" s="47"/>
      <c r="C49" s="52"/>
      <c r="D49" s="496"/>
      <c r="E49" s="497"/>
      <c r="F49" s="497"/>
      <c r="G49" s="498"/>
      <c r="H49" s="496"/>
      <c r="I49" s="497"/>
      <c r="J49" s="497"/>
      <c r="K49" s="498"/>
      <c r="L49" s="122"/>
      <c r="M49" s="50"/>
      <c r="N49" s="51"/>
      <c r="O49" s="65">
        <f t="shared" si="4"/>
        <v>0</v>
      </c>
      <c r="P49" s="65">
        <f t="shared" si="5"/>
        <v>0</v>
      </c>
      <c r="Q49" s="65">
        <f t="shared" si="6"/>
        <v>0</v>
      </c>
      <c r="R49" s="65">
        <f t="shared" si="7"/>
        <v>0</v>
      </c>
      <c r="S49" s="128"/>
    </row>
    <row r="50" spans="1:19" s="10" customFormat="1" ht="15">
      <c r="A50" s="13"/>
      <c r="B50" s="47"/>
      <c r="C50" s="52"/>
      <c r="D50" s="496"/>
      <c r="E50" s="497"/>
      <c r="F50" s="497"/>
      <c r="G50" s="498"/>
      <c r="H50" s="496"/>
      <c r="I50" s="497"/>
      <c r="J50" s="497"/>
      <c r="K50" s="498"/>
      <c r="L50" s="122"/>
      <c r="M50" s="50"/>
      <c r="N50" s="51"/>
      <c r="O50" s="65">
        <f t="shared" si="4"/>
        <v>0</v>
      </c>
      <c r="P50" s="65">
        <f t="shared" si="5"/>
        <v>0</v>
      </c>
      <c r="Q50" s="65">
        <f t="shared" si="6"/>
        <v>0</v>
      </c>
      <c r="R50" s="65">
        <f t="shared" si="7"/>
        <v>0</v>
      </c>
      <c r="S50" s="128"/>
    </row>
    <row r="51" spans="1:19" s="10" customFormat="1" ht="15">
      <c r="A51" s="13"/>
      <c r="B51" s="47"/>
      <c r="C51" s="52"/>
      <c r="D51" s="496"/>
      <c r="E51" s="497"/>
      <c r="F51" s="497"/>
      <c r="G51" s="498"/>
      <c r="H51" s="496"/>
      <c r="I51" s="497"/>
      <c r="J51" s="497"/>
      <c r="K51" s="498"/>
      <c r="L51" s="122"/>
      <c r="M51" s="50"/>
      <c r="N51" s="51"/>
      <c r="O51" s="65">
        <f t="shared" si="4"/>
        <v>0</v>
      </c>
      <c r="P51" s="65">
        <f t="shared" si="5"/>
        <v>0</v>
      </c>
      <c r="Q51" s="65">
        <f t="shared" si="6"/>
        <v>0</v>
      </c>
      <c r="R51" s="65">
        <f t="shared" si="7"/>
        <v>0</v>
      </c>
      <c r="S51" s="128"/>
    </row>
    <row r="52" spans="1:19" s="10" customFormat="1" ht="15">
      <c r="A52" s="13"/>
      <c r="B52" s="47"/>
      <c r="C52" s="52"/>
      <c r="D52" s="496"/>
      <c r="E52" s="497"/>
      <c r="F52" s="497"/>
      <c r="G52" s="498"/>
      <c r="H52" s="496"/>
      <c r="I52" s="497"/>
      <c r="J52" s="497"/>
      <c r="K52" s="498"/>
      <c r="L52" s="122"/>
      <c r="M52" s="50"/>
      <c r="N52" s="51"/>
      <c r="O52" s="65">
        <f t="shared" si="4"/>
        <v>0</v>
      </c>
      <c r="P52" s="65">
        <f t="shared" si="5"/>
        <v>0</v>
      </c>
      <c r="Q52" s="65">
        <f t="shared" si="6"/>
        <v>0</v>
      </c>
      <c r="R52" s="65">
        <f t="shared" si="7"/>
        <v>0</v>
      </c>
      <c r="S52" s="128"/>
    </row>
    <row r="53" spans="1:19" s="10" customFormat="1" ht="15">
      <c r="A53" s="13"/>
      <c r="B53" s="47"/>
      <c r="C53" s="52"/>
      <c r="D53" s="496"/>
      <c r="E53" s="497"/>
      <c r="F53" s="497"/>
      <c r="G53" s="498"/>
      <c r="H53" s="496"/>
      <c r="I53" s="497"/>
      <c r="J53" s="497"/>
      <c r="K53" s="498"/>
      <c r="L53" s="122"/>
      <c r="M53" s="50"/>
      <c r="N53" s="51"/>
      <c r="O53" s="65">
        <f t="shared" si="4"/>
        <v>0</v>
      </c>
      <c r="P53" s="65">
        <f t="shared" si="5"/>
        <v>0</v>
      </c>
      <c r="Q53" s="65">
        <f t="shared" si="6"/>
        <v>0</v>
      </c>
      <c r="R53" s="65">
        <f t="shared" si="7"/>
        <v>0</v>
      </c>
      <c r="S53" s="128"/>
    </row>
    <row r="54" spans="1:19" s="10" customFormat="1" ht="15">
      <c r="A54" s="13"/>
      <c r="B54" s="47"/>
      <c r="C54" s="52"/>
      <c r="D54" s="496"/>
      <c r="E54" s="497"/>
      <c r="F54" s="497"/>
      <c r="G54" s="498"/>
      <c r="H54" s="496"/>
      <c r="I54" s="497"/>
      <c r="J54" s="497"/>
      <c r="K54" s="498"/>
      <c r="L54" s="122"/>
      <c r="M54" s="50"/>
      <c r="N54" s="51"/>
      <c r="O54" s="65">
        <f t="shared" si="4"/>
        <v>0</v>
      </c>
      <c r="P54" s="65">
        <f t="shared" si="5"/>
        <v>0</v>
      </c>
      <c r="Q54" s="65">
        <f t="shared" si="6"/>
        <v>0</v>
      </c>
      <c r="R54" s="65">
        <f t="shared" si="7"/>
        <v>0</v>
      </c>
      <c r="S54" s="128"/>
    </row>
    <row r="55" spans="1:19" s="10" customFormat="1" ht="15">
      <c r="A55" s="13"/>
      <c r="B55" s="47"/>
      <c r="C55" s="52"/>
      <c r="D55" s="496"/>
      <c r="E55" s="497"/>
      <c r="F55" s="497"/>
      <c r="G55" s="498"/>
      <c r="H55" s="496"/>
      <c r="I55" s="497"/>
      <c r="J55" s="497"/>
      <c r="K55" s="498"/>
      <c r="L55" s="104"/>
      <c r="M55" s="50"/>
      <c r="N55" s="51"/>
      <c r="O55" s="65">
        <f t="shared" si="4"/>
        <v>0</v>
      </c>
      <c r="P55" s="65">
        <f t="shared" si="5"/>
        <v>0</v>
      </c>
      <c r="Q55" s="65">
        <f t="shared" si="6"/>
        <v>0</v>
      </c>
      <c r="R55" s="65">
        <f t="shared" si="7"/>
        <v>0</v>
      </c>
      <c r="S55" s="128"/>
    </row>
    <row r="56" spans="1:19" s="10" customFormat="1" ht="15">
      <c r="A56" s="13"/>
      <c r="B56" s="47"/>
      <c r="C56" s="53"/>
      <c r="D56" s="496"/>
      <c r="E56" s="497"/>
      <c r="F56" s="497"/>
      <c r="G56" s="498"/>
      <c r="H56" s="496"/>
      <c r="I56" s="497"/>
      <c r="J56" s="497"/>
      <c r="K56" s="498"/>
      <c r="L56" s="104"/>
      <c r="M56" s="65"/>
      <c r="N56" s="13"/>
      <c r="O56" s="65">
        <f t="shared" si="4"/>
        <v>0</v>
      </c>
      <c r="P56" s="65">
        <f t="shared" si="5"/>
        <v>0</v>
      </c>
      <c r="Q56" s="65">
        <f t="shared" si="6"/>
        <v>0</v>
      </c>
      <c r="R56" s="65">
        <f t="shared" si="7"/>
        <v>0</v>
      </c>
      <c r="S56" s="128"/>
    </row>
    <row r="57" spans="1:19" s="10" customFormat="1" ht="15">
      <c r="S57" s="128"/>
    </row>
    <row r="58" spans="1:19" s="10" customFormat="1" ht="15">
      <c r="S58" s="128"/>
    </row>
    <row r="59" spans="1:19" s="10" customFormat="1" ht="15">
      <c r="S59" s="128"/>
    </row>
    <row r="60" spans="1:19" s="10" customFormat="1" ht="15"/>
    <row r="61" spans="1:19" s="10" customFormat="1" ht="15"/>
    <row r="62" spans="1:19" s="10" customFormat="1" ht="15"/>
    <row r="63" spans="1:19" s="10" customFormat="1" ht="15"/>
    <row r="64" spans="1:19" s="10" customFormat="1" ht="15"/>
    <row r="65" s="10" customFormat="1" ht="15"/>
    <row r="66" s="10" customFormat="1" ht="15"/>
    <row r="67" s="10" customFormat="1" ht="15"/>
    <row r="68" s="10" customFormat="1" ht="15"/>
    <row r="69" s="10" customFormat="1" ht="15"/>
    <row r="70" s="10" customFormat="1" ht="15"/>
    <row r="71" s="10" customFormat="1" ht="15"/>
    <row r="72" s="10" customFormat="1" ht="15"/>
    <row r="73" s="10" customFormat="1" ht="15"/>
    <row r="74" s="10" customFormat="1" ht="15"/>
    <row r="75" s="10" customFormat="1" ht="15"/>
    <row r="76" s="10" customFormat="1" ht="15"/>
    <row r="77" s="10" customFormat="1" ht="15"/>
    <row r="78" s="10" customFormat="1" ht="15"/>
    <row r="79" s="10" customFormat="1" ht="15"/>
    <row r="80" s="10" customFormat="1" ht="15"/>
    <row r="81" s="10" customFormat="1" ht="15"/>
    <row r="82" s="10" customFormat="1" ht="15"/>
    <row r="83" s="10" customFormat="1" ht="15"/>
    <row r="84" s="10" customFormat="1" ht="15"/>
    <row r="85" s="10" customFormat="1" ht="15"/>
    <row r="86" s="10" customFormat="1" ht="15"/>
    <row r="87" s="10" customFormat="1" ht="15"/>
    <row r="88" s="10" customFormat="1" ht="15"/>
    <row r="89" s="10" customFormat="1" ht="15"/>
    <row r="90" s="10" customFormat="1" ht="15"/>
    <row r="91" s="10" customFormat="1" ht="15"/>
    <row r="92" s="10" customFormat="1" ht="15"/>
    <row r="93" s="10" customFormat="1" ht="15"/>
    <row r="94" s="10" customFormat="1" ht="15"/>
    <row r="95" s="10" customFormat="1" ht="15"/>
    <row r="96" s="10" customFormat="1" ht="15"/>
    <row r="97" s="10" customFormat="1" ht="15"/>
    <row r="98" s="10" customFormat="1" ht="15"/>
    <row r="99" s="10" customFormat="1" ht="15"/>
    <row r="100" s="10" customFormat="1" ht="15"/>
    <row r="101" s="10" customFormat="1" ht="15"/>
    <row r="102" s="10" customFormat="1" ht="15"/>
    <row r="103" s="10" customFormat="1" ht="15"/>
    <row r="104" s="10" customFormat="1" ht="15"/>
    <row r="105" s="10" customFormat="1" ht="15"/>
  </sheetData>
  <mergeCells count="105">
    <mergeCell ref="C43:C44"/>
    <mergeCell ref="C45:C46"/>
    <mergeCell ref="C47:C48"/>
    <mergeCell ref="B46:B48"/>
    <mergeCell ref="A28:A48"/>
    <mergeCell ref="P26:R26"/>
    <mergeCell ref="D52:G52"/>
    <mergeCell ref="D53:G53"/>
    <mergeCell ref="D54:G54"/>
    <mergeCell ref="H45:K45"/>
    <mergeCell ref="H46:K46"/>
    <mergeCell ref="H48:K48"/>
    <mergeCell ref="H49:K49"/>
    <mergeCell ref="H50:K50"/>
    <mergeCell ref="H51:K51"/>
    <mergeCell ref="H52:K52"/>
    <mergeCell ref="H53:K53"/>
    <mergeCell ref="H54:K54"/>
    <mergeCell ref="D46:G46"/>
    <mergeCell ref="D48:G48"/>
    <mergeCell ref="D49:G49"/>
    <mergeCell ref="D50:G50"/>
    <mergeCell ref="D51:G51"/>
    <mergeCell ref="B38:B40"/>
    <mergeCell ref="C38:C40"/>
    <mergeCell ref="B41:B42"/>
    <mergeCell ref="L26:L27"/>
    <mergeCell ref="D27:G27"/>
    <mergeCell ref="C41:C42"/>
    <mergeCell ref="D45:G45"/>
    <mergeCell ref="B43:B45"/>
    <mergeCell ref="C32:C33"/>
    <mergeCell ref="B32:B33"/>
    <mergeCell ref="B34:B35"/>
    <mergeCell ref="C34:C35"/>
    <mergeCell ref="B36:B37"/>
    <mergeCell ref="C36:C37"/>
    <mergeCell ref="D32:G32"/>
    <mergeCell ref="D36:G36"/>
    <mergeCell ref="H36:K36"/>
    <mergeCell ref="D30:G30"/>
    <mergeCell ref="H30:K30"/>
    <mergeCell ref="B30:B31"/>
    <mergeCell ref="C30:C31"/>
    <mergeCell ref="D31:G31"/>
    <mergeCell ref="H31:K31"/>
    <mergeCell ref="H34:K34"/>
    <mergeCell ref="D35:G35"/>
    <mergeCell ref="H35:K35"/>
    <mergeCell ref="T22:AA22"/>
    <mergeCell ref="A23:Q23"/>
    <mergeCell ref="M1:M2"/>
    <mergeCell ref="N1:Q1"/>
    <mergeCell ref="T1:AA2"/>
    <mergeCell ref="U3:U18"/>
    <mergeCell ref="W3:W18"/>
    <mergeCell ref="Y3:Y18"/>
    <mergeCell ref="AA3:AA18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  <mergeCell ref="A26:A27"/>
    <mergeCell ref="B26:B27"/>
    <mergeCell ref="C26:C27"/>
    <mergeCell ref="D26:K26"/>
    <mergeCell ref="H27:K27"/>
    <mergeCell ref="D28:G28"/>
    <mergeCell ref="H28:K28"/>
    <mergeCell ref="D29:G29"/>
    <mergeCell ref="H29:K29"/>
    <mergeCell ref="C28:C29"/>
    <mergeCell ref="B28:B29"/>
    <mergeCell ref="D47:G47"/>
    <mergeCell ref="D44:G44"/>
    <mergeCell ref="D39:G39"/>
    <mergeCell ref="D55:G55"/>
    <mergeCell ref="H55:K55"/>
    <mergeCell ref="D56:G56"/>
    <mergeCell ref="H56:K56"/>
    <mergeCell ref="M26:O26"/>
    <mergeCell ref="D41:G41"/>
    <mergeCell ref="H41:K41"/>
    <mergeCell ref="D42:G42"/>
    <mergeCell ref="H42:K42"/>
    <mergeCell ref="D43:G43"/>
    <mergeCell ref="H43:K43"/>
    <mergeCell ref="D37:G37"/>
    <mergeCell ref="H37:K37"/>
    <mergeCell ref="D38:G38"/>
    <mergeCell ref="H38:K38"/>
    <mergeCell ref="D40:G40"/>
    <mergeCell ref="H32:K32"/>
    <mergeCell ref="D33:G33"/>
    <mergeCell ref="H33:K33"/>
    <mergeCell ref="H40:K40"/>
    <mergeCell ref="D34:G3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selection activeCell="J36" sqref="J36"/>
    </sheetView>
  </sheetViews>
  <sheetFormatPr defaultRowHeight="15"/>
  <cols>
    <col min="1" max="1" width="5" style="10" bestFit="1" customWidth="1"/>
    <col min="2" max="2" width="7" style="10" bestFit="1" customWidth="1"/>
    <col min="3" max="3" width="3.88671875" style="10" bestFit="1" customWidth="1"/>
    <col min="4" max="4" width="7" style="10" bestFit="1" customWidth="1"/>
    <col min="5" max="6" width="3.88671875" style="10" bestFit="1" customWidth="1"/>
    <col min="7" max="8" width="7" style="10" bestFit="1" customWidth="1"/>
    <col min="9" max="10" width="3.88671875" style="10" bestFit="1" customWidth="1"/>
    <col min="11" max="12" width="4.88671875" style="10" bestFit="1" customWidth="1"/>
    <col min="13" max="13" width="8" style="10" bestFit="1" customWidth="1"/>
    <col min="14" max="14" width="8.109375" style="10" bestFit="1" customWidth="1"/>
    <col min="15" max="15" width="4.33203125" style="10" bestFit="1" customWidth="1"/>
    <col min="16" max="16" width="4" style="10" bestFit="1" customWidth="1"/>
    <col min="17" max="18" width="8.88671875" style="10"/>
    <col min="19" max="19" width="10.44140625" style="10" bestFit="1" customWidth="1"/>
    <col min="20" max="16384" width="8.88671875" style="10"/>
  </cols>
  <sheetData>
    <row r="1" spans="1:15" ht="12.75" customHeight="1">
      <c r="A1" s="103"/>
      <c r="B1" s="37" t="s">
        <v>4</v>
      </c>
      <c r="C1" s="110" t="s">
        <v>5</v>
      </c>
      <c r="D1" s="37" t="s">
        <v>6</v>
      </c>
      <c r="E1" s="111" t="s">
        <v>7</v>
      </c>
      <c r="F1" s="37" t="s">
        <v>2</v>
      </c>
      <c r="G1" s="110" t="s">
        <v>8</v>
      </c>
      <c r="H1" s="37" t="s">
        <v>9</v>
      </c>
      <c r="I1" s="111" t="s">
        <v>10</v>
      </c>
      <c r="J1" s="37" t="s">
        <v>11</v>
      </c>
      <c r="K1" s="110" t="s">
        <v>12</v>
      </c>
      <c r="L1" s="37" t="s">
        <v>13</v>
      </c>
      <c r="M1" s="111" t="s">
        <v>14</v>
      </c>
      <c r="N1" s="34" t="s">
        <v>3</v>
      </c>
    </row>
    <row r="2" spans="1:15">
      <c r="A2" s="11">
        <v>1998</v>
      </c>
      <c r="B2" s="12"/>
      <c r="C2" s="12"/>
      <c r="D2" s="12"/>
      <c r="E2" s="12"/>
      <c r="F2" s="12"/>
      <c r="G2" s="12"/>
      <c r="H2" s="12"/>
      <c r="I2" s="38"/>
      <c r="J2" s="19"/>
      <c r="K2" s="19"/>
      <c r="L2" s="19"/>
      <c r="M2" s="19"/>
      <c r="N2" s="19">
        <f t="shared" ref="N2:N17" si="0">SUM(B2:M2)</f>
        <v>0</v>
      </c>
    </row>
    <row r="3" spans="1:15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>
        <f t="shared" si="0"/>
        <v>0</v>
      </c>
      <c r="O3" s="16"/>
    </row>
    <row r="4" spans="1:15" ht="15" customHeight="1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9">
        <f t="shared" si="0"/>
        <v>0</v>
      </c>
      <c r="O4" s="16"/>
    </row>
    <row r="5" spans="1:15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>
        <f t="shared" si="0"/>
        <v>0</v>
      </c>
      <c r="O5" s="16"/>
    </row>
    <row r="6" spans="1:15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9">
        <f t="shared" si="0"/>
        <v>0</v>
      </c>
      <c r="O6" s="16"/>
    </row>
    <row r="7" spans="1:15" ht="15" customHeight="1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>
        <f t="shared" si="0"/>
        <v>0</v>
      </c>
      <c r="O7" s="16"/>
    </row>
    <row r="8" spans="1:15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>
        <f t="shared" si="0"/>
        <v>0</v>
      </c>
      <c r="O8" s="16"/>
    </row>
    <row r="9" spans="1:15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9">
        <f t="shared" si="0"/>
        <v>0</v>
      </c>
      <c r="O9" s="16"/>
    </row>
    <row r="10" spans="1:15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9">
        <f t="shared" si="0"/>
        <v>0</v>
      </c>
      <c r="O10" s="16"/>
    </row>
    <row r="11" spans="1:15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>
        <f t="shared" si="0"/>
        <v>0</v>
      </c>
      <c r="O11" s="16"/>
    </row>
    <row r="12" spans="1:15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>
        <f t="shared" si="0"/>
        <v>0</v>
      </c>
      <c r="O12" s="16"/>
    </row>
    <row r="13" spans="1:15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>
        <f t="shared" si="0"/>
        <v>0</v>
      </c>
      <c r="O13" s="16"/>
    </row>
    <row r="14" spans="1:15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>
        <f t="shared" si="0"/>
        <v>0</v>
      </c>
      <c r="O14" s="16"/>
    </row>
    <row r="15" spans="1:15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>
        <f t="shared" si="0"/>
        <v>0</v>
      </c>
      <c r="O15" s="16"/>
    </row>
    <row r="16" spans="1:15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9">
        <f t="shared" si="0"/>
        <v>0</v>
      </c>
      <c r="O16" s="16"/>
    </row>
    <row r="17" spans="1:19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/>
      <c r="N17" s="19">
        <f t="shared" si="0"/>
        <v>0</v>
      </c>
      <c r="O17" s="15" t="s">
        <v>1</v>
      </c>
      <c r="P17" s="15" t="s">
        <v>2</v>
      </c>
    </row>
    <row r="18" spans="1:19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>
        <f>SUM(N2:N17)</f>
        <v>0</v>
      </c>
      <c r="S18" s="20"/>
    </row>
    <row r="20" spans="1:19">
      <c r="N20" s="45"/>
      <c r="S20" s="20"/>
    </row>
    <row r="22" spans="1:19" ht="15.75" customHeight="1">
      <c r="A22" s="474" t="s">
        <v>85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</row>
    <row r="23" spans="1:19" ht="1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5" spans="1:19"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</row>
    <row r="26" spans="1:19">
      <c r="N26" s="16"/>
    </row>
    <row r="27" spans="1:19">
      <c r="N27" s="16"/>
    </row>
    <row r="28" spans="1:19">
      <c r="N28" s="16"/>
    </row>
    <row r="29" spans="1:19">
      <c r="N29" s="16"/>
    </row>
    <row r="30" spans="1:19">
      <c r="N30" s="16"/>
    </row>
    <row r="31" spans="1:19">
      <c r="N31" s="16"/>
    </row>
    <row r="32" spans="1:19">
      <c r="N32" s="16"/>
    </row>
  </sheetData>
  <mergeCells count="2">
    <mergeCell ref="B25:N25"/>
    <mergeCell ref="A22:N2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selection activeCell="J34" sqref="J34"/>
    </sheetView>
  </sheetViews>
  <sheetFormatPr defaultRowHeight="15"/>
  <cols>
    <col min="1" max="1" width="5" style="10" bestFit="1" customWidth="1"/>
    <col min="2" max="2" width="7" style="10" bestFit="1" customWidth="1"/>
    <col min="3" max="3" width="3.88671875" style="10" bestFit="1" customWidth="1"/>
    <col min="4" max="4" width="7" style="10" bestFit="1" customWidth="1"/>
    <col min="5" max="6" width="3.88671875" style="10" bestFit="1" customWidth="1"/>
    <col min="7" max="8" width="7" style="10" bestFit="1" customWidth="1"/>
    <col min="9" max="11" width="8" style="10" bestFit="1" customWidth="1"/>
    <col min="12" max="14" width="9" style="10" bestFit="1" customWidth="1"/>
    <col min="15" max="15" width="4.33203125" style="10" bestFit="1" customWidth="1"/>
    <col min="16" max="16" width="4" style="10" bestFit="1" customWidth="1"/>
    <col min="17" max="18" width="8.88671875" style="10"/>
    <col min="19" max="19" width="10.44140625" style="10" bestFit="1" customWidth="1"/>
    <col min="20" max="16384" width="8.88671875" style="10"/>
  </cols>
  <sheetData>
    <row r="1" spans="1:15" ht="12.75" customHeight="1">
      <c r="A1" s="103"/>
      <c r="B1" s="37" t="s">
        <v>4</v>
      </c>
      <c r="C1" s="110" t="s">
        <v>5</v>
      </c>
      <c r="D1" s="37" t="s">
        <v>6</v>
      </c>
      <c r="E1" s="111" t="s">
        <v>7</v>
      </c>
      <c r="F1" s="37" t="s">
        <v>2</v>
      </c>
      <c r="G1" s="110" t="s">
        <v>8</v>
      </c>
      <c r="H1" s="37" t="s">
        <v>9</v>
      </c>
      <c r="I1" s="111" t="s">
        <v>10</v>
      </c>
      <c r="J1" s="37" t="s">
        <v>11</v>
      </c>
      <c r="K1" s="110" t="s">
        <v>12</v>
      </c>
      <c r="L1" s="37" t="s">
        <v>13</v>
      </c>
      <c r="M1" s="111" t="s">
        <v>14</v>
      </c>
      <c r="N1" s="34" t="s">
        <v>3</v>
      </c>
    </row>
    <row r="2" spans="1:15">
      <c r="A2" s="11">
        <v>1998</v>
      </c>
      <c r="B2" s="12"/>
      <c r="C2" s="12"/>
      <c r="D2" s="12"/>
      <c r="E2" s="12"/>
      <c r="F2" s="12"/>
      <c r="G2" s="12"/>
      <c r="H2" s="12"/>
      <c r="I2" s="38">
        <v>17.61</v>
      </c>
      <c r="J2" s="38">
        <v>79.239999999999995</v>
      </c>
      <c r="K2" s="38">
        <v>23.48</v>
      </c>
      <c r="L2" s="38">
        <v>184.89</v>
      </c>
      <c r="M2" s="38">
        <v>205.43</v>
      </c>
      <c r="N2" s="38">
        <f t="shared" ref="N2:N17" si="0">SUM(B2:M2)</f>
        <v>510.65</v>
      </c>
    </row>
    <row r="3" spans="1:15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>
        <f t="shared" si="0"/>
        <v>0</v>
      </c>
      <c r="O3" s="16"/>
    </row>
    <row r="4" spans="1:15" ht="15" customHeight="1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9">
        <f t="shared" si="0"/>
        <v>0</v>
      </c>
      <c r="O4" s="16"/>
    </row>
    <row r="5" spans="1:15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>
        <f t="shared" si="0"/>
        <v>0</v>
      </c>
      <c r="O5" s="16"/>
    </row>
    <row r="6" spans="1:15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9">
        <f t="shared" si="0"/>
        <v>0</v>
      </c>
      <c r="O6" s="16"/>
    </row>
    <row r="7" spans="1:15" ht="15" customHeight="1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>
        <f t="shared" si="0"/>
        <v>0</v>
      </c>
      <c r="O7" s="16"/>
    </row>
    <row r="8" spans="1:15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>
        <f t="shared" si="0"/>
        <v>0</v>
      </c>
      <c r="O8" s="16"/>
    </row>
    <row r="9" spans="1:15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9">
        <f t="shared" si="0"/>
        <v>0</v>
      </c>
      <c r="O9" s="16"/>
    </row>
    <row r="10" spans="1:15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9">
        <f t="shared" si="0"/>
        <v>0</v>
      </c>
      <c r="O10" s="16"/>
    </row>
    <row r="11" spans="1:15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>
        <f t="shared" si="0"/>
        <v>0</v>
      </c>
      <c r="O11" s="16"/>
    </row>
    <row r="12" spans="1:15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>
        <f t="shared" si="0"/>
        <v>0</v>
      </c>
      <c r="O12" s="16"/>
    </row>
    <row r="13" spans="1:15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>
        <f t="shared" si="0"/>
        <v>0</v>
      </c>
      <c r="O13" s="16"/>
    </row>
    <row r="14" spans="1:15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>
        <f t="shared" si="0"/>
        <v>0</v>
      </c>
      <c r="O14" s="16"/>
    </row>
    <row r="15" spans="1:15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>
        <f t="shared" si="0"/>
        <v>0</v>
      </c>
      <c r="O15" s="16"/>
    </row>
    <row r="16" spans="1:15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9">
        <f t="shared" si="0"/>
        <v>0</v>
      </c>
      <c r="O16" s="16"/>
    </row>
    <row r="17" spans="1:19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/>
      <c r="N17" s="19">
        <f t="shared" si="0"/>
        <v>0</v>
      </c>
      <c r="O17" s="15" t="s">
        <v>1</v>
      </c>
      <c r="P17" s="15" t="s">
        <v>2</v>
      </c>
    </row>
    <row r="18" spans="1:19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>
        <f>SUM(N2:N17)</f>
        <v>510.65</v>
      </c>
      <c r="S18" s="20"/>
    </row>
    <row r="20" spans="1:19">
      <c r="N20" s="45"/>
      <c r="S20" s="20"/>
    </row>
    <row r="22" spans="1:19" ht="15.75" customHeight="1">
      <c r="A22" s="474" t="s">
        <v>86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</row>
    <row r="23" spans="1:19" ht="1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5" spans="1:19"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</row>
    <row r="26" spans="1:19">
      <c r="N26" s="16"/>
    </row>
    <row r="27" spans="1:19">
      <c r="N27" s="16"/>
    </row>
    <row r="28" spans="1:19">
      <c r="N28" s="16"/>
    </row>
    <row r="29" spans="1:19">
      <c r="N29" s="16"/>
    </row>
    <row r="30" spans="1:19">
      <c r="N30" s="16"/>
    </row>
    <row r="31" spans="1:19">
      <c r="N31" s="16"/>
    </row>
    <row r="32" spans="1:19">
      <c r="N32" s="16"/>
    </row>
  </sheetData>
  <mergeCells count="2">
    <mergeCell ref="B25:N25"/>
    <mergeCell ref="A22:N2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K81"/>
  <sheetViews>
    <sheetView topLeftCell="X1" workbookViewId="0">
      <selection activeCell="Q37" sqref="Q37"/>
    </sheetView>
  </sheetViews>
  <sheetFormatPr defaultRowHeight="12.75"/>
  <cols>
    <col min="1" max="1" width="3.88671875" style="2" bestFit="1" customWidth="1"/>
    <col min="2" max="2" width="3.6640625" style="2" customWidth="1"/>
    <col min="3" max="3" width="3.44140625" style="2" customWidth="1"/>
    <col min="4" max="4" width="5" style="2" bestFit="1" customWidth="1"/>
    <col min="5" max="5" width="6.109375" style="2" bestFit="1" customWidth="1"/>
    <col min="6" max="6" width="3.6640625" style="2" customWidth="1"/>
    <col min="7" max="7" width="3.44140625" style="2" customWidth="1"/>
    <col min="8" max="8" width="5" style="2" bestFit="1" customWidth="1"/>
    <col min="9" max="9" width="6.109375" style="2" bestFit="1" customWidth="1"/>
    <col min="10" max="10" width="3.6640625" style="2" customWidth="1"/>
    <col min="11" max="11" width="3.44140625" style="2" customWidth="1"/>
    <col min="12" max="12" width="5" style="2" bestFit="1" customWidth="1"/>
    <col min="13" max="13" width="6.109375" style="2" bestFit="1" customWidth="1"/>
    <col min="14" max="14" width="3.6640625" style="2" customWidth="1"/>
    <col min="15" max="15" width="3.44140625" style="2" customWidth="1"/>
    <col min="16" max="16" width="5" style="2" bestFit="1" customWidth="1"/>
    <col min="17" max="17" width="6.109375" style="2" bestFit="1" customWidth="1"/>
    <col min="18" max="18" width="3.6640625" style="2" customWidth="1"/>
    <col min="19" max="19" width="3.44140625" style="2" customWidth="1"/>
    <col min="20" max="20" width="5" style="2" bestFit="1" customWidth="1"/>
    <col min="21" max="21" width="6.109375" style="2" bestFit="1" customWidth="1"/>
    <col min="22" max="22" width="3.6640625" style="2" customWidth="1"/>
    <col min="23" max="23" width="3.44140625" style="2" customWidth="1"/>
    <col min="24" max="24" width="5" style="2" bestFit="1" customWidth="1"/>
    <col min="25" max="25" width="6.109375" style="2" bestFit="1" customWidth="1"/>
    <col min="26" max="26" width="3.6640625" style="2" customWidth="1"/>
    <col min="27" max="27" width="3.44140625" style="2" customWidth="1"/>
    <col min="28" max="28" width="5" style="2" bestFit="1" customWidth="1"/>
    <col min="29" max="29" width="6.109375" style="2" bestFit="1" customWidth="1"/>
    <col min="30" max="30" width="3.6640625" style="2" customWidth="1"/>
    <col min="31" max="31" width="3.44140625" style="2" customWidth="1"/>
    <col min="32" max="32" width="5" style="2" bestFit="1" customWidth="1"/>
    <col min="33" max="33" width="6.109375" style="2" bestFit="1" customWidth="1"/>
    <col min="34" max="34" width="3.6640625" style="2" customWidth="1"/>
    <col min="35" max="35" width="3.44140625" style="2" customWidth="1"/>
    <col min="36" max="36" width="5" style="2" bestFit="1" customWidth="1"/>
    <col min="37" max="37" width="6.109375" style="2" bestFit="1" customWidth="1"/>
    <col min="38" max="38" width="4.88671875" style="2" bestFit="1" customWidth="1"/>
    <col min="39" max="40" width="4.88671875" style="2" customWidth="1"/>
    <col min="41" max="41" width="6.109375" style="2" bestFit="1" customWidth="1"/>
    <col min="42" max="42" width="3.6640625" style="2" customWidth="1"/>
    <col min="43" max="43" width="3.44140625" style="2" customWidth="1"/>
    <col min="44" max="44" width="5" style="2" bestFit="1" customWidth="1"/>
    <col min="45" max="45" width="6.109375" style="2" bestFit="1" customWidth="1"/>
    <col min="46" max="46" width="3.6640625" style="2" customWidth="1"/>
    <col min="47" max="47" width="3.44140625" style="2" customWidth="1"/>
    <col min="48" max="48" width="5" style="2" bestFit="1" customWidth="1"/>
    <col min="49" max="49" width="6.109375" style="2" bestFit="1" customWidth="1"/>
    <col min="50" max="51" width="4.88671875" style="2" bestFit="1" customWidth="1"/>
    <col min="52" max="52" width="5" style="2" bestFit="1" customWidth="1"/>
    <col min="53" max="53" width="6.109375" style="2" bestFit="1" customWidth="1"/>
    <col min="54" max="54" width="3.5546875" style="2" bestFit="1" customWidth="1"/>
    <col min="55" max="55" width="3.21875" style="2" bestFit="1" customWidth="1"/>
    <col min="56" max="56" width="8.44140625" style="2" bestFit="1" customWidth="1"/>
    <col min="57" max="57" width="5.21875" style="2" bestFit="1" customWidth="1"/>
    <col min="58" max="58" width="8.44140625" style="2" bestFit="1" customWidth="1"/>
    <col min="59" max="59" width="5.44140625" style="2" bestFit="1" customWidth="1"/>
    <col min="60" max="60" width="9.21875" style="2" bestFit="1" customWidth="1"/>
    <col min="61" max="61" width="5.44140625" style="2" customWidth="1"/>
    <col min="62" max="62" width="9" style="2" bestFit="1" customWidth="1"/>
    <col min="63" max="63" width="6" style="2" customWidth="1"/>
    <col min="64" max="16384" width="8.88671875" style="2"/>
  </cols>
  <sheetData>
    <row r="1" spans="1:63" ht="15">
      <c r="A1" s="490" t="s">
        <v>18</v>
      </c>
      <c r="B1" s="574" t="s">
        <v>4</v>
      </c>
      <c r="C1" s="574"/>
      <c r="D1" s="574"/>
      <c r="E1" s="574"/>
      <c r="F1" s="575" t="s">
        <v>5</v>
      </c>
      <c r="G1" s="575"/>
      <c r="H1" s="575"/>
      <c r="I1" s="575"/>
      <c r="J1" s="574" t="s">
        <v>6</v>
      </c>
      <c r="K1" s="574"/>
      <c r="L1" s="574"/>
      <c r="M1" s="574"/>
      <c r="N1" s="575" t="s">
        <v>7</v>
      </c>
      <c r="O1" s="575"/>
      <c r="P1" s="575"/>
      <c r="Q1" s="575"/>
      <c r="R1" s="574" t="s">
        <v>2</v>
      </c>
      <c r="S1" s="574"/>
      <c r="T1" s="574"/>
      <c r="U1" s="574"/>
      <c r="V1" s="575" t="s">
        <v>8</v>
      </c>
      <c r="W1" s="575"/>
      <c r="X1" s="575"/>
      <c r="Y1" s="575"/>
      <c r="Z1" s="574" t="s">
        <v>9</v>
      </c>
      <c r="AA1" s="574"/>
      <c r="AB1" s="574"/>
      <c r="AC1" s="574"/>
      <c r="AD1" s="576" t="s">
        <v>10</v>
      </c>
      <c r="AE1" s="577"/>
      <c r="AF1" s="577"/>
      <c r="AG1" s="578"/>
      <c r="AH1" s="579" t="s">
        <v>11</v>
      </c>
      <c r="AI1" s="580"/>
      <c r="AJ1" s="580"/>
      <c r="AK1" s="581"/>
      <c r="AL1" s="576" t="s">
        <v>12</v>
      </c>
      <c r="AM1" s="577"/>
      <c r="AN1" s="577"/>
      <c r="AO1" s="578"/>
      <c r="AP1" s="579" t="s">
        <v>13</v>
      </c>
      <c r="AQ1" s="580"/>
      <c r="AR1" s="580"/>
      <c r="AS1" s="581"/>
      <c r="AT1" s="575" t="s">
        <v>14</v>
      </c>
      <c r="AU1" s="575"/>
      <c r="AV1" s="575"/>
      <c r="AW1" s="575"/>
      <c r="AX1" s="563" t="s">
        <v>16</v>
      </c>
      <c r="AY1" s="564"/>
      <c r="AZ1" s="564"/>
      <c r="BA1" s="565"/>
      <c r="BD1" s="107" t="s">
        <v>71</v>
      </c>
      <c r="BE1" s="107"/>
      <c r="BF1" s="107"/>
      <c r="BG1" s="107"/>
      <c r="BH1" s="107"/>
      <c r="BI1" s="107"/>
      <c r="BJ1" s="107"/>
      <c r="BK1" s="107"/>
    </row>
    <row r="2" spans="1:63" ht="15.75" customHeight="1" thickBot="1">
      <c r="A2" s="491"/>
      <c r="B2" s="87" t="s">
        <v>63</v>
      </c>
      <c r="C2" s="87" t="s">
        <v>56</v>
      </c>
      <c r="D2" s="87" t="s">
        <v>65</v>
      </c>
      <c r="E2" s="88" t="s">
        <v>64</v>
      </c>
      <c r="F2" s="87" t="s">
        <v>63</v>
      </c>
      <c r="G2" s="87" t="s">
        <v>56</v>
      </c>
      <c r="H2" s="87" t="s">
        <v>65</v>
      </c>
      <c r="I2" s="109" t="s">
        <v>64</v>
      </c>
      <c r="J2" s="87" t="s">
        <v>63</v>
      </c>
      <c r="K2" s="87" t="s">
        <v>56</v>
      </c>
      <c r="L2" s="87" t="s">
        <v>65</v>
      </c>
      <c r="M2" s="88" t="s">
        <v>64</v>
      </c>
      <c r="N2" s="87" t="s">
        <v>63</v>
      </c>
      <c r="O2" s="87" t="s">
        <v>56</v>
      </c>
      <c r="P2" s="87" t="s">
        <v>65</v>
      </c>
      <c r="Q2" s="109" t="s">
        <v>64</v>
      </c>
      <c r="R2" s="87" t="s">
        <v>63</v>
      </c>
      <c r="S2" s="87" t="s">
        <v>56</v>
      </c>
      <c r="T2" s="87" t="s">
        <v>65</v>
      </c>
      <c r="U2" s="88" t="s">
        <v>64</v>
      </c>
      <c r="V2" s="87" t="s">
        <v>63</v>
      </c>
      <c r="W2" s="87" t="s">
        <v>56</v>
      </c>
      <c r="X2" s="87" t="s">
        <v>65</v>
      </c>
      <c r="Y2" s="109" t="s">
        <v>64</v>
      </c>
      <c r="Z2" s="87" t="s">
        <v>63</v>
      </c>
      <c r="AA2" s="87" t="s">
        <v>56</v>
      </c>
      <c r="AB2" s="87" t="s">
        <v>65</v>
      </c>
      <c r="AC2" s="88" t="s">
        <v>64</v>
      </c>
      <c r="AD2" s="87" t="s">
        <v>63</v>
      </c>
      <c r="AE2" s="87" t="s">
        <v>56</v>
      </c>
      <c r="AF2" s="87" t="s">
        <v>65</v>
      </c>
      <c r="AG2" s="109" t="s">
        <v>64</v>
      </c>
      <c r="AH2" s="87" t="s">
        <v>63</v>
      </c>
      <c r="AI2" s="87" t="s">
        <v>56</v>
      </c>
      <c r="AJ2" s="87" t="s">
        <v>65</v>
      </c>
      <c r="AK2" s="88" t="s">
        <v>64</v>
      </c>
      <c r="AL2" s="87" t="s">
        <v>63</v>
      </c>
      <c r="AM2" s="87" t="s">
        <v>56</v>
      </c>
      <c r="AN2" s="87" t="s">
        <v>65</v>
      </c>
      <c r="AO2" s="109" t="s">
        <v>64</v>
      </c>
      <c r="AP2" s="87" t="s">
        <v>63</v>
      </c>
      <c r="AQ2" s="87" t="s">
        <v>56</v>
      </c>
      <c r="AR2" s="87" t="s">
        <v>65</v>
      </c>
      <c r="AS2" s="88" t="s">
        <v>64</v>
      </c>
      <c r="AT2" s="87" t="s">
        <v>63</v>
      </c>
      <c r="AU2" s="87" t="s">
        <v>56</v>
      </c>
      <c r="AV2" s="87" t="s">
        <v>65</v>
      </c>
      <c r="AW2" s="109" t="s">
        <v>64</v>
      </c>
      <c r="AX2" s="87" t="s">
        <v>63</v>
      </c>
      <c r="AY2" s="87" t="s">
        <v>56</v>
      </c>
      <c r="AZ2" s="87" t="s">
        <v>65</v>
      </c>
      <c r="BA2" s="88" t="s">
        <v>64</v>
      </c>
      <c r="BD2" s="107"/>
      <c r="BE2" s="107"/>
      <c r="BF2" s="107"/>
      <c r="BG2" s="107"/>
      <c r="BH2" s="107"/>
      <c r="BI2" s="107"/>
      <c r="BJ2" s="107"/>
      <c r="BK2" s="107"/>
    </row>
    <row r="3" spans="1:63" ht="12.75" customHeight="1">
      <c r="A3" s="7">
        <v>1998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59"/>
      <c r="AE3" s="59"/>
      <c r="AF3" s="59"/>
      <c r="AG3" s="59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59"/>
      <c r="AU3" s="59"/>
      <c r="AV3" s="59"/>
      <c r="AW3" s="59"/>
      <c r="AX3" s="59">
        <f>B3+F3+J3+N3+R3+V3+Z3+AD3+AH3+AL3+AP3+AT3</f>
        <v>0</v>
      </c>
      <c r="AY3" s="59">
        <f t="shared" ref="AY3:BA18" si="0">C3+G3+K3+O3+S3+W3+AA3+AE3+AI3+AM3+AQ3+AU3</f>
        <v>0</v>
      </c>
      <c r="AZ3" s="59">
        <f t="shared" si="0"/>
        <v>0</v>
      </c>
      <c r="BA3" s="59">
        <f t="shared" si="0"/>
        <v>0</v>
      </c>
      <c r="BD3" s="77"/>
      <c r="BE3" s="499" t="s">
        <v>67</v>
      </c>
      <c r="BF3" s="6"/>
      <c r="BG3" s="499" t="s">
        <v>68</v>
      </c>
      <c r="BH3" s="77"/>
      <c r="BI3" s="499" t="s">
        <v>69</v>
      </c>
      <c r="BJ3" s="77"/>
      <c r="BK3" s="499" t="s">
        <v>70</v>
      </c>
    </row>
    <row r="4" spans="1:63">
      <c r="A4" s="1">
        <v>1999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59"/>
      <c r="AV4" s="59"/>
      <c r="AW4" s="59"/>
      <c r="AX4" s="59">
        <f t="shared" ref="AX4:AX18" si="1">B4+F4+J4+N4+R4+V4+Z4+AD4+AH4+AL4+AP4+AT4</f>
        <v>0</v>
      </c>
      <c r="AY4" s="59">
        <f t="shared" si="0"/>
        <v>0</v>
      </c>
      <c r="AZ4" s="59">
        <f t="shared" si="0"/>
        <v>0</v>
      </c>
      <c r="BA4" s="59">
        <f t="shared" si="0"/>
        <v>0</v>
      </c>
      <c r="BD4" s="77"/>
      <c r="BE4" s="499"/>
      <c r="BF4" s="6"/>
      <c r="BG4" s="499"/>
      <c r="BH4" s="77"/>
      <c r="BI4" s="499"/>
      <c r="BJ4" s="77"/>
      <c r="BK4" s="499"/>
    </row>
    <row r="5" spans="1:63">
      <c r="A5" s="1">
        <v>2000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59"/>
      <c r="AV5" s="59"/>
      <c r="AW5" s="59"/>
      <c r="AX5" s="59">
        <f t="shared" si="1"/>
        <v>0</v>
      </c>
      <c r="AY5" s="59">
        <f t="shared" si="0"/>
        <v>0</v>
      </c>
      <c r="AZ5" s="59">
        <f t="shared" si="0"/>
        <v>0</v>
      </c>
      <c r="BA5" s="59">
        <f t="shared" si="0"/>
        <v>0</v>
      </c>
      <c r="BD5" s="77"/>
      <c r="BE5" s="499"/>
      <c r="BF5" s="6"/>
      <c r="BG5" s="499"/>
      <c r="BH5" s="77"/>
      <c r="BI5" s="499"/>
      <c r="BJ5" s="77"/>
      <c r="BK5" s="499"/>
    </row>
    <row r="6" spans="1:63">
      <c r="A6" s="1">
        <v>2001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59"/>
      <c r="AV6" s="59"/>
      <c r="AW6" s="59"/>
      <c r="AX6" s="59">
        <f t="shared" si="1"/>
        <v>0</v>
      </c>
      <c r="AY6" s="59">
        <f t="shared" si="0"/>
        <v>0</v>
      </c>
      <c r="AZ6" s="59">
        <f t="shared" si="0"/>
        <v>0</v>
      </c>
      <c r="BA6" s="59">
        <f t="shared" si="0"/>
        <v>0</v>
      </c>
      <c r="BD6" s="77"/>
      <c r="BE6" s="499"/>
      <c r="BF6" s="6"/>
      <c r="BG6" s="499"/>
      <c r="BH6" s="77"/>
      <c r="BI6" s="499"/>
      <c r="BJ6" s="77"/>
      <c r="BK6" s="499"/>
    </row>
    <row r="7" spans="1:63">
      <c r="A7" s="1">
        <v>2002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59"/>
      <c r="AV7" s="59"/>
      <c r="AW7" s="59"/>
      <c r="AX7" s="59">
        <f t="shared" si="1"/>
        <v>0</v>
      </c>
      <c r="AY7" s="59">
        <f t="shared" si="0"/>
        <v>0</v>
      </c>
      <c r="AZ7" s="59">
        <f t="shared" si="0"/>
        <v>0</v>
      </c>
      <c r="BA7" s="59">
        <f t="shared" si="0"/>
        <v>0</v>
      </c>
      <c r="BD7" s="77"/>
      <c r="BE7" s="499"/>
      <c r="BF7" s="6"/>
      <c r="BG7" s="499"/>
      <c r="BH7" s="77"/>
      <c r="BI7" s="499"/>
      <c r="BJ7" s="77"/>
      <c r="BK7" s="499"/>
    </row>
    <row r="8" spans="1:63">
      <c r="A8" s="1">
        <v>2003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112"/>
      <c r="AV8" s="112"/>
      <c r="AW8" s="112"/>
      <c r="AX8" s="59">
        <f t="shared" si="1"/>
        <v>0</v>
      </c>
      <c r="AY8" s="59">
        <f t="shared" si="0"/>
        <v>0</v>
      </c>
      <c r="AZ8" s="59">
        <f t="shared" si="0"/>
        <v>0</v>
      </c>
      <c r="BA8" s="59">
        <f t="shared" si="0"/>
        <v>0</v>
      </c>
      <c r="BD8" s="77"/>
      <c r="BE8" s="499"/>
      <c r="BF8" s="6"/>
      <c r="BG8" s="499"/>
      <c r="BH8" s="77"/>
      <c r="BI8" s="499"/>
      <c r="BJ8" s="77"/>
      <c r="BK8" s="499"/>
    </row>
    <row r="9" spans="1:63" ht="15" customHeight="1">
      <c r="A9" s="1">
        <v>2004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112"/>
      <c r="AV9" s="112"/>
      <c r="AW9" s="112"/>
      <c r="AX9" s="59">
        <f t="shared" si="1"/>
        <v>0</v>
      </c>
      <c r="AY9" s="59">
        <f t="shared" si="0"/>
        <v>0</v>
      </c>
      <c r="AZ9" s="59">
        <f t="shared" si="0"/>
        <v>0</v>
      </c>
      <c r="BA9" s="59">
        <f t="shared" si="0"/>
        <v>0</v>
      </c>
      <c r="BD9" s="77"/>
      <c r="BE9" s="499"/>
      <c r="BF9" s="6"/>
      <c r="BG9" s="499"/>
      <c r="BH9" s="77"/>
      <c r="BI9" s="499"/>
      <c r="BJ9" s="77"/>
      <c r="BK9" s="499"/>
    </row>
    <row r="10" spans="1:63" ht="15" customHeight="1">
      <c r="A10" s="1">
        <v>2005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59"/>
      <c r="AV10" s="59"/>
      <c r="AW10" s="59"/>
      <c r="AX10" s="59">
        <f t="shared" si="1"/>
        <v>0</v>
      </c>
      <c r="AY10" s="59">
        <f t="shared" si="0"/>
        <v>0</v>
      </c>
      <c r="AZ10" s="59">
        <f t="shared" si="0"/>
        <v>0</v>
      </c>
      <c r="BA10" s="59">
        <f t="shared" si="0"/>
        <v>0</v>
      </c>
      <c r="BD10" s="77"/>
      <c r="BE10" s="499"/>
      <c r="BF10" s="6"/>
      <c r="BG10" s="499"/>
      <c r="BH10" s="77"/>
      <c r="BI10" s="499"/>
      <c r="BJ10" s="77"/>
      <c r="BK10" s="499"/>
    </row>
    <row r="11" spans="1:63" ht="15" customHeight="1">
      <c r="A11" s="1">
        <v>2006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59"/>
      <c r="AV11" s="59"/>
      <c r="AW11" s="59"/>
      <c r="AX11" s="59">
        <f t="shared" si="1"/>
        <v>0</v>
      </c>
      <c r="AY11" s="59">
        <f t="shared" si="0"/>
        <v>0</v>
      </c>
      <c r="AZ11" s="59">
        <f t="shared" si="0"/>
        <v>0</v>
      </c>
      <c r="BA11" s="59">
        <f t="shared" si="0"/>
        <v>0</v>
      </c>
      <c r="BD11" s="77"/>
      <c r="BE11" s="499"/>
      <c r="BF11" s="6"/>
      <c r="BG11" s="499"/>
      <c r="BH11" s="77"/>
      <c r="BI11" s="499"/>
      <c r="BJ11" s="77"/>
      <c r="BK11" s="499"/>
    </row>
    <row r="12" spans="1:63">
      <c r="A12" s="1">
        <v>2007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59"/>
      <c r="AV12" s="59"/>
      <c r="AW12" s="59"/>
      <c r="AX12" s="59">
        <f t="shared" si="1"/>
        <v>0</v>
      </c>
      <c r="AY12" s="59">
        <f t="shared" si="0"/>
        <v>0</v>
      </c>
      <c r="AZ12" s="59">
        <f t="shared" si="0"/>
        <v>0</v>
      </c>
      <c r="BA12" s="59">
        <f t="shared" si="0"/>
        <v>0</v>
      </c>
      <c r="BD12" s="77"/>
      <c r="BE12" s="499"/>
      <c r="BF12" s="6"/>
      <c r="BG12" s="499"/>
      <c r="BH12" s="77"/>
      <c r="BI12" s="499"/>
      <c r="BJ12" s="78"/>
      <c r="BK12" s="499"/>
    </row>
    <row r="13" spans="1:63">
      <c r="A13" s="1">
        <v>2008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59"/>
      <c r="AV13" s="59"/>
      <c r="AW13" s="59"/>
      <c r="AX13" s="59">
        <f t="shared" si="1"/>
        <v>0</v>
      </c>
      <c r="AY13" s="59">
        <f t="shared" si="0"/>
        <v>0</v>
      </c>
      <c r="AZ13" s="59">
        <f t="shared" si="0"/>
        <v>0</v>
      </c>
      <c r="BA13" s="59">
        <f t="shared" si="0"/>
        <v>0</v>
      </c>
      <c r="BD13" s="77"/>
      <c r="BE13" s="499"/>
      <c r="BF13" s="6"/>
      <c r="BG13" s="499"/>
      <c r="BH13" s="77"/>
      <c r="BI13" s="499"/>
      <c r="BJ13" s="78"/>
      <c r="BK13" s="499"/>
    </row>
    <row r="14" spans="1:63">
      <c r="A14" s="1">
        <v>2009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59"/>
      <c r="AV14" s="59"/>
      <c r="AW14" s="59"/>
      <c r="AX14" s="59">
        <f t="shared" si="1"/>
        <v>0</v>
      </c>
      <c r="AY14" s="59">
        <f t="shared" si="0"/>
        <v>0</v>
      </c>
      <c r="AZ14" s="59">
        <f t="shared" si="0"/>
        <v>0</v>
      </c>
      <c r="BA14" s="59">
        <f t="shared" si="0"/>
        <v>0</v>
      </c>
      <c r="BD14" s="77"/>
      <c r="BE14" s="499"/>
      <c r="BF14" s="6"/>
      <c r="BG14" s="499"/>
      <c r="BH14" s="77"/>
      <c r="BI14" s="499"/>
      <c r="BJ14" s="78"/>
      <c r="BK14" s="499"/>
    </row>
    <row r="15" spans="1:63">
      <c r="A15" s="1">
        <v>2010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59"/>
      <c r="AV15" s="59"/>
      <c r="AW15" s="59"/>
      <c r="AX15" s="59">
        <f t="shared" si="1"/>
        <v>0</v>
      </c>
      <c r="AY15" s="59">
        <f t="shared" si="0"/>
        <v>0</v>
      </c>
      <c r="AZ15" s="59">
        <f t="shared" si="0"/>
        <v>0</v>
      </c>
      <c r="BA15" s="59">
        <f t="shared" si="0"/>
        <v>0</v>
      </c>
      <c r="BD15" s="77"/>
      <c r="BE15" s="499"/>
      <c r="BF15" s="6"/>
      <c r="BG15" s="499"/>
      <c r="BH15" s="77"/>
      <c r="BI15" s="499"/>
      <c r="BJ15" s="78"/>
      <c r="BK15" s="499"/>
    </row>
    <row r="16" spans="1:63">
      <c r="A16" s="1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59"/>
      <c r="AV16" s="59"/>
      <c r="AW16" s="59"/>
      <c r="AX16" s="59">
        <f t="shared" si="1"/>
        <v>0</v>
      </c>
      <c r="AY16" s="59">
        <f t="shared" si="0"/>
        <v>0</v>
      </c>
      <c r="AZ16" s="59">
        <f t="shared" si="0"/>
        <v>0</v>
      </c>
      <c r="BA16" s="59">
        <f t="shared" si="0"/>
        <v>0</v>
      </c>
      <c r="BD16" s="77"/>
      <c r="BE16" s="499"/>
      <c r="BF16" s="6"/>
      <c r="BG16" s="499"/>
      <c r="BH16" s="77"/>
      <c r="BI16" s="499"/>
      <c r="BJ16" s="78"/>
      <c r="BK16" s="499"/>
    </row>
    <row r="17" spans="1:63">
      <c r="A17" s="1">
        <v>2012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59"/>
      <c r="AV17" s="59"/>
      <c r="AW17" s="59"/>
      <c r="AX17" s="59">
        <f t="shared" si="1"/>
        <v>0</v>
      </c>
      <c r="AY17" s="59">
        <f t="shared" si="0"/>
        <v>0</v>
      </c>
      <c r="AZ17" s="59">
        <f t="shared" si="0"/>
        <v>0</v>
      </c>
      <c r="BA17" s="59">
        <f t="shared" si="0"/>
        <v>0</v>
      </c>
      <c r="BD17" s="77"/>
      <c r="BE17" s="499"/>
      <c r="BF17" s="6"/>
      <c r="BG17" s="499"/>
      <c r="BH17" s="77"/>
      <c r="BI17" s="499"/>
      <c r="BJ17" s="78"/>
      <c r="BK17" s="499"/>
    </row>
    <row r="18" spans="1:63">
      <c r="A18" s="1">
        <v>2013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9"/>
      <c r="AV18" s="9"/>
      <c r="AW18" s="9"/>
      <c r="AX18" s="59">
        <f t="shared" si="1"/>
        <v>0</v>
      </c>
      <c r="AY18" s="59">
        <f t="shared" si="0"/>
        <v>0</v>
      </c>
      <c r="AZ18" s="59">
        <f t="shared" si="0"/>
        <v>0</v>
      </c>
      <c r="BA18" s="59">
        <f t="shared" si="0"/>
        <v>0</v>
      </c>
      <c r="BB18" s="5" t="s">
        <v>1</v>
      </c>
      <c r="BC18" s="5" t="s">
        <v>2</v>
      </c>
      <c r="BD18" s="77"/>
      <c r="BE18" s="499"/>
      <c r="BF18" s="6"/>
      <c r="BG18" s="499"/>
      <c r="BH18" s="77"/>
      <c r="BI18" s="499"/>
      <c r="BJ18" s="78"/>
      <c r="BK18" s="499"/>
    </row>
    <row r="19" spans="1:63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3">
        <f>SUM(AX3:AX18)</f>
        <v>0</v>
      </c>
      <c r="AY19" s="3">
        <f t="shared" ref="AY19:BA19" si="2">SUM(AY3:AY18)</f>
        <v>0</v>
      </c>
      <c r="AZ19" s="3">
        <f t="shared" si="2"/>
        <v>0</v>
      </c>
      <c r="BA19" s="3">
        <f t="shared" si="2"/>
        <v>0</v>
      </c>
      <c r="BD19" s="4">
        <f>SUM(BD3:BD18)</f>
        <v>0</v>
      </c>
      <c r="BF19" s="48">
        <f>SUM(BF3:BF18)</f>
        <v>0</v>
      </c>
      <c r="BH19" s="48">
        <f>SUM(BH3:BH18)</f>
        <v>0</v>
      </c>
      <c r="BJ19" s="4">
        <f>SUM(BJ3:BJ18)</f>
        <v>0</v>
      </c>
    </row>
    <row r="22" spans="1:63" s="10" customFormat="1" ht="15">
      <c r="A22"/>
      <c r="BD22" s="108"/>
      <c r="BE22" s="537" t="s">
        <v>66</v>
      </c>
      <c r="BF22" s="537"/>
      <c r="BG22" s="537"/>
      <c r="BH22" s="537"/>
      <c r="BI22" s="537"/>
      <c r="BJ22" s="537"/>
      <c r="BK22" s="537"/>
    </row>
    <row r="23" spans="1:63" s="10" customFormat="1" ht="15.75" customHeight="1">
      <c r="A23" s="474" t="s">
        <v>87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474"/>
      <c r="S23" s="474"/>
      <c r="T23" s="474"/>
      <c r="U23" s="474"/>
      <c r="V23" s="474"/>
      <c r="W23" s="474"/>
      <c r="X23" s="474"/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4"/>
      <c r="AL23" s="474"/>
      <c r="AM23" s="474"/>
      <c r="AN23" s="474"/>
      <c r="AO23" s="474"/>
      <c r="AP23" s="474"/>
      <c r="AQ23" s="474"/>
      <c r="AR23" s="474"/>
      <c r="AS23" s="474"/>
      <c r="AT23" s="474"/>
      <c r="AU23" s="474"/>
      <c r="AV23" s="474"/>
      <c r="AW23" s="474"/>
      <c r="AX23" s="474"/>
      <c r="AY23" s="474"/>
      <c r="AZ23" s="474"/>
      <c r="BA23" s="474"/>
      <c r="BB23" s="60"/>
      <c r="BC23" s="60"/>
      <c r="BD23" s="60"/>
      <c r="BE23" s="60"/>
      <c r="BF23" s="60"/>
      <c r="BG23" s="60"/>
    </row>
    <row r="24" spans="1:63" s="10" customFormat="1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</row>
    <row r="25" spans="1:63" s="10" customFormat="1" ht="15"/>
    <row r="26" spans="1:63" s="10" customFormat="1" ht="15"/>
    <row r="27" spans="1:63" s="10" customFormat="1" ht="15"/>
    <row r="28" spans="1:63" s="10" customFormat="1" ht="15"/>
    <row r="29" spans="1:63" s="10" customFormat="1" ht="15"/>
    <row r="30" spans="1:63" s="10" customFormat="1" ht="15"/>
    <row r="31" spans="1:63" s="10" customFormat="1" ht="15"/>
    <row r="32" spans="1:63" s="10" customFormat="1" ht="15"/>
    <row r="33" s="10" customFormat="1" ht="15"/>
    <row r="34" s="10" customFormat="1" ht="15"/>
    <row r="35" s="10" customFormat="1" ht="15"/>
    <row r="36" s="10" customFormat="1" ht="15"/>
    <row r="37" s="10" customFormat="1" ht="15"/>
    <row r="38" s="10" customFormat="1" ht="15"/>
    <row r="39" s="10" customFormat="1" ht="15"/>
    <row r="40" s="10" customFormat="1" ht="15"/>
    <row r="41" s="10" customFormat="1" ht="15"/>
    <row r="42" s="10" customFormat="1" ht="15"/>
    <row r="43" s="10" customFormat="1" ht="15"/>
    <row r="44" s="10" customFormat="1" ht="15"/>
    <row r="45" s="10" customFormat="1" ht="15"/>
    <row r="46" s="10" customFormat="1" ht="15"/>
    <row r="47" s="10" customFormat="1" ht="15"/>
    <row r="48" s="10" customFormat="1" ht="15"/>
    <row r="49" s="10" customFormat="1" ht="15"/>
    <row r="50" s="10" customFormat="1" ht="15"/>
    <row r="51" s="10" customFormat="1" ht="15"/>
    <row r="52" s="10" customFormat="1" ht="15"/>
    <row r="53" s="10" customFormat="1" ht="15"/>
    <row r="54" s="10" customFormat="1" ht="15"/>
    <row r="55" s="10" customFormat="1" ht="15"/>
    <row r="56" s="10" customFormat="1" ht="15"/>
    <row r="57" s="10" customFormat="1" ht="15"/>
    <row r="58" s="10" customFormat="1" ht="15"/>
    <row r="59" s="10" customFormat="1" ht="15"/>
    <row r="60" s="10" customFormat="1" ht="15"/>
    <row r="61" s="10" customFormat="1" ht="15"/>
    <row r="62" s="10" customFormat="1" ht="15"/>
    <row r="63" s="10" customFormat="1" ht="15"/>
    <row r="64" s="10" customFormat="1" ht="15"/>
    <row r="65" s="10" customFormat="1" ht="15"/>
    <row r="66" s="10" customFormat="1" ht="15"/>
    <row r="67" s="10" customFormat="1" ht="15"/>
    <row r="68" s="10" customFormat="1" ht="15"/>
    <row r="69" s="10" customFormat="1" ht="15"/>
    <row r="70" s="10" customFormat="1" ht="15"/>
    <row r="71" s="10" customFormat="1" ht="15"/>
    <row r="72" s="10" customFormat="1" ht="15"/>
    <row r="73" s="10" customFormat="1" ht="15"/>
    <row r="74" s="10" customFormat="1" ht="15"/>
    <row r="75" s="10" customFormat="1" ht="15"/>
    <row r="76" s="10" customFormat="1" ht="15"/>
    <row r="77" s="10" customFormat="1" ht="15"/>
    <row r="78" s="10" customFormat="1" ht="15"/>
    <row r="79" s="10" customFormat="1" ht="15"/>
    <row r="80" s="10" customFormat="1" ht="15"/>
    <row r="81" s="10" customFormat="1" ht="15"/>
  </sheetData>
  <mergeCells count="20">
    <mergeCell ref="B1:E1"/>
    <mergeCell ref="F1:I1"/>
    <mergeCell ref="J1:M1"/>
    <mergeCell ref="N1:Q1"/>
    <mergeCell ref="R1:U1"/>
    <mergeCell ref="BE22:BK22"/>
    <mergeCell ref="BI3:BI18"/>
    <mergeCell ref="BK3:BK18"/>
    <mergeCell ref="A23:BA23"/>
    <mergeCell ref="AT1:AW1"/>
    <mergeCell ref="AX1:BA1"/>
    <mergeCell ref="BE3:BE18"/>
    <mergeCell ref="BG3:BG18"/>
    <mergeCell ref="V1:Y1"/>
    <mergeCell ref="Z1:AC1"/>
    <mergeCell ref="AD1:AG1"/>
    <mergeCell ref="AH1:AK1"/>
    <mergeCell ref="AL1:AO1"/>
    <mergeCell ref="AP1:AS1"/>
    <mergeCell ref="A1:A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selection activeCell="K33" sqref="K33"/>
    </sheetView>
  </sheetViews>
  <sheetFormatPr defaultRowHeight="15"/>
  <cols>
    <col min="1" max="1" width="5" style="10" bestFit="1" customWidth="1"/>
    <col min="2" max="2" width="7" style="10" bestFit="1" customWidth="1"/>
    <col min="3" max="3" width="3.88671875" style="10" bestFit="1" customWidth="1"/>
    <col min="4" max="4" width="7" style="10" bestFit="1" customWidth="1"/>
    <col min="5" max="6" width="3.88671875" style="10" bestFit="1" customWidth="1"/>
    <col min="7" max="8" width="7" style="10" bestFit="1" customWidth="1"/>
    <col min="9" max="10" width="3.88671875" style="10" bestFit="1" customWidth="1"/>
    <col min="11" max="12" width="4.88671875" style="10" bestFit="1" customWidth="1"/>
    <col min="13" max="13" width="8" style="10" bestFit="1" customWidth="1"/>
    <col min="14" max="14" width="8.109375" style="10" bestFit="1" customWidth="1"/>
    <col min="15" max="15" width="4.33203125" style="10" bestFit="1" customWidth="1"/>
    <col min="16" max="16" width="4" style="10" bestFit="1" customWidth="1"/>
    <col min="17" max="18" width="8.88671875" style="10"/>
    <col min="19" max="19" width="10.44140625" style="10" bestFit="1" customWidth="1"/>
    <col min="20" max="16384" width="8.88671875" style="10"/>
  </cols>
  <sheetData>
    <row r="1" spans="1:15" ht="12.75" customHeight="1">
      <c r="A1" s="103"/>
      <c r="B1" s="37" t="s">
        <v>4</v>
      </c>
      <c r="C1" s="110" t="s">
        <v>5</v>
      </c>
      <c r="D1" s="37" t="s">
        <v>6</v>
      </c>
      <c r="E1" s="111" t="s">
        <v>7</v>
      </c>
      <c r="F1" s="37" t="s">
        <v>2</v>
      </c>
      <c r="G1" s="110" t="s">
        <v>8</v>
      </c>
      <c r="H1" s="37" t="s">
        <v>9</v>
      </c>
      <c r="I1" s="111" t="s">
        <v>10</v>
      </c>
      <c r="J1" s="37" t="s">
        <v>11</v>
      </c>
      <c r="K1" s="110" t="s">
        <v>12</v>
      </c>
      <c r="L1" s="37" t="s">
        <v>13</v>
      </c>
      <c r="M1" s="111" t="s">
        <v>14</v>
      </c>
      <c r="N1" s="34" t="s">
        <v>3</v>
      </c>
    </row>
    <row r="2" spans="1:15">
      <c r="A2" s="11">
        <v>1998</v>
      </c>
      <c r="B2" s="12"/>
      <c r="C2" s="12"/>
      <c r="D2" s="12"/>
      <c r="E2" s="12"/>
      <c r="F2" s="12"/>
      <c r="G2" s="12"/>
      <c r="H2" s="12"/>
      <c r="I2" s="19"/>
      <c r="J2" s="19"/>
      <c r="K2" s="19"/>
      <c r="L2" s="19"/>
      <c r="M2" s="19"/>
      <c r="N2" s="19">
        <f t="shared" ref="N2:N17" si="0">SUM(B2:M2)</f>
        <v>0</v>
      </c>
    </row>
    <row r="3" spans="1:15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>
        <f t="shared" si="0"/>
        <v>0</v>
      </c>
      <c r="O3" s="16"/>
    </row>
    <row r="4" spans="1:15" ht="15" customHeight="1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9">
        <f t="shared" si="0"/>
        <v>0</v>
      </c>
      <c r="O4" s="16"/>
    </row>
    <row r="5" spans="1:15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>
        <f t="shared" si="0"/>
        <v>0</v>
      </c>
      <c r="O5" s="16"/>
    </row>
    <row r="6" spans="1:15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9">
        <f t="shared" si="0"/>
        <v>0</v>
      </c>
      <c r="O6" s="16"/>
    </row>
    <row r="7" spans="1:15" ht="15" customHeight="1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>
        <f t="shared" si="0"/>
        <v>0</v>
      </c>
      <c r="O7" s="16"/>
    </row>
    <row r="8" spans="1:15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>
        <f t="shared" si="0"/>
        <v>0</v>
      </c>
      <c r="O8" s="16"/>
    </row>
    <row r="9" spans="1:15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9">
        <f t="shared" si="0"/>
        <v>0</v>
      </c>
      <c r="O9" s="16"/>
    </row>
    <row r="10" spans="1:15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9">
        <f t="shared" si="0"/>
        <v>0</v>
      </c>
      <c r="O10" s="16"/>
    </row>
    <row r="11" spans="1:15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>
        <f t="shared" si="0"/>
        <v>0</v>
      </c>
      <c r="O11" s="16"/>
    </row>
    <row r="12" spans="1:15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>
        <f t="shared" si="0"/>
        <v>0</v>
      </c>
      <c r="O12" s="16"/>
    </row>
    <row r="13" spans="1:15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>
        <f t="shared" si="0"/>
        <v>0</v>
      </c>
      <c r="O13" s="16"/>
    </row>
    <row r="14" spans="1:15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>
        <f t="shared" si="0"/>
        <v>0</v>
      </c>
      <c r="O14" s="16"/>
    </row>
    <row r="15" spans="1:15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>
        <f t="shared" si="0"/>
        <v>0</v>
      </c>
      <c r="O15" s="16"/>
    </row>
    <row r="16" spans="1:15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9">
        <f t="shared" si="0"/>
        <v>0</v>
      </c>
      <c r="O16" s="16"/>
    </row>
    <row r="17" spans="1:19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/>
      <c r="N17" s="19">
        <f t="shared" si="0"/>
        <v>0</v>
      </c>
      <c r="O17" s="15" t="s">
        <v>1</v>
      </c>
      <c r="P17" s="15" t="s">
        <v>2</v>
      </c>
    </row>
    <row r="18" spans="1:19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>
        <f>SUM(N2:N17)</f>
        <v>0</v>
      </c>
      <c r="S18" s="20"/>
    </row>
    <row r="20" spans="1:19">
      <c r="N20" s="45"/>
      <c r="S20" s="20"/>
    </row>
    <row r="22" spans="1:19" ht="15.75" customHeight="1">
      <c r="A22" s="474" t="s">
        <v>89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</row>
    <row r="23" spans="1:19" ht="1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5" spans="1:19"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</row>
    <row r="26" spans="1:19">
      <c r="N26" s="16"/>
    </row>
    <row r="27" spans="1:19">
      <c r="N27" s="16"/>
    </row>
    <row r="28" spans="1:19">
      <c r="N28" s="16"/>
    </row>
    <row r="29" spans="1:19">
      <c r="N29" s="16"/>
    </row>
    <row r="30" spans="1:19">
      <c r="N30" s="16"/>
    </row>
    <row r="31" spans="1:19">
      <c r="N31" s="16"/>
    </row>
    <row r="32" spans="1:19">
      <c r="N32" s="16"/>
    </row>
  </sheetData>
  <mergeCells count="2">
    <mergeCell ref="A22:N22"/>
    <mergeCell ref="B25:N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Y43"/>
  <sheetViews>
    <sheetView workbookViewId="0">
      <selection activeCell="J32" sqref="J32"/>
    </sheetView>
  </sheetViews>
  <sheetFormatPr defaultRowHeight="15"/>
  <cols>
    <col min="1" max="1" width="5" style="10" bestFit="1" customWidth="1"/>
    <col min="2" max="2" width="4" style="10" bestFit="1" customWidth="1"/>
    <col min="3" max="3" width="7.109375" style="10" bestFit="1" customWidth="1"/>
    <col min="4" max="4" width="6.5546875" style="10" bestFit="1" customWidth="1"/>
    <col min="5" max="5" width="4.88671875" style="10" customWidth="1"/>
    <col min="6" max="6" width="5.33203125" style="10" customWidth="1"/>
    <col min="7" max="7" width="5.5546875" style="10" bestFit="1" customWidth="1"/>
    <col min="8" max="8" width="5.33203125" style="10" bestFit="1" customWidth="1"/>
    <col min="9" max="10" width="10.44140625" style="10" bestFit="1" customWidth="1"/>
    <col min="11" max="13" width="11.44140625" style="10" bestFit="1" customWidth="1"/>
    <col min="14" max="14" width="12.44140625" style="10" bestFit="1" customWidth="1"/>
    <col min="15" max="15" width="16.5546875" style="10" customWidth="1"/>
    <col min="16" max="16" width="11.44140625" style="10" bestFit="1" customWidth="1"/>
    <col min="17" max="17" width="14.109375" style="10" bestFit="1" customWidth="1"/>
    <col min="18" max="19" width="9.44140625" style="10" customWidth="1"/>
    <col min="20" max="20" width="12.44140625" style="10" bestFit="1" customWidth="1"/>
    <col min="21" max="16384" width="8.88671875" style="10"/>
  </cols>
  <sheetData>
    <row r="1" spans="1:20">
      <c r="A1" s="132"/>
      <c r="B1" s="37" t="s">
        <v>4</v>
      </c>
      <c r="C1" s="137" t="s">
        <v>5</v>
      </c>
      <c r="D1" s="37" t="s">
        <v>6</v>
      </c>
      <c r="E1" s="138" t="s">
        <v>7</v>
      </c>
      <c r="F1" s="37" t="s">
        <v>2</v>
      </c>
      <c r="G1" s="137" t="s">
        <v>8</v>
      </c>
      <c r="H1" s="37" t="s">
        <v>9</v>
      </c>
      <c r="I1" s="138" t="s">
        <v>10</v>
      </c>
      <c r="J1" s="37" t="s">
        <v>11</v>
      </c>
      <c r="K1" s="137" t="s">
        <v>12</v>
      </c>
      <c r="L1" s="37" t="s">
        <v>13</v>
      </c>
      <c r="M1" s="138" t="s">
        <v>14</v>
      </c>
      <c r="N1" s="145" t="s">
        <v>3</v>
      </c>
      <c r="Q1" s="128" t="s">
        <v>124</v>
      </c>
      <c r="R1" s="161" t="s">
        <v>1</v>
      </c>
      <c r="S1" s="161" t="s">
        <v>126</v>
      </c>
      <c r="T1" s="128" t="s">
        <v>125</v>
      </c>
    </row>
    <row r="2" spans="1:20">
      <c r="A2" s="11">
        <v>1998</v>
      </c>
      <c r="B2" s="12"/>
      <c r="C2" s="12"/>
      <c r="D2" s="12"/>
      <c r="E2" s="12"/>
      <c r="F2" s="12"/>
      <c r="G2" s="12"/>
      <c r="H2" s="12"/>
      <c r="I2" s="38">
        <v>129.13</v>
      </c>
      <c r="J2" s="38">
        <v>633.9</v>
      </c>
      <c r="K2" s="38">
        <v>500.37</v>
      </c>
      <c r="L2" s="38">
        <v>403.52</v>
      </c>
      <c r="M2" s="38">
        <v>1097.58</v>
      </c>
      <c r="N2" s="38">
        <f t="shared" ref="N2:N17" si="0">SUM(B2:M2)</f>
        <v>2764.5</v>
      </c>
      <c r="Q2" s="16">
        <f>N2/240</f>
        <v>11.518750000000001</v>
      </c>
      <c r="R2" s="160">
        <v>240</v>
      </c>
      <c r="S2" s="160"/>
      <c r="T2" s="20">
        <f>N2/4</f>
        <v>691.125</v>
      </c>
    </row>
    <row r="3" spans="1:20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>
        <f>Q3</f>
        <v>6600.2437500000005</v>
      </c>
      <c r="N3" s="19">
        <f t="shared" si="0"/>
        <v>6600.2437500000005</v>
      </c>
      <c r="O3" s="16"/>
      <c r="Q3" s="16">
        <f>S3*Q2</f>
        <v>6600.2437500000005</v>
      </c>
      <c r="R3" s="55">
        <v>813</v>
      </c>
      <c r="S3" s="55">
        <f>R3-R2</f>
        <v>573</v>
      </c>
      <c r="T3" s="20">
        <f>T2*12</f>
        <v>8293.5</v>
      </c>
    </row>
    <row r="4" spans="1:20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>
        <f t="shared" ref="M4:M9" si="1">Q4</f>
        <v>6577.2062500000002</v>
      </c>
      <c r="N4" s="19">
        <f t="shared" si="0"/>
        <v>6577.2062500000002</v>
      </c>
      <c r="O4" s="16"/>
      <c r="Q4" s="16">
        <f>S4*Q2</f>
        <v>6577.2062500000002</v>
      </c>
      <c r="R4" s="55">
        <v>1384</v>
      </c>
      <c r="S4" s="55">
        <f t="shared" ref="S4:S17" si="2">R4-R3</f>
        <v>571</v>
      </c>
      <c r="T4" s="20">
        <v>8293.5</v>
      </c>
    </row>
    <row r="5" spans="1:20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>
        <f t="shared" si="1"/>
        <v>6600.2437500000005</v>
      </c>
      <c r="N5" s="19">
        <f t="shared" si="0"/>
        <v>6600.2437500000005</v>
      </c>
      <c r="O5" s="16"/>
      <c r="Q5" s="16">
        <f>S5*Q2</f>
        <v>6600.2437500000005</v>
      </c>
      <c r="R5" s="55">
        <v>1957</v>
      </c>
      <c r="S5" s="55">
        <f t="shared" si="2"/>
        <v>573</v>
      </c>
      <c r="T5" s="20">
        <v>8293.5</v>
      </c>
    </row>
    <row r="6" spans="1:20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>
        <f t="shared" si="1"/>
        <v>7498.7062500000002</v>
      </c>
      <c r="N6" s="19">
        <f t="shared" si="0"/>
        <v>7498.7062500000002</v>
      </c>
      <c r="O6" s="16"/>
      <c r="Q6" s="16">
        <f>S6*Q2</f>
        <v>7498.7062500000002</v>
      </c>
      <c r="R6" s="55">
        <v>2608</v>
      </c>
      <c r="S6" s="55">
        <f t="shared" si="2"/>
        <v>651</v>
      </c>
      <c r="T6" s="20">
        <v>8293.5</v>
      </c>
    </row>
    <row r="7" spans="1:20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7"/>
      <c r="M7" s="17">
        <f t="shared" si="1"/>
        <v>11092.556250000001</v>
      </c>
      <c r="N7" s="19">
        <f t="shared" si="0"/>
        <v>11092.556250000001</v>
      </c>
      <c r="O7" s="16"/>
      <c r="Q7" s="16">
        <f>S7*Q2</f>
        <v>11092.556250000001</v>
      </c>
      <c r="R7" s="55">
        <v>3571</v>
      </c>
      <c r="S7" s="55">
        <f t="shared" si="2"/>
        <v>963</v>
      </c>
      <c r="T7" s="20">
        <v>8293.5</v>
      </c>
    </row>
    <row r="8" spans="1:20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7"/>
      <c r="M8" s="17">
        <f t="shared" si="1"/>
        <v>11334.45</v>
      </c>
      <c r="N8" s="19">
        <f t="shared" si="0"/>
        <v>11334.45</v>
      </c>
      <c r="O8" s="16"/>
      <c r="Q8" s="16">
        <f>S8*Q2</f>
        <v>11334.45</v>
      </c>
      <c r="R8" s="55">
        <v>4555</v>
      </c>
      <c r="S8" s="55">
        <f t="shared" si="2"/>
        <v>984</v>
      </c>
      <c r="T8" s="20">
        <v>8293.5</v>
      </c>
    </row>
    <row r="9" spans="1:20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>
        <f t="shared" si="1"/>
        <v>12152.28125</v>
      </c>
      <c r="N9" s="19">
        <f t="shared" si="0"/>
        <v>12152.28125</v>
      </c>
      <c r="O9" s="162" t="s">
        <v>130</v>
      </c>
      <c r="Q9" s="16">
        <f>S9*Q2</f>
        <v>12152.28125</v>
      </c>
      <c r="R9" s="55">
        <v>5610</v>
      </c>
      <c r="S9" s="55">
        <f t="shared" si="2"/>
        <v>1055</v>
      </c>
      <c r="T9" s="20">
        <v>8293.5</v>
      </c>
    </row>
    <row r="10" spans="1:20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>
        <f>P10</f>
        <v>30516.394000000004</v>
      </c>
      <c r="N10" s="19">
        <f t="shared" si="0"/>
        <v>30516.394000000004</v>
      </c>
      <c r="O10" s="16">
        <f>4/1.47</f>
        <v>2.7210884353741496</v>
      </c>
      <c r="P10" s="16">
        <f>Q10*2.72</f>
        <v>30516.394000000004</v>
      </c>
      <c r="Q10" s="16">
        <f>S10*Q2</f>
        <v>11219.262500000001</v>
      </c>
      <c r="R10" s="55">
        <v>6584</v>
      </c>
      <c r="S10" s="55">
        <f t="shared" si="2"/>
        <v>974</v>
      </c>
      <c r="T10" s="20">
        <f>T7*2.72</f>
        <v>22558.320000000003</v>
      </c>
    </row>
    <row r="11" spans="1:20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>
        <f t="shared" ref="M11:M13" si="3">P11</f>
        <v>29231.823000000008</v>
      </c>
      <c r="N11" s="19">
        <f t="shared" si="0"/>
        <v>29231.823000000008</v>
      </c>
      <c r="O11" s="16"/>
      <c r="P11" s="16">
        <f t="shared" ref="P11:P13" si="4">Q11*2.72</f>
        <v>29231.823000000008</v>
      </c>
      <c r="Q11" s="16">
        <f>S11*Q2</f>
        <v>10746.993750000001</v>
      </c>
      <c r="R11" s="55">
        <v>7517</v>
      </c>
      <c r="S11" s="55">
        <f t="shared" si="2"/>
        <v>933</v>
      </c>
      <c r="T11" s="20">
        <f t="shared" ref="T11" si="5">T8*2.72</f>
        <v>22558.320000000003</v>
      </c>
    </row>
    <row r="12" spans="1:20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>
        <f t="shared" si="3"/>
        <v>27571.280000000002</v>
      </c>
      <c r="N12" s="19">
        <f t="shared" si="0"/>
        <v>27571.280000000002</v>
      </c>
      <c r="O12" s="16"/>
      <c r="P12" s="16">
        <f t="shared" si="4"/>
        <v>27571.280000000002</v>
      </c>
      <c r="Q12" s="16">
        <f>S12*Q2</f>
        <v>10136.5</v>
      </c>
      <c r="R12" s="55">
        <v>8397</v>
      </c>
      <c r="S12" s="55">
        <f t="shared" si="2"/>
        <v>880</v>
      </c>
      <c r="T12" s="20">
        <v>22558.32</v>
      </c>
    </row>
    <row r="13" spans="1:20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>
        <f t="shared" si="3"/>
        <v>28291.893000000007</v>
      </c>
      <c r="N13" s="19">
        <f t="shared" si="0"/>
        <v>28291.893000000007</v>
      </c>
      <c r="O13" s="162" t="s">
        <v>131</v>
      </c>
      <c r="P13" s="16">
        <f t="shared" si="4"/>
        <v>28291.893000000007</v>
      </c>
      <c r="Q13" s="16">
        <f>S13*Q2</f>
        <v>10401.431250000001</v>
      </c>
      <c r="R13" s="55">
        <v>9300</v>
      </c>
      <c r="S13" s="55">
        <f t="shared" si="2"/>
        <v>903</v>
      </c>
      <c r="T13" s="20">
        <v>22558.32</v>
      </c>
    </row>
    <row r="14" spans="1:20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>
        <f>P14</f>
        <v>28385.886000000002</v>
      </c>
      <c r="N14" s="19">
        <f t="shared" si="0"/>
        <v>28385.886000000002</v>
      </c>
      <c r="O14" s="16">
        <f>6/1.47</f>
        <v>4.0816326530612246</v>
      </c>
      <c r="P14" s="16">
        <f>Q14*4.08</f>
        <v>28385.886000000002</v>
      </c>
      <c r="Q14" s="16">
        <f>S14*Q2</f>
        <v>6957.3250000000007</v>
      </c>
      <c r="R14" s="55">
        <v>9904</v>
      </c>
      <c r="S14" s="55">
        <f t="shared" si="2"/>
        <v>604</v>
      </c>
      <c r="T14" s="20">
        <f>T6*4.08</f>
        <v>33837.480000000003</v>
      </c>
    </row>
    <row r="15" spans="1:20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>
        <f t="shared" ref="M15:M17" si="6">P15</f>
        <v>27163.977000000003</v>
      </c>
      <c r="N15" s="19">
        <f t="shared" si="0"/>
        <v>27163.977000000003</v>
      </c>
      <c r="O15" s="16"/>
      <c r="P15" s="16">
        <f t="shared" ref="P15:P17" si="7">Q15*4.08</f>
        <v>27163.977000000003</v>
      </c>
      <c r="Q15" s="16">
        <f>S15*Q2</f>
        <v>6657.8375000000005</v>
      </c>
      <c r="R15" s="55">
        <v>10482</v>
      </c>
      <c r="S15" s="55">
        <f t="shared" si="2"/>
        <v>578</v>
      </c>
      <c r="T15" s="20">
        <v>33837.480000000003</v>
      </c>
    </row>
    <row r="16" spans="1:20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>
        <f t="shared" si="6"/>
        <v>21853.372500000001</v>
      </c>
      <c r="N16" s="19">
        <f t="shared" si="0"/>
        <v>21853.372500000001</v>
      </c>
      <c r="O16" s="16"/>
      <c r="P16" s="16">
        <f t="shared" si="7"/>
        <v>21853.372500000001</v>
      </c>
      <c r="Q16" s="16">
        <f>S16*Q2</f>
        <v>5356.21875</v>
      </c>
      <c r="R16" s="55">
        <v>10947</v>
      </c>
      <c r="S16" s="55">
        <f t="shared" si="2"/>
        <v>465</v>
      </c>
      <c r="T16" s="20">
        <v>33837.480000000003</v>
      </c>
    </row>
    <row r="17" spans="1:25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>
        <f t="shared" si="6"/>
        <v>10997.181</v>
      </c>
      <c r="N17" s="19">
        <f t="shared" si="0"/>
        <v>10997.181</v>
      </c>
      <c r="O17" s="15" t="s">
        <v>132</v>
      </c>
      <c r="P17" s="16">
        <f t="shared" si="7"/>
        <v>10997.181</v>
      </c>
      <c r="Q17" s="16">
        <f>S17*Q2</f>
        <v>2695.3875000000003</v>
      </c>
      <c r="R17" s="55">
        <v>11181</v>
      </c>
      <c r="S17" s="55">
        <f t="shared" si="2"/>
        <v>234</v>
      </c>
      <c r="T17" s="20">
        <v>11500</v>
      </c>
    </row>
    <row r="18" spans="1: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>
        <f>SUM(N2:N17)</f>
        <v>268631.99400000001</v>
      </c>
      <c r="Q18" s="16"/>
      <c r="T18" s="20"/>
    </row>
    <row r="19" spans="1:25">
      <c r="Y19"/>
    </row>
    <row r="20" spans="1:25" ht="15.75" customHeight="1">
      <c r="A20" s="474" t="s">
        <v>113</v>
      </c>
      <c r="B20" s="474"/>
      <c r="C20" s="474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  <c r="Y20"/>
    </row>
    <row r="21" spans="1:25">
      <c r="A21" s="474"/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X21"/>
      <c r="Y21"/>
    </row>
    <row r="22" spans="1:25">
      <c r="C22" s="159" t="s">
        <v>127</v>
      </c>
      <c r="D22" s="159"/>
      <c r="E22" s="159"/>
      <c r="Y22"/>
    </row>
    <row r="23" spans="1:25">
      <c r="A23"/>
      <c r="C23" s="159" t="s">
        <v>128</v>
      </c>
    </row>
    <row r="24" spans="1:25" ht="15.75">
      <c r="A24"/>
      <c r="C24" s="159" t="s">
        <v>129</v>
      </c>
      <c r="K24" s="15" t="s">
        <v>134</v>
      </c>
    </row>
    <row r="25" spans="1:25">
      <c r="B25"/>
    </row>
    <row r="27" spans="1:25">
      <c r="A27" s="133" t="s">
        <v>18</v>
      </c>
      <c r="B27" s="134" t="s">
        <v>105</v>
      </c>
      <c r="C27" s="143" t="s">
        <v>106</v>
      </c>
      <c r="D27" s="135" t="s">
        <v>110</v>
      </c>
      <c r="E27" s="473" t="s">
        <v>107</v>
      </c>
      <c r="F27" s="473"/>
      <c r="G27" s="144" t="s">
        <v>111</v>
      </c>
      <c r="H27" s="136" t="s">
        <v>112</v>
      </c>
      <c r="I27" s="136" t="s">
        <v>109</v>
      </c>
      <c r="J27" s="140" t="s">
        <v>108</v>
      </c>
      <c r="K27" s="140"/>
      <c r="L27" s="144"/>
      <c r="M27" s="144"/>
      <c r="N27" s="144"/>
    </row>
    <row r="28" spans="1:25">
      <c r="A28" s="13">
        <v>1998</v>
      </c>
      <c r="B28" s="47"/>
      <c r="C28" s="64"/>
      <c r="D28" s="64"/>
      <c r="E28" s="582"/>
      <c r="F28" s="582"/>
      <c r="G28" s="141"/>
      <c r="H28" s="50"/>
      <c r="I28" s="142"/>
      <c r="J28" s="65"/>
      <c r="K28" s="65"/>
      <c r="L28" s="65"/>
      <c r="M28" s="65"/>
      <c r="N28" s="65"/>
      <c r="T28" s="16"/>
    </row>
    <row r="29" spans="1:25">
      <c r="A29" s="13"/>
      <c r="B29" s="47"/>
      <c r="C29" s="64"/>
      <c r="D29" s="64"/>
      <c r="E29" s="582"/>
      <c r="F29" s="582"/>
      <c r="G29" s="141"/>
      <c r="H29" s="50"/>
      <c r="I29" s="21"/>
      <c r="J29" s="33"/>
      <c r="K29" s="33"/>
      <c r="L29" s="65"/>
      <c r="M29" s="65"/>
      <c r="N29" s="65"/>
    </row>
    <row r="30" spans="1:25">
      <c r="A30" s="13"/>
      <c r="B30" s="47"/>
      <c r="C30" s="64"/>
      <c r="D30" s="64"/>
      <c r="E30" s="582"/>
      <c r="F30" s="582"/>
      <c r="G30" s="141"/>
      <c r="H30" s="51"/>
      <c r="I30" s="21"/>
      <c r="J30" s="33"/>
      <c r="K30" s="33"/>
      <c r="L30" s="65"/>
      <c r="M30" s="65"/>
      <c r="N30" s="65"/>
    </row>
    <row r="31" spans="1:25">
      <c r="A31" s="13"/>
      <c r="B31" s="47"/>
      <c r="C31" s="64"/>
      <c r="D31" s="64"/>
      <c r="E31" s="582"/>
      <c r="F31" s="582"/>
      <c r="G31" s="141"/>
      <c r="H31" s="51"/>
      <c r="I31" s="21"/>
      <c r="J31" s="33"/>
      <c r="K31" s="33"/>
      <c r="L31" s="65"/>
      <c r="M31" s="65"/>
      <c r="N31" s="65"/>
    </row>
    <row r="32" spans="1:25">
      <c r="A32" s="13"/>
      <c r="B32" s="47"/>
      <c r="C32" s="64"/>
      <c r="D32" s="64"/>
      <c r="E32" s="582"/>
      <c r="F32" s="582"/>
      <c r="G32" s="141"/>
      <c r="H32" s="51"/>
      <c r="I32" s="21"/>
      <c r="J32" s="33"/>
      <c r="K32" s="33"/>
      <c r="L32" s="65"/>
      <c r="M32" s="65"/>
      <c r="N32" s="65"/>
    </row>
    <row r="33" spans="1:14">
      <c r="A33" s="13">
        <v>2005</v>
      </c>
      <c r="B33" s="47"/>
      <c r="C33" s="64"/>
      <c r="D33" s="64"/>
      <c r="E33" s="582"/>
      <c r="F33" s="582"/>
      <c r="G33" s="141"/>
      <c r="H33" s="51"/>
      <c r="I33" s="21"/>
      <c r="J33" s="33"/>
      <c r="K33" s="33"/>
      <c r="L33" s="65"/>
      <c r="M33" s="65"/>
      <c r="N33" s="65"/>
    </row>
    <row r="34" spans="1:14">
      <c r="A34" s="13"/>
      <c r="B34" s="47"/>
      <c r="C34" s="64"/>
      <c r="D34" s="64"/>
      <c r="E34" s="582"/>
      <c r="F34" s="582"/>
      <c r="G34" s="141"/>
      <c r="H34" s="51"/>
      <c r="I34" s="21"/>
      <c r="J34" s="33"/>
      <c r="K34" s="33"/>
      <c r="L34" s="65"/>
      <c r="M34" s="65"/>
      <c r="N34" s="65"/>
    </row>
    <row r="35" spans="1:14">
      <c r="A35" s="13"/>
      <c r="B35" s="47"/>
      <c r="C35" s="64"/>
      <c r="D35" s="64"/>
      <c r="E35" s="582"/>
      <c r="F35" s="582"/>
      <c r="G35" s="141"/>
      <c r="H35" s="51"/>
      <c r="I35" s="33"/>
      <c r="J35" s="33"/>
      <c r="K35" s="33"/>
      <c r="L35" s="65"/>
      <c r="M35" s="65"/>
      <c r="N35" s="65"/>
    </row>
    <row r="36" spans="1:14">
      <c r="A36" s="13"/>
      <c r="B36" s="47"/>
      <c r="C36" s="64"/>
      <c r="D36" s="64"/>
      <c r="E36" s="582"/>
      <c r="F36" s="582"/>
      <c r="G36" s="141"/>
      <c r="H36" s="51"/>
      <c r="I36" s="33"/>
      <c r="J36" s="33"/>
      <c r="K36" s="33"/>
      <c r="L36" s="65"/>
      <c r="M36" s="65"/>
      <c r="N36" s="65"/>
    </row>
    <row r="37" spans="1:14">
      <c r="A37" s="13"/>
      <c r="B37" s="47"/>
      <c r="C37" s="64"/>
      <c r="D37" s="64"/>
      <c r="E37" s="582"/>
      <c r="F37" s="582"/>
      <c r="G37" s="141"/>
      <c r="H37" s="51"/>
      <c r="I37" s="33"/>
      <c r="J37" s="33"/>
      <c r="K37" s="33"/>
      <c r="L37" s="65"/>
      <c r="M37" s="65"/>
      <c r="N37" s="65"/>
    </row>
    <row r="38" spans="1:14">
      <c r="A38" s="13"/>
      <c r="B38" s="47"/>
      <c r="C38" s="64"/>
      <c r="D38" s="64"/>
      <c r="E38" s="582"/>
      <c r="F38" s="582"/>
      <c r="G38" s="141"/>
      <c r="H38" s="51"/>
      <c r="I38" s="33"/>
      <c r="J38" s="33"/>
      <c r="K38" s="33"/>
      <c r="L38" s="65"/>
      <c r="M38" s="65"/>
      <c r="N38" s="65"/>
    </row>
    <row r="39" spans="1:14">
      <c r="A39" s="13"/>
      <c r="B39" s="47"/>
      <c r="C39" s="64"/>
      <c r="D39" s="64"/>
      <c r="E39" s="582"/>
      <c r="F39" s="582"/>
      <c r="G39" s="141"/>
      <c r="H39" s="51"/>
      <c r="I39" s="33"/>
      <c r="J39" s="33"/>
      <c r="K39" s="33"/>
      <c r="L39" s="65"/>
      <c r="M39" s="65"/>
      <c r="N39" s="65"/>
    </row>
    <row r="40" spans="1:14">
      <c r="A40" s="13"/>
      <c r="B40" s="47"/>
      <c r="C40" s="64"/>
      <c r="D40" s="64"/>
      <c r="E40" s="582"/>
      <c r="F40" s="582"/>
      <c r="G40" s="141"/>
      <c r="H40" s="51"/>
      <c r="I40" s="33"/>
      <c r="J40" s="33"/>
      <c r="K40" s="33"/>
      <c r="L40" s="65"/>
      <c r="M40" s="65"/>
      <c r="N40" s="65"/>
    </row>
    <row r="41" spans="1:14">
      <c r="A41" s="13"/>
      <c r="B41" s="47"/>
      <c r="C41" s="64"/>
      <c r="D41" s="64"/>
      <c r="E41" s="582"/>
      <c r="F41" s="582"/>
      <c r="G41" s="141"/>
      <c r="H41" s="51"/>
      <c r="I41" s="33"/>
      <c r="J41" s="33"/>
      <c r="K41" s="33"/>
      <c r="L41" s="65"/>
      <c r="M41" s="65"/>
      <c r="N41" s="65"/>
    </row>
    <row r="42" spans="1:14">
      <c r="A42" s="13"/>
      <c r="B42" s="47"/>
      <c r="C42" s="64"/>
      <c r="D42" s="64"/>
      <c r="E42" s="582"/>
      <c r="F42" s="582"/>
      <c r="G42" s="141"/>
      <c r="H42" s="51"/>
      <c r="I42" s="33"/>
      <c r="J42" s="33"/>
      <c r="K42" s="33"/>
      <c r="L42" s="65"/>
      <c r="M42" s="65"/>
      <c r="N42" s="65"/>
    </row>
    <row r="43" spans="1:14">
      <c r="A43" s="13"/>
      <c r="B43" s="47"/>
      <c r="C43" s="64"/>
      <c r="D43" s="64"/>
      <c r="E43" s="582"/>
      <c r="F43" s="582"/>
      <c r="G43" s="141"/>
      <c r="H43" s="13"/>
      <c r="I43" s="33"/>
      <c r="J43" s="33"/>
      <c r="K43" s="33"/>
      <c r="L43" s="65"/>
      <c r="M43" s="65"/>
      <c r="N43" s="65"/>
    </row>
  </sheetData>
  <mergeCells count="18">
    <mergeCell ref="E42:F42"/>
    <mergeCell ref="E43:F43"/>
    <mergeCell ref="E35:F35"/>
    <mergeCell ref="E36:F36"/>
    <mergeCell ref="E37:F37"/>
    <mergeCell ref="E38:F38"/>
    <mergeCell ref="E39:F39"/>
    <mergeCell ref="E40:F40"/>
    <mergeCell ref="E33:F33"/>
    <mergeCell ref="E41:F41"/>
    <mergeCell ref="E34:F34"/>
    <mergeCell ref="A20:N21"/>
    <mergeCell ref="E27:F27"/>
    <mergeCell ref="E28:F28"/>
    <mergeCell ref="E29:F29"/>
    <mergeCell ref="E30:F30"/>
    <mergeCell ref="E31:F31"/>
    <mergeCell ref="E32:F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3"/>
  <sheetViews>
    <sheetView workbookViewId="0">
      <pane ySplit="1" topLeftCell="A2" activePane="bottomLeft" state="frozen"/>
      <selection pane="bottomLeft" activeCell="D33" sqref="D33:G33"/>
    </sheetView>
  </sheetViews>
  <sheetFormatPr defaultRowHeight="15"/>
  <cols>
    <col min="1" max="1" width="5" style="10" bestFit="1" customWidth="1"/>
    <col min="2" max="2" width="7" style="10" bestFit="1" customWidth="1"/>
    <col min="3" max="3" width="6.5546875" style="10" bestFit="1" customWidth="1"/>
    <col min="4" max="6" width="3.88671875" style="10" bestFit="1" customWidth="1"/>
    <col min="7" max="7" width="7" style="10" bestFit="1" customWidth="1"/>
    <col min="8" max="8" width="8.33203125" style="10" bestFit="1" customWidth="1"/>
    <col min="9" max="9" width="8.5546875" style="10" bestFit="1" customWidth="1"/>
    <col min="10" max="10" width="10.44140625" style="10" bestFit="1" customWidth="1"/>
    <col min="11" max="11" width="9" style="10" bestFit="1" customWidth="1"/>
    <col min="12" max="12" width="10" style="10" customWidth="1"/>
    <col min="13" max="14" width="9" style="10" bestFit="1" customWidth="1"/>
    <col min="15" max="15" width="7.21875" style="10" bestFit="1" customWidth="1"/>
    <col min="16" max="16" width="3.21875" style="10" bestFit="1" customWidth="1"/>
    <col min="17" max="17" width="21.33203125" style="10" bestFit="1" customWidth="1"/>
    <col min="18" max="18" width="14" style="10" bestFit="1" customWidth="1"/>
    <col min="19" max="16384" width="8.88671875" style="10"/>
  </cols>
  <sheetData>
    <row r="1" spans="1:17" ht="12.75" customHeight="1">
      <c r="A1" s="22"/>
      <c r="B1" s="26" t="s">
        <v>4</v>
      </c>
      <c r="C1" s="27" t="s">
        <v>5</v>
      </c>
      <c r="D1" s="26" t="s">
        <v>6</v>
      </c>
      <c r="E1" s="28" t="s">
        <v>7</v>
      </c>
      <c r="F1" s="26" t="s">
        <v>2</v>
      </c>
      <c r="G1" s="27" t="s">
        <v>8</v>
      </c>
      <c r="H1" s="26" t="s">
        <v>9</v>
      </c>
      <c r="I1" s="28" t="s">
        <v>10</v>
      </c>
      <c r="J1" s="26" t="s">
        <v>11</v>
      </c>
      <c r="K1" s="27" t="s">
        <v>12</v>
      </c>
      <c r="L1" s="26" t="s">
        <v>13</v>
      </c>
      <c r="M1" s="28" t="s">
        <v>14</v>
      </c>
      <c r="N1" s="23" t="s">
        <v>3</v>
      </c>
      <c r="Q1" s="70" t="s">
        <v>71</v>
      </c>
    </row>
    <row r="2" spans="1:17">
      <c r="A2" s="11">
        <v>1998</v>
      </c>
      <c r="B2" s="12"/>
      <c r="C2" s="12"/>
      <c r="D2" s="12"/>
      <c r="E2" s="12"/>
      <c r="F2" s="12"/>
      <c r="G2" s="12"/>
      <c r="H2" s="12"/>
      <c r="I2" s="38"/>
      <c r="J2" s="19"/>
      <c r="K2" s="19"/>
      <c r="L2" s="19"/>
      <c r="M2" s="19"/>
      <c r="N2" s="19">
        <f t="shared" ref="N2:N17" si="0">SUM(B2:M2)</f>
        <v>0</v>
      </c>
    </row>
    <row r="3" spans="1:17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>
        <f t="shared" si="0"/>
        <v>0</v>
      </c>
      <c r="O3" s="16"/>
    </row>
    <row r="4" spans="1:17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9">
        <f t="shared" si="0"/>
        <v>0</v>
      </c>
      <c r="O4" s="16"/>
    </row>
    <row r="5" spans="1:17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>
        <f t="shared" si="0"/>
        <v>0</v>
      </c>
      <c r="O5" s="16"/>
    </row>
    <row r="6" spans="1:17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9">
        <f t="shared" si="0"/>
        <v>0</v>
      </c>
      <c r="O6" s="16"/>
    </row>
    <row r="7" spans="1:17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>
        <f t="shared" si="0"/>
        <v>0</v>
      </c>
      <c r="O7" s="16"/>
    </row>
    <row r="8" spans="1:17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>
        <f t="shared" si="0"/>
        <v>0</v>
      </c>
      <c r="O8" s="16"/>
    </row>
    <row r="9" spans="1:17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9">
        <f t="shared" si="0"/>
        <v>0</v>
      </c>
      <c r="O9" s="16"/>
      <c r="Q9" s="75">
        <v>15.3</v>
      </c>
    </row>
    <row r="10" spans="1:17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9">
        <f t="shared" si="0"/>
        <v>0</v>
      </c>
      <c r="O10" s="16"/>
    </row>
    <row r="11" spans="1:17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>
        <f t="shared" si="0"/>
        <v>0</v>
      </c>
      <c r="O11" s="16"/>
    </row>
    <row r="12" spans="1:17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>
        <f t="shared" si="0"/>
        <v>0</v>
      </c>
      <c r="O12" s="16"/>
    </row>
    <row r="13" spans="1:17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>
        <f t="shared" si="0"/>
        <v>0</v>
      </c>
      <c r="O13" s="16"/>
    </row>
    <row r="14" spans="1:17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>
        <f t="shared" si="0"/>
        <v>0</v>
      </c>
      <c r="O14" s="16"/>
    </row>
    <row r="15" spans="1:17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>
        <f t="shared" si="0"/>
        <v>0</v>
      </c>
      <c r="O15" s="16"/>
    </row>
    <row r="16" spans="1:17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9">
        <f t="shared" si="0"/>
        <v>0</v>
      </c>
      <c r="O16" s="16"/>
    </row>
    <row r="17" spans="1:18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/>
      <c r="N17" s="19">
        <f t="shared" si="0"/>
        <v>0</v>
      </c>
      <c r="O17" s="15" t="s">
        <v>1</v>
      </c>
      <c r="P17" s="15" t="s">
        <v>2</v>
      </c>
    </row>
    <row r="18" spans="1:18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>
        <f>SUM(N2:N17)</f>
        <v>0</v>
      </c>
    </row>
    <row r="20" spans="1:18" ht="15.75" customHeight="1">
      <c r="A20" s="474" t="s">
        <v>31</v>
      </c>
      <c r="B20" s="474"/>
      <c r="C20" s="474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</row>
    <row r="21" spans="1:18">
      <c r="A21" s="474"/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</row>
    <row r="23" spans="1:18">
      <c r="A23"/>
    </row>
    <row r="24" spans="1:18">
      <c r="B24"/>
    </row>
    <row r="26" spans="1:18">
      <c r="A26" s="475" t="s">
        <v>18</v>
      </c>
      <c r="B26" s="477" t="s">
        <v>20</v>
      </c>
      <c r="C26" s="479" t="s">
        <v>22</v>
      </c>
      <c r="D26" s="481" t="s">
        <v>21</v>
      </c>
      <c r="E26" s="482"/>
      <c r="F26" s="482"/>
      <c r="G26" s="483"/>
      <c r="H26" s="473" t="s">
        <v>23</v>
      </c>
      <c r="I26" s="487">
        <v>1.2999999999999999E-2</v>
      </c>
      <c r="J26" s="489" t="s">
        <v>32</v>
      </c>
      <c r="K26" s="489"/>
      <c r="L26" s="489"/>
    </row>
    <row r="27" spans="1:18">
      <c r="A27" s="476"/>
      <c r="B27" s="478"/>
      <c r="C27" s="480"/>
      <c r="D27" s="484"/>
      <c r="E27" s="485"/>
      <c r="F27" s="485"/>
      <c r="G27" s="486"/>
      <c r="H27" s="473"/>
      <c r="I27" s="488"/>
      <c r="J27" s="72">
        <v>6.4999999999999997E-3</v>
      </c>
      <c r="K27" s="73">
        <v>1.25E-3</v>
      </c>
      <c r="L27" s="71" t="s">
        <v>29</v>
      </c>
      <c r="R27" s="55">
        <v>102</v>
      </c>
    </row>
    <row r="28" spans="1:18">
      <c r="A28" s="13">
        <v>1998</v>
      </c>
      <c r="B28" s="47"/>
      <c r="C28" s="64"/>
      <c r="D28" s="470"/>
      <c r="E28" s="471"/>
      <c r="F28" s="471"/>
      <c r="G28" s="472"/>
      <c r="H28" s="50"/>
      <c r="I28" s="74"/>
      <c r="J28" s="65"/>
      <c r="K28" s="65"/>
      <c r="L28" s="65">
        <f>J28+K28</f>
        <v>0</v>
      </c>
      <c r="R28" s="16">
        <f>R27/340.75</f>
        <v>0.29933969185619957</v>
      </c>
    </row>
    <row r="29" spans="1:18">
      <c r="A29" s="13"/>
      <c r="B29" s="47"/>
      <c r="C29" s="64"/>
      <c r="D29" s="470"/>
      <c r="E29" s="471"/>
      <c r="F29" s="471"/>
      <c r="G29" s="472"/>
      <c r="H29" s="50"/>
      <c r="I29" s="44"/>
      <c r="J29" s="33"/>
      <c r="K29" s="33"/>
      <c r="L29" s="65">
        <f t="shared" ref="L29:L43" si="1">J29+K29</f>
        <v>0</v>
      </c>
    </row>
    <row r="30" spans="1:18">
      <c r="A30" s="13"/>
      <c r="B30" s="47"/>
      <c r="C30" s="64"/>
      <c r="D30" s="470"/>
      <c r="E30" s="471"/>
      <c r="F30" s="471"/>
      <c r="G30" s="472"/>
      <c r="H30" s="51"/>
      <c r="I30" s="44"/>
      <c r="J30" s="33"/>
      <c r="K30" s="33"/>
      <c r="L30" s="65">
        <f t="shared" si="1"/>
        <v>0</v>
      </c>
    </row>
    <row r="31" spans="1:18">
      <c r="A31" s="13"/>
      <c r="B31" s="47"/>
      <c r="C31" s="64"/>
      <c r="D31" s="470"/>
      <c r="E31" s="471"/>
      <c r="F31" s="471"/>
      <c r="G31" s="472"/>
      <c r="H31" s="51"/>
      <c r="I31" s="44"/>
      <c r="J31" s="33"/>
      <c r="K31" s="33"/>
      <c r="L31" s="65">
        <f t="shared" si="1"/>
        <v>0</v>
      </c>
    </row>
    <row r="32" spans="1:18">
      <c r="A32" s="13"/>
      <c r="B32" s="47"/>
      <c r="C32" s="64"/>
      <c r="D32" s="470"/>
      <c r="E32" s="471"/>
      <c r="F32" s="471"/>
      <c r="G32" s="472"/>
      <c r="H32" s="51"/>
      <c r="I32" s="44"/>
      <c r="J32" s="33"/>
      <c r="K32" s="33"/>
      <c r="L32" s="65">
        <f t="shared" si="1"/>
        <v>0</v>
      </c>
    </row>
    <row r="33" spans="1:12">
      <c r="A33" s="13">
        <v>2005</v>
      </c>
      <c r="B33" s="47"/>
      <c r="C33" s="64"/>
      <c r="D33" s="470"/>
      <c r="E33" s="471"/>
      <c r="F33" s="471"/>
      <c r="G33" s="472"/>
      <c r="H33" s="51"/>
      <c r="I33" s="44">
        <v>15.3</v>
      </c>
      <c r="J33" s="33"/>
      <c r="K33" s="33"/>
      <c r="L33" s="65">
        <f t="shared" si="1"/>
        <v>0</v>
      </c>
    </row>
    <row r="34" spans="1:12">
      <c r="A34" s="13"/>
      <c r="B34" s="47"/>
      <c r="C34" s="64"/>
      <c r="D34" s="470"/>
      <c r="E34" s="471"/>
      <c r="F34" s="471"/>
      <c r="G34" s="472"/>
      <c r="H34" s="51"/>
      <c r="I34" s="33"/>
      <c r="J34" s="33"/>
      <c r="K34" s="33"/>
      <c r="L34" s="65">
        <f t="shared" si="1"/>
        <v>0</v>
      </c>
    </row>
    <row r="35" spans="1:12">
      <c r="A35" s="13"/>
      <c r="B35" s="47"/>
      <c r="C35" s="64"/>
      <c r="D35" s="470"/>
      <c r="E35" s="471"/>
      <c r="F35" s="471"/>
      <c r="G35" s="472"/>
      <c r="H35" s="51"/>
      <c r="I35" s="33"/>
      <c r="J35" s="33"/>
      <c r="K35" s="33"/>
      <c r="L35" s="65">
        <f t="shared" si="1"/>
        <v>0</v>
      </c>
    </row>
    <row r="36" spans="1:12">
      <c r="A36" s="13"/>
      <c r="B36" s="47"/>
      <c r="C36" s="64"/>
      <c r="D36" s="470"/>
      <c r="E36" s="471"/>
      <c r="F36" s="471"/>
      <c r="G36" s="472"/>
      <c r="H36" s="51"/>
      <c r="I36" s="33"/>
      <c r="J36" s="33"/>
      <c r="K36" s="33"/>
      <c r="L36" s="65">
        <f t="shared" si="1"/>
        <v>0</v>
      </c>
    </row>
    <row r="37" spans="1:12">
      <c r="A37" s="13"/>
      <c r="B37" s="47"/>
      <c r="C37" s="64"/>
      <c r="D37" s="470"/>
      <c r="E37" s="471"/>
      <c r="F37" s="471"/>
      <c r="G37" s="472"/>
      <c r="H37" s="51"/>
      <c r="I37" s="33"/>
      <c r="J37" s="33"/>
      <c r="K37" s="33"/>
      <c r="L37" s="65">
        <f t="shared" si="1"/>
        <v>0</v>
      </c>
    </row>
    <row r="38" spans="1:12">
      <c r="A38" s="13"/>
      <c r="B38" s="47"/>
      <c r="C38" s="64"/>
      <c r="D38" s="470"/>
      <c r="E38" s="471"/>
      <c r="F38" s="471"/>
      <c r="G38" s="472"/>
      <c r="H38" s="51"/>
      <c r="I38" s="33"/>
      <c r="J38" s="33"/>
      <c r="K38" s="33"/>
      <c r="L38" s="65">
        <f t="shared" si="1"/>
        <v>0</v>
      </c>
    </row>
    <row r="39" spans="1:12">
      <c r="A39" s="13"/>
      <c r="B39" s="47"/>
      <c r="C39" s="64"/>
      <c r="D39" s="470"/>
      <c r="E39" s="471"/>
      <c r="F39" s="471"/>
      <c r="G39" s="472"/>
      <c r="H39" s="51"/>
      <c r="I39" s="33"/>
      <c r="J39" s="33"/>
      <c r="K39" s="33"/>
      <c r="L39" s="65">
        <f t="shared" si="1"/>
        <v>0</v>
      </c>
    </row>
    <row r="40" spans="1:12">
      <c r="A40" s="13"/>
      <c r="B40" s="47"/>
      <c r="C40" s="64"/>
      <c r="D40" s="470"/>
      <c r="E40" s="471"/>
      <c r="F40" s="471"/>
      <c r="G40" s="472"/>
      <c r="H40" s="51"/>
      <c r="I40" s="33"/>
      <c r="J40" s="33"/>
      <c r="K40" s="33"/>
      <c r="L40" s="65">
        <f t="shared" si="1"/>
        <v>0</v>
      </c>
    </row>
    <row r="41" spans="1:12">
      <c r="A41" s="13"/>
      <c r="B41" s="47"/>
      <c r="C41" s="64"/>
      <c r="D41" s="470"/>
      <c r="E41" s="471"/>
      <c r="F41" s="471"/>
      <c r="G41" s="472"/>
      <c r="H41" s="51"/>
      <c r="I41" s="33"/>
      <c r="J41" s="33"/>
      <c r="K41" s="33"/>
      <c r="L41" s="65">
        <f t="shared" si="1"/>
        <v>0</v>
      </c>
    </row>
    <row r="42" spans="1:12">
      <c r="A42" s="13"/>
      <c r="B42" s="47"/>
      <c r="C42" s="64"/>
      <c r="D42" s="470"/>
      <c r="E42" s="471"/>
      <c r="F42" s="471"/>
      <c r="G42" s="472"/>
      <c r="H42" s="51"/>
      <c r="I42" s="33"/>
      <c r="J42" s="33"/>
      <c r="K42" s="33"/>
      <c r="L42" s="65">
        <f t="shared" si="1"/>
        <v>0</v>
      </c>
    </row>
    <row r="43" spans="1:12">
      <c r="A43" s="13"/>
      <c r="B43" s="47"/>
      <c r="C43" s="46"/>
      <c r="D43" s="470"/>
      <c r="E43" s="471"/>
      <c r="F43" s="471"/>
      <c r="G43" s="472"/>
      <c r="H43" s="13"/>
      <c r="I43" s="33"/>
      <c r="J43" s="33"/>
      <c r="K43" s="33"/>
      <c r="L43" s="65">
        <f t="shared" si="1"/>
        <v>0</v>
      </c>
    </row>
  </sheetData>
  <mergeCells count="24">
    <mergeCell ref="D37:G37"/>
    <mergeCell ref="A20:N21"/>
    <mergeCell ref="A26:A27"/>
    <mergeCell ref="B26:B27"/>
    <mergeCell ref="C26:C27"/>
    <mergeCell ref="D26:G27"/>
    <mergeCell ref="I26:I27"/>
    <mergeCell ref="J26:L26"/>
    <mergeCell ref="D38:G38"/>
    <mergeCell ref="D43:G43"/>
    <mergeCell ref="H26:H27"/>
    <mergeCell ref="D31:G31"/>
    <mergeCell ref="D32:G32"/>
    <mergeCell ref="D33:G33"/>
    <mergeCell ref="D39:G39"/>
    <mergeCell ref="D40:G40"/>
    <mergeCell ref="D41:G41"/>
    <mergeCell ref="D42:G42"/>
    <mergeCell ref="D34:G34"/>
    <mergeCell ref="D35:G35"/>
    <mergeCell ref="D28:G28"/>
    <mergeCell ref="D29:G29"/>
    <mergeCell ref="D30:G30"/>
    <mergeCell ref="D36:G3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42"/>
  <sheetViews>
    <sheetView workbookViewId="0">
      <selection activeCell="Q29" sqref="Q29"/>
    </sheetView>
  </sheetViews>
  <sheetFormatPr defaultRowHeight="15"/>
  <cols>
    <col min="1" max="1" width="5" style="10" bestFit="1" customWidth="1"/>
    <col min="2" max="2" width="4" style="10" bestFit="1" customWidth="1"/>
    <col min="3" max="3" width="7.109375" style="10" bestFit="1" customWidth="1"/>
    <col min="4" max="4" width="6.5546875" style="10" bestFit="1" customWidth="1"/>
    <col min="5" max="5" width="4.88671875" style="10" customWidth="1"/>
    <col min="6" max="6" width="5.33203125" style="10" customWidth="1"/>
    <col min="7" max="7" width="5.5546875" style="10" bestFit="1" customWidth="1"/>
    <col min="8" max="8" width="5.33203125" style="10" bestFit="1" customWidth="1"/>
    <col min="9" max="10" width="10.44140625" style="10" bestFit="1" customWidth="1"/>
    <col min="11" max="13" width="11.44140625" style="10" bestFit="1" customWidth="1"/>
    <col min="14" max="14" width="12.44140625" style="10" bestFit="1" customWidth="1"/>
    <col min="15" max="15" width="16.5546875" style="10" customWidth="1"/>
    <col min="16" max="16" width="11.44140625" style="10" bestFit="1" customWidth="1"/>
    <col min="17" max="17" width="14.109375" style="10" bestFit="1" customWidth="1"/>
    <col min="18" max="19" width="9.44140625" style="10" customWidth="1"/>
    <col min="20" max="20" width="12.44140625" style="10" bestFit="1" customWidth="1"/>
    <col min="21" max="16384" width="8.88671875" style="10"/>
  </cols>
  <sheetData>
    <row r="1" spans="1:20">
      <c r="A1" s="152"/>
      <c r="B1" s="37" t="s">
        <v>4</v>
      </c>
      <c r="C1" s="158" t="s">
        <v>5</v>
      </c>
      <c r="D1" s="37" t="s">
        <v>6</v>
      </c>
      <c r="E1" s="157" t="s">
        <v>7</v>
      </c>
      <c r="F1" s="37" t="s">
        <v>2</v>
      </c>
      <c r="G1" s="158" t="s">
        <v>8</v>
      </c>
      <c r="H1" s="37" t="s">
        <v>9</v>
      </c>
      <c r="I1" s="157" t="s">
        <v>10</v>
      </c>
      <c r="J1" s="37" t="s">
        <v>11</v>
      </c>
      <c r="K1" s="158" t="s">
        <v>12</v>
      </c>
      <c r="L1" s="37" t="s">
        <v>13</v>
      </c>
      <c r="M1" s="157" t="s">
        <v>14</v>
      </c>
      <c r="N1" s="145" t="s">
        <v>3</v>
      </c>
      <c r="Q1" s="128" t="s">
        <v>124</v>
      </c>
      <c r="R1" s="161" t="s">
        <v>1</v>
      </c>
      <c r="S1" s="161" t="s">
        <v>126</v>
      </c>
      <c r="T1" s="128" t="s">
        <v>125</v>
      </c>
    </row>
    <row r="2" spans="1:20">
      <c r="A2" s="11">
        <v>1998</v>
      </c>
      <c r="B2" s="12"/>
      <c r="C2" s="12"/>
      <c r="D2" s="12"/>
      <c r="E2" s="12"/>
      <c r="F2" s="12"/>
      <c r="G2" s="12"/>
      <c r="H2" s="12"/>
      <c r="I2" s="38">
        <v>44</v>
      </c>
      <c r="J2" s="38">
        <v>216</v>
      </c>
      <c r="K2" s="38">
        <v>170.5</v>
      </c>
      <c r="L2" s="38">
        <v>137.5</v>
      </c>
      <c r="M2" s="38">
        <v>374</v>
      </c>
      <c r="N2" s="38">
        <f t="shared" ref="N2:N17" si="0">SUM(B2:M2)</f>
        <v>942</v>
      </c>
      <c r="Q2" s="16">
        <f>N2/240</f>
        <v>3.9249999999999998</v>
      </c>
      <c r="R2" s="160">
        <v>240</v>
      </c>
      <c r="S2" s="160"/>
      <c r="T2" s="20">
        <f>N2/4</f>
        <v>235.5</v>
      </c>
    </row>
    <row r="3" spans="1:20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>
        <f>Q3</f>
        <v>2249.0250000000001</v>
      </c>
      <c r="N3" s="19">
        <f t="shared" si="0"/>
        <v>2249.0250000000001</v>
      </c>
      <c r="O3" s="16"/>
      <c r="Q3" s="16">
        <f>S3*Q2</f>
        <v>2249.0250000000001</v>
      </c>
      <c r="R3" s="55">
        <v>813</v>
      </c>
      <c r="S3" s="55">
        <f>R3-R2</f>
        <v>573</v>
      </c>
      <c r="T3" s="20">
        <f>T2*12</f>
        <v>2826</v>
      </c>
    </row>
    <row r="4" spans="1:20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>
        <f t="shared" ref="M4:M9" si="1">Q4</f>
        <v>2241.1749999999997</v>
      </c>
      <c r="N4" s="19">
        <f t="shared" si="0"/>
        <v>2241.1749999999997</v>
      </c>
      <c r="O4" s="16"/>
      <c r="Q4" s="16">
        <f>S4*Q2</f>
        <v>2241.1749999999997</v>
      </c>
      <c r="R4" s="55">
        <v>1384</v>
      </c>
      <c r="S4" s="55">
        <f t="shared" ref="S4:S17" si="2">R4-R3</f>
        <v>571</v>
      </c>
      <c r="T4" s="20">
        <v>8293.5</v>
      </c>
    </row>
    <row r="5" spans="1:20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>
        <f t="shared" si="1"/>
        <v>2249.0250000000001</v>
      </c>
      <c r="N5" s="19">
        <f t="shared" si="0"/>
        <v>2249.0250000000001</v>
      </c>
      <c r="O5" s="16"/>
      <c r="Q5" s="16">
        <f>S5*Q2</f>
        <v>2249.0250000000001</v>
      </c>
      <c r="R5" s="55">
        <v>1957</v>
      </c>
      <c r="S5" s="55">
        <f t="shared" si="2"/>
        <v>573</v>
      </c>
      <c r="T5" s="20">
        <v>8293.5</v>
      </c>
    </row>
    <row r="6" spans="1:20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>
        <f t="shared" si="1"/>
        <v>2555.1749999999997</v>
      </c>
      <c r="N6" s="19">
        <f t="shared" si="0"/>
        <v>2555.1749999999997</v>
      </c>
      <c r="O6" s="16"/>
      <c r="Q6" s="16">
        <f>S6*Q2</f>
        <v>2555.1749999999997</v>
      </c>
      <c r="R6" s="55">
        <v>2608</v>
      </c>
      <c r="S6" s="55">
        <f t="shared" si="2"/>
        <v>651</v>
      </c>
      <c r="T6" s="20">
        <v>8293.5</v>
      </c>
    </row>
    <row r="7" spans="1:20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7"/>
      <c r="M7" s="17">
        <f t="shared" si="1"/>
        <v>3779.7749999999996</v>
      </c>
      <c r="N7" s="19">
        <f t="shared" si="0"/>
        <v>3779.7749999999996</v>
      </c>
      <c r="O7" s="16"/>
      <c r="Q7" s="16">
        <f>S7*Q2</f>
        <v>3779.7749999999996</v>
      </c>
      <c r="R7" s="55">
        <v>3571</v>
      </c>
      <c r="S7" s="55">
        <f t="shared" si="2"/>
        <v>963</v>
      </c>
      <c r="T7" s="20">
        <v>8293.5</v>
      </c>
    </row>
    <row r="8" spans="1:20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7"/>
      <c r="M8" s="17">
        <f t="shared" si="1"/>
        <v>3862.2</v>
      </c>
      <c r="N8" s="19">
        <f t="shared" si="0"/>
        <v>3862.2</v>
      </c>
      <c r="O8" s="16"/>
      <c r="Q8" s="16">
        <f>S8*Q2</f>
        <v>3862.2</v>
      </c>
      <c r="R8" s="55">
        <v>4555</v>
      </c>
      <c r="S8" s="55">
        <f t="shared" si="2"/>
        <v>984</v>
      </c>
      <c r="T8" s="20">
        <v>8293.5</v>
      </c>
    </row>
    <row r="9" spans="1:20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>
        <f t="shared" si="1"/>
        <v>4140.875</v>
      </c>
      <c r="N9" s="19">
        <f t="shared" si="0"/>
        <v>4140.875</v>
      </c>
      <c r="O9" s="162" t="s">
        <v>130</v>
      </c>
      <c r="Q9" s="16">
        <f>S9*Q2</f>
        <v>4140.875</v>
      </c>
      <c r="R9" s="55">
        <v>5610</v>
      </c>
      <c r="S9" s="55">
        <f t="shared" si="2"/>
        <v>1055</v>
      </c>
      <c r="T9" s="20">
        <v>8293.5</v>
      </c>
    </row>
    <row r="10" spans="1:20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>
        <f>P10</f>
        <v>10398.424000000001</v>
      </c>
      <c r="N10" s="19">
        <f t="shared" si="0"/>
        <v>10398.424000000001</v>
      </c>
      <c r="O10" s="16">
        <f>4/1.47</f>
        <v>2.7210884353741496</v>
      </c>
      <c r="P10" s="16">
        <f>Q10*2.72</f>
        <v>10398.424000000001</v>
      </c>
      <c r="Q10" s="16">
        <f>S10*Q2</f>
        <v>3822.95</v>
      </c>
      <c r="R10" s="55">
        <v>6584</v>
      </c>
      <c r="S10" s="55">
        <f t="shared" si="2"/>
        <v>974</v>
      </c>
      <c r="T10" s="20">
        <f>T7*2.72</f>
        <v>22558.320000000003</v>
      </c>
    </row>
    <row r="11" spans="1:20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>
        <f t="shared" ref="M11:M13" si="3">P11</f>
        <v>9960.7080000000005</v>
      </c>
      <c r="N11" s="19">
        <f t="shared" si="0"/>
        <v>9960.7080000000005</v>
      </c>
      <c r="O11" s="16"/>
      <c r="P11" s="16">
        <f t="shared" ref="P11:P13" si="4">Q11*2.72</f>
        <v>9960.7080000000005</v>
      </c>
      <c r="Q11" s="16">
        <f>S11*Q2</f>
        <v>3662.0249999999996</v>
      </c>
      <c r="R11" s="55">
        <v>7517</v>
      </c>
      <c r="S11" s="55">
        <f t="shared" si="2"/>
        <v>933</v>
      </c>
      <c r="T11" s="20">
        <f t="shared" ref="T11" si="5">T8*2.72</f>
        <v>22558.320000000003</v>
      </c>
    </row>
    <row r="12" spans="1:20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>
        <f t="shared" si="3"/>
        <v>9394.880000000001</v>
      </c>
      <c r="N12" s="19">
        <f t="shared" si="0"/>
        <v>9394.880000000001</v>
      </c>
      <c r="O12" s="16"/>
      <c r="P12" s="16">
        <f t="shared" si="4"/>
        <v>9394.880000000001</v>
      </c>
      <c r="Q12" s="16">
        <f>S12*Q2</f>
        <v>3454</v>
      </c>
      <c r="R12" s="55">
        <v>8397</v>
      </c>
      <c r="S12" s="55">
        <f t="shared" si="2"/>
        <v>880</v>
      </c>
      <c r="T12" s="20">
        <v>22558.32</v>
      </c>
    </row>
    <row r="13" spans="1:20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>
        <f t="shared" si="3"/>
        <v>9640.4279999999999</v>
      </c>
      <c r="N13" s="19">
        <f t="shared" si="0"/>
        <v>9640.4279999999999</v>
      </c>
      <c r="O13" s="162" t="s">
        <v>131</v>
      </c>
      <c r="P13" s="16">
        <f t="shared" si="4"/>
        <v>9640.4279999999999</v>
      </c>
      <c r="Q13" s="16">
        <f>S13*Q2</f>
        <v>3544.2749999999996</v>
      </c>
      <c r="R13" s="55">
        <v>9300</v>
      </c>
      <c r="S13" s="55">
        <f t="shared" si="2"/>
        <v>903</v>
      </c>
      <c r="T13" s="20">
        <v>22558.32</v>
      </c>
    </row>
    <row r="14" spans="1:20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>
        <f>P14</f>
        <v>9672.4560000000001</v>
      </c>
      <c r="N14" s="19">
        <f t="shared" si="0"/>
        <v>9672.4560000000001</v>
      </c>
      <c r="O14" s="16">
        <f>6/1.47</f>
        <v>4.0816326530612246</v>
      </c>
      <c r="P14" s="16">
        <f>Q14*4.08</f>
        <v>9672.4560000000001</v>
      </c>
      <c r="Q14" s="16">
        <f>S14*Q2</f>
        <v>2370.6999999999998</v>
      </c>
      <c r="R14" s="55">
        <v>9904</v>
      </c>
      <c r="S14" s="55">
        <f t="shared" si="2"/>
        <v>604</v>
      </c>
      <c r="T14" s="20">
        <f>T6*4.08</f>
        <v>33837.480000000003</v>
      </c>
    </row>
    <row r="15" spans="1:20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>
        <f t="shared" ref="M15:M17" si="6">P15</f>
        <v>9256.0920000000006</v>
      </c>
      <c r="N15" s="19">
        <f t="shared" si="0"/>
        <v>9256.0920000000006</v>
      </c>
      <c r="O15" s="16"/>
      <c r="P15" s="16">
        <f t="shared" ref="P15:P17" si="7">Q15*4.08</f>
        <v>9256.0920000000006</v>
      </c>
      <c r="Q15" s="16">
        <f>S15*Q2</f>
        <v>2268.65</v>
      </c>
      <c r="R15" s="55">
        <v>10482</v>
      </c>
      <c r="S15" s="55">
        <f t="shared" si="2"/>
        <v>578</v>
      </c>
      <c r="T15" s="20">
        <v>33837.480000000003</v>
      </c>
    </row>
    <row r="16" spans="1:20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>
        <f t="shared" si="6"/>
        <v>7446.51</v>
      </c>
      <c r="N16" s="19">
        <f t="shared" si="0"/>
        <v>7446.51</v>
      </c>
      <c r="O16" s="16"/>
      <c r="P16" s="16">
        <f t="shared" si="7"/>
        <v>7446.51</v>
      </c>
      <c r="Q16" s="16">
        <f>S16*Q2</f>
        <v>1825.125</v>
      </c>
      <c r="R16" s="55">
        <v>10947</v>
      </c>
      <c r="S16" s="55">
        <f t="shared" si="2"/>
        <v>465</v>
      </c>
      <c r="T16" s="20">
        <v>33837.480000000003</v>
      </c>
    </row>
    <row r="17" spans="1:25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>
        <f t="shared" si="6"/>
        <v>3747.2759999999998</v>
      </c>
      <c r="N17" s="19">
        <f t="shared" si="0"/>
        <v>3747.2759999999998</v>
      </c>
      <c r="O17" s="15" t="s">
        <v>132</v>
      </c>
      <c r="P17" s="16">
        <f t="shared" si="7"/>
        <v>3747.2759999999998</v>
      </c>
      <c r="Q17" s="16">
        <f>S17*Q2</f>
        <v>918.44999999999993</v>
      </c>
      <c r="R17" s="55">
        <v>11181</v>
      </c>
      <c r="S17" s="55">
        <f t="shared" si="2"/>
        <v>234</v>
      </c>
      <c r="T17" s="20">
        <v>11500</v>
      </c>
    </row>
    <row r="18" spans="1: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>
        <f>SUM(N2:N17)</f>
        <v>91536.024000000005</v>
      </c>
      <c r="Q18" s="16"/>
      <c r="T18" s="20"/>
    </row>
    <row r="19" spans="1:25">
      <c r="Y19"/>
    </row>
    <row r="20" spans="1:25" ht="15.75" customHeight="1">
      <c r="A20" s="474" t="s">
        <v>133</v>
      </c>
      <c r="B20" s="474"/>
      <c r="C20" s="474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  <c r="Y20"/>
    </row>
    <row r="21" spans="1:25">
      <c r="C21" s="159" t="s">
        <v>127</v>
      </c>
      <c r="D21" s="159"/>
      <c r="E21" s="159"/>
      <c r="Y21"/>
    </row>
    <row r="22" spans="1:25">
      <c r="A22"/>
      <c r="C22" s="159" t="s">
        <v>128</v>
      </c>
    </row>
    <row r="23" spans="1:25" ht="15.75">
      <c r="A23"/>
      <c r="C23" s="159" t="s">
        <v>129</v>
      </c>
      <c r="K23" s="15" t="s">
        <v>134</v>
      </c>
    </row>
    <row r="24" spans="1:25">
      <c r="B24"/>
    </row>
    <row r="26" spans="1:25">
      <c r="A26" s="153" t="s">
        <v>18</v>
      </c>
      <c r="B26" s="154" t="s">
        <v>105</v>
      </c>
      <c r="C26" s="143" t="s">
        <v>106</v>
      </c>
      <c r="D26" s="155" t="s">
        <v>110</v>
      </c>
      <c r="E26" s="473" t="s">
        <v>107</v>
      </c>
      <c r="F26" s="473"/>
      <c r="G26" s="144" t="s">
        <v>111</v>
      </c>
      <c r="H26" s="156" t="s">
        <v>112</v>
      </c>
      <c r="I26" s="156" t="s">
        <v>109</v>
      </c>
      <c r="J26" s="140" t="s">
        <v>108</v>
      </c>
      <c r="K26" s="140"/>
      <c r="L26" s="144"/>
      <c r="M26" s="144"/>
      <c r="N26" s="144"/>
    </row>
    <row r="27" spans="1:25">
      <c r="A27" s="13">
        <v>1998</v>
      </c>
      <c r="B27" s="47"/>
      <c r="C27" s="64"/>
      <c r="D27" s="64"/>
      <c r="E27" s="582"/>
      <c r="F27" s="582"/>
      <c r="G27" s="141"/>
      <c r="H27" s="50"/>
      <c r="I27" s="142"/>
      <c r="J27" s="65"/>
      <c r="K27" s="65"/>
      <c r="L27" s="65"/>
      <c r="M27" s="65"/>
      <c r="N27" s="65"/>
      <c r="T27" s="16"/>
    </row>
    <row r="28" spans="1:25">
      <c r="A28" s="13"/>
      <c r="B28" s="47"/>
      <c r="C28" s="64"/>
      <c r="D28" s="64"/>
      <c r="E28" s="582"/>
      <c r="F28" s="582"/>
      <c r="G28" s="141"/>
      <c r="H28" s="50"/>
      <c r="I28" s="21"/>
      <c r="J28" s="33"/>
      <c r="K28" s="33"/>
      <c r="L28" s="65"/>
      <c r="M28" s="65"/>
      <c r="N28" s="65"/>
    </row>
    <row r="29" spans="1:25">
      <c r="A29" s="13"/>
      <c r="B29" s="47"/>
      <c r="C29" s="64"/>
      <c r="D29" s="64"/>
      <c r="E29" s="582"/>
      <c r="F29" s="582"/>
      <c r="G29" s="141"/>
      <c r="H29" s="51"/>
      <c r="I29" s="21"/>
      <c r="J29" s="33"/>
      <c r="K29" s="33"/>
      <c r="L29" s="65"/>
      <c r="M29" s="65"/>
      <c r="N29" s="65"/>
    </row>
    <row r="30" spans="1:25">
      <c r="A30" s="13"/>
      <c r="B30" s="47"/>
      <c r="C30" s="64"/>
      <c r="D30" s="64"/>
      <c r="E30" s="582"/>
      <c r="F30" s="582"/>
      <c r="G30" s="141"/>
      <c r="H30" s="51"/>
      <c r="I30" s="21"/>
      <c r="J30" s="33"/>
      <c r="K30" s="33"/>
      <c r="L30" s="65"/>
      <c r="M30" s="65"/>
      <c r="N30" s="65"/>
    </row>
    <row r="31" spans="1:25">
      <c r="A31" s="13"/>
      <c r="B31" s="47"/>
      <c r="C31" s="64"/>
      <c r="D31" s="64"/>
      <c r="E31" s="582"/>
      <c r="F31" s="582"/>
      <c r="G31" s="141"/>
      <c r="H31" s="51"/>
      <c r="I31" s="21"/>
      <c r="J31" s="33"/>
      <c r="K31" s="33"/>
      <c r="L31" s="65"/>
      <c r="M31" s="65"/>
      <c r="N31" s="65"/>
    </row>
    <row r="32" spans="1:25">
      <c r="A32" s="13">
        <v>2005</v>
      </c>
      <c r="B32" s="47"/>
      <c r="C32" s="64"/>
      <c r="D32" s="64"/>
      <c r="E32" s="582"/>
      <c r="F32" s="582"/>
      <c r="G32" s="141"/>
      <c r="H32" s="51"/>
      <c r="I32" s="21"/>
      <c r="J32" s="33"/>
      <c r="K32" s="33"/>
      <c r="L32" s="65"/>
      <c r="M32" s="65"/>
      <c r="N32" s="65"/>
    </row>
    <row r="33" spans="1:14">
      <c r="A33" s="13"/>
      <c r="B33" s="47"/>
      <c r="C33" s="64"/>
      <c r="D33" s="64"/>
      <c r="E33" s="582"/>
      <c r="F33" s="582"/>
      <c r="G33" s="141"/>
      <c r="H33" s="51"/>
      <c r="I33" s="21"/>
      <c r="J33" s="33"/>
      <c r="K33" s="33"/>
      <c r="L33" s="65"/>
      <c r="M33" s="65"/>
      <c r="N33" s="65"/>
    </row>
    <row r="34" spans="1:14">
      <c r="A34" s="13"/>
      <c r="B34" s="47"/>
      <c r="C34" s="64"/>
      <c r="D34" s="64"/>
      <c r="E34" s="582"/>
      <c r="F34" s="582"/>
      <c r="G34" s="141"/>
      <c r="H34" s="51"/>
      <c r="I34" s="33"/>
      <c r="J34" s="33"/>
      <c r="K34" s="33"/>
      <c r="L34" s="65"/>
      <c r="M34" s="65"/>
      <c r="N34" s="65"/>
    </row>
    <row r="35" spans="1:14">
      <c r="A35" s="13"/>
      <c r="B35" s="47"/>
      <c r="C35" s="64"/>
      <c r="D35" s="64"/>
      <c r="E35" s="582"/>
      <c r="F35" s="582"/>
      <c r="G35" s="141"/>
      <c r="H35" s="51"/>
      <c r="I35" s="33"/>
      <c r="J35" s="33"/>
      <c r="K35" s="33"/>
      <c r="L35" s="65"/>
      <c r="M35" s="65"/>
      <c r="N35" s="65"/>
    </row>
    <row r="36" spans="1:14">
      <c r="A36" s="13"/>
      <c r="B36" s="47"/>
      <c r="C36" s="64"/>
      <c r="D36" s="64"/>
      <c r="E36" s="582"/>
      <c r="F36" s="582"/>
      <c r="G36" s="141"/>
      <c r="H36" s="51"/>
      <c r="I36" s="33"/>
      <c r="J36" s="33"/>
      <c r="K36" s="33"/>
      <c r="L36" s="65"/>
      <c r="M36" s="65"/>
      <c r="N36" s="65"/>
    </row>
    <row r="37" spans="1:14">
      <c r="A37" s="13"/>
      <c r="B37" s="47"/>
      <c r="C37" s="64"/>
      <c r="D37" s="64"/>
      <c r="E37" s="582"/>
      <c r="F37" s="582"/>
      <c r="G37" s="141"/>
      <c r="H37" s="51"/>
      <c r="I37" s="33"/>
      <c r="J37" s="33"/>
      <c r="K37" s="33"/>
      <c r="L37" s="65"/>
      <c r="M37" s="65"/>
      <c r="N37" s="65"/>
    </row>
    <row r="38" spans="1:14">
      <c r="A38" s="13"/>
      <c r="B38" s="47"/>
      <c r="C38" s="64"/>
      <c r="D38" s="64"/>
      <c r="E38" s="582"/>
      <c r="F38" s="582"/>
      <c r="G38" s="141"/>
      <c r="H38" s="51"/>
      <c r="I38" s="33"/>
      <c r="J38" s="33"/>
      <c r="K38" s="33"/>
      <c r="L38" s="65"/>
      <c r="M38" s="65"/>
      <c r="N38" s="65"/>
    </row>
    <row r="39" spans="1:14">
      <c r="A39" s="13"/>
      <c r="B39" s="47"/>
      <c r="C39" s="64"/>
      <c r="D39" s="64"/>
      <c r="E39" s="582"/>
      <c r="F39" s="582"/>
      <c r="G39" s="141"/>
      <c r="H39" s="51"/>
      <c r="I39" s="33"/>
      <c r="J39" s="33"/>
      <c r="K39" s="33"/>
      <c r="L39" s="65"/>
      <c r="M39" s="65"/>
      <c r="N39" s="65"/>
    </row>
    <row r="40" spans="1:14">
      <c r="A40" s="13"/>
      <c r="B40" s="47"/>
      <c r="C40" s="64"/>
      <c r="D40" s="64"/>
      <c r="E40" s="582"/>
      <c r="F40" s="582"/>
      <c r="G40" s="141"/>
      <c r="H40" s="51"/>
      <c r="I40" s="33"/>
      <c r="J40" s="33"/>
      <c r="K40" s="33"/>
      <c r="L40" s="65"/>
      <c r="M40" s="65"/>
      <c r="N40" s="65"/>
    </row>
    <row r="41" spans="1:14">
      <c r="A41" s="13"/>
      <c r="B41" s="47"/>
      <c r="C41" s="64"/>
      <c r="D41" s="64"/>
      <c r="E41" s="582"/>
      <c r="F41" s="582"/>
      <c r="G41" s="141"/>
      <c r="H41" s="51"/>
      <c r="I41" s="33"/>
      <c r="J41" s="33"/>
      <c r="K41" s="33"/>
      <c r="L41" s="65"/>
      <c r="M41" s="65"/>
      <c r="N41" s="65"/>
    </row>
    <row r="42" spans="1:14">
      <c r="A42" s="13"/>
      <c r="B42" s="47"/>
      <c r="C42" s="64"/>
      <c r="D42" s="64"/>
      <c r="E42" s="582"/>
      <c r="F42" s="582"/>
      <c r="G42" s="141"/>
      <c r="H42" s="13"/>
      <c r="I42" s="33"/>
      <c r="J42" s="33"/>
      <c r="K42" s="33"/>
      <c r="L42" s="65"/>
      <c r="M42" s="65"/>
      <c r="N42" s="65"/>
    </row>
  </sheetData>
  <mergeCells count="18">
    <mergeCell ref="E42:F42"/>
    <mergeCell ref="E34:F34"/>
    <mergeCell ref="E35:F35"/>
    <mergeCell ref="E36:F36"/>
    <mergeCell ref="E37:F37"/>
    <mergeCell ref="E38:F38"/>
    <mergeCell ref="E39:F39"/>
    <mergeCell ref="E26:F26"/>
    <mergeCell ref="E27:F27"/>
    <mergeCell ref="E40:F40"/>
    <mergeCell ref="E41:F41"/>
    <mergeCell ref="A20:N20"/>
    <mergeCell ref="E28:F28"/>
    <mergeCell ref="E29:F29"/>
    <mergeCell ref="E30:F30"/>
    <mergeCell ref="E31:F31"/>
    <mergeCell ref="E32:F32"/>
    <mergeCell ref="E33:F3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42"/>
  <sheetViews>
    <sheetView workbookViewId="0">
      <selection activeCell="K31" sqref="K31"/>
    </sheetView>
  </sheetViews>
  <sheetFormatPr defaultRowHeight="15"/>
  <cols>
    <col min="1" max="1" width="5" style="10" bestFit="1" customWidth="1"/>
    <col min="2" max="2" width="4" style="10" bestFit="1" customWidth="1"/>
    <col min="3" max="3" width="7.109375" style="10" bestFit="1" customWidth="1"/>
    <col min="4" max="4" width="6.5546875" style="10" bestFit="1" customWidth="1"/>
    <col min="5" max="5" width="4.88671875" style="10" customWidth="1"/>
    <col min="6" max="6" width="5.33203125" style="10" customWidth="1"/>
    <col min="7" max="7" width="5.5546875" style="10" bestFit="1" customWidth="1"/>
    <col min="8" max="8" width="5.33203125" style="10" bestFit="1" customWidth="1"/>
    <col min="9" max="10" width="10.44140625" style="10" bestFit="1" customWidth="1"/>
    <col min="11" max="13" width="11.44140625" style="10" bestFit="1" customWidth="1"/>
    <col min="14" max="14" width="12.44140625" style="10" bestFit="1" customWidth="1"/>
    <col min="15" max="15" width="16.5546875" style="10" customWidth="1"/>
    <col min="16" max="16" width="11.44140625" style="10" bestFit="1" customWidth="1"/>
    <col min="17" max="17" width="14.109375" style="10" bestFit="1" customWidth="1"/>
    <col min="18" max="19" width="9.44140625" style="10" customWidth="1"/>
    <col min="20" max="20" width="12.44140625" style="10" bestFit="1" customWidth="1"/>
    <col min="21" max="16384" width="8.88671875" style="10"/>
  </cols>
  <sheetData>
    <row r="1" spans="1:20">
      <c r="A1" s="152"/>
      <c r="B1" s="37" t="s">
        <v>4</v>
      </c>
      <c r="C1" s="158" t="s">
        <v>5</v>
      </c>
      <c r="D1" s="37" t="s">
        <v>6</v>
      </c>
      <c r="E1" s="157" t="s">
        <v>7</v>
      </c>
      <c r="F1" s="37" t="s">
        <v>2</v>
      </c>
      <c r="G1" s="158" t="s">
        <v>8</v>
      </c>
      <c r="H1" s="37" t="s">
        <v>9</v>
      </c>
      <c r="I1" s="157" t="s">
        <v>10</v>
      </c>
      <c r="J1" s="37" t="s">
        <v>11</v>
      </c>
      <c r="K1" s="158" t="s">
        <v>12</v>
      </c>
      <c r="L1" s="37" t="s">
        <v>13</v>
      </c>
      <c r="M1" s="157" t="s">
        <v>14</v>
      </c>
      <c r="N1" s="145" t="s">
        <v>3</v>
      </c>
      <c r="Q1" s="128" t="s">
        <v>124</v>
      </c>
      <c r="R1" s="161" t="s">
        <v>1</v>
      </c>
      <c r="S1" s="161" t="s">
        <v>126</v>
      </c>
      <c r="T1" s="128" t="s">
        <v>125</v>
      </c>
    </row>
    <row r="2" spans="1:20">
      <c r="A2" s="11">
        <v>1998</v>
      </c>
      <c r="B2" s="12"/>
      <c r="C2" s="12"/>
      <c r="D2" s="12"/>
      <c r="E2" s="12"/>
      <c r="F2" s="12"/>
      <c r="G2" s="12"/>
      <c r="H2" s="12"/>
      <c r="I2" s="38">
        <v>7.35</v>
      </c>
      <c r="J2" s="38">
        <v>213.15</v>
      </c>
      <c r="K2" s="38">
        <v>186.69</v>
      </c>
      <c r="L2" s="38">
        <v>141.12</v>
      </c>
      <c r="M2" s="38">
        <v>649.74</v>
      </c>
      <c r="N2" s="38">
        <f t="shared" ref="N2:N17" si="0">SUM(B2:M2)</f>
        <v>1198.05</v>
      </c>
      <c r="Q2" s="16">
        <f>N2/240</f>
        <v>4.9918749999999994</v>
      </c>
      <c r="R2" s="160">
        <v>240</v>
      </c>
      <c r="S2" s="160"/>
      <c r="T2" s="20">
        <f>N2/4</f>
        <v>299.51249999999999</v>
      </c>
    </row>
    <row r="3" spans="1:20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>
        <f>Q3</f>
        <v>2860.3443749999997</v>
      </c>
      <c r="N3" s="19">
        <f t="shared" si="0"/>
        <v>2860.3443749999997</v>
      </c>
      <c r="O3" s="16"/>
      <c r="Q3" s="16">
        <f>S3*Q2</f>
        <v>2860.3443749999997</v>
      </c>
      <c r="R3" s="55">
        <v>813</v>
      </c>
      <c r="S3" s="55">
        <f>R3-R2</f>
        <v>573</v>
      </c>
      <c r="T3" s="20">
        <f>T2*12</f>
        <v>3594.1499999999996</v>
      </c>
    </row>
    <row r="4" spans="1:20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>
        <f t="shared" ref="M4:M9" si="1">Q4</f>
        <v>2850.3606249999998</v>
      </c>
      <c r="N4" s="19">
        <f t="shared" si="0"/>
        <v>2850.3606249999998</v>
      </c>
      <c r="O4" s="16"/>
      <c r="Q4" s="16">
        <f>S4*Q2</f>
        <v>2850.3606249999998</v>
      </c>
      <c r="R4" s="55">
        <v>1384</v>
      </c>
      <c r="S4" s="55">
        <f t="shared" ref="S4:S17" si="2">R4-R3</f>
        <v>571</v>
      </c>
      <c r="T4" s="20">
        <v>8293.5</v>
      </c>
    </row>
    <row r="5" spans="1:20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>
        <f t="shared" si="1"/>
        <v>2860.3443749999997</v>
      </c>
      <c r="N5" s="19">
        <f t="shared" si="0"/>
        <v>2860.3443749999997</v>
      </c>
      <c r="O5" s="16"/>
      <c r="Q5" s="16">
        <f>S5*Q2</f>
        <v>2860.3443749999997</v>
      </c>
      <c r="R5" s="55">
        <v>1957</v>
      </c>
      <c r="S5" s="55">
        <f t="shared" si="2"/>
        <v>573</v>
      </c>
      <c r="T5" s="20">
        <v>8293.5</v>
      </c>
    </row>
    <row r="6" spans="1:20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>
        <f t="shared" si="1"/>
        <v>3249.7106249999997</v>
      </c>
      <c r="N6" s="19">
        <f t="shared" si="0"/>
        <v>3249.7106249999997</v>
      </c>
      <c r="O6" s="16"/>
      <c r="Q6" s="16">
        <f>S6*Q2</f>
        <v>3249.7106249999997</v>
      </c>
      <c r="R6" s="55">
        <v>2608</v>
      </c>
      <c r="S6" s="55">
        <f t="shared" si="2"/>
        <v>651</v>
      </c>
      <c r="T6" s="20">
        <v>8293.5</v>
      </c>
    </row>
    <row r="7" spans="1:20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7"/>
      <c r="M7" s="17">
        <f t="shared" si="1"/>
        <v>4807.1756249999999</v>
      </c>
      <c r="N7" s="19">
        <f t="shared" si="0"/>
        <v>4807.1756249999999</v>
      </c>
      <c r="O7" s="16"/>
      <c r="Q7" s="16">
        <f>S7*Q2</f>
        <v>4807.1756249999999</v>
      </c>
      <c r="R7" s="55">
        <v>3571</v>
      </c>
      <c r="S7" s="55">
        <f t="shared" si="2"/>
        <v>963</v>
      </c>
      <c r="T7" s="20">
        <v>8293.5</v>
      </c>
    </row>
    <row r="8" spans="1:20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7"/>
      <c r="M8" s="17">
        <f t="shared" si="1"/>
        <v>4912.0049999999992</v>
      </c>
      <c r="N8" s="19">
        <f t="shared" si="0"/>
        <v>4912.0049999999992</v>
      </c>
      <c r="O8" s="16"/>
      <c r="Q8" s="16">
        <f>S8*Q2</f>
        <v>4912.0049999999992</v>
      </c>
      <c r="R8" s="55">
        <v>4555</v>
      </c>
      <c r="S8" s="55">
        <f t="shared" si="2"/>
        <v>984</v>
      </c>
      <c r="T8" s="20">
        <v>8293.5</v>
      </c>
    </row>
    <row r="9" spans="1:20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>
        <f t="shared" si="1"/>
        <v>5266.4281249999995</v>
      </c>
      <c r="N9" s="19">
        <f t="shared" si="0"/>
        <v>5266.4281249999995</v>
      </c>
      <c r="O9" s="162" t="s">
        <v>130</v>
      </c>
      <c r="Q9" s="16">
        <f>S9*Q2</f>
        <v>5266.4281249999995</v>
      </c>
      <c r="R9" s="55">
        <v>5610</v>
      </c>
      <c r="S9" s="55">
        <f t="shared" si="2"/>
        <v>1055</v>
      </c>
      <c r="T9" s="20">
        <v>8293.5</v>
      </c>
    </row>
    <row r="10" spans="1:20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>
        <f>P10</f>
        <v>13224.874599999999</v>
      </c>
      <c r="N10" s="19">
        <f t="shared" si="0"/>
        <v>13224.874599999999</v>
      </c>
      <c r="O10" s="16">
        <f>4/1.47</f>
        <v>2.7210884353741496</v>
      </c>
      <c r="P10" s="16">
        <f>Q10*2.72</f>
        <v>13224.874599999999</v>
      </c>
      <c r="Q10" s="16">
        <f>S10*Q2</f>
        <v>4862.0862499999994</v>
      </c>
      <c r="R10" s="55">
        <v>6584</v>
      </c>
      <c r="S10" s="55">
        <f t="shared" si="2"/>
        <v>974</v>
      </c>
      <c r="T10" s="20">
        <f>T7*2.72</f>
        <v>22558.320000000003</v>
      </c>
    </row>
    <row r="11" spans="1:20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>
        <f t="shared" ref="M11:M13" si="3">P11</f>
        <v>12668.180699999999</v>
      </c>
      <c r="N11" s="19">
        <f t="shared" si="0"/>
        <v>12668.180699999999</v>
      </c>
      <c r="O11" s="16"/>
      <c r="P11" s="16">
        <f t="shared" ref="P11:P13" si="4">Q11*2.72</f>
        <v>12668.180699999999</v>
      </c>
      <c r="Q11" s="16">
        <f>S11*Q2</f>
        <v>4657.4193749999995</v>
      </c>
      <c r="R11" s="55">
        <v>7517</v>
      </c>
      <c r="S11" s="55">
        <f t="shared" si="2"/>
        <v>933</v>
      </c>
      <c r="T11" s="20">
        <f t="shared" ref="T11" si="5">T8*2.72</f>
        <v>22558.320000000003</v>
      </c>
    </row>
    <row r="12" spans="1:20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>
        <f t="shared" si="3"/>
        <v>11948.552</v>
      </c>
      <c r="N12" s="19">
        <f t="shared" si="0"/>
        <v>11948.552</v>
      </c>
      <c r="O12" s="16"/>
      <c r="P12" s="16">
        <f t="shared" si="4"/>
        <v>11948.552</v>
      </c>
      <c r="Q12" s="16">
        <f>S12*Q2</f>
        <v>4392.8499999999995</v>
      </c>
      <c r="R12" s="55">
        <v>8397</v>
      </c>
      <c r="S12" s="55">
        <f t="shared" si="2"/>
        <v>880</v>
      </c>
      <c r="T12" s="20">
        <v>22558.32</v>
      </c>
    </row>
    <row r="13" spans="1:20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>
        <f t="shared" si="3"/>
        <v>12260.843699999998</v>
      </c>
      <c r="N13" s="19">
        <f t="shared" si="0"/>
        <v>12260.843699999998</v>
      </c>
      <c r="O13" s="162" t="s">
        <v>131</v>
      </c>
      <c r="P13" s="16">
        <f t="shared" si="4"/>
        <v>12260.843699999998</v>
      </c>
      <c r="Q13" s="16">
        <f>S13*Q2</f>
        <v>4507.6631249999991</v>
      </c>
      <c r="R13" s="55">
        <v>9300</v>
      </c>
      <c r="S13" s="55">
        <f t="shared" si="2"/>
        <v>903</v>
      </c>
      <c r="T13" s="20">
        <v>22558.32</v>
      </c>
    </row>
    <row r="14" spans="1:20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>
        <f>P14</f>
        <v>12301.577399999998</v>
      </c>
      <c r="N14" s="19">
        <f t="shared" si="0"/>
        <v>12301.577399999998</v>
      </c>
      <c r="O14" s="16">
        <f>6/1.47</f>
        <v>4.0816326530612246</v>
      </c>
      <c r="P14" s="16">
        <f>Q14*4.08</f>
        <v>12301.577399999998</v>
      </c>
      <c r="Q14" s="16">
        <f>S14*Q2</f>
        <v>3015.0924999999997</v>
      </c>
      <c r="R14" s="55">
        <v>9904</v>
      </c>
      <c r="S14" s="55">
        <f t="shared" si="2"/>
        <v>604</v>
      </c>
      <c r="T14" s="20">
        <f>T6*4.08</f>
        <v>33837.480000000003</v>
      </c>
    </row>
    <row r="15" spans="1:20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>
        <f t="shared" ref="M15:M17" si="6">P15</f>
        <v>11772.039299999999</v>
      </c>
      <c r="N15" s="19">
        <f t="shared" si="0"/>
        <v>11772.039299999999</v>
      </c>
      <c r="O15" s="16"/>
      <c r="P15" s="16">
        <f t="shared" ref="P15:P17" si="7">Q15*4.08</f>
        <v>11772.039299999999</v>
      </c>
      <c r="Q15" s="16">
        <f>S15*Q2</f>
        <v>2885.3037499999996</v>
      </c>
      <c r="R15" s="55">
        <v>10482</v>
      </c>
      <c r="S15" s="55">
        <f t="shared" si="2"/>
        <v>578</v>
      </c>
      <c r="T15" s="20">
        <v>33837.480000000003</v>
      </c>
    </row>
    <row r="16" spans="1:20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>
        <f t="shared" si="6"/>
        <v>9470.5852499999983</v>
      </c>
      <c r="N16" s="19">
        <f t="shared" si="0"/>
        <v>9470.5852499999983</v>
      </c>
      <c r="O16" s="16"/>
      <c r="P16" s="16">
        <f t="shared" si="7"/>
        <v>9470.5852499999983</v>
      </c>
      <c r="Q16" s="16">
        <f>S16*Q2</f>
        <v>2321.2218749999997</v>
      </c>
      <c r="R16" s="55">
        <v>10947</v>
      </c>
      <c r="S16" s="55">
        <f t="shared" si="2"/>
        <v>465</v>
      </c>
      <c r="T16" s="20">
        <v>33837.480000000003</v>
      </c>
    </row>
    <row r="17" spans="1:25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>
        <f t="shared" si="6"/>
        <v>4765.8428999999996</v>
      </c>
      <c r="N17" s="19">
        <f t="shared" si="0"/>
        <v>4765.8428999999996</v>
      </c>
      <c r="O17" s="15" t="s">
        <v>132</v>
      </c>
      <c r="P17" s="16">
        <f t="shared" si="7"/>
        <v>4765.8428999999996</v>
      </c>
      <c r="Q17" s="16">
        <f>S17*Q2</f>
        <v>1168.0987499999999</v>
      </c>
      <c r="R17" s="55">
        <v>11181</v>
      </c>
      <c r="S17" s="55">
        <f t="shared" si="2"/>
        <v>234</v>
      </c>
      <c r="T17" s="20">
        <v>11500</v>
      </c>
    </row>
    <row r="18" spans="1: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>
        <f>SUM(N2:N17)</f>
        <v>116416.91459999999</v>
      </c>
      <c r="Q18" s="16"/>
      <c r="T18" s="20"/>
    </row>
    <row r="19" spans="1:25">
      <c r="Y19"/>
    </row>
    <row r="20" spans="1:25" ht="15.75" customHeight="1">
      <c r="A20" s="474" t="s">
        <v>135</v>
      </c>
      <c r="B20" s="474"/>
      <c r="C20" s="474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  <c r="Y20"/>
    </row>
    <row r="21" spans="1:25">
      <c r="C21" s="159" t="s">
        <v>127</v>
      </c>
      <c r="D21" s="159"/>
      <c r="E21" s="159"/>
      <c r="Y21"/>
    </row>
    <row r="22" spans="1:25">
      <c r="A22"/>
      <c r="C22" s="159" t="s">
        <v>128</v>
      </c>
    </row>
    <row r="23" spans="1:25" ht="15.75">
      <c r="A23"/>
      <c r="C23" s="159" t="s">
        <v>129</v>
      </c>
      <c r="K23" s="15" t="s">
        <v>134</v>
      </c>
    </row>
    <row r="24" spans="1:25">
      <c r="B24"/>
    </row>
    <row r="26" spans="1:25">
      <c r="A26" s="153" t="s">
        <v>18</v>
      </c>
      <c r="B26" s="154" t="s">
        <v>105</v>
      </c>
      <c r="C26" s="143" t="s">
        <v>106</v>
      </c>
      <c r="D26" s="155" t="s">
        <v>110</v>
      </c>
      <c r="E26" s="473" t="s">
        <v>107</v>
      </c>
      <c r="F26" s="473"/>
      <c r="G26" s="144" t="s">
        <v>111</v>
      </c>
      <c r="H26" s="156" t="s">
        <v>112</v>
      </c>
      <c r="I26" s="156" t="s">
        <v>109</v>
      </c>
      <c r="J26" s="140" t="s">
        <v>108</v>
      </c>
      <c r="K26" s="140"/>
      <c r="L26" s="144"/>
      <c r="M26" s="144"/>
      <c r="N26" s="144"/>
    </row>
    <row r="27" spans="1:25">
      <c r="A27" s="13">
        <v>1998</v>
      </c>
      <c r="B27" s="47"/>
      <c r="C27" s="64"/>
      <c r="D27" s="64"/>
      <c r="E27" s="582"/>
      <c r="F27" s="582"/>
      <c r="G27" s="141"/>
      <c r="H27" s="50"/>
      <c r="I27" s="142"/>
      <c r="J27" s="65"/>
      <c r="K27" s="65"/>
      <c r="L27" s="65"/>
      <c r="M27" s="65"/>
      <c r="N27" s="65"/>
      <c r="T27" s="16"/>
    </row>
    <row r="28" spans="1:25">
      <c r="A28" s="13"/>
      <c r="B28" s="47"/>
      <c r="C28" s="64"/>
      <c r="D28" s="64"/>
      <c r="E28" s="582"/>
      <c r="F28" s="582"/>
      <c r="G28" s="141"/>
      <c r="H28" s="50"/>
      <c r="I28" s="21"/>
      <c r="J28" s="33"/>
      <c r="K28" s="33"/>
      <c r="L28" s="65"/>
      <c r="M28" s="65"/>
      <c r="N28" s="65"/>
    </row>
    <row r="29" spans="1:25">
      <c r="A29" s="13"/>
      <c r="B29" s="47"/>
      <c r="C29" s="64"/>
      <c r="D29" s="64"/>
      <c r="E29" s="582"/>
      <c r="F29" s="582"/>
      <c r="G29" s="141"/>
      <c r="H29" s="51"/>
      <c r="I29" s="21"/>
      <c r="J29" s="33"/>
      <c r="K29" s="33"/>
      <c r="L29" s="65"/>
      <c r="M29" s="65"/>
      <c r="N29" s="65"/>
    </row>
    <row r="30" spans="1:25">
      <c r="A30" s="13"/>
      <c r="B30" s="47"/>
      <c r="C30" s="64"/>
      <c r="D30" s="64"/>
      <c r="E30" s="582"/>
      <c r="F30" s="582"/>
      <c r="G30" s="141"/>
      <c r="H30" s="51"/>
      <c r="I30" s="21"/>
      <c r="J30" s="33"/>
      <c r="K30" s="33"/>
      <c r="L30" s="65"/>
      <c r="M30" s="65"/>
      <c r="N30" s="65"/>
    </row>
    <row r="31" spans="1:25">
      <c r="A31" s="13"/>
      <c r="B31" s="47"/>
      <c r="C31" s="64"/>
      <c r="D31" s="64"/>
      <c r="E31" s="582"/>
      <c r="F31" s="582"/>
      <c r="G31" s="141"/>
      <c r="H31" s="51"/>
      <c r="I31" s="21"/>
      <c r="J31" s="33"/>
      <c r="K31" s="33"/>
      <c r="L31" s="65"/>
      <c r="M31" s="65"/>
      <c r="N31" s="65"/>
    </row>
    <row r="32" spans="1:25">
      <c r="A32" s="13">
        <v>2005</v>
      </c>
      <c r="B32" s="47"/>
      <c r="C32" s="64"/>
      <c r="D32" s="64"/>
      <c r="E32" s="582"/>
      <c r="F32" s="582"/>
      <c r="G32" s="141"/>
      <c r="H32" s="51"/>
      <c r="I32" s="21"/>
      <c r="J32" s="33"/>
      <c r="K32" s="33"/>
      <c r="L32" s="65"/>
      <c r="M32" s="65"/>
      <c r="N32" s="65"/>
    </row>
    <row r="33" spans="1:14">
      <c r="A33" s="13"/>
      <c r="B33" s="47"/>
      <c r="C33" s="64"/>
      <c r="D33" s="64"/>
      <c r="E33" s="582"/>
      <c r="F33" s="582"/>
      <c r="G33" s="141"/>
      <c r="H33" s="51"/>
      <c r="I33" s="21"/>
      <c r="J33" s="33"/>
      <c r="K33" s="33"/>
      <c r="L33" s="65"/>
      <c r="M33" s="65"/>
      <c r="N33" s="65"/>
    </row>
    <row r="34" spans="1:14">
      <c r="A34" s="13"/>
      <c r="B34" s="47"/>
      <c r="C34" s="64"/>
      <c r="D34" s="64"/>
      <c r="E34" s="582"/>
      <c r="F34" s="582"/>
      <c r="G34" s="141"/>
      <c r="H34" s="51"/>
      <c r="I34" s="33"/>
      <c r="J34" s="33"/>
      <c r="K34" s="33"/>
      <c r="L34" s="65"/>
      <c r="M34" s="65"/>
      <c r="N34" s="65"/>
    </row>
    <row r="35" spans="1:14">
      <c r="A35" s="13"/>
      <c r="B35" s="47"/>
      <c r="C35" s="64"/>
      <c r="D35" s="64"/>
      <c r="E35" s="582"/>
      <c r="F35" s="582"/>
      <c r="G35" s="141"/>
      <c r="H35" s="51"/>
      <c r="I35" s="33"/>
      <c r="J35" s="33"/>
      <c r="K35" s="33"/>
      <c r="L35" s="65"/>
      <c r="M35" s="65"/>
      <c r="N35" s="65"/>
    </row>
    <row r="36" spans="1:14">
      <c r="A36" s="13"/>
      <c r="B36" s="47"/>
      <c r="C36" s="64"/>
      <c r="D36" s="64"/>
      <c r="E36" s="582"/>
      <c r="F36" s="582"/>
      <c r="G36" s="141"/>
      <c r="H36" s="51"/>
      <c r="I36" s="33"/>
      <c r="J36" s="33"/>
      <c r="K36" s="33"/>
      <c r="L36" s="65"/>
      <c r="M36" s="65"/>
      <c r="N36" s="65"/>
    </row>
    <row r="37" spans="1:14">
      <c r="A37" s="13"/>
      <c r="B37" s="47"/>
      <c r="C37" s="64"/>
      <c r="D37" s="64"/>
      <c r="E37" s="582"/>
      <c r="F37" s="582"/>
      <c r="G37" s="141"/>
      <c r="H37" s="51"/>
      <c r="I37" s="33"/>
      <c r="J37" s="33"/>
      <c r="K37" s="33"/>
      <c r="L37" s="65"/>
      <c r="M37" s="65"/>
      <c r="N37" s="65"/>
    </row>
    <row r="38" spans="1:14">
      <c r="A38" s="13"/>
      <c r="B38" s="47"/>
      <c r="C38" s="64"/>
      <c r="D38" s="64"/>
      <c r="E38" s="582"/>
      <c r="F38" s="582"/>
      <c r="G38" s="141"/>
      <c r="H38" s="51"/>
      <c r="I38" s="33"/>
      <c r="J38" s="33"/>
      <c r="K38" s="33"/>
      <c r="L38" s="65"/>
      <c r="M38" s="65"/>
      <c r="N38" s="65"/>
    </row>
    <row r="39" spans="1:14">
      <c r="A39" s="13"/>
      <c r="B39" s="47"/>
      <c r="C39" s="64"/>
      <c r="D39" s="64"/>
      <c r="E39" s="582"/>
      <c r="F39" s="582"/>
      <c r="G39" s="141"/>
      <c r="H39" s="51"/>
      <c r="I39" s="33"/>
      <c r="J39" s="33"/>
      <c r="K39" s="33"/>
      <c r="L39" s="65"/>
      <c r="M39" s="65"/>
      <c r="N39" s="65"/>
    </row>
    <row r="40" spans="1:14">
      <c r="A40" s="13"/>
      <c r="B40" s="47"/>
      <c r="C40" s="64"/>
      <c r="D40" s="64"/>
      <c r="E40" s="582"/>
      <c r="F40" s="582"/>
      <c r="G40" s="141"/>
      <c r="H40" s="51"/>
      <c r="I40" s="33"/>
      <c r="J40" s="33"/>
      <c r="K40" s="33"/>
      <c r="L40" s="65"/>
      <c r="M40" s="65"/>
      <c r="N40" s="65"/>
    </row>
    <row r="41" spans="1:14">
      <c r="A41" s="13"/>
      <c r="B41" s="47"/>
      <c r="C41" s="64"/>
      <c r="D41" s="64"/>
      <c r="E41" s="582"/>
      <c r="F41" s="582"/>
      <c r="G41" s="141"/>
      <c r="H41" s="51"/>
      <c r="I41" s="33"/>
      <c r="J41" s="33"/>
      <c r="K41" s="33"/>
      <c r="L41" s="65"/>
      <c r="M41" s="65"/>
      <c r="N41" s="65"/>
    </row>
    <row r="42" spans="1:14">
      <c r="A42" s="13"/>
      <c r="B42" s="47"/>
      <c r="C42" s="64"/>
      <c r="D42" s="64"/>
      <c r="E42" s="582"/>
      <c r="F42" s="582"/>
      <c r="G42" s="141"/>
      <c r="H42" s="13"/>
      <c r="I42" s="33"/>
      <c r="J42" s="33"/>
      <c r="K42" s="33"/>
      <c r="L42" s="65"/>
      <c r="M42" s="65"/>
      <c r="N42" s="65"/>
    </row>
  </sheetData>
  <mergeCells count="18">
    <mergeCell ref="E42:F42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30:F30"/>
    <mergeCell ref="A20:N20"/>
    <mergeCell ref="E26:F26"/>
    <mergeCell ref="E27:F27"/>
    <mergeCell ref="E28:F28"/>
    <mergeCell ref="E29:F2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W50"/>
  <sheetViews>
    <sheetView workbookViewId="0">
      <pane ySplit="1" topLeftCell="A2" activePane="bottomLeft" state="frozen"/>
      <selection pane="bottomLeft" activeCell="C50" sqref="C50"/>
    </sheetView>
  </sheetViews>
  <sheetFormatPr defaultRowHeight="12.75"/>
  <cols>
    <col min="1" max="1" width="3.88671875" style="2" bestFit="1" customWidth="1"/>
    <col min="2" max="6" width="6.21875" style="2" bestFit="1" customWidth="1"/>
    <col min="7" max="7" width="5.109375" style="2" bestFit="1" customWidth="1"/>
    <col min="8" max="9" width="6.21875" style="2" bestFit="1" customWidth="1"/>
    <col min="10" max="10" width="5.109375" style="2" bestFit="1" customWidth="1"/>
    <col min="11" max="11" width="7" style="2" bestFit="1" customWidth="1"/>
    <col min="12" max="12" width="6.21875" style="2" bestFit="1" customWidth="1"/>
    <col min="13" max="13" width="5.109375" style="2" bestFit="1" customWidth="1"/>
    <col min="14" max="14" width="6.21875" style="2" bestFit="1" customWidth="1"/>
    <col min="15" max="15" width="6.6640625" style="2" customWidth="1"/>
    <col min="16" max="16" width="5.109375" style="2" bestFit="1" customWidth="1"/>
    <col min="17" max="18" width="6.21875" style="2" bestFit="1" customWidth="1"/>
    <col min="19" max="19" width="5.109375" style="2" bestFit="1" customWidth="1"/>
    <col min="20" max="21" width="6.21875" style="2" bestFit="1" customWidth="1"/>
    <col min="22" max="22" width="5.109375" style="2" bestFit="1" customWidth="1"/>
    <col min="23" max="23" width="7" style="2" bestFit="1" customWidth="1"/>
    <col min="24" max="24" width="6.21875" style="2" bestFit="1" customWidth="1"/>
    <col min="25" max="25" width="5.109375" style="2" bestFit="1" customWidth="1"/>
    <col min="26" max="27" width="7" style="2" bestFit="1" customWidth="1"/>
    <col min="28" max="28" width="5.109375" style="2" bestFit="1" customWidth="1"/>
    <col min="29" max="29" width="7" style="2" bestFit="1" customWidth="1"/>
    <col min="30" max="30" width="6.21875" style="2" bestFit="1" customWidth="1"/>
    <col min="31" max="31" width="5.109375" style="2" bestFit="1" customWidth="1"/>
    <col min="32" max="33" width="7" style="2" bestFit="1" customWidth="1"/>
    <col min="34" max="34" width="5.109375" style="2" bestFit="1" customWidth="1"/>
    <col min="35" max="35" width="7" style="2" bestFit="1" customWidth="1"/>
    <col min="36" max="37" width="6.21875" style="2" bestFit="1" customWidth="1"/>
    <col min="38" max="38" width="7.77734375" style="2" bestFit="1" customWidth="1"/>
    <col min="39" max="39" width="8.109375" style="2" bestFit="1" customWidth="1"/>
    <col min="40" max="40" width="8" style="2" bestFit="1" customWidth="1"/>
    <col min="41" max="41" width="6.77734375" style="2" customWidth="1"/>
    <col min="42" max="42" width="7.5546875" style="2" customWidth="1"/>
    <col min="43" max="43" width="8.88671875" style="2"/>
    <col min="44" max="45" width="5.6640625" style="2" bestFit="1" customWidth="1"/>
    <col min="46" max="46" width="2.33203125" style="2" customWidth="1"/>
    <col min="47" max="47" width="8.6640625" style="2" bestFit="1" customWidth="1"/>
    <col min="48" max="48" width="2.5546875" style="2" customWidth="1"/>
    <col min="49" max="49" width="10.33203125" style="2" bestFit="1" customWidth="1"/>
    <col min="50" max="16384" width="8.88671875" style="2"/>
  </cols>
  <sheetData>
    <row r="1" spans="1:49" ht="13.5" thickBot="1">
      <c r="A1" s="166"/>
      <c r="B1" s="167" t="s">
        <v>4</v>
      </c>
      <c r="C1" s="167" t="s">
        <v>147</v>
      </c>
      <c r="D1" s="167" t="s">
        <v>178</v>
      </c>
      <c r="E1" s="168" t="s">
        <v>5</v>
      </c>
      <c r="F1" s="168" t="s">
        <v>147</v>
      </c>
      <c r="G1" s="168" t="s">
        <v>178</v>
      </c>
      <c r="H1" s="167" t="s">
        <v>6</v>
      </c>
      <c r="I1" s="167" t="s">
        <v>147</v>
      </c>
      <c r="J1" s="167" t="s">
        <v>178</v>
      </c>
      <c r="K1" s="212" t="s">
        <v>7</v>
      </c>
      <c r="L1" s="212" t="s">
        <v>147</v>
      </c>
      <c r="M1" s="212" t="s">
        <v>178</v>
      </c>
      <c r="N1" s="167" t="s">
        <v>2</v>
      </c>
      <c r="O1" s="167" t="s">
        <v>147</v>
      </c>
      <c r="P1" s="167" t="s">
        <v>178</v>
      </c>
      <c r="Q1" s="168" t="s">
        <v>8</v>
      </c>
      <c r="R1" s="168" t="s">
        <v>147</v>
      </c>
      <c r="S1" s="168" t="s">
        <v>178</v>
      </c>
      <c r="T1" s="167" t="s">
        <v>9</v>
      </c>
      <c r="U1" s="167" t="s">
        <v>147</v>
      </c>
      <c r="V1" s="167" t="s">
        <v>178</v>
      </c>
      <c r="W1" s="212" t="s">
        <v>10</v>
      </c>
      <c r="X1" s="212" t="s">
        <v>147</v>
      </c>
      <c r="Y1" s="212" t="s">
        <v>178</v>
      </c>
      <c r="Z1" s="167" t="s">
        <v>11</v>
      </c>
      <c r="AA1" s="167" t="s">
        <v>147</v>
      </c>
      <c r="AB1" s="167" t="s">
        <v>178</v>
      </c>
      <c r="AC1" s="168" t="s">
        <v>12</v>
      </c>
      <c r="AD1" s="168" t="s">
        <v>147</v>
      </c>
      <c r="AE1" s="168" t="s">
        <v>178</v>
      </c>
      <c r="AF1" s="167" t="s">
        <v>13</v>
      </c>
      <c r="AG1" s="167" t="s">
        <v>147</v>
      </c>
      <c r="AH1" s="167" t="s">
        <v>178</v>
      </c>
      <c r="AI1" s="212" t="s">
        <v>14</v>
      </c>
      <c r="AJ1" s="212" t="s">
        <v>147</v>
      </c>
      <c r="AK1" s="212" t="s">
        <v>178</v>
      </c>
      <c r="AL1" s="213" t="s">
        <v>156</v>
      </c>
      <c r="AM1" s="213" t="s">
        <v>147</v>
      </c>
      <c r="AN1" s="213" t="s">
        <v>139</v>
      </c>
    </row>
    <row r="2" spans="1:49">
      <c r="A2" s="214">
        <v>1998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6">
        <v>3100</v>
      </c>
      <c r="X2" s="217">
        <f>W2/340.75</f>
        <v>9.0975788701393991</v>
      </c>
      <c r="Y2" s="216">
        <v>114</v>
      </c>
      <c r="Z2" s="216">
        <v>18300</v>
      </c>
      <c r="AA2" s="217">
        <f>Z2/340.75</f>
        <v>53.705062362435804</v>
      </c>
      <c r="AB2" s="216">
        <v>660</v>
      </c>
      <c r="AC2" s="216">
        <v>21500</v>
      </c>
      <c r="AD2" s="217">
        <f>AC2/340.75</f>
        <v>63.096111518708732</v>
      </c>
      <c r="AE2" s="216">
        <v>761</v>
      </c>
      <c r="AF2" s="216">
        <v>7200</v>
      </c>
      <c r="AG2" s="217">
        <f>AF2/340.75</f>
        <v>21.129860601614087</v>
      </c>
      <c r="AH2" s="216">
        <v>250</v>
      </c>
      <c r="AI2" s="216">
        <v>31500</v>
      </c>
      <c r="AJ2" s="217">
        <f>AI2/340.75</f>
        <v>92.443140132061629</v>
      </c>
      <c r="AK2" s="216">
        <v>1073</v>
      </c>
      <c r="AL2" s="218">
        <f>W2+Z2+AC2+AF2+AI2</f>
        <v>81600</v>
      </c>
      <c r="AM2" s="219">
        <f>X2+AA2+AD2+AG2+AJ2</f>
        <v>239.47175348495966</v>
      </c>
      <c r="AN2" s="218">
        <f>Y2+AB2+AE2+AH2+AK2</f>
        <v>2858</v>
      </c>
    </row>
    <row r="3" spans="1:49">
      <c r="A3" s="245">
        <v>1999</v>
      </c>
      <c r="B3" s="218">
        <v>1800</v>
      </c>
      <c r="C3" s="217">
        <f t="shared" ref="C3:C5" si="0">B3/340.75</f>
        <v>5.2824651504035218</v>
      </c>
      <c r="D3" s="218">
        <v>60</v>
      </c>
      <c r="E3" s="218">
        <v>6500</v>
      </c>
      <c r="F3" s="217">
        <f t="shared" ref="F3:F5" si="1">E3/340.75</f>
        <v>19.075568598679382</v>
      </c>
      <c r="G3" s="218">
        <v>213</v>
      </c>
      <c r="H3" s="218">
        <v>8910</v>
      </c>
      <c r="I3" s="217">
        <f t="shared" ref="I3:I5" si="2">H3/340.75</f>
        <v>26.148202494497433</v>
      </c>
      <c r="J3" s="218">
        <v>287</v>
      </c>
      <c r="K3" s="218">
        <v>12600</v>
      </c>
      <c r="L3" s="217">
        <f t="shared" ref="L3:L5" si="3">K3/340.75</f>
        <v>36.97725605282465</v>
      </c>
      <c r="M3" s="218">
        <v>399</v>
      </c>
      <c r="N3" s="218">
        <v>7200</v>
      </c>
      <c r="O3" s="217">
        <f t="shared" ref="O3:O5" si="4">N3/340.75</f>
        <v>21.129860601614087</v>
      </c>
      <c r="P3" s="218">
        <v>224</v>
      </c>
      <c r="Q3" s="218">
        <v>4500</v>
      </c>
      <c r="R3" s="217">
        <f t="shared" ref="R3:R5" si="5">Q3/340.75</f>
        <v>13.206162876008804</v>
      </c>
      <c r="S3" s="218">
        <v>138</v>
      </c>
      <c r="T3" s="218">
        <v>7400</v>
      </c>
      <c r="U3" s="217">
        <f t="shared" ref="U3:U5" si="6">T3/340.75</f>
        <v>21.716801173881144</v>
      </c>
      <c r="V3" s="218">
        <v>223</v>
      </c>
      <c r="W3" s="218">
        <v>18900</v>
      </c>
      <c r="X3" s="217">
        <f t="shared" ref="X3:X5" si="7">W3/340.75</f>
        <v>55.465884079236979</v>
      </c>
      <c r="Y3" s="218">
        <v>559</v>
      </c>
      <c r="Z3" s="218">
        <v>10800</v>
      </c>
      <c r="AA3" s="217">
        <f t="shared" ref="AA3:AA5" si="8">Z3/340.75</f>
        <v>31.694790902421129</v>
      </c>
      <c r="AB3" s="218">
        <v>314</v>
      </c>
      <c r="AC3" s="218">
        <v>12600</v>
      </c>
      <c r="AD3" s="217">
        <f t="shared" ref="AD3:AD5" si="9">AC3/340.75</f>
        <v>36.97725605282465</v>
      </c>
      <c r="AE3" s="218">
        <v>360</v>
      </c>
      <c r="AF3" s="218">
        <v>5400</v>
      </c>
      <c r="AG3" s="217">
        <f t="shared" ref="AG3:AG5" si="10">AF3/340.75</f>
        <v>15.847395451210565</v>
      </c>
      <c r="AH3" s="218">
        <v>152</v>
      </c>
      <c r="AI3" s="218">
        <v>900</v>
      </c>
      <c r="AJ3" s="217">
        <f t="shared" ref="AJ3:AJ5" si="11">AI3/340.75</f>
        <v>2.6412325752017609</v>
      </c>
      <c r="AK3" s="218">
        <v>25</v>
      </c>
      <c r="AL3" s="218">
        <f>B3+E3+H3+K3+N3+Q3+T3+W3+Z3+AC3+AF3+AI3</f>
        <v>97510</v>
      </c>
      <c r="AM3" s="219">
        <f>C3+F3+I3+L3+O3+R3+U3+X3+AA3+AD3+AG3+AJ3</f>
        <v>286.16287600880406</v>
      </c>
      <c r="AN3" s="218">
        <f>D3+G3+J3+M3+P3+S3+V3+Y3+AB3+AE3+AH3+AK3</f>
        <v>2954</v>
      </c>
      <c r="AQ3" s="301"/>
      <c r="AR3" s="298"/>
      <c r="AS3" s="302" t="s">
        <v>184</v>
      </c>
      <c r="AT3" s="298"/>
      <c r="AU3" s="298" t="s">
        <v>3</v>
      </c>
      <c r="AV3" s="298"/>
      <c r="AW3" s="298" t="s">
        <v>185</v>
      </c>
    </row>
    <row r="4" spans="1:49" s="201" customFormat="1">
      <c r="A4" s="280">
        <v>2000</v>
      </c>
      <c r="B4" s="218">
        <v>0</v>
      </c>
      <c r="C4" s="217">
        <f t="shared" si="0"/>
        <v>0</v>
      </c>
      <c r="D4" s="218"/>
      <c r="E4" s="218">
        <v>0</v>
      </c>
      <c r="F4" s="217">
        <f t="shared" si="1"/>
        <v>0</v>
      </c>
      <c r="G4" s="218"/>
      <c r="H4" s="218">
        <v>0</v>
      </c>
      <c r="I4" s="217">
        <f t="shared" si="2"/>
        <v>0</v>
      </c>
      <c r="J4" s="218"/>
      <c r="K4" s="218">
        <v>0</v>
      </c>
      <c r="L4" s="217">
        <f t="shared" si="3"/>
        <v>0</v>
      </c>
      <c r="M4" s="218"/>
      <c r="N4" s="218">
        <v>0</v>
      </c>
      <c r="O4" s="217">
        <f t="shared" si="4"/>
        <v>0</v>
      </c>
      <c r="P4" s="218"/>
      <c r="Q4" s="218">
        <v>1844</v>
      </c>
      <c r="R4" s="217">
        <f t="shared" si="5"/>
        <v>5.4115920763022745</v>
      </c>
      <c r="S4" s="218">
        <v>47</v>
      </c>
      <c r="T4" s="218">
        <v>0</v>
      </c>
      <c r="U4" s="217">
        <f t="shared" si="6"/>
        <v>0</v>
      </c>
      <c r="V4" s="218"/>
      <c r="W4" s="218">
        <v>172</v>
      </c>
      <c r="X4" s="217">
        <f t="shared" si="7"/>
        <v>0.5047688921496698</v>
      </c>
      <c r="Y4" s="218">
        <v>4</v>
      </c>
      <c r="Z4" s="218">
        <v>80</v>
      </c>
      <c r="AA4" s="217">
        <f t="shared" si="8"/>
        <v>0.23477622890682318</v>
      </c>
      <c r="AB4" s="218">
        <v>2</v>
      </c>
      <c r="AC4" s="218">
        <v>0</v>
      </c>
      <c r="AD4" s="217">
        <f t="shared" si="9"/>
        <v>0</v>
      </c>
      <c r="AE4" s="218"/>
      <c r="AF4" s="218">
        <v>5542</v>
      </c>
      <c r="AG4" s="217">
        <f t="shared" si="10"/>
        <v>16.264123257520176</v>
      </c>
      <c r="AH4" s="218">
        <v>131</v>
      </c>
      <c r="AI4" s="218">
        <v>410</v>
      </c>
      <c r="AJ4" s="217">
        <f t="shared" si="11"/>
        <v>1.2032281731474688</v>
      </c>
      <c r="AK4" s="218">
        <v>10</v>
      </c>
      <c r="AL4" s="218">
        <f t="shared" ref="AL4:AN7" si="12">B4+E4+H4+K4+N4+Q4+T4+W4+Z4+AC4+AF4+AI4</f>
        <v>8048</v>
      </c>
      <c r="AM4" s="219">
        <f t="shared" si="12"/>
        <v>23.618488628026412</v>
      </c>
      <c r="AN4" s="218">
        <f t="shared" si="12"/>
        <v>194</v>
      </c>
      <c r="AQ4" s="303" t="s">
        <v>186</v>
      </c>
      <c r="AR4" s="304">
        <v>5555</v>
      </c>
      <c r="AS4" s="278">
        <v>888</v>
      </c>
      <c r="AT4" s="259"/>
      <c r="AU4" s="259">
        <f>AR4*AS4</f>
        <v>4932840</v>
      </c>
      <c r="AV4" s="128"/>
      <c r="AW4" s="278">
        <f>AN9*AU4/AM9</f>
        <v>0</v>
      </c>
    </row>
    <row r="5" spans="1:49" s="201" customFormat="1">
      <c r="A5" s="281">
        <v>2001</v>
      </c>
      <c r="B5" s="218">
        <v>60</v>
      </c>
      <c r="C5" s="217">
        <f t="shared" si="0"/>
        <v>0.17608217168011739</v>
      </c>
      <c r="D5" s="218">
        <v>1</v>
      </c>
      <c r="E5" s="218">
        <v>0</v>
      </c>
      <c r="F5" s="217">
        <f t="shared" si="1"/>
        <v>0</v>
      </c>
      <c r="G5" s="218"/>
      <c r="H5" s="218">
        <v>10</v>
      </c>
      <c r="I5" s="217">
        <f t="shared" si="2"/>
        <v>2.9347028613352897E-2</v>
      </c>
      <c r="J5" s="218">
        <v>1</v>
      </c>
      <c r="K5" s="218">
        <v>100</v>
      </c>
      <c r="L5" s="217">
        <f t="shared" si="3"/>
        <v>0.29347028613352899</v>
      </c>
      <c r="M5" s="218">
        <v>2</v>
      </c>
      <c r="N5" s="218">
        <v>20</v>
      </c>
      <c r="O5" s="217">
        <f t="shared" si="4"/>
        <v>5.8694057226705794E-2</v>
      </c>
      <c r="P5" s="218">
        <v>1</v>
      </c>
      <c r="Q5" s="218">
        <v>2100</v>
      </c>
      <c r="R5" s="217">
        <f t="shared" si="5"/>
        <v>6.1628760088041084</v>
      </c>
      <c r="S5" s="218">
        <v>46</v>
      </c>
      <c r="T5" s="219"/>
      <c r="U5" s="217">
        <f t="shared" si="6"/>
        <v>0</v>
      </c>
      <c r="V5" s="219"/>
      <c r="W5" s="218">
        <v>920</v>
      </c>
      <c r="X5" s="217">
        <f t="shared" si="7"/>
        <v>2.6999266324284665</v>
      </c>
      <c r="Y5" s="218">
        <v>20</v>
      </c>
      <c r="Z5" s="218">
        <v>900</v>
      </c>
      <c r="AA5" s="217">
        <f t="shared" si="8"/>
        <v>2.6412325752017609</v>
      </c>
      <c r="AB5" s="218">
        <v>19</v>
      </c>
      <c r="AC5" s="219"/>
      <c r="AD5" s="217">
        <f t="shared" si="9"/>
        <v>0</v>
      </c>
      <c r="AE5" s="218"/>
      <c r="AF5" s="218">
        <v>440</v>
      </c>
      <c r="AG5" s="217">
        <f t="shared" si="10"/>
        <v>1.2912692589875274</v>
      </c>
      <c r="AH5" s="218">
        <v>9</v>
      </c>
      <c r="AI5" s="218">
        <v>220</v>
      </c>
      <c r="AJ5" s="217">
        <f t="shared" si="11"/>
        <v>0.64563462949376371</v>
      </c>
      <c r="AK5" s="218">
        <v>4</v>
      </c>
      <c r="AL5" s="218">
        <f t="shared" si="12"/>
        <v>4770</v>
      </c>
      <c r="AM5" s="219">
        <f t="shared" si="12"/>
        <v>13.998532648569331</v>
      </c>
      <c r="AN5" s="218">
        <f t="shared" si="12"/>
        <v>103</v>
      </c>
      <c r="AQ5" s="303" t="s">
        <v>187</v>
      </c>
      <c r="AR5" s="278">
        <v>5555</v>
      </c>
      <c r="AS5" s="278">
        <v>2222</v>
      </c>
      <c r="AT5" s="259"/>
      <c r="AU5" s="259">
        <f>AR5*AS5</f>
        <v>12343210</v>
      </c>
      <c r="AV5" s="259"/>
      <c r="AW5" s="278">
        <v>55555555</v>
      </c>
    </row>
    <row r="6" spans="1:49">
      <c r="A6" s="220">
        <v>2002</v>
      </c>
      <c r="B6" s="218"/>
      <c r="C6" s="217">
        <v>0.53</v>
      </c>
      <c r="D6" s="218">
        <v>4</v>
      </c>
      <c r="E6" s="218"/>
      <c r="F6" s="217">
        <v>0.28999999999999998</v>
      </c>
      <c r="G6" s="218">
        <v>2</v>
      </c>
      <c r="H6" s="221"/>
      <c r="I6" s="217">
        <v>1.5</v>
      </c>
      <c r="J6" s="218">
        <v>10</v>
      </c>
      <c r="K6" s="221"/>
      <c r="L6" s="217">
        <v>14</v>
      </c>
      <c r="M6" s="218">
        <v>95</v>
      </c>
      <c r="N6" s="221"/>
      <c r="O6" s="217">
        <v>4</v>
      </c>
      <c r="P6" s="218">
        <v>27</v>
      </c>
      <c r="Q6" s="221"/>
      <c r="R6" s="219">
        <v>2</v>
      </c>
      <c r="S6" s="218">
        <v>13</v>
      </c>
      <c r="T6" s="221"/>
      <c r="U6" s="219">
        <v>9</v>
      </c>
      <c r="V6" s="218">
        <v>59</v>
      </c>
      <c r="W6" s="221"/>
      <c r="X6" s="219">
        <v>8.5</v>
      </c>
      <c r="Y6" s="218">
        <v>56</v>
      </c>
      <c r="Z6" s="221"/>
      <c r="AA6" s="219"/>
      <c r="AB6" s="218"/>
      <c r="AC6" s="221"/>
      <c r="AD6" s="219">
        <v>2.5</v>
      </c>
      <c r="AE6" s="218">
        <v>16</v>
      </c>
      <c r="AF6" s="221"/>
      <c r="AG6" s="219">
        <v>1.5</v>
      </c>
      <c r="AH6" s="218">
        <v>10</v>
      </c>
      <c r="AI6" s="221"/>
      <c r="AJ6" s="219"/>
      <c r="AK6" s="218"/>
      <c r="AL6" s="221"/>
      <c r="AM6" s="219">
        <f t="shared" si="12"/>
        <v>43.82</v>
      </c>
      <c r="AN6" s="218">
        <f t="shared" si="12"/>
        <v>292</v>
      </c>
      <c r="AP6" s="201"/>
      <c r="AQ6" s="303" t="s">
        <v>188</v>
      </c>
      <c r="AR6" s="278">
        <v>5555</v>
      </c>
      <c r="AS6" s="278">
        <v>1111</v>
      </c>
      <c r="AT6" s="259"/>
      <c r="AU6" s="259">
        <f>AR6*AS6</f>
        <v>6171605</v>
      </c>
      <c r="AV6" s="259"/>
      <c r="AW6" s="278">
        <v>66666666</v>
      </c>
    </row>
    <row r="7" spans="1:49">
      <c r="A7" s="1">
        <v>2003</v>
      </c>
      <c r="B7" s="307"/>
      <c r="C7" s="233">
        <v>2.5</v>
      </c>
      <c r="D7" s="321">
        <v>16</v>
      </c>
      <c r="E7" s="224"/>
      <c r="F7" s="233">
        <v>10</v>
      </c>
      <c r="G7" s="321">
        <v>62</v>
      </c>
      <c r="H7" s="224"/>
      <c r="I7" s="233"/>
      <c r="J7" s="233"/>
      <c r="K7" s="224"/>
      <c r="L7" s="233"/>
      <c r="M7" s="321"/>
      <c r="N7" s="224"/>
      <c r="O7" s="233">
        <v>2.5</v>
      </c>
      <c r="P7" s="321">
        <v>15</v>
      </c>
      <c r="Q7" s="224"/>
      <c r="R7" s="233">
        <v>5</v>
      </c>
      <c r="S7" s="321">
        <v>30</v>
      </c>
      <c r="T7" s="224"/>
      <c r="U7" s="233"/>
      <c r="V7" s="321"/>
      <c r="W7" s="224"/>
      <c r="X7" s="233">
        <v>5</v>
      </c>
      <c r="Y7" s="321">
        <v>29</v>
      </c>
      <c r="Z7" s="224"/>
      <c r="AA7" s="233"/>
      <c r="AB7" s="321"/>
      <c r="AC7" s="224"/>
      <c r="AD7" s="233">
        <v>10</v>
      </c>
      <c r="AE7" s="321">
        <v>58</v>
      </c>
      <c r="AF7" s="224"/>
      <c r="AG7" s="233">
        <v>20</v>
      </c>
      <c r="AH7" s="321">
        <v>115</v>
      </c>
      <c r="AI7" s="224"/>
      <c r="AJ7" s="233">
        <v>5.5</v>
      </c>
      <c r="AK7" s="321">
        <v>31</v>
      </c>
      <c r="AL7" s="221"/>
      <c r="AM7" s="219">
        <f t="shared" si="12"/>
        <v>60.5</v>
      </c>
      <c r="AN7" s="218">
        <f t="shared" si="12"/>
        <v>356</v>
      </c>
      <c r="AP7" s="201"/>
      <c r="AQ7" s="162"/>
      <c r="AR7" s="305"/>
      <c r="AS7" s="259"/>
      <c r="AT7" s="259"/>
      <c r="AU7" s="259">
        <f t="shared" ref="AU7" si="13">SUM(AU4:AU6)</f>
        <v>23447655</v>
      </c>
      <c r="AV7" s="259"/>
      <c r="AW7" s="278">
        <f>SUM(AW4:AW6)</f>
        <v>122222221</v>
      </c>
    </row>
    <row r="8" spans="1:49">
      <c r="A8" s="325">
        <v>2004</v>
      </c>
      <c r="B8" s="307"/>
      <c r="C8" s="233">
        <v>7.5</v>
      </c>
      <c r="D8" s="321">
        <v>42</v>
      </c>
      <c r="E8" s="224"/>
      <c r="F8" s="233">
        <v>12.5</v>
      </c>
      <c r="G8" s="321">
        <v>70</v>
      </c>
      <c r="H8" s="224"/>
      <c r="I8" s="233">
        <v>7.5</v>
      </c>
      <c r="J8" s="321">
        <v>42</v>
      </c>
      <c r="K8" s="224"/>
      <c r="L8" s="233">
        <v>25</v>
      </c>
      <c r="M8" s="321">
        <v>138</v>
      </c>
      <c r="N8" s="224"/>
      <c r="O8" s="233">
        <v>17.5</v>
      </c>
      <c r="P8" s="321">
        <v>95</v>
      </c>
      <c r="Q8" s="224"/>
      <c r="R8" s="233">
        <v>17.5</v>
      </c>
      <c r="S8" s="321">
        <v>95</v>
      </c>
      <c r="T8" s="224"/>
      <c r="U8" s="233">
        <v>46</v>
      </c>
      <c r="V8" s="321">
        <v>247</v>
      </c>
      <c r="W8" s="224"/>
      <c r="X8" s="233">
        <v>22.5</v>
      </c>
      <c r="Y8" s="321">
        <v>120</v>
      </c>
      <c r="Z8" s="224"/>
      <c r="AA8" s="233">
        <v>27.5</v>
      </c>
      <c r="AB8" s="321">
        <v>145</v>
      </c>
      <c r="AC8" s="224"/>
      <c r="AD8" s="233">
        <v>25</v>
      </c>
      <c r="AE8" s="321">
        <v>131</v>
      </c>
      <c r="AF8" s="224"/>
      <c r="AG8" s="233">
        <v>25</v>
      </c>
      <c r="AH8" s="321">
        <v>130</v>
      </c>
      <c r="AI8" s="224"/>
      <c r="AJ8" s="233">
        <v>25</v>
      </c>
      <c r="AK8" s="321">
        <v>129</v>
      </c>
      <c r="AL8" s="221"/>
      <c r="AM8" s="219">
        <f t="shared" ref="AM8:AM9" si="14">C8+F8+I8+L8+O8+R8+U8+X8+AA8+AD8+AG8+AJ8</f>
        <v>258.5</v>
      </c>
      <c r="AN8" s="218">
        <f t="shared" ref="AN8" si="15">D8+G8+J8+M8+P8+S8+V8+Y8+AB8+AE8+AH8+AK8</f>
        <v>1384</v>
      </c>
      <c r="AP8" s="201"/>
      <c r="AQ8" s="162"/>
      <c r="AR8" s="305"/>
      <c r="AS8" s="259"/>
      <c r="AT8" s="259"/>
      <c r="AU8" s="259"/>
      <c r="AV8" s="259"/>
      <c r="AW8" s="278"/>
    </row>
    <row r="9" spans="1:49">
      <c r="A9" s="325">
        <v>2005</v>
      </c>
      <c r="B9" s="307"/>
      <c r="C9" s="233">
        <v>2.5</v>
      </c>
      <c r="D9" s="321"/>
      <c r="E9" s="224"/>
      <c r="F9" s="233">
        <v>10</v>
      </c>
      <c r="G9" s="321"/>
      <c r="H9" s="224"/>
      <c r="I9" s="233">
        <v>15</v>
      </c>
      <c r="J9" s="321"/>
      <c r="K9" s="224"/>
      <c r="L9" s="233">
        <v>5</v>
      </c>
      <c r="M9" s="321"/>
      <c r="N9" s="224"/>
      <c r="O9" s="233">
        <v>0</v>
      </c>
      <c r="P9" s="321"/>
      <c r="Q9" s="224"/>
      <c r="R9" s="233">
        <v>0</v>
      </c>
      <c r="S9" s="321"/>
      <c r="T9" s="224"/>
      <c r="U9" s="233">
        <v>10</v>
      </c>
      <c r="V9" s="321"/>
      <c r="W9" s="224"/>
      <c r="X9" s="233">
        <v>95</v>
      </c>
      <c r="Y9" s="321"/>
      <c r="Z9" s="224"/>
      <c r="AA9" s="233">
        <v>135.5</v>
      </c>
      <c r="AB9" s="321"/>
      <c r="AC9" s="224"/>
      <c r="AD9" s="233">
        <v>80</v>
      </c>
      <c r="AE9" s="321"/>
      <c r="AF9" s="224"/>
      <c r="AG9" s="233">
        <v>105</v>
      </c>
      <c r="AH9" s="321"/>
      <c r="AI9" s="224"/>
      <c r="AJ9" s="233"/>
      <c r="AK9" s="321"/>
      <c r="AL9" s="221"/>
      <c r="AM9" s="219">
        <f t="shared" si="14"/>
        <v>458</v>
      </c>
      <c r="AN9" s="218"/>
      <c r="AP9" s="201"/>
      <c r="AQ9" s="162"/>
      <c r="AR9" s="305"/>
      <c r="AS9" s="259"/>
      <c r="AT9" s="259"/>
      <c r="AU9" s="259"/>
      <c r="AV9" s="259"/>
      <c r="AW9" s="278"/>
    </row>
    <row r="10" spans="1:49">
      <c r="A10" s="325">
        <v>2006</v>
      </c>
      <c r="B10" s="307"/>
      <c r="C10" s="233"/>
      <c r="D10" s="321"/>
      <c r="E10" s="224"/>
      <c r="F10" s="233"/>
      <c r="G10" s="321"/>
      <c r="H10" s="224"/>
      <c r="I10" s="233"/>
      <c r="J10" s="321"/>
      <c r="K10" s="224"/>
      <c r="L10" s="233"/>
      <c r="M10" s="321"/>
      <c r="N10" s="224"/>
      <c r="O10" s="233"/>
      <c r="P10" s="321"/>
      <c r="Q10" s="224"/>
      <c r="R10" s="233"/>
      <c r="S10" s="321"/>
      <c r="T10" s="224"/>
      <c r="U10" s="233"/>
      <c r="V10" s="321"/>
      <c r="W10" s="224"/>
      <c r="X10" s="233"/>
      <c r="Y10" s="321"/>
      <c r="Z10" s="224"/>
      <c r="AA10" s="233"/>
      <c r="AB10" s="321"/>
      <c r="AC10" s="224"/>
      <c r="AD10" s="233"/>
      <c r="AE10" s="321"/>
      <c r="AF10" s="224"/>
      <c r="AG10" s="233"/>
      <c r="AH10" s="321"/>
      <c r="AI10" s="224"/>
      <c r="AJ10" s="233"/>
      <c r="AK10" s="321"/>
      <c r="AL10" s="221"/>
      <c r="AM10" s="219"/>
      <c r="AN10" s="218"/>
      <c r="AP10" s="201"/>
      <c r="AQ10" s="162"/>
      <c r="AR10" s="305"/>
      <c r="AS10" s="259"/>
      <c r="AT10" s="259"/>
      <c r="AU10" s="259"/>
      <c r="AV10" s="259"/>
      <c r="AW10" s="278"/>
    </row>
    <row r="11" spans="1:49">
      <c r="A11" s="325">
        <v>2007</v>
      </c>
      <c r="B11" s="307"/>
      <c r="C11" s="233"/>
      <c r="D11" s="321"/>
      <c r="E11" s="224"/>
      <c r="F11" s="233"/>
      <c r="G11" s="321"/>
      <c r="H11" s="224"/>
      <c r="I11" s="233"/>
      <c r="J11" s="321"/>
      <c r="K11" s="224"/>
      <c r="L11" s="233"/>
      <c r="M11" s="321"/>
      <c r="N11" s="224"/>
      <c r="O11" s="233"/>
      <c r="P11" s="321"/>
      <c r="Q11" s="224"/>
      <c r="R11" s="233"/>
      <c r="S11" s="321"/>
      <c r="T11" s="224"/>
      <c r="U11" s="233"/>
      <c r="V11" s="321"/>
      <c r="W11" s="224"/>
      <c r="X11" s="233"/>
      <c r="Y11" s="321"/>
      <c r="Z11" s="224"/>
      <c r="AA11" s="233"/>
      <c r="AB11" s="321"/>
      <c r="AC11" s="224"/>
      <c r="AD11" s="233"/>
      <c r="AE11" s="321"/>
      <c r="AF11" s="224"/>
      <c r="AG11" s="233"/>
      <c r="AH11" s="321"/>
      <c r="AI11" s="224"/>
      <c r="AJ11" s="233"/>
      <c r="AK11" s="321"/>
      <c r="AL11" s="221"/>
      <c r="AM11" s="219"/>
      <c r="AN11" s="218"/>
      <c r="AP11" s="201"/>
      <c r="AQ11" s="162"/>
      <c r="AR11" s="305"/>
      <c r="AS11" s="259"/>
      <c r="AT11" s="259"/>
      <c r="AU11" s="259"/>
      <c r="AV11" s="259"/>
      <c r="AW11" s="278"/>
    </row>
    <row r="12" spans="1:49">
      <c r="A12" s="325">
        <v>2008</v>
      </c>
      <c r="B12" s="307"/>
      <c r="C12" s="233"/>
      <c r="D12" s="321"/>
      <c r="E12" s="224"/>
      <c r="F12" s="233"/>
      <c r="G12" s="321"/>
      <c r="H12" s="224"/>
      <c r="I12" s="233"/>
      <c r="J12" s="321"/>
      <c r="K12" s="224"/>
      <c r="L12" s="233"/>
      <c r="M12" s="321"/>
      <c r="N12" s="224"/>
      <c r="O12" s="233"/>
      <c r="P12" s="321"/>
      <c r="Q12" s="224"/>
      <c r="R12" s="233"/>
      <c r="S12" s="321"/>
      <c r="T12" s="224"/>
      <c r="U12" s="233"/>
      <c r="V12" s="321"/>
      <c r="W12" s="224"/>
      <c r="X12" s="233"/>
      <c r="Y12" s="321"/>
      <c r="Z12" s="224"/>
      <c r="AA12" s="233"/>
      <c r="AB12" s="321"/>
      <c r="AC12" s="224"/>
      <c r="AD12" s="233"/>
      <c r="AE12" s="321"/>
      <c r="AF12" s="224"/>
      <c r="AG12" s="233"/>
      <c r="AH12" s="321"/>
      <c r="AI12" s="224"/>
      <c r="AJ12" s="233"/>
      <c r="AK12" s="321"/>
      <c r="AL12" s="221"/>
      <c r="AM12" s="219"/>
      <c r="AN12" s="218"/>
      <c r="AP12" s="201"/>
      <c r="AQ12" s="162"/>
      <c r="AR12" s="305"/>
      <c r="AS12" s="259"/>
      <c r="AT12" s="259"/>
      <c r="AU12" s="259"/>
      <c r="AV12" s="259"/>
      <c r="AW12" s="278"/>
    </row>
    <row r="13" spans="1:49">
      <c r="A13" s="325">
        <v>2009</v>
      </c>
      <c r="B13" s="307"/>
      <c r="C13" s="233"/>
      <c r="D13" s="321"/>
      <c r="E13" s="224"/>
      <c r="F13" s="233"/>
      <c r="G13" s="321"/>
      <c r="H13" s="224"/>
      <c r="I13" s="233"/>
      <c r="J13" s="321"/>
      <c r="K13" s="224"/>
      <c r="L13" s="233"/>
      <c r="M13" s="321"/>
      <c r="N13" s="224"/>
      <c r="O13" s="233"/>
      <c r="P13" s="321"/>
      <c r="Q13" s="224"/>
      <c r="R13" s="233"/>
      <c r="S13" s="321"/>
      <c r="T13" s="224"/>
      <c r="U13" s="233"/>
      <c r="V13" s="321"/>
      <c r="W13" s="224"/>
      <c r="X13" s="233"/>
      <c r="Y13" s="321"/>
      <c r="Z13" s="224"/>
      <c r="AA13" s="233"/>
      <c r="AB13" s="321"/>
      <c r="AC13" s="224"/>
      <c r="AD13" s="233"/>
      <c r="AE13" s="321"/>
      <c r="AF13" s="224"/>
      <c r="AG13" s="233"/>
      <c r="AH13" s="321"/>
      <c r="AI13" s="224"/>
      <c r="AJ13" s="233"/>
      <c r="AK13" s="321"/>
      <c r="AL13" s="221"/>
      <c r="AM13" s="219"/>
      <c r="AN13" s="218"/>
      <c r="AP13" s="201"/>
      <c r="AQ13" s="162"/>
      <c r="AR13" s="305"/>
      <c r="AS13" s="259"/>
      <c r="AT13" s="259"/>
      <c r="AU13" s="259"/>
      <c r="AV13" s="259"/>
      <c r="AW13" s="278"/>
    </row>
    <row r="14" spans="1:49">
      <c r="A14" s="325">
        <v>2010</v>
      </c>
      <c r="B14" s="307"/>
      <c r="C14" s="233"/>
      <c r="D14" s="321"/>
      <c r="E14" s="224"/>
      <c r="F14" s="233"/>
      <c r="G14" s="321"/>
      <c r="H14" s="224"/>
      <c r="I14" s="233"/>
      <c r="J14" s="321"/>
      <c r="K14" s="224"/>
      <c r="L14" s="233"/>
      <c r="M14" s="321"/>
      <c r="N14" s="224"/>
      <c r="O14" s="233"/>
      <c r="P14" s="321"/>
      <c r="Q14" s="224"/>
      <c r="R14" s="233"/>
      <c r="S14" s="321"/>
      <c r="T14" s="224"/>
      <c r="U14" s="233"/>
      <c r="V14" s="321"/>
      <c r="W14" s="224"/>
      <c r="X14" s="233"/>
      <c r="Y14" s="321"/>
      <c r="Z14" s="224"/>
      <c r="AA14" s="233"/>
      <c r="AB14" s="321"/>
      <c r="AC14" s="224"/>
      <c r="AD14" s="233"/>
      <c r="AE14" s="321"/>
      <c r="AF14" s="224"/>
      <c r="AG14" s="233"/>
      <c r="AH14" s="321"/>
      <c r="AI14" s="224"/>
      <c r="AJ14" s="233"/>
      <c r="AK14" s="321"/>
      <c r="AL14" s="221"/>
      <c r="AM14" s="219"/>
      <c r="AN14" s="218"/>
      <c r="AP14" s="201"/>
      <c r="AQ14" s="162"/>
      <c r="AR14" s="305"/>
      <c r="AS14" s="259"/>
      <c r="AT14" s="259"/>
      <c r="AU14" s="259"/>
      <c r="AV14" s="259"/>
      <c r="AW14" s="278"/>
    </row>
    <row r="15" spans="1:49">
      <c r="A15" s="325">
        <v>2011</v>
      </c>
      <c r="B15" s="307"/>
      <c r="C15" s="233"/>
      <c r="D15" s="321"/>
      <c r="E15" s="224"/>
      <c r="F15" s="233"/>
      <c r="G15" s="321"/>
      <c r="H15" s="224"/>
      <c r="I15" s="233"/>
      <c r="J15" s="321"/>
      <c r="K15" s="224"/>
      <c r="L15" s="233"/>
      <c r="M15" s="321"/>
      <c r="N15" s="224"/>
      <c r="O15" s="233"/>
      <c r="P15" s="321"/>
      <c r="Q15" s="224"/>
      <c r="R15" s="233"/>
      <c r="S15" s="321"/>
      <c r="T15" s="224"/>
      <c r="U15" s="233"/>
      <c r="V15" s="321"/>
      <c r="W15" s="224"/>
      <c r="X15" s="233"/>
      <c r="Y15" s="321"/>
      <c r="Z15" s="224"/>
      <c r="AA15" s="233"/>
      <c r="AB15" s="321"/>
      <c r="AC15" s="224"/>
      <c r="AD15" s="233"/>
      <c r="AE15" s="321"/>
      <c r="AF15" s="224"/>
      <c r="AG15" s="233"/>
      <c r="AH15" s="321"/>
      <c r="AI15" s="224"/>
      <c r="AJ15" s="233"/>
      <c r="AK15" s="321"/>
      <c r="AL15" s="221"/>
      <c r="AM15" s="219"/>
      <c r="AN15" s="218"/>
      <c r="AP15" s="201"/>
      <c r="AQ15" s="162"/>
      <c r="AR15" s="305"/>
      <c r="AS15" s="259"/>
      <c r="AT15" s="259"/>
      <c r="AU15" s="259"/>
      <c r="AV15" s="259"/>
      <c r="AW15" s="278"/>
    </row>
    <row r="16" spans="1:49">
      <c r="A16" s="325">
        <v>2012</v>
      </c>
      <c r="B16" s="307"/>
      <c r="C16" s="233"/>
      <c r="D16" s="321"/>
      <c r="E16" s="224"/>
      <c r="F16" s="233"/>
      <c r="G16" s="321"/>
      <c r="H16" s="224"/>
      <c r="I16" s="233"/>
      <c r="J16" s="321"/>
      <c r="K16" s="224"/>
      <c r="L16" s="233"/>
      <c r="M16" s="321"/>
      <c r="N16" s="224"/>
      <c r="O16" s="233"/>
      <c r="P16" s="321"/>
      <c r="Q16" s="224"/>
      <c r="R16" s="233"/>
      <c r="S16" s="321"/>
      <c r="T16" s="224"/>
      <c r="U16" s="233"/>
      <c r="V16" s="321"/>
      <c r="W16" s="224"/>
      <c r="X16" s="233"/>
      <c r="Y16" s="321"/>
      <c r="Z16" s="224"/>
      <c r="AA16" s="233"/>
      <c r="AB16" s="321"/>
      <c r="AC16" s="224"/>
      <c r="AD16" s="233"/>
      <c r="AE16" s="321"/>
      <c r="AF16" s="224"/>
      <c r="AG16" s="233"/>
      <c r="AH16" s="321"/>
      <c r="AI16" s="224"/>
      <c r="AJ16" s="233"/>
      <c r="AK16" s="321"/>
      <c r="AL16" s="221"/>
      <c r="AM16" s="219"/>
      <c r="AN16" s="218"/>
      <c r="AP16" s="201"/>
      <c r="AQ16" s="162"/>
      <c r="AR16" s="305"/>
      <c r="AS16" s="259"/>
      <c r="AT16" s="259"/>
      <c r="AU16" s="259"/>
      <c r="AV16" s="259"/>
      <c r="AW16" s="278"/>
    </row>
    <row r="17" spans="1:49">
      <c r="A17" s="325">
        <v>2013</v>
      </c>
      <c r="B17" s="307"/>
      <c r="C17" s="233"/>
      <c r="D17" s="321"/>
      <c r="E17" s="224"/>
      <c r="F17" s="233"/>
      <c r="G17" s="321"/>
      <c r="H17" s="224"/>
      <c r="I17" s="233"/>
      <c r="J17" s="321"/>
      <c r="K17" s="224"/>
      <c r="L17" s="233"/>
      <c r="M17" s="321"/>
      <c r="N17" s="224"/>
      <c r="O17" s="233"/>
      <c r="P17" s="321"/>
      <c r="Q17" s="224"/>
      <c r="R17" s="233"/>
      <c r="S17" s="321"/>
      <c r="T17" s="224"/>
      <c r="U17" s="233"/>
      <c r="V17" s="321"/>
      <c r="W17" s="224"/>
      <c r="X17" s="233"/>
      <c r="Y17" s="321"/>
      <c r="Z17" s="224"/>
      <c r="AA17" s="233"/>
      <c r="AB17" s="321"/>
      <c r="AC17" s="224"/>
      <c r="AD17" s="233"/>
      <c r="AE17" s="321"/>
      <c r="AF17" s="224"/>
      <c r="AG17" s="233"/>
      <c r="AH17" s="321"/>
      <c r="AI17" s="224"/>
      <c r="AJ17" s="233"/>
      <c r="AK17" s="321"/>
      <c r="AL17" s="221"/>
      <c r="AM17" s="219"/>
      <c r="AN17" s="218"/>
      <c r="AP17" s="201"/>
      <c r="AQ17" s="162"/>
      <c r="AR17" s="305"/>
      <c r="AS17" s="259"/>
      <c r="AT17" s="259"/>
      <c r="AU17" s="259"/>
      <c r="AV17" s="259"/>
      <c r="AW17" s="278"/>
    </row>
    <row r="18" spans="1:49">
      <c r="A18" s="325">
        <v>2014</v>
      </c>
      <c r="B18" s="307"/>
      <c r="C18" s="233"/>
      <c r="D18" s="321"/>
      <c r="E18" s="224"/>
      <c r="F18" s="233"/>
      <c r="G18" s="321"/>
      <c r="H18" s="224"/>
      <c r="I18" s="233"/>
      <c r="J18" s="321"/>
      <c r="K18" s="224"/>
      <c r="L18" s="233"/>
      <c r="M18" s="321"/>
      <c r="N18" s="224"/>
      <c r="O18" s="233"/>
      <c r="P18" s="321"/>
      <c r="Q18" s="224"/>
      <c r="R18" s="233"/>
      <c r="S18" s="321"/>
      <c r="T18" s="224"/>
      <c r="U18" s="233"/>
      <c r="V18" s="321"/>
      <c r="W18" s="224"/>
      <c r="X18" s="233"/>
      <c r="Y18" s="321"/>
      <c r="Z18" s="224"/>
      <c r="AA18" s="233"/>
      <c r="AB18" s="321"/>
      <c r="AC18" s="224"/>
      <c r="AD18" s="233"/>
      <c r="AE18" s="321"/>
      <c r="AF18" s="224"/>
      <c r="AG18" s="233"/>
      <c r="AH18" s="321"/>
      <c r="AI18" s="224"/>
      <c r="AJ18" s="233"/>
      <c r="AK18" s="321"/>
      <c r="AL18" s="221"/>
      <c r="AM18" s="219"/>
      <c r="AN18" s="218"/>
      <c r="AP18" s="201"/>
      <c r="AQ18" s="162"/>
      <c r="AR18" s="305"/>
      <c r="AS18" s="259"/>
      <c r="AT18" s="259"/>
      <c r="AU18" s="259"/>
      <c r="AV18" s="259"/>
      <c r="AW18" s="278"/>
    </row>
    <row r="19" spans="1:49">
      <c r="A19" s="325">
        <v>2015</v>
      </c>
      <c r="B19" s="307"/>
      <c r="C19" s="233"/>
      <c r="D19" s="321"/>
      <c r="E19" s="224"/>
      <c r="F19" s="233"/>
      <c r="G19" s="321"/>
      <c r="H19" s="224"/>
      <c r="I19" s="233"/>
      <c r="J19" s="321"/>
      <c r="K19" s="224"/>
      <c r="L19" s="233"/>
      <c r="M19" s="321"/>
      <c r="N19" s="224"/>
      <c r="O19" s="233"/>
      <c r="P19" s="321"/>
      <c r="Q19" s="224"/>
      <c r="R19" s="233"/>
      <c r="S19" s="321"/>
      <c r="T19" s="224"/>
      <c r="U19" s="233"/>
      <c r="V19" s="321"/>
      <c r="W19" s="224"/>
      <c r="X19" s="233"/>
      <c r="Y19" s="321"/>
      <c r="Z19" s="224"/>
      <c r="AA19" s="233"/>
      <c r="AB19" s="321"/>
      <c r="AC19" s="224"/>
      <c r="AD19" s="233"/>
      <c r="AE19" s="321"/>
      <c r="AF19" s="224"/>
      <c r="AG19" s="233"/>
      <c r="AH19" s="321"/>
      <c r="AI19" s="224"/>
      <c r="AJ19" s="233"/>
      <c r="AK19" s="321"/>
      <c r="AL19" s="221"/>
      <c r="AM19" s="219"/>
      <c r="AN19" s="218"/>
      <c r="AP19" s="201"/>
      <c r="AQ19" s="162"/>
      <c r="AR19" s="305"/>
      <c r="AS19" s="259"/>
      <c r="AT19" s="259"/>
      <c r="AU19" s="259"/>
      <c r="AV19" s="259"/>
      <c r="AW19" s="278"/>
    </row>
    <row r="20" spans="1:49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296"/>
      <c r="AM20" s="297">
        <f>SUM(AM2:AM19)</f>
        <v>1384.0716507703596</v>
      </c>
      <c r="AN20" s="296">
        <f>SUM(AN2:AN19)</f>
        <v>8141</v>
      </c>
    </row>
    <row r="21" spans="1:49" ht="18">
      <c r="O21" s="232" t="s">
        <v>157</v>
      </c>
      <c r="AD21" s="232" t="s">
        <v>157</v>
      </c>
      <c r="AL21" s="226"/>
      <c r="AM21" s="260" t="s">
        <v>182</v>
      </c>
      <c r="AN21" s="263">
        <v>46063</v>
      </c>
      <c r="AP21" s="260" t="s">
        <v>193</v>
      </c>
    </row>
    <row r="22" spans="1:49">
      <c r="AL22" s="226"/>
      <c r="AM22" s="226"/>
      <c r="AN22" s="341">
        <v>12780</v>
      </c>
      <c r="AP22" s="347">
        <v>25560</v>
      </c>
    </row>
    <row r="23" spans="1:49" ht="15.75">
      <c r="A23" s="583" t="s">
        <v>161</v>
      </c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</row>
    <row r="24" spans="1:49" ht="15.75">
      <c r="A24" s="583" t="s">
        <v>181</v>
      </c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</row>
    <row r="25" spans="1:49">
      <c r="AL25" s="226"/>
      <c r="AM25" s="226"/>
      <c r="AN25" s="260"/>
    </row>
    <row r="26" spans="1:49" ht="18">
      <c r="O26" s="225" t="s">
        <v>158</v>
      </c>
      <c r="AD26" s="225" t="s">
        <v>158</v>
      </c>
      <c r="AL26" s="226"/>
      <c r="AM26" s="226"/>
      <c r="AN26" s="287"/>
    </row>
    <row r="27" spans="1:49">
      <c r="AM27" s="209"/>
      <c r="AN27" s="288"/>
    </row>
    <row r="28" spans="1:49">
      <c r="A28" s="227">
        <v>1998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18">
        <f>W2*AO28</f>
        <v>930</v>
      </c>
      <c r="X28" s="219">
        <f>X2*AO28</f>
        <v>2.7292736610418196</v>
      </c>
      <c r="Y28" s="218">
        <f t="shared" ref="Y28:Y45" si="16">Y2*AO28</f>
        <v>34.199999999999996</v>
      </c>
      <c r="Z28" s="218">
        <f>Z2*AO28</f>
        <v>5490</v>
      </c>
      <c r="AA28" s="219">
        <f t="shared" ref="AA28:AA31" si="17">Z28/340.75</f>
        <v>16.111518708730742</v>
      </c>
      <c r="AB28" s="218">
        <f t="shared" ref="AB28:AB45" si="18">AB2*AO28</f>
        <v>198</v>
      </c>
      <c r="AC28" s="218">
        <f>AC2*AO28</f>
        <v>6450</v>
      </c>
      <c r="AD28" s="219">
        <f t="shared" ref="AD28:AD31" si="19">AC28/340.75</f>
        <v>18.928833455612619</v>
      </c>
      <c r="AE28" s="218">
        <f t="shared" ref="AE28:AE45" si="20">AE2*AO28</f>
        <v>228.29999999999998</v>
      </c>
      <c r="AF28" s="218">
        <f>AF2*AO28</f>
        <v>2160</v>
      </c>
      <c r="AG28" s="219">
        <f t="shared" ref="AG28:AG31" si="21">AF28/340.75</f>
        <v>6.3389581804842257</v>
      </c>
      <c r="AH28" s="218">
        <f t="shared" ref="AH28:AH45" si="22">AH2*AO28</f>
        <v>75</v>
      </c>
      <c r="AI28" s="218">
        <f>AI2*AO28</f>
        <v>9450</v>
      </c>
      <c r="AJ28" s="219">
        <f t="shared" ref="AJ28:AJ31" si="23">AI28/340.75</f>
        <v>27.732942039618489</v>
      </c>
      <c r="AK28" s="218">
        <f t="shared" ref="AK28:AK45" si="24">AK2*AO28</f>
        <v>321.89999999999998</v>
      </c>
      <c r="AL28" s="218">
        <f>W28+Z28+AC28+AF28+AI28</f>
        <v>24480</v>
      </c>
      <c r="AM28" s="219">
        <f>X28+AA28+AD28+AG28+AJ28</f>
        <v>71.841526045487896</v>
      </c>
      <c r="AN28" s="218">
        <f>Y28+AB28+AE28+AH28+AK28</f>
        <v>857.4</v>
      </c>
      <c r="AO28" s="308">
        <v>0.3</v>
      </c>
    </row>
    <row r="29" spans="1:49" s="201" customFormat="1">
      <c r="A29" s="229">
        <v>1999</v>
      </c>
      <c r="B29" s="218">
        <f>B3*AO29</f>
        <v>720</v>
      </c>
      <c r="C29" s="219">
        <f>C3*AO29</f>
        <v>2.112986060161409</v>
      </c>
      <c r="D29" s="218">
        <f t="shared" ref="D29:D34" si="25">D3*AO29</f>
        <v>24</v>
      </c>
      <c r="E29" s="218">
        <f>E3*AO29</f>
        <v>2600</v>
      </c>
      <c r="F29" s="219">
        <f t="shared" ref="F29:F31" si="26">E29/340.75</f>
        <v>7.6302274394717537</v>
      </c>
      <c r="G29" s="218">
        <f t="shared" ref="G29:G45" si="27">G3*AO29</f>
        <v>85.2</v>
      </c>
      <c r="H29" s="218">
        <f>H3*AO29</f>
        <v>3564</v>
      </c>
      <c r="I29" s="219">
        <f t="shared" ref="I29:I31" si="28">H29/340.75</f>
        <v>10.459280997798972</v>
      </c>
      <c r="J29" s="218">
        <f t="shared" ref="J29:J45" si="29">J3*AO29</f>
        <v>114.80000000000001</v>
      </c>
      <c r="K29" s="218">
        <f>K3*AO29</f>
        <v>5040</v>
      </c>
      <c r="L29" s="219">
        <f t="shared" ref="L29:L31" si="30">K29/340.75</f>
        <v>14.790902421129861</v>
      </c>
      <c r="M29" s="218">
        <f t="shared" ref="M29:M45" si="31">M3*AO29</f>
        <v>159.60000000000002</v>
      </c>
      <c r="N29" s="218">
        <f>N3*AO29</f>
        <v>2880</v>
      </c>
      <c r="O29" s="219">
        <f t="shared" ref="O29:O31" si="32">N29/340.75</f>
        <v>8.4519442406456342</v>
      </c>
      <c r="P29" s="218">
        <f t="shared" ref="P29:P45" si="33">P3*AO29</f>
        <v>89.600000000000009</v>
      </c>
      <c r="Q29" s="218">
        <f>Q3*AO29</f>
        <v>1800</v>
      </c>
      <c r="R29" s="219">
        <f t="shared" ref="R29:R31" si="34">Q29/340.75</f>
        <v>5.2824651504035218</v>
      </c>
      <c r="S29" s="218">
        <f t="shared" ref="S29:S45" si="35">S3*AO29</f>
        <v>55.2</v>
      </c>
      <c r="T29" s="218">
        <f>T3*AO29</f>
        <v>2960</v>
      </c>
      <c r="U29" s="219">
        <f t="shared" ref="U29:U31" si="36">T29/340.75</f>
        <v>8.6867204695524585</v>
      </c>
      <c r="V29" s="218">
        <f t="shared" ref="V29:V45" si="37">V3*AO29</f>
        <v>89.2</v>
      </c>
      <c r="W29" s="218">
        <f>W3*AO29</f>
        <v>7560</v>
      </c>
      <c r="X29" s="219">
        <f t="shared" ref="X29:X31" si="38">W29/340.75</f>
        <v>22.186353631694789</v>
      </c>
      <c r="Y29" s="218">
        <f t="shared" si="16"/>
        <v>223.60000000000002</v>
      </c>
      <c r="Z29" s="218">
        <f>Z3*AO29</f>
        <v>4320</v>
      </c>
      <c r="AA29" s="219">
        <f t="shared" si="17"/>
        <v>12.677916360968451</v>
      </c>
      <c r="AB29" s="218">
        <f t="shared" si="18"/>
        <v>125.60000000000001</v>
      </c>
      <c r="AC29" s="218">
        <f>AC3*AO29</f>
        <v>5040</v>
      </c>
      <c r="AD29" s="219">
        <f t="shared" si="19"/>
        <v>14.790902421129861</v>
      </c>
      <c r="AE29" s="218">
        <f t="shared" si="20"/>
        <v>144</v>
      </c>
      <c r="AF29" s="218">
        <f>AF3*AO29</f>
        <v>2160</v>
      </c>
      <c r="AG29" s="219">
        <f t="shared" si="21"/>
        <v>6.3389581804842257</v>
      </c>
      <c r="AH29" s="218">
        <f t="shared" si="22"/>
        <v>60.800000000000004</v>
      </c>
      <c r="AI29" s="218">
        <f>AI3*AO29</f>
        <v>360</v>
      </c>
      <c r="AJ29" s="219">
        <f t="shared" si="23"/>
        <v>1.0564930300807043</v>
      </c>
      <c r="AK29" s="218">
        <f t="shared" si="24"/>
        <v>10</v>
      </c>
      <c r="AL29" s="218">
        <f>B29+E29+H29+K29+N29+Q29+T29+W29+Z29+AC29+AF29+AI29</f>
        <v>39004</v>
      </c>
      <c r="AM29" s="219">
        <f>C29+F29+I29+L29+O29+R29+U29+X29+AA29+AD29+AG29+AJ29</f>
        <v>114.46515040352163</v>
      </c>
      <c r="AN29" s="218">
        <f>D29+G29+J29+M29+P29+S29+V29+Y29+AB29+AE29+AH29+AK29</f>
        <v>1181.6000000000001</v>
      </c>
      <c r="AO29" s="309">
        <v>0.4</v>
      </c>
      <c r="AP29" s="2"/>
      <c r="AQ29" s="2"/>
      <c r="AR29" s="2"/>
      <c r="AS29" s="2"/>
      <c r="AT29" s="2"/>
      <c r="AU29" s="2"/>
      <c r="AV29" s="2"/>
      <c r="AW29" s="2"/>
    </row>
    <row r="30" spans="1:49" s="201" customFormat="1">
      <c r="A30" s="230">
        <v>2000</v>
      </c>
      <c r="B30" s="218">
        <f>B4*AO30</f>
        <v>0</v>
      </c>
      <c r="C30" s="217">
        <f>C4*AO30</f>
        <v>0</v>
      </c>
      <c r="D30" s="218">
        <f t="shared" si="25"/>
        <v>0</v>
      </c>
      <c r="E30" s="218">
        <f>E4*AO30</f>
        <v>0</v>
      </c>
      <c r="F30" s="217">
        <f t="shared" si="26"/>
        <v>0</v>
      </c>
      <c r="G30" s="218">
        <f t="shared" si="27"/>
        <v>0</v>
      </c>
      <c r="H30" s="218">
        <f>H4*AO30</f>
        <v>0</v>
      </c>
      <c r="I30" s="217">
        <f t="shared" si="28"/>
        <v>0</v>
      </c>
      <c r="J30" s="218">
        <f t="shared" si="29"/>
        <v>0</v>
      </c>
      <c r="K30" s="218">
        <f>K4*AO30</f>
        <v>0</v>
      </c>
      <c r="L30" s="217">
        <f t="shared" si="30"/>
        <v>0</v>
      </c>
      <c r="M30" s="218">
        <f t="shared" si="31"/>
        <v>0</v>
      </c>
      <c r="N30" s="218">
        <f>N4*AO30</f>
        <v>0</v>
      </c>
      <c r="O30" s="217">
        <f t="shared" si="32"/>
        <v>0</v>
      </c>
      <c r="P30" s="218">
        <f t="shared" si="33"/>
        <v>0</v>
      </c>
      <c r="Q30" s="218">
        <f>Q4*AO30</f>
        <v>829.80000000000007</v>
      </c>
      <c r="R30" s="217">
        <f t="shared" si="34"/>
        <v>2.4352164343360236</v>
      </c>
      <c r="S30" s="218">
        <f t="shared" si="35"/>
        <v>21.150000000000002</v>
      </c>
      <c r="T30" s="218">
        <f>T4*AO30</f>
        <v>0</v>
      </c>
      <c r="U30" s="217">
        <f t="shared" si="36"/>
        <v>0</v>
      </c>
      <c r="V30" s="218">
        <f t="shared" si="37"/>
        <v>0</v>
      </c>
      <c r="W30" s="218">
        <f>W4*AO30</f>
        <v>77.400000000000006</v>
      </c>
      <c r="X30" s="217">
        <f t="shared" si="38"/>
        <v>0.22714600146735145</v>
      </c>
      <c r="Y30" s="218">
        <f t="shared" si="16"/>
        <v>1.8</v>
      </c>
      <c r="Z30" s="218">
        <f>Z4*AO30</f>
        <v>36</v>
      </c>
      <c r="AA30" s="217">
        <f t="shared" si="17"/>
        <v>0.10564930300807043</v>
      </c>
      <c r="AB30" s="218">
        <f t="shared" si="18"/>
        <v>0.9</v>
      </c>
      <c r="AC30" s="218">
        <f>AC4*AO30</f>
        <v>0</v>
      </c>
      <c r="AD30" s="217">
        <f t="shared" si="19"/>
        <v>0</v>
      </c>
      <c r="AE30" s="218">
        <f t="shared" si="20"/>
        <v>0</v>
      </c>
      <c r="AF30" s="218">
        <f>AF4*AO30</f>
        <v>2493.9</v>
      </c>
      <c r="AG30" s="217">
        <f t="shared" si="21"/>
        <v>7.3188554658840799</v>
      </c>
      <c r="AH30" s="218">
        <f t="shared" si="22"/>
        <v>58.95</v>
      </c>
      <c r="AI30" s="218">
        <f>AI4*AO30</f>
        <v>184.5</v>
      </c>
      <c r="AJ30" s="217">
        <f t="shared" si="23"/>
        <v>0.54145267791636098</v>
      </c>
      <c r="AK30" s="218">
        <f t="shared" si="24"/>
        <v>4.5</v>
      </c>
      <c r="AL30" s="218">
        <f t="shared" ref="AL30:AN33" si="39">B30+E30+H30+K30+N30+Q30+T30+W30+Z30+AC30+AF30+AI30</f>
        <v>3621.6000000000004</v>
      </c>
      <c r="AM30" s="219">
        <f t="shared" si="39"/>
        <v>10.628319882611887</v>
      </c>
      <c r="AN30" s="218">
        <f t="shared" si="39"/>
        <v>87.300000000000011</v>
      </c>
      <c r="AO30" s="309">
        <v>0.45</v>
      </c>
      <c r="AP30" s="2"/>
      <c r="AQ30" s="2"/>
      <c r="AR30" s="2"/>
      <c r="AS30" s="2"/>
      <c r="AT30" s="2"/>
      <c r="AU30" s="2"/>
      <c r="AV30" s="2"/>
      <c r="AW30" s="2"/>
    </row>
    <row r="31" spans="1:49" s="201" customFormat="1">
      <c r="A31" s="230">
        <v>2001</v>
      </c>
      <c r="B31" s="218">
        <f>B5*AO31</f>
        <v>24</v>
      </c>
      <c r="C31" s="217">
        <f>C5*AO31</f>
        <v>7.0432868672046955E-2</v>
      </c>
      <c r="D31" s="218">
        <f t="shared" si="25"/>
        <v>0.4</v>
      </c>
      <c r="E31" s="218">
        <f>E5*AO31</f>
        <v>0</v>
      </c>
      <c r="F31" s="217">
        <f t="shared" si="26"/>
        <v>0</v>
      </c>
      <c r="G31" s="218">
        <f t="shared" si="27"/>
        <v>0</v>
      </c>
      <c r="H31" s="218">
        <f>H5*AO31</f>
        <v>4</v>
      </c>
      <c r="I31" s="217">
        <f t="shared" si="28"/>
        <v>1.173881144534116E-2</v>
      </c>
      <c r="J31" s="218">
        <f t="shared" si="29"/>
        <v>0.4</v>
      </c>
      <c r="K31" s="218">
        <f>K5*AO31</f>
        <v>40</v>
      </c>
      <c r="L31" s="217">
        <f t="shared" si="30"/>
        <v>0.11738811445341159</v>
      </c>
      <c r="M31" s="218">
        <f t="shared" si="31"/>
        <v>0.8</v>
      </c>
      <c r="N31" s="218">
        <f>N5*AO31</f>
        <v>8</v>
      </c>
      <c r="O31" s="217">
        <f t="shared" si="32"/>
        <v>2.347762289068232E-2</v>
      </c>
      <c r="P31" s="218">
        <f t="shared" si="33"/>
        <v>0.4</v>
      </c>
      <c r="Q31" s="218">
        <f>Q5*AO31</f>
        <v>840</v>
      </c>
      <c r="R31" s="217">
        <f t="shared" si="34"/>
        <v>2.4651504035216436</v>
      </c>
      <c r="S31" s="218">
        <f t="shared" si="35"/>
        <v>18.400000000000002</v>
      </c>
      <c r="T31" s="218">
        <f>T5*AO31</f>
        <v>0</v>
      </c>
      <c r="U31" s="217">
        <f t="shared" si="36"/>
        <v>0</v>
      </c>
      <c r="V31" s="218">
        <f t="shared" si="37"/>
        <v>0</v>
      </c>
      <c r="W31" s="218">
        <f>W5*AO31</f>
        <v>368</v>
      </c>
      <c r="X31" s="217">
        <f t="shared" si="38"/>
        <v>1.0799706529713866</v>
      </c>
      <c r="Y31" s="218">
        <f t="shared" si="16"/>
        <v>8</v>
      </c>
      <c r="Z31" s="218">
        <f>Z5*AO31</f>
        <v>360</v>
      </c>
      <c r="AA31" s="217">
        <f t="shared" si="17"/>
        <v>1.0564930300807043</v>
      </c>
      <c r="AB31" s="218">
        <f t="shared" si="18"/>
        <v>7.6000000000000005</v>
      </c>
      <c r="AC31" s="218">
        <f>AC5*AO31</f>
        <v>0</v>
      </c>
      <c r="AD31" s="217">
        <f t="shared" si="19"/>
        <v>0</v>
      </c>
      <c r="AE31" s="218">
        <f t="shared" si="20"/>
        <v>0</v>
      </c>
      <c r="AF31" s="218">
        <f>AF5*AO31</f>
        <v>176</v>
      </c>
      <c r="AG31" s="217">
        <f t="shared" si="21"/>
        <v>0.51650770359501097</v>
      </c>
      <c r="AH31" s="218">
        <f t="shared" si="22"/>
        <v>3.6</v>
      </c>
      <c r="AI31" s="218">
        <f>AI5*AO31</f>
        <v>88</v>
      </c>
      <c r="AJ31" s="217">
        <f t="shared" si="23"/>
        <v>0.25825385179750548</v>
      </c>
      <c r="AK31" s="218">
        <f t="shared" si="24"/>
        <v>1.6</v>
      </c>
      <c r="AL31" s="218">
        <f t="shared" si="39"/>
        <v>1908</v>
      </c>
      <c r="AM31" s="219">
        <f t="shared" si="39"/>
        <v>5.5994130594277323</v>
      </c>
      <c r="AN31" s="218">
        <f t="shared" si="39"/>
        <v>41.2</v>
      </c>
      <c r="AO31" s="309">
        <v>0.4</v>
      </c>
      <c r="AP31" s="2"/>
      <c r="AQ31" s="2"/>
      <c r="AR31" s="2"/>
      <c r="AS31" s="2"/>
      <c r="AT31" s="2"/>
      <c r="AU31" s="2"/>
      <c r="AV31" s="2"/>
      <c r="AW31" s="2"/>
    </row>
    <row r="32" spans="1:49" s="201" customFormat="1">
      <c r="A32" s="230">
        <v>2002</v>
      </c>
      <c r="B32" s="235"/>
      <c r="C32" s="217">
        <f>C6*40%</f>
        <v>0.21200000000000002</v>
      </c>
      <c r="D32" s="218">
        <f t="shared" si="25"/>
        <v>1.6</v>
      </c>
      <c r="E32" s="235"/>
      <c r="F32" s="217">
        <f>F6*40%</f>
        <v>0.11599999999999999</v>
      </c>
      <c r="G32" s="218">
        <f t="shared" si="27"/>
        <v>0.8</v>
      </c>
      <c r="H32" s="235"/>
      <c r="I32" s="217">
        <f>I6*40%</f>
        <v>0.60000000000000009</v>
      </c>
      <c r="J32" s="218">
        <f t="shared" si="29"/>
        <v>4</v>
      </c>
      <c r="K32" s="293"/>
      <c r="L32" s="217">
        <f>L6*40%</f>
        <v>5.6000000000000005</v>
      </c>
      <c r="M32" s="218">
        <f t="shared" si="31"/>
        <v>38</v>
      </c>
      <c r="N32" s="234"/>
      <c r="O32" s="217">
        <f>O6*40%</f>
        <v>1.6</v>
      </c>
      <c r="P32" s="218">
        <f t="shared" si="33"/>
        <v>10.8</v>
      </c>
      <c r="Q32" s="234"/>
      <c r="R32" s="217">
        <f>R6*40%</f>
        <v>0.8</v>
      </c>
      <c r="S32" s="218">
        <f t="shared" si="35"/>
        <v>5.2</v>
      </c>
      <c r="T32" s="234"/>
      <c r="U32" s="217">
        <f>U6*40%</f>
        <v>3.6</v>
      </c>
      <c r="V32" s="218">
        <f t="shared" si="37"/>
        <v>23.6</v>
      </c>
      <c r="W32" s="234"/>
      <c r="X32" s="217">
        <f>X6*40%</f>
        <v>3.4000000000000004</v>
      </c>
      <c r="Y32" s="218">
        <f t="shared" si="16"/>
        <v>22.400000000000002</v>
      </c>
      <c r="Z32" s="234"/>
      <c r="AA32" s="217">
        <f>AA6*30%</f>
        <v>0</v>
      </c>
      <c r="AB32" s="218">
        <f t="shared" si="18"/>
        <v>0</v>
      </c>
      <c r="AC32" s="234"/>
      <c r="AD32" s="217">
        <f>AD6*40%</f>
        <v>1</v>
      </c>
      <c r="AE32" s="218">
        <f t="shared" si="20"/>
        <v>6.4</v>
      </c>
      <c r="AF32" s="234"/>
      <c r="AG32" s="217">
        <f>AG6*40%</f>
        <v>0.60000000000000009</v>
      </c>
      <c r="AH32" s="218">
        <f t="shared" si="22"/>
        <v>4</v>
      </c>
      <c r="AI32" s="234"/>
      <c r="AJ32" s="217">
        <f>AJ6*30%</f>
        <v>0</v>
      </c>
      <c r="AK32" s="218">
        <f t="shared" si="24"/>
        <v>0</v>
      </c>
      <c r="AL32" s="218">
        <f t="shared" ref="AL32" si="40">B33+E33+H33+K33+N33+Q33+T33+W33+Z33+AC33+AF33+AI33</f>
        <v>0</v>
      </c>
      <c r="AM32" s="219">
        <f t="shared" si="39"/>
        <v>17.528000000000002</v>
      </c>
      <c r="AN32" s="218">
        <f t="shared" si="39"/>
        <v>116.80000000000001</v>
      </c>
      <c r="AO32" s="309">
        <v>0.4</v>
      </c>
      <c r="AP32" s="2"/>
      <c r="AQ32" s="2"/>
      <c r="AR32" s="2"/>
      <c r="AS32" s="2"/>
      <c r="AT32" s="2"/>
      <c r="AU32" s="2"/>
      <c r="AV32" s="2"/>
      <c r="AW32" s="2"/>
    </row>
    <row r="33" spans="1:41">
      <c r="A33" s="1">
        <v>2003</v>
      </c>
      <c r="B33" s="234"/>
      <c r="C33" s="217">
        <f>C7*40%</f>
        <v>1</v>
      </c>
      <c r="D33" s="218">
        <f t="shared" si="25"/>
        <v>6.4</v>
      </c>
      <c r="E33" s="224"/>
      <c r="F33" s="217">
        <f>F7*40%</f>
        <v>4</v>
      </c>
      <c r="G33" s="218">
        <f t="shared" si="27"/>
        <v>24.8</v>
      </c>
      <c r="H33" s="224"/>
      <c r="I33" s="233"/>
      <c r="J33" s="218">
        <f t="shared" si="29"/>
        <v>0</v>
      </c>
      <c r="K33" s="224"/>
      <c r="L33" s="233"/>
      <c r="M33" s="218">
        <f t="shared" si="31"/>
        <v>0</v>
      </c>
      <c r="N33" s="224"/>
      <c r="O33" s="217">
        <f>O7*40%</f>
        <v>1</v>
      </c>
      <c r="P33" s="218">
        <f t="shared" si="33"/>
        <v>6</v>
      </c>
      <c r="Q33" s="224"/>
      <c r="R33" s="217">
        <f>R7*40%</f>
        <v>2</v>
      </c>
      <c r="S33" s="218">
        <f t="shared" si="35"/>
        <v>12</v>
      </c>
      <c r="T33" s="224"/>
      <c r="U33" s="233"/>
      <c r="V33" s="218">
        <f t="shared" si="37"/>
        <v>0</v>
      </c>
      <c r="W33" s="224"/>
      <c r="X33" s="217">
        <f>X7*40%</f>
        <v>2</v>
      </c>
      <c r="Y33" s="218">
        <f t="shared" si="16"/>
        <v>11.600000000000001</v>
      </c>
      <c r="Z33" s="224"/>
      <c r="AA33" s="233"/>
      <c r="AB33" s="218">
        <f t="shared" si="18"/>
        <v>0</v>
      </c>
      <c r="AC33" s="224"/>
      <c r="AD33" s="217">
        <f>AD7*40%</f>
        <v>4</v>
      </c>
      <c r="AE33" s="218">
        <f t="shared" si="20"/>
        <v>23.200000000000003</v>
      </c>
      <c r="AF33" s="224"/>
      <c r="AG33" s="217">
        <f>AG7*40%</f>
        <v>8</v>
      </c>
      <c r="AH33" s="218">
        <f t="shared" si="22"/>
        <v>46</v>
      </c>
      <c r="AI33" s="224"/>
      <c r="AJ33" s="217">
        <f>AJ7*40%</f>
        <v>2.2000000000000002</v>
      </c>
      <c r="AK33" s="218">
        <f t="shared" si="24"/>
        <v>12.4</v>
      </c>
      <c r="AL33" s="221"/>
      <c r="AM33" s="219">
        <f t="shared" si="39"/>
        <v>24.2</v>
      </c>
      <c r="AN33" s="218">
        <f t="shared" si="39"/>
        <v>142.4</v>
      </c>
      <c r="AO33" s="308">
        <v>0.4</v>
      </c>
    </row>
    <row r="34" spans="1:41">
      <c r="A34" s="325">
        <v>2004</v>
      </c>
      <c r="B34" s="234"/>
      <c r="C34" s="217">
        <f>C8*40%</f>
        <v>3</v>
      </c>
      <c r="D34" s="218">
        <f t="shared" si="25"/>
        <v>16.8</v>
      </c>
      <c r="E34" s="224"/>
      <c r="F34" s="217">
        <f>F8*40%</f>
        <v>5</v>
      </c>
      <c r="G34" s="218">
        <f t="shared" si="27"/>
        <v>28</v>
      </c>
      <c r="H34" s="224"/>
      <c r="I34" s="217">
        <f>I8*40%</f>
        <v>3</v>
      </c>
      <c r="J34" s="218">
        <f t="shared" si="29"/>
        <v>16.8</v>
      </c>
      <c r="K34" s="224"/>
      <c r="L34" s="217">
        <f>L8*40%</f>
        <v>10</v>
      </c>
      <c r="M34" s="218">
        <f t="shared" si="31"/>
        <v>55.2</v>
      </c>
      <c r="N34" s="224"/>
      <c r="O34" s="217">
        <f>O8*40%</f>
        <v>7</v>
      </c>
      <c r="P34" s="218">
        <f t="shared" si="33"/>
        <v>38</v>
      </c>
      <c r="Q34" s="224"/>
      <c r="R34" s="217">
        <f>R8*40%</f>
        <v>7</v>
      </c>
      <c r="S34" s="218">
        <f t="shared" si="35"/>
        <v>38</v>
      </c>
      <c r="T34" s="224"/>
      <c r="U34" s="217">
        <f>U8*40%</f>
        <v>18.400000000000002</v>
      </c>
      <c r="V34" s="218">
        <f t="shared" si="37"/>
        <v>98.800000000000011</v>
      </c>
      <c r="W34" s="224"/>
      <c r="X34" s="217">
        <f>X8*40%</f>
        <v>9</v>
      </c>
      <c r="Y34" s="218">
        <f t="shared" si="16"/>
        <v>48</v>
      </c>
      <c r="Z34" s="224"/>
      <c r="AA34" s="217">
        <f>AA8*40%</f>
        <v>11</v>
      </c>
      <c r="AB34" s="218">
        <f t="shared" si="18"/>
        <v>58</v>
      </c>
      <c r="AC34" s="224"/>
      <c r="AD34" s="217">
        <f>AD8*40%</f>
        <v>10</v>
      </c>
      <c r="AE34" s="218">
        <f t="shared" si="20"/>
        <v>52.400000000000006</v>
      </c>
      <c r="AF34" s="224"/>
      <c r="AG34" s="217">
        <f>AG8*40%</f>
        <v>10</v>
      </c>
      <c r="AH34" s="218">
        <f t="shared" si="22"/>
        <v>52</v>
      </c>
      <c r="AI34" s="224"/>
      <c r="AJ34" s="217">
        <f>AJ8*40%</f>
        <v>10</v>
      </c>
      <c r="AK34" s="218">
        <f t="shared" si="24"/>
        <v>51.6</v>
      </c>
      <c r="AL34" s="221"/>
      <c r="AM34" s="219">
        <f t="shared" ref="AM34" si="41">C34+F34+I34+L34+O34+R34+U34+X34+AA34+AD34+AG34+AJ34</f>
        <v>103.4</v>
      </c>
      <c r="AN34" s="218">
        <f t="shared" ref="AN34" si="42">D34+G34+J34+M34+P34+S34+V34+Y34+AB34+AE34+AH34+AK34</f>
        <v>553.6</v>
      </c>
      <c r="AO34" s="308">
        <v>0.4</v>
      </c>
    </row>
    <row r="35" spans="1:41">
      <c r="A35" s="325">
        <v>2005</v>
      </c>
      <c r="B35" s="234"/>
      <c r="C35" s="217">
        <f>C9*AO35</f>
        <v>1</v>
      </c>
      <c r="D35" s="217">
        <f>D9*AP35</f>
        <v>0</v>
      </c>
      <c r="E35" s="224"/>
      <c r="F35" s="217">
        <f>F9*AO35</f>
        <v>4</v>
      </c>
      <c r="G35" s="218">
        <f t="shared" si="27"/>
        <v>0</v>
      </c>
      <c r="H35" s="224"/>
      <c r="I35" s="217">
        <f>I9*AO35</f>
        <v>6</v>
      </c>
      <c r="J35" s="218">
        <f t="shared" si="29"/>
        <v>0</v>
      </c>
      <c r="K35" s="224"/>
      <c r="L35" s="217">
        <f>L9*AO35</f>
        <v>2</v>
      </c>
      <c r="M35" s="218">
        <f t="shared" si="31"/>
        <v>0</v>
      </c>
      <c r="N35" s="224"/>
      <c r="O35" s="217">
        <f>O9*AO35</f>
        <v>0</v>
      </c>
      <c r="P35" s="218">
        <f t="shared" si="33"/>
        <v>0</v>
      </c>
      <c r="Q35" s="224"/>
      <c r="R35" s="217">
        <f>R9*AO35</f>
        <v>0</v>
      </c>
      <c r="S35" s="218">
        <f t="shared" si="35"/>
        <v>0</v>
      </c>
      <c r="T35" s="224"/>
      <c r="U35" s="217">
        <f>U9*AO35</f>
        <v>4</v>
      </c>
      <c r="V35" s="218">
        <f t="shared" si="37"/>
        <v>0</v>
      </c>
      <c r="W35" s="224"/>
      <c r="X35" s="217">
        <f>X9*AO35</f>
        <v>38</v>
      </c>
      <c r="Y35" s="218">
        <f t="shared" si="16"/>
        <v>0</v>
      </c>
      <c r="Z35" s="224"/>
      <c r="AA35" s="217">
        <f>AA9*AO35</f>
        <v>54.2</v>
      </c>
      <c r="AB35" s="218">
        <f t="shared" si="18"/>
        <v>0</v>
      </c>
      <c r="AC35" s="224"/>
      <c r="AD35" s="217">
        <f>AD9*AO35</f>
        <v>32</v>
      </c>
      <c r="AE35" s="218">
        <f t="shared" si="20"/>
        <v>0</v>
      </c>
      <c r="AF35" s="224"/>
      <c r="AG35" s="217">
        <f>AG9*AO35</f>
        <v>42</v>
      </c>
      <c r="AH35" s="218">
        <f t="shared" si="22"/>
        <v>0</v>
      </c>
      <c r="AI35" s="224"/>
      <c r="AJ35" s="217">
        <f>AJ9*AO35</f>
        <v>0</v>
      </c>
      <c r="AK35" s="218">
        <f t="shared" si="24"/>
        <v>0</v>
      </c>
      <c r="AL35" s="221"/>
      <c r="AM35" s="219">
        <f t="shared" ref="AM35:AM45" si="43">C35+F35+I35+L35+O35+R35+U35+X35+AA35+AD35+AG35+AJ35</f>
        <v>183.2</v>
      </c>
      <c r="AN35" s="218">
        <f t="shared" ref="AN35:AN45" si="44">D35+G35+J35+M35+P35+S35+V35+Y35+AB35+AE35+AH35+AK35</f>
        <v>0</v>
      </c>
      <c r="AO35" s="308">
        <v>0.4</v>
      </c>
    </row>
    <row r="36" spans="1:41">
      <c r="A36" s="325">
        <v>2006</v>
      </c>
      <c r="B36" s="234"/>
      <c r="C36" s="217">
        <f t="shared" ref="C36:C45" si="45">C10*AO36</f>
        <v>0</v>
      </c>
      <c r="D36" s="218">
        <f t="shared" ref="D36:D45" si="46">D10*AO36</f>
        <v>0</v>
      </c>
      <c r="E36" s="224"/>
      <c r="F36" s="217">
        <f t="shared" ref="F36:F45" si="47">F10*AO36</f>
        <v>0</v>
      </c>
      <c r="G36" s="218">
        <f t="shared" si="27"/>
        <v>0</v>
      </c>
      <c r="H36" s="224"/>
      <c r="I36" s="217">
        <f t="shared" ref="I36:I45" si="48">I10*AO36</f>
        <v>0</v>
      </c>
      <c r="J36" s="218">
        <f t="shared" si="29"/>
        <v>0</v>
      </c>
      <c r="K36" s="224"/>
      <c r="L36" s="217">
        <f t="shared" ref="L36:L45" si="49">L10*AO36</f>
        <v>0</v>
      </c>
      <c r="M36" s="218">
        <f t="shared" si="31"/>
        <v>0</v>
      </c>
      <c r="N36" s="224"/>
      <c r="O36" s="217">
        <f t="shared" ref="O36:O45" si="50">O10*AO36</f>
        <v>0</v>
      </c>
      <c r="P36" s="218">
        <f t="shared" si="33"/>
        <v>0</v>
      </c>
      <c r="Q36" s="224"/>
      <c r="R36" s="217">
        <f t="shared" ref="R36:R45" si="51">R10*AO36</f>
        <v>0</v>
      </c>
      <c r="S36" s="218">
        <f t="shared" si="35"/>
        <v>0</v>
      </c>
      <c r="T36" s="224"/>
      <c r="U36" s="217">
        <f t="shared" ref="U36:U45" si="52">U10*AO36</f>
        <v>0</v>
      </c>
      <c r="V36" s="218">
        <f t="shared" si="37"/>
        <v>0</v>
      </c>
      <c r="W36" s="224"/>
      <c r="X36" s="217">
        <f t="shared" ref="X36:X45" si="53">X10*AO36</f>
        <v>0</v>
      </c>
      <c r="Y36" s="218">
        <f t="shared" si="16"/>
        <v>0</v>
      </c>
      <c r="Z36" s="224"/>
      <c r="AA36" s="217">
        <f t="shared" ref="AA36:AA45" si="54">AA10*AO36</f>
        <v>0</v>
      </c>
      <c r="AB36" s="218">
        <f t="shared" si="18"/>
        <v>0</v>
      </c>
      <c r="AC36" s="224"/>
      <c r="AD36" s="217">
        <f t="shared" ref="AD36:AD45" si="55">AD10*AO36</f>
        <v>0</v>
      </c>
      <c r="AE36" s="218">
        <f t="shared" si="20"/>
        <v>0</v>
      </c>
      <c r="AF36" s="224"/>
      <c r="AG36" s="217">
        <f t="shared" ref="AG36:AG45" si="56">AG10*AO36</f>
        <v>0</v>
      </c>
      <c r="AH36" s="218">
        <f t="shared" si="22"/>
        <v>0</v>
      </c>
      <c r="AI36" s="224"/>
      <c r="AJ36" s="217">
        <f t="shared" ref="AJ36:AJ45" si="57">AJ10*AO36</f>
        <v>0</v>
      </c>
      <c r="AK36" s="218">
        <f t="shared" si="24"/>
        <v>0</v>
      </c>
      <c r="AL36" s="221"/>
      <c r="AM36" s="219">
        <f t="shared" si="43"/>
        <v>0</v>
      </c>
      <c r="AN36" s="218">
        <f t="shared" si="44"/>
        <v>0</v>
      </c>
      <c r="AO36" s="308">
        <v>0.4</v>
      </c>
    </row>
    <row r="37" spans="1:41">
      <c r="A37" s="325">
        <v>2007</v>
      </c>
      <c r="B37" s="234"/>
      <c r="C37" s="217">
        <f t="shared" si="45"/>
        <v>0</v>
      </c>
      <c r="D37" s="218">
        <f t="shared" si="46"/>
        <v>0</v>
      </c>
      <c r="E37" s="224"/>
      <c r="F37" s="217">
        <f t="shared" si="47"/>
        <v>0</v>
      </c>
      <c r="G37" s="218">
        <f t="shared" si="27"/>
        <v>0</v>
      </c>
      <c r="H37" s="224"/>
      <c r="I37" s="217">
        <f t="shared" si="48"/>
        <v>0</v>
      </c>
      <c r="J37" s="218">
        <f t="shared" si="29"/>
        <v>0</v>
      </c>
      <c r="K37" s="224"/>
      <c r="L37" s="217">
        <f t="shared" si="49"/>
        <v>0</v>
      </c>
      <c r="M37" s="218">
        <f t="shared" si="31"/>
        <v>0</v>
      </c>
      <c r="N37" s="224"/>
      <c r="O37" s="217">
        <f t="shared" si="50"/>
        <v>0</v>
      </c>
      <c r="P37" s="218">
        <f t="shared" si="33"/>
        <v>0</v>
      </c>
      <c r="Q37" s="224"/>
      <c r="R37" s="217">
        <f t="shared" si="51"/>
        <v>0</v>
      </c>
      <c r="S37" s="218">
        <f t="shared" si="35"/>
        <v>0</v>
      </c>
      <c r="T37" s="224"/>
      <c r="U37" s="217">
        <f t="shared" si="52"/>
        <v>0</v>
      </c>
      <c r="V37" s="218">
        <f t="shared" si="37"/>
        <v>0</v>
      </c>
      <c r="W37" s="224"/>
      <c r="X37" s="217">
        <f t="shared" si="53"/>
        <v>0</v>
      </c>
      <c r="Y37" s="218">
        <f t="shared" si="16"/>
        <v>0</v>
      </c>
      <c r="Z37" s="224"/>
      <c r="AA37" s="217">
        <f t="shared" si="54"/>
        <v>0</v>
      </c>
      <c r="AB37" s="218">
        <f t="shared" si="18"/>
        <v>0</v>
      </c>
      <c r="AC37" s="224"/>
      <c r="AD37" s="217">
        <f t="shared" si="55"/>
        <v>0</v>
      </c>
      <c r="AE37" s="218">
        <f t="shared" si="20"/>
        <v>0</v>
      </c>
      <c r="AF37" s="224"/>
      <c r="AG37" s="217">
        <f t="shared" si="56"/>
        <v>0</v>
      </c>
      <c r="AH37" s="218">
        <f t="shared" si="22"/>
        <v>0</v>
      </c>
      <c r="AI37" s="224"/>
      <c r="AJ37" s="217">
        <f t="shared" si="57"/>
        <v>0</v>
      </c>
      <c r="AK37" s="218">
        <f t="shared" si="24"/>
        <v>0</v>
      </c>
      <c r="AL37" s="221"/>
      <c r="AM37" s="219">
        <f t="shared" si="43"/>
        <v>0</v>
      </c>
      <c r="AN37" s="218">
        <f t="shared" si="44"/>
        <v>0</v>
      </c>
      <c r="AO37" s="308">
        <v>0.4</v>
      </c>
    </row>
    <row r="38" spans="1:41">
      <c r="A38" s="325">
        <v>2008</v>
      </c>
      <c r="B38" s="234"/>
      <c r="C38" s="217">
        <f t="shared" si="45"/>
        <v>0</v>
      </c>
      <c r="D38" s="218">
        <f t="shared" si="46"/>
        <v>0</v>
      </c>
      <c r="E38" s="224"/>
      <c r="F38" s="217">
        <f t="shared" si="47"/>
        <v>0</v>
      </c>
      <c r="G38" s="218">
        <f t="shared" si="27"/>
        <v>0</v>
      </c>
      <c r="H38" s="224"/>
      <c r="I38" s="217">
        <f t="shared" si="48"/>
        <v>0</v>
      </c>
      <c r="J38" s="218">
        <f t="shared" si="29"/>
        <v>0</v>
      </c>
      <c r="K38" s="224"/>
      <c r="L38" s="217">
        <f t="shared" si="49"/>
        <v>0</v>
      </c>
      <c r="M38" s="218">
        <f t="shared" si="31"/>
        <v>0</v>
      </c>
      <c r="N38" s="224"/>
      <c r="O38" s="217">
        <f t="shared" si="50"/>
        <v>0</v>
      </c>
      <c r="P38" s="218">
        <f t="shared" si="33"/>
        <v>0</v>
      </c>
      <c r="Q38" s="224"/>
      <c r="R38" s="217">
        <f t="shared" si="51"/>
        <v>0</v>
      </c>
      <c r="S38" s="218">
        <f t="shared" si="35"/>
        <v>0</v>
      </c>
      <c r="T38" s="224"/>
      <c r="U38" s="217">
        <f t="shared" si="52"/>
        <v>0</v>
      </c>
      <c r="V38" s="218">
        <f t="shared" si="37"/>
        <v>0</v>
      </c>
      <c r="W38" s="224"/>
      <c r="X38" s="217">
        <f t="shared" si="53"/>
        <v>0</v>
      </c>
      <c r="Y38" s="218">
        <f t="shared" si="16"/>
        <v>0</v>
      </c>
      <c r="Z38" s="224"/>
      <c r="AA38" s="217">
        <f t="shared" si="54"/>
        <v>0</v>
      </c>
      <c r="AB38" s="218">
        <f t="shared" si="18"/>
        <v>0</v>
      </c>
      <c r="AC38" s="224"/>
      <c r="AD38" s="217">
        <f t="shared" si="55"/>
        <v>0</v>
      </c>
      <c r="AE38" s="218">
        <f t="shared" si="20"/>
        <v>0</v>
      </c>
      <c r="AF38" s="224"/>
      <c r="AG38" s="217">
        <f t="shared" si="56"/>
        <v>0</v>
      </c>
      <c r="AH38" s="218">
        <f t="shared" si="22"/>
        <v>0</v>
      </c>
      <c r="AI38" s="224"/>
      <c r="AJ38" s="217">
        <f t="shared" si="57"/>
        <v>0</v>
      </c>
      <c r="AK38" s="218">
        <f t="shared" si="24"/>
        <v>0</v>
      </c>
      <c r="AL38" s="221"/>
      <c r="AM38" s="219">
        <f t="shared" si="43"/>
        <v>0</v>
      </c>
      <c r="AN38" s="218">
        <f t="shared" si="44"/>
        <v>0</v>
      </c>
      <c r="AO38" s="308">
        <v>0.4</v>
      </c>
    </row>
    <row r="39" spans="1:41">
      <c r="A39" s="325">
        <v>2009</v>
      </c>
      <c r="B39" s="234"/>
      <c r="C39" s="217">
        <f t="shared" si="45"/>
        <v>0</v>
      </c>
      <c r="D39" s="218">
        <f t="shared" si="46"/>
        <v>0</v>
      </c>
      <c r="E39" s="224"/>
      <c r="F39" s="217">
        <f t="shared" si="47"/>
        <v>0</v>
      </c>
      <c r="G39" s="218">
        <f t="shared" si="27"/>
        <v>0</v>
      </c>
      <c r="H39" s="224"/>
      <c r="I39" s="217">
        <f t="shared" si="48"/>
        <v>0</v>
      </c>
      <c r="J39" s="218">
        <f t="shared" si="29"/>
        <v>0</v>
      </c>
      <c r="K39" s="224"/>
      <c r="L39" s="217">
        <f t="shared" si="49"/>
        <v>0</v>
      </c>
      <c r="M39" s="218">
        <f t="shared" si="31"/>
        <v>0</v>
      </c>
      <c r="N39" s="224"/>
      <c r="O39" s="217">
        <f t="shared" si="50"/>
        <v>0</v>
      </c>
      <c r="P39" s="218">
        <f t="shared" si="33"/>
        <v>0</v>
      </c>
      <c r="Q39" s="224"/>
      <c r="R39" s="217">
        <f t="shared" si="51"/>
        <v>0</v>
      </c>
      <c r="S39" s="218">
        <f t="shared" si="35"/>
        <v>0</v>
      </c>
      <c r="T39" s="224"/>
      <c r="U39" s="217">
        <f t="shared" si="52"/>
        <v>0</v>
      </c>
      <c r="V39" s="218">
        <f t="shared" si="37"/>
        <v>0</v>
      </c>
      <c r="W39" s="224"/>
      <c r="X39" s="217">
        <f t="shared" si="53"/>
        <v>0</v>
      </c>
      <c r="Y39" s="218">
        <f t="shared" si="16"/>
        <v>0</v>
      </c>
      <c r="Z39" s="224"/>
      <c r="AA39" s="217">
        <f t="shared" si="54"/>
        <v>0</v>
      </c>
      <c r="AB39" s="218">
        <f t="shared" si="18"/>
        <v>0</v>
      </c>
      <c r="AC39" s="224"/>
      <c r="AD39" s="217">
        <f t="shared" si="55"/>
        <v>0</v>
      </c>
      <c r="AE39" s="218">
        <f t="shared" si="20"/>
        <v>0</v>
      </c>
      <c r="AF39" s="224"/>
      <c r="AG39" s="217">
        <f t="shared" si="56"/>
        <v>0</v>
      </c>
      <c r="AH39" s="218">
        <f t="shared" si="22"/>
        <v>0</v>
      </c>
      <c r="AI39" s="224"/>
      <c r="AJ39" s="217">
        <f t="shared" si="57"/>
        <v>0</v>
      </c>
      <c r="AK39" s="218">
        <f t="shared" si="24"/>
        <v>0</v>
      </c>
      <c r="AL39" s="221"/>
      <c r="AM39" s="219">
        <f t="shared" si="43"/>
        <v>0</v>
      </c>
      <c r="AN39" s="218">
        <f t="shared" si="44"/>
        <v>0</v>
      </c>
      <c r="AO39" s="308">
        <v>0.35</v>
      </c>
    </row>
    <row r="40" spans="1:41">
      <c r="A40" s="325">
        <v>2010</v>
      </c>
      <c r="B40" s="234"/>
      <c r="C40" s="217">
        <f t="shared" si="45"/>
        <v>0</v>
      </c>
      <c r="D40" s="218">
        <f t="shared" si="46"/>
        <v>0</v>
      </c>
      <c r="E40" s="224"/>
      <c r="F40" s="217">
        <f t="shared" si="47"/>
        <v>0</v>
      </c>
      <c r="G40" s="218">
        <f t="shared" si="27"/>
        <v>0</v>
      </c>
      <c r="H40" s="224"/>
      <c r="I40" s="217">
        <f t="shared" si="48"/>
        <v>0</v>
      </c>
      <c r="J40" s="218">
        <f t="shared" si="29"/>
        <v>0</v>
      </c>
      <c r="K40" s="224"/>
      <c r="L40" s="217">
        <f t="shared" si="49"/>
        <v>0</v>
      </c>
      <c r="M40" s="218">
        <f t="shared" si="31"/>
        <v>0</v>
      </c>
      <c r="N40" s="224"/>
      <c r="O40" s="217">
        <f t="shared" si="50"/>
        <v>0</v>
      </c>
      <c r="P40" s="218">
        <f t="shared" si="33"/>
        <v>0</v>
      </c>
      <c r="Q40" s="224"/>
      <c r="R40" s="217">
        <f t="shared" si="51"/>
        <v>0</v>
      </c>
      <c r="S40" s="218">
        <f t="shared" si="35"/>
        <v>0</v>
      </c>
      <c r="T40" s="224"/>
      <c r="U40" s="217">
        <f t="shared" si="52"/>
        <v>0</v>
      </c>
      <c r="V40" s="218">
        <f t="shared" si="37"/>
        <v>0</v>
      </c>
      <c r="W40" s="224"/>
      <c r="X40" s="217">
        <f t="shared" si="53"/>
        <v>0</v>
      </c>
      <c r="Y40" s="218">
        <f t="shared" si="16"/>
        <v>0</v>
      </c>
      <c r="Z40" s="224"/>
      <c r="AA40" s="217">
        <f t="shared" si="54"/>
        <v>0</v>
      </c>
      <c r="AB40" s="218">
        <f t="shared" si="18"/>
        <v>0</v>
      </c>
      <c r="AC40" s="224"/>
      <c r="AD40" s="217">
        <f t="shared" si="55"/>
        <v>0</v>
      </c>
      <c r="AE40" s="218">
        <f t="shared" si="20"/>
        <v>0</v>
      </c>
      <c r="AF40" s="224"/>
      <c r="AG40" s="217">
        <f t="shared" si="56"/>
        <v>0</v>
      </c>
      <c r="AH40" s="218">
        <f t="shared" si="22"/>
        <v>0</v>
      </c>
      <c r="AI40" s="224"/>
      <c r="AJ40" s="217">
        <f t="shared" si="57"/>
        <v>0</v>
      </c>
      <c r="AK40" s="218">
        <f t="shared" si="24"/>
        <v>0</v>
      </c>
      <c r="AL40" s="221"/>
      <c r="AM40" s="219">
        <f t="shared" si="43"/>
        <v>0</v>
      </c>
      <c r="AN40" s="218">
        <f t="shared" si="44"/>
        <v>0</v>
      </c>
      <c r="AO40" s="308">
        <v>0.45</v>
      </c>
    </row>
    <row r="41" spans="1:41">
      <c r="A41" s="325">
        <v>2011</v>
      </c>
      <c r="B41" s="234"/>
      <c r="C41" s="217">
        <f t="shared" si="45"/>
        <v>0</v>
      </c>
      <c r="D41" s="218">
        <f t="shared" si="46"/>
        <v>0</v>
      </c>
      <c r="E41" s="224"/>
      <c r="F41" s="217">
        <f t="shared" si="47"/>
        <v>0</v>
      </c>
      <c r="G41" s="218">
        <f t="shared" si="27"/>
        <v>0</v>
      </c>
      <c r="H41" s="224"/>
      <c r="I41" s="217">
        <f t="shared" si="48"/>
        <v>0</v>
      </c>
      <c r="J41" s="218">
        <f t="shared" si="29"/>
        <v>0</v>
      </c>
      <c r="K41" s="224"/>
      <c r="L41" s="217">
        <f t="shared" si="49"/>
        <v>0</v>
      </c>
      <c r="M41" s="218">
        <f t="shared" si="31"/>
        <v>0</v>
      </c>
      <c r="N41" s="224"/>
      <c r="O41" s="217">
        <f t="shared" si="50"/>
        <v>0</v>
      </c>
      <c r="P41" s="218">
        <f t="shared" si="33"/>
        <v>0</v>
      </c>
      <c r="Q41" s="224"/>
      <c r="R41" s="217">
        <f t="shared" si="51"/>
        <v>0</v>
      </c>
      <c r="S41" s="218">
        <f t="shared" si="35"/>
        <v>0</v>
      </c>
      <c r="T41" s="224"/>
      <c r="U41" s="217">
        <f t="shared" si="52"/>
        <v>0</v>
      </c>
      <c r="V41" s="218">
        <f t="shared" si="37"/>
        <v>0</v>
      </c>
      <c r="W41" s="224"/>
      <c r="X41" s="217">
        <f t="shared" si="53"/>
        <v>0</v>
      </c>
      <c r="Y41" s="218">
        <f t="shared" si="16"/>
        <v>0</v>
      </c>
      <c r="Z41" s="224"/>
      <c r="AA41" s="217">
        <f t="shared" si="54"/>
        <v>0</v>
      </c>
      <c r="AB41" s="218">
        <f t="shared" si="18"/>
        <v>0</v>
      </c>
      <c r="AC41" s="224"/>
      <c r="AD41" s="217">
        <f t="shared" si="55"/>
        <v>0</v>
      </c>
      <c r="AE41" s="218">
        <f t="shared" si="20"/>
        <v>0</v>
      </c>
      <c r="AF41" s="224"/>
      <c r="AG41" s="217">
        <f t="shared" si="56"/>
        <v>0</v>
      </c>
      <c r="AH41" s="218">
        <f t="shared" si="22"/>
        <v>0</v>
      </c>
      <c r="AI41" s="224"/>
      <c r="AJ41" s="217">
        <f t="shared" si="57"/>
        <v>0</v>
      </c>
      <c r="AK41" s="218">
        <f t="shared" si="24"/>
        <v>0</v>
      </c>
      <c r="AL41" s="221"/>
      <c r="AM41" s="219">
        <f t="shared" si="43"/>
        <v>0</v>
      </c>
      <c r="AN41" s="218">
        <f t="shared" si="44"/>
        <v>0</v>
      </c>
      <c r="AO41" s="308">
        <v>0.35</v>
      </c>
    </row>
    <row r="42" spans="1:41">
      <c r="A42" s="325">
        <v>2012</v>
      </c>
      <c r="B42" s="234"/>
      <c r="C42" s="217">
        <f t="shared" si="45"/>
        <v>0</v>
      </c>
      <c r="D42" s="218">
        <f t="shared" si="46"/>
        <v>0</v>
      </c>
      <c r="E42" s="224"/>
      <c r="F42" s="217">
        <f t="shared" si="47"/>
        <v>0</v>
      </c>
      <c r="G42" s="218">
        <f t="shared" si="27"/>
        <v>0</v>
      </c>
      <c r="H42" s="224"/>
      <c r="I42" s="217">
        <f t="shared" si="48"/>
        <v>0</v>
      </c>
      <c r="J42" s="218">
        <f t="shared" si="29"/>
        <v>0</v>
      </c>
      <c r="K42" s="224"/>
      <c r="L42" s="217">
        <f t="shared" si="49"/>
        <v>0</v>
      </c>
      <c r="M42" s="218">
        <f t="shared" si="31"/>
        <v>0</v>
      </c>
      <c r="N42" s="224"/>
      <c r="O42" s="217">
        <f t="shared" si="50"/>
        <v>0</v>
      </c>
      <c r="P42" s="218">
        <f t="shared" si="33"/>
        <v>0</v>
      </c>
      <c r="Q42" s="224"/>
      <c r="R42" s="217">
        <f t="shared" si="51"/>
        <v>0</v>
      </c>
      <c r="S42" s="218">
        <f t="shared" si="35"/>
        <v>0</v>
      </c>
      <c r="T42" s="224"/>
      <c r="U42" s="217">
        <f t="shared" si="52"/>
        <v>0</v>
      </c>
      <c r="V42" s="218">
        <f t="shared" si="37"/>
        <v>0</v>
      </c>
      <c r="W42" s="224"/>
      <c r="X42" s="217">
        <f t="shared" si="53"/>
        <v>0</v>
      </c>
      <c r="Y42" s="218">
        <f t="shared" si="16"/>
        <v>0</v>
      </c>
      <c r="Z42" s="224"/>
      <c r="AA42" s="217">
        <f t="shared" si="54"/>
        <v>0</v>
      </c>
      <c r="AB42" s="218">
        <f t="shared" si="18"/>
        <v>0</v>
      </c>
      <c r="AC42" s="224"/>
      <c r="AD42" s="217">
        <f t="shared" si="55"/>
        <v>0</v>
      </c>
      <c r="AE42" s="218">
        <f t="shared" si="20"/>
        <v>0</v>
      </c>
      <c r="AF42" s="224"/>
      <c r="AG42" s="217">
        <f t="shared" si="56"/>
        <v>0</v>
      </c>
      <c r="AH42" s="218">
        <f t="shared" si="22"/>
        <v>0</v>
      </c>
      <c r="AI42" s="224"/>
      <c r="AJ42" s="217">
        <f t="shared" si="57"/>
        <v>0</v>
      </c>
      <c r="AK42" s="218">
        <f t="shared" si="24"/>
        <v>0</v>
      </c>
      <c r="AL42" s="221"/>
      <c r="AM42" s="219">
        <f t="shared" si="43"/>
        <v>0</v>
      </c>
      <c r="AN42" s="218">
        <f t="shared" si="44"/>
        <v>0</v>
      </c>
      <c r="AO42" s="308">
        <v>0.18</v>
      </c>
    </row>
    <row r="43" spans="1:41">
      <c r="A43" s="325">
        <v>2013</v>
      </c>
      <c r="B43" s="234"/>
      <c r="C43" s="217">
        <f t="shared" si="45"/>
        <v>0</v>
      </c>
      <c r="D43" s="218">
        <f t="shared" si="46"/>
        <v>0</v>
      </c>
      <c r="E43" s="224"/>
      <c r="F43" s="217">
        <f t="shared" si="47"/>
        <v>0</v>
      </c>
      <c r="G43" s="218">
        <f t="shared" si="27"/>
        <v>0</v>
      </c>
      <c r="H43" s="224"/>
      <c r="I43" s="217">
        <f t="shared" si="48"/>
        <v>0</v>
      </c>
      <c r="J43" s="218">
        <f t="shared" si="29"/>
        <v>0</v>
      </c>
      <c r="K43" s="224"/>
      <c r="L43" s="217">
        <f t="shared" si="49"/>
        <v>0</v>
      </c>
      <c r="M43" s="218">
        <f t="shared" si="31"/>
        <v>0</v>
      </c>
      <c r="N43" s="224"/>
      <c r="O43" s="217">
        <f t="shared" si="50"/>
        <v>0</v>
      </c>
      <c r="P43" s="218">
        <f t="shared" si="33"/>
        <v>0</v>
      </c>
      <c r="Q43" s="224"/>
      <c r="R43" s="217">
        <f t="shared" si="51"/>
        <v>0</v>
      </c>
      <c r="S43" s="218">
        <f t="shared" si="35"/>
        <v>0</v>
      </c>
      <c r="T43" s="224"/>
      <c r="U43" s="217">
        <f t="shared" si="52"/>
        <v>0</v>
      </c>
      <c r="V43" s="218">
        <f t="shared" si="37"/>
        <v>0</v>
      </c>
      <c r="W43" s="224"/>
      <c r="X43" s="217">
        <f t="shared" si="53"/>
        <v>0</v>
      </c>
      <c r="Y43" s="218">
        <f t="shared" si="16"/>
        <v>0</v>
      </c>
      <c r="Z43" s="224"/>
      <c r="AA43" s="217">
        <f t="shared" si="54"/>
        <v>0</v>
      </c>
      <c r="AB43" s="218">
        <f t="shared" si="18"/>
        <v>0</v>
      </c>
      <c r="AC43" s="224"/>
      <c r="AD43" s="217">
        <f t="shared" si="55"/>
        <v>0</v>
      </c>
      <c r="AE43" s="218">
        <f t="shared" si="20"/>
        <v>0</v>
      </c>
      <c r="AF43" s="224"/>
      <c r="AG43" s="217">
        <f t="shared" si="56"/>
        <v>0</v>
      </c>
      <c r="AH43" s="218">
        <f t="shared" si="22"/>
        <v>0</v>
      </c>
      <c r="AI43" s="224"/>
      <c r="AJ43" s="217">
        <f t="shared" si="57"/>
        <v>0</v>
      </c>
      <c r="AK43" s="218">
        <f t="shared" si="24"/>
        <v>0</v>
      </c>
      <c r="AL43" s="221"/>
      <c r="AM43" s="219">
        <f t="shared" si="43"/>
        <v>0</v>
      </c>
      <c r="AN43" s="218">
        <f t="shared" si="44"/>
        <v>0</v>
      </c>
      <c r="AO43" s="308">
        <v>0.26</v>
      </c>
    </row>
    <row r="44" spans="1:41">
      <c r="A44" s="325">
        <v>2014</v>
      </c>
      <c r="B44" s="234"/>
      <c r="C44" s="217">
        <f t="shared" si="45"/>
        <v>0</v>
      </c>
      <c r="D44" s="218">
        <f t="shared" si="46"/>
        <v>0</v>
      </c>
      <c r="E44" s="224"/>
      <c r="F44" s="217">
        <f t="shared" si="47"/>
        <v>0</v>
      </c>
      <c r="G44" s="218">
        <f t="shared" si="27"/>
        <v>0</v>
      </c>
      <c r="H44" s="224"/>
      <c r="I44" s="217">
        <f t="shared" si="48"/>
        <v>0</v>
      </c>
      <c r="J44" s="218">
        <f t="shared" si="29"/>
        <v>0</v>
      </c>
      <c r="K44" s="224"/>
      <c r="L44" s="217">
        <f t="shared" si="49"/>
        <v>0</v>
      </c>
      <c r="M44" s="218">
        <f t="shared" si="31"/>
        <v>0</v>
      </c>
      <c r="N44" s="224"/>
      <c r="O44" s="217">
        <f t="shared" si="50"/>
        <v>0</v>
      </c>
      <c r="P44" s="218">
        <f t="shared" si="33"/>
        <v>0</v>
      </c>
      <c r="Q44" s="224"/>
      <c r="R44" s="217">
        <f t="shared" si="51"/>
        <v>0</v>
      </c>
      <c r="S44" s="218">
        <f t="shared" si="35"/>
        <v>0</v>
      </c>
      <c r="T44" s="224"/>
      <c r="U44" s="217">
        <f t="shared" si="52"/>
        <v>0</v>
      </c>
      <c r="V44" s="218">
        <f t="shared" si="37"/>
        <v>0</v>
      </c>
      <c r="W44" s="224"/>
      <c r="X44" s="217">
        <f t="shared" si="53"/>
        <v>0</v>
      </c>
      <c r="Y44" s="218">
        <f t="shared" si="16"/>
        <v>0</v>
      </c>
      <c r="Z44" s="224"/>
      <c r="AA44" s="217">
        <f t="shared" si="54"/>
        <v>0</v>
      </c>
      <c r="AB44" s="218">
        <f t="shared" si="18"/>
        <v>0</v>
      </c>
      <c r="AC44" s="224"/>
      <c r="AD44" s="217">
        <f t="shared" si="55"/>
        <v>0</v>
      </c>
      <c r="AE44" s="218">
        <f t="shared" si="20"/>
        <v>0</v>
      </c>
      <c r="AF44" s="224"/>
      <c r="AG44" s="217">
        <f t="shared" si="56"/>
        <v>0</v>
      </c>
      <c r="AH44" s="218">
        <f t="shared" si="22"/>
        <v>0</v>
      </c>
      <c r="AI44" s="224"/>
      <c r="AJ44" s="217">
        <f t="shared" si="57"/>
        <v>0</v>
      </c>
      <c r="AK44" s="218">
        <f t="shared" si="24"/>
        <v>0</v>
      </c>
      <c r="AL44" s="221"/>
      <c r="AM44" s="219">
        <f t="shared" si="43"/>
        <v>0</v>
      </c>
      <c r="AN44" s="218">
        <f t="shared" si="44"/>
        <v>0</v>
      </c>
      <c r="AO44" s="308">
        <v>0.26</v>
      </c>
    </row>
    <row r="45" spans="1:41">
      <c r="A45" s="325">
        <v>2015</v>
      </c>
      <c r="B45" s="234"/>
      <c r="C45" s="217">
        <f t="shared" si="45"/>
        <v>0</v>
      </c>
      <c r="D45" s="218">
        <f t="shared" si="46"/>
        <v>0</v>
      </c>
      <c r="E45" s="224"/>
      <c r="F45" s="217">
        <f t="shared" si="47"/>
        <v>0</v>
      </c>
      <c r="G45" s="218">
        <f t="shared" si="27"/>
        <v>0</v>
      </c>
      <c r="H45" s="224"/>
      <c r="I45" s="217">
        <f t="shared" si="48"/>
        <v>0</v>
      </c>
      <c r="J45" s="218">
        <f t="shared" si="29"/>
        <v>0</v>
      </c>
      <c r="K45" s="224"/>
      <c r="L45" s="217">
        <f t="shared" si="49"/>
        <v>0</v>
      </c>
      <c r="M45" s="218">
        <f t="shared" si="31"/>
        <v>0</v>
      </c>
      <c r="N45" s="224"/>
      <c r="O45" s="217">
        <f t="shared" si="50"/>
        <v>0</v>
      </c>
      <c r="P45" s="218">
        <f t="shared" si="33"/>
        <v>0</v>
      </c>
      <c r="Q45" s="224"/>
      <c r="R45" s="217">
        <f t="shared" si="51"/>
        <v>0</v>
      </c>
      <c r="S45" s="218">
        <f t="shared" si="35"/>
        <v>0</v>
      </c>
      <c r="T45" s="224"/>
      <c r="U45" s="217">
        <f t="shared" si="52"/>
        <v>0</v>
      </c>
      <c r="V45" s="218">
        <f t="shared" si="37"/>
        <v>0</v>
      </c>
      <c r="W45" s="224"/>
      <c r="X45" s="217">
        <f t="shared" si="53"/>
        <v>0</v>
      </c>
      <c r="Y45" s="218">
        <f t="shared" si="16"/>
        <v>0</v>
      </c>
      <c r="Z45" s="224"/>
      <c r="AA45" s="217">
        <f t="shared" si="54"/>
        <v>0</v>
      </c>
      <c r="AB45" s="218">
        <f t="shared" si="18"/>
        <v>0</v>
      </c>
      <c r="AC45" s="224"/>
      <c r="AD45" s="217">
        <f t="shared" si="55"/>
        <v>0</v>
      </c>
      <c r="AE45" s="218">
        <f t="shared" si="20"/>
        <v>0</v>
      </c>
      <c r="AF45" s="224"/>
      <c r="AG45" s="217">
        <f t="shared" si="56"/>
        <v>0</v>
      </c>
      <c r="AH45" s="218">
        <f t="shared" si="22"/>
        <v>0</v>
      </c>
      <c r="AI45" s="224"/>
      <c r="AJ45" s="217">
        <f t="shared" si="57"/>
        <v>0</v>
      </c>
      <c r="AK45" s="218">
        <f t="shared" si="24"/>
        <v>0</v>
      </c>
      <c r="AL45" s="221"/>
      <c r="AM45" s="219">
        <f t="shared" si="43"/>
        <v>0</v>
      </c>
      <c r="AN45" s="218">
        <f t="shared" si="44"/>
        <v>0</v>
      </c>
      <c r="AO45" s="308">
        <v>0.33</v>
      </c>
    </row>
    <row r="49" spans="1:5">
      <c r="A49" s="192">
        <v>2004</v>
      </c>
      <c r="C49" s="2" t="s">
        <v>196</v>
      </c>
      <c r="E49" s="2" t="s">
        <v>190</v>
      </c>
    </row>
    <row r="50" spans="1:5">
      <c r="A50" s="192"/>
      <c r="C50" s="2" t="s">
        <v>196</v>
      </c>
      <c r="E50" s="2" t="s">
        <v>191</v>
      </c>
    </row>
  </sheetData>
  <mergeCells count="2">
    <mergeCell ref="A23:AN23"/>
    <mergeCell ref="A24:AN2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W27"/>
  <sheetViews>
    <sheetView workbookViewId="0">
      <pane ySplit="1" topLeftCell="A2" activePane="bottomLeft" state="frozen"/>
      <selection pane="bottomLeft" activeCell="A24" sqref="A24:W24"/>
    </sheetView>
  </sheetViews>
  <sheetFormatPr defaultRowHeight="12.75"/>
  <cols>
    <col min="1" max="1" width="3.88671875" style="2" bestFit="1" customWidth="1"/>
    <col min="2" max="3" width="6.21875" style="2" bestFit="1" customWidth="1"/>
    <col min="4" max="4" width="5.109375" style="2" bestFit="1" customWidth="1"/>
    <col min="5" max="5" width="7" style="2" bestFit="1" customWidth="1"/>
    <col min="6" max="6" width="6.21875" style="2" bestFit="1" customWidth="1"/>
    <col min="7" max="7" width="5.109375" style="2" bestFit="1" customWidth="1"/>
    <col min="8" max="8" width="7" style="2" bestFit="1" customWidth="1"/>
    <col min="9" max="10" width="6.21875" style="2" bestFit="1" customWidth="1"/>
    <col min="11" max="11" width="7" style="2" bestFit="1" customWidth="1"/>
    <col min="12" max="13" width="6.21875" style="2" bestFit="1" customWidth="1"/>
    <col min="14" max="14" width="7" style="2" bestFit="1" customWidth="1"/>
    <col min="15" max="15" width="6.6640625" style="2" customWidth="1"/>
    <col min="16" max="22" width="6.88671875" style="2" customWidth="1"/>
    <col min="23" max="23" width="8.109375" style="2" bestFit="1" customWidth="1"/>
    <col min="24" max="26" width="6.88671875" style="2" customWidth="1"/>
    <col min="27" max="28" width="6.21875" style="2" bestFit="1" customWidth="1"/>
    <col min="29" max="30" width="7" style="2" bestFit="1" customWidth="1"/>
    <col min="31" max="31" width="6.21875" style="2" bestFit="1" customWidth="1"/>
    <col min="32" max="32" width="7" style="2" bestFit="1" customWidth="1"/>
    <col min="33" max="34" width="6.21875" style="2" bestFit="1" customWidth="1"/>
    <col min="35" max="36" width="7" style="2" bestFit="1" customWidth="1"/>
    <col min="37" max="37" width="6.21875" style="2" bestFit="1" customWidth="1"/>
    <col min="38" max="38" width="7.77734375" style="2" bestFit="1" customWidth="1"/>
    <col min="39" max="39" width="8.109375" style="2" bestFit="1" customWidth="1"/>
    <col min="40" max="40" width="8.88671875" style="2" bestFit="1" customWidth="1"/>
    <col min="41" max="41" width="6.77734375" style="2" customWidth="1"/>
    <col min="42" max="45" width="8.88671875" style="2"/>
    <col min="46" max="46" width="2.6640625" style="2" customWidth="1"/>
    <col min="47" max="47" width="9.33203125" style="2" bestFit="1" customWidth="1"/>
    <col min="48" max="48" width="3.21875" style="2" customWidth="1"/>
    <col min="49" max="49" width="10.33203125" style="2" bestFit="1" customWidth="1"/>
    <col min="50" max="16384" width="8.88671875" style="2"/>
  </cols>
  <sheetData>
    <row r="1" spans="1:49" ht="13.5" thickBot="1">
      <c r="A1" s="166"/>
      <c r="B1" s="167" t="s">
        <v>4</v>
      </c>
      <c r="C1" s="167" t="s">
        <v>147</v>
      </c>
      <c r="D1" s="167" t="s">
        <v>178</v>
      </c>
      <c r="E1" s="168" t="s">
        <v>5</v>
      </c>
      <c r="F1" s="168" t="s">
        <v>147</v>
      </c>
      <c r="G1" s="168" t="s">
        <v>178</v>
      </c>
      <c r="H1" s="167" t="s">
        <v>6</v>
      </c>
      <c r="I1" s="167" t="s">
        <v>147</v>
      </c>
      <c r="J1" s="167" t="s">
        <v>178</v>
      </c>
      <c r="K1" s="212" t="s">
        <v>7</v>
      </c>
      <c r="L1" s="212" t="s">
        <v>147</v>
      </c>
      <c r="M1" s="212" t="s">
        <v>178</v>
      </c>
      <c r="N1" s="167" t="s">
        <v>2</v>
      </c>
      <c r="O1" s="167" t="s">
        <v>147</v>
      </c>
      <c r="P1" s="167" t="s">
        <v>178</v>
      </c>
      <c r="Q1" s="168" t="s">
        <v>8</v>
      </c>
      <c r="R1" s="168" t="s">
        <v>147</v>
      </c>
      <c r="S1" s="168" t="s">
        <v>178</v>
      </c>
      <c r="T1" s="167" t="s">
        <v>9</v>
      </c>
      <c r="U1" s="167" t="s">
        <v>147</v>
      </c>
      <c r="V1" s="167" t="s">
        <v>178</v>
      </c>
      <c r="W1" s="212" t="s">
        <v>10</v>
      </c>
      <c r="X1" s="212" t="s">
        <v>147</v>
      </c>
      <c r="Y1" s="212" t="s">
        <v>178</v>
      </c>
      <c r="Z1" s="167" t="s">
        <v>11</v>
      </c>
      <c r="AA1" s="167" t="s">
        <v>147</v>
      </c>
      <c r="AB1" s="167" t="s">
        <v>178</v>
      </c>
      <c r="AC1" s="168" t="s">
        <v>12</v>
      </c>
      <c r="AD1" s="168" t="s">
        <v>147</v>
      </c>
      <c r="AE1" s="168" t="s">
        <v>178</v>
      </c>
      <c r="AF1" s="167" t="s">
        <v>13</v>
      </c>
      <c r="AG1" s="167" t="s">
        <v>147</v>
      </c>
      <c r="AH1" s="167" t="s">
        <v>178</v>
      </c>
      <c r="AI1" s="212" t="s">
        <v>14</v>
      </c>
      <c r="AJ1" s="212" t="s">
        <v>147</v>
      </c>
      <c r="AK1" s="212" t="s">
        <v>178</v>
      </c>
      <c r="AL1" s="213" t="s">
        <v>156</v>
      </c>
      <c r="AM1" s="213" t="s">
        <v>147</v>
      </c>
      <c r="AN1" s="213" t="s">
        <v>139</v>
      </c>
    </row>
    <row r="2" spans="1:49">
      <c r="A2" s="214">
        <v>1998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6">
        <v>10800</v>
      </c>
      <c r="X2" s="217">
        <f>W2/340.75</f>
        <v>31.694790902421129</v>
      </c>
      <c r="Y2" s="216">
        <v>399</v>
      </c>
      <c r="Z2" s="216">
        <v>21600</v>
      </c>
      <c r="AA2" s="217">
        <f>Z2/340.75</f>
        <v>63.389581804842258</v>
      </c>
      <c r="AB2" s="216">
        <v>783</v>
      </c>
      <c r="AC2" s="216">
        <v>36000</v>
      </c>
      <c r="AD2" s="217">
        <f>AC2/340.75</f>
        <v>105.64930300807043</v>
      </c>
      <c r="AE2" s="216">
        <v>1281</v>
      </c>
      <c r="AF2" s="216">
        <v>20500</v>
      </c>
      <c r="AG2" s="217">
        <f>AF2/340.75</f>
        <v>60.161408657373443</v>
      </c>
      <c r="AH2" s="216">
        <v>716</v>
      </c>
      <c r="AI2" s="216">
        <v>75000</v>
      </c>
      <c r="AJ2" s="217">
        <f>AI2/340.75</f>
        <v>220.10271460014673</v>
      </c>
      <c r="AK2" s="216">
        <v>2569</v>
      </c>
      <c r="AL2" s="218">
        <f>W2+Z2+AC2+AF2+AI2</f>
        <v>163900</v>
      </c>
      <c r="AM2" s="219">
        <f>X2+AA2+AD2+AG2+AJ2</f>
        <v>480.99779897285401</v>
      </c>
      <c r="AN2" s="218">
        <f>Y2+AB2+AE2+AH2+AK2</f>
        <v>5748</v>
      </c>
    </row>
    <row r="3" spans="1:49">
      <c r="A3" s="220">
        <v>1999</v>
      </c>
      <c r="B3" s="218">
        <v>6100</v>
      </c>
      <c r="C3" s="217">
        <f t="shared" ref="C3:C6" si="0">B3/340.75</f>
        <v>17.901687454145268</v>
      </c>
      <c r="D3" s="218">
        <v>205</v>
      </c>
      <c r="E3" s="218">
        <v>15600</v>
      </c>
      <c r="F3" s="217">
        <f t="shared" ref="F3:F6" si="1">E3/340.75</f>
        <v>45.781364636830524</v>
      </c>
      <c r="G3" s="218">
        <v>514</v>
      </c>
      <c r="H3" s="218">
        <v>14400</v>
      </c>
      <c r="I3" s="217">
        <f t="shared" ref="I3:I5" si="2">H3/340.75</f>
        <v>42.259721203228175</v>
      </c>
      <c r="J3" s="218">
        <v>467</v>
      </c>
      <c r="K3" s="218">
        <v>21600</v>
      </c>
      <c r="L3" s="217">
        <f t="shared" ref="L3:L6" si="3">K3/340.75</f>
        <v>63.389581804842258</v>
      </c>
      <c r="M3" s="218">
        <v>688</v>
      </c>
      <c r="N3" s="218">
        <v>25529</v>
      </c>
      <c r="O3" s="217">
        <f t="shared" ref="O3:O5" si="4">N3/340.75</f>
        <v>74.920029347028617</v>
      </c>
      <c r="P3" s="218">
        <v>799</v>
      </c>
      <c r="Q3" s="218">
        <v>3600</v>
      </c>
      <c r="R3" s="217">
        <f t="shared" ref="R3:R5" si="5">Q3/340.75</f>
        <v>10.564930300807044</v>
      </c>
      <c r="S3" s="218">
        <v>111</v>
      </c>
      <c r="T3" s="218">
        <v>10800</v>
      </c>
      <c r="U3" s="217">
        <f t="shared" ref="U3:U5" si="6">T3/340.75</f>
        <v>31.694790902421129</v>
      </c>
      <c r="V3" s="218">
        <v>326</v>
      </c>
      <c r="W3" s="218">
        <v>43603</v>
      </c>
      <c r="X3" s="217">
        <f t="shared" ref="X3:X5" si="7">W3/340.75</f>
        <v>127.96184886280264</v>
      </c>
      <c r="Y3" s="218">
        <v>1296</v>
      </c>
      <c r="Z3" s="218">
        <v>9780</v>
      </c>
      <c r="AA3" s="217">
        <f t="shared" ref="AA3:AA5" si="8">Z3/340.75</f>
        <v>28.701393983859134</v>
      </c>
      <c r="AB3" s="218">
        <v>286</v>
      </c>
      <c r="AC3" s="218">
        <v>16800</v>
      </c>
      <c r="AD3" s="217">
        <f t="shared" ref="AD3:AD5" si="9">AC3/340.75</f>
        <v>49.303008070432867</v>
      </c>
      <c r="AE3" s="218">
        <v>482</v>
      </c>
      <c r="AF3" s="218">
        <v>9600</v>
      </c>
      <c r="AG3" s="217">
        <f t="shared" ref="AG3:AG5" si="10">AF3/340.75</f>
        <v>28.173147468818783</v>
      </c>
      <c r="AH3" s="218">
        <v>271</v>
      </c>
      <c r="AI3" s="218">
        <v>2400</v>
      </c>
      <c r="AJ3" s="217">
        <f t="shared" ref="AJ3:AJ5" si="11">AI3/340.75</f>
        <v>7.0432868672046958</v>
      </c>
      <c r="AK3" s="218">
        <v>67</v>
      </c>
      <c r="AL3" s="218">
        <f>B3+E3+H3+K3+N3+Q3+T3+W3+Z3+AC3+AF3+AI3</f>
        <v>179812</v>
      </c>
      <c r="AM3" s="219">
        <f>C3+F3+I3+L3+O3+R3+U3+X3+AA3+AD3+AG3+AJ3</f>
        <v>527.69479090242112</v>
      </c>
      <c r="AN3" s="218">
        <f>D3+G3+J3+M3+P3+S3+V3+Y3+AB3+AE3+AH3+AK3</f>
        <v>5512</v>
      </c>
    </row>
    <row r="4" spans="1:49" s="201" customFormat="1">
      <c r="A4" s="280">
        <v>2000</v>
      </c>
      <c r="B4" s="218"/>
      <c r="C4" s="217">
        <f t="shared" si="0"/>
        <v>0</v>
      </c>
      <c r="D4" s="218"/>
      <c r="E4" s="218"/>
      <c r="F4" s="217">
        <f t="shared" si="1"/>
        <v>0</v>
      </c>
      <c r="G4" s="218"/>
      <c r="H4" s="218"/>
      <c r="I4" s="217">
        <f t="shared" si="2"/>
        <v>0</v>
      </c>
      <c r="J4" s="218"/>
      <c r="K4" s="218"/>
      <c r="L4" s="217">
        <f t="shared" si="3"/>
        <v>0</v>
      </c>
      <c r="M4" s="218"/>
      <c r="N4" s="218"/>
      <c r="O4" s="217">
        <f t="shared" si="4"/>
        <v>0</v>
      </c>
      <c r="P4" s="218"/>
      <c r="Q4" s="218"/>
      <c r="R4" s="217">
        <f t="shared" si="5"/>
        <v>0</v>
      </c>
      <c r="S4" s="218"/>
      <c r="T4" s="218">
        <v>7200</v>
      </c>
      <c r="U4" s="217">
        <f t="shared" si="6"/>
        <v>21.129860601614087</v>
      </c>
      <c r="V4" s="218">
        <v>180</v>
      </c>
      <c r="W4" s="218">
        <v>21600</v>
      </c>
      <c r="X4" s="217">
        <f t="shared" si="7"/>
        <v>63.389581804842258</v>
      </c>
      <c r="Y4" s="218">
        <v>536</v>
      </c>
      <c r="Z4" s="218"/>
      <c r="AA4" s="217">
        <f t="shared" si="8"/>
        <v>0</v>
      </c>
      <c r="AB4" s="218"/>
      <c r="AC4" s="218"/>
      <c r="AD4" s="217">
        <f t="shared" si="9"/>
        <v>0</v>
      </c>
      <c r="AE4" s="218"/>
      <c r="AF4" s="218"/>
      <c r="AG4" s="217">
        <f t="shared" si="10"/>
        <v>0</v>
      </c>
      <c r="AH4" s="218"/>
      <c r="AI4" s="218"/>
      <c r="AJ4" s="217">
        <f t="shared" si="11"/>
        <v>0</v>
      </c>
      <c r="AK4" s="218"/>
      <c r="AL4" s="218">
        <f t="shared" ref="AL4:AN6" si="12">B4+E4+H4+K4+N4+Q4+T4+W4+Z4+AC4+AF4+AI4</f>
        <v>28800</v>
      </c>
      <c r="AM4" s="219">
        <f t="shared" si="12"/>
        <v>84.519442406456349</v>
      </c>
      <c r="AN4" s="218">
        <f t="shared" si="12"/>
        <v>716</v>
      </c>
      <c r="AQ4" s="301"/>
      <c r="AR4" s="298"/>
      <c r="AS4" s="302" t="s">
        <v>184</v>
      </c>
      <c r="AT4" s="298"/>
      <c r="AU4" s="298" t="s">
        <v>3</v>
      </c>
      <c r="AV4" s="298"/>
      <c r="AW4" s="298" t="s">
        <v>185</v>
      </c>
    </row>
    <row r="5" spans="1:49" s="201" customFormat="1">
      <c r="A5" s="281">
        <v>2001</v>
      </c>
      <c r="B5" s="218"/>
      <c r="C5" s="217">
        <f t="shared" si="0"/>
        <v>0</v>
      </c>
      <c r="D5" s="218"/>
      <c r="E5" s="218"/>
      <c r="F5" s="217">
        <f t="shared" si="1"/>
        <v>0</v>
      </c>
      <c r="G5" s="218"/>
      <c r="H5" s="218">
        <v>3600</v>
      </c>
      <c r="I5" s="217">
        <f t="shared" si="2"/>
        <v>10.564930300807044</v>
      </c>
      <c r="J5" s="218">
        <v>82</v>
      </c>
      <c r="K5" s="218"/>
      <c r="L5" s="217">
        <f t="shared" si="3"/>
        <v>0</v>
      </c>
      <c r="M5" s="218"/>
      <c r="N5" s="218"/>
      <c r="O5" s="217">
        <f t="shared" si="4"/>
        <v>0</v>
      </c>
      <c r="P5" s="218"/>
      <c r="Q5" s="218"/>
      <c r="R5" s="217">
        <f t="shared" si="5"/>
        <v>0</v>
      </c>
      <c r="S5" s="218"/>
      <c r="T5" s="219"/>
      <c r="U5" s="217">
        <f t="shared" si="6"/>
        <v>0</v>
      </c>
      <c r="V5" s="219"/>
      <c r="W5" s="218">
        <v>1200</v>
      </c>
      <c r="X5" s="217">
        <f t="shared" si="7"/>
        <v>3.5216434336023479</v>
      </c>
      <c r="Y5" s="218">
        <v>26</v>
      </c>
      <c r="Z5" s="219"/>
      <c r="AA5" s="217">
        <f t="shared" si="8"/>
        <v>0</v>
      </c>
      <c r="AB5" s="219"/>
      <c r="AC5" s="219"/>
      <c r="AD5" s="217">
        <f t="shared" si="9"/>
        <v>0</v>
      </c>
      <c r="AE5" s="219"/>
      <c r="AF5" s="219"/>
      <c r="AG5" s="217">
        <f t="shared" si="10"/>
        <v>0</v>
      </c>
      <c r="AH5" s="219"/>
      <c r="AI5" s="219"/>
      <c r="AJ5" s="217">
        <f t="shared" si="11"/>
        <v>0</v>
      </c>
      <c r="AK5" s="219"/>
      <c r="AL5" s="218">
        <f t="shared" si="12"/>
        <v>4800</v>
      </c>
      <c r="AM5" s="219">
        <f t="shared" si="12"/>
        <v>14.086573734409392</v>
      </c>
      <c r="AN5" s="218">
        <f t="shared" si="12"/>
        <v>108</v>
      </c>
      <c r="AQ5" s="303" t="s">
        <v>186</v>
      </c>
      <c r="AR5" s="304">
        <v>5555</v>
      </c>
      <c r="AS5" s="278">
        <v>1111</v>
      </c>
      <c r="AT5" s="259"/>
      <c r="AU5" s="259">
        <f>AR5*AS5</f>
        <v>6171605</v>
      </c>
      <c r="AV5" s="128"/>
      <c r="AW5" s="278">
        <f>AN8*AU5/AM8</f>
        <v>67351005.785437509</v>
      </c>
    </row>
    <row r="6" spans="1:49">
      <c r="A6" s="313">
        <v>2002</v>
      </c>
      <c r="B6" s="235"/>
      <c r="C6" s="217">
        <f t="shared" si="0"/>
        <v>0</v>
      </c>
      <c r="D6" s="218"/>
      <c r="E6" s="235"/>
      <c r="F6" s="217">
        <f t="shared" si="1"/>
        <v>0</v>
      </c>
      <c r="G6" s="218"/>
      <c r="H6" s="221"/>
      <c r="I6" s="217"/>
      <c r="J6" s="219"/>
      <c r="K6" s="221"/>
      <c r="L6" s="217">
        <f t="shared" si="3"/>
        <v>0</v>
      </c>
      <c r="M6" s="219"/>
      <c r="N6" s="221"/>
      <c r="O6" s="219"/>
      <c r="P6" s="219"/>
      <c r="Q6" s="221"/>
      <c r="R6" s="219"/>
      <c r="S6" s="219"/>
      <c r="T6" s="221"/>
      <c r="U6" s="219"/>
      <c r="V6" s="219"/>
      <c r="W6" s="221"/>
      <c r="X6" s="219"/>
      <c r="Y6" s="219"/>
      <c r="Z6" s="221"/>
      <c r="AA6" s="219"/>
      <c r="AB6" s="219"/>
      <c r="AC6" s="221"/>
      <c r="AD6" s="219"/>
      <c r="AE6" s="219"/>
      <c r="AF6" s="221"/>
      <c r="AG6" s="219"/>
      <c r="AH6" s="219"/>
      <c r="AI6" s="221"/>
      <c r="AJ6" s="219"/>
      <c r="AK6" s="219"/>
      <c r="AL6" s="218">
        <f t="shared" si="12"/>
        <v>0</v>
      </c>
      <c r="AM6" s="219">
        <f t="shared" si="12"/>
        <v>0</v>
      </c>
      <c r="AN6" s="218">
        <f t="shared" si="12"/>
        <v>0</v>
      </c>
      <c r="AQ6" s="303" t="s">
        <v>187</v>
      </c>
      <c r="AR6" s="278">
        <v>5555</v>
      </c>
      <c r="AS6" s="278">
        <v>22222</v>
      </c>
      <c r="AT6" s="259"/>
      <c r="AU6" s="259">
        <f>AR6*AS6</f>
        <v>123443210</v>
      </c>
      <c r="AV6" s="259"/>
      <c r="AW6" s="278">
        <f>AU6*AN8/AM8</f>
        <v>1347141359.6435575</v>
      </c>
    </row>
    <row r="7" spans="1:49">
      <c r="A7" s="312">
        <v>2003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1"/>
      <c r="AM7" s="222">
        <f t="shared" ref="AM7" si="13">SUM(B7:AL7)</f>
        <v>0</v>
      </c>
      <c r="AN7" s="231"/>
      <c r="AQ7" s="303" t="s">
        <v>188</v>
      </c>
      <c r="AR7" s="278">
        <v>5555</v>
      </c>
      <c r="AS7" s="278">
        <v>5555</v>
      </c>
      <c r="AT7" s="259"/>
      <c r="AU7" s="259">
        <f>AR7*AS7</f>
        <v>30858025</v>
      </c>
      <c r="AV7" s="259"/>
      <c r="AW7" s="278">
        <v>1666666666</v>
      </c>
    </row>
    <row r="8" spans="1:49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218">
        <f>SUM(AL2:AL7)</f>
        <v>377312</v>
      </c>
      <c r="AM8" s="219">
        <f>SUM(AM2:AM7)</f>
        <v>1107.2986060161409</v>
      </c>
      <c r="AN8" s="218">
        <f>SUM(AN2:AN7)</f>
        <v>12084</v>
      </c>
      <c r="AQ8" s="162"/>
      <c r="AR8" s="305"/>
      <c r="AS8" s="259"/>
      <c r="AT8" s="259"/>
      <c r="AU8" s="259">
        <f t="shared" ref="AU8" si="14">SUM(AU5:AU7)</f>
        <v>160472840</v>
      </c>
      <c r="AV8" s="259"/>
      <c r="AW8" s="278">
        <f>SUM(AW5:AW7)</f>
        <v>3081159031.4289951</v>
      </c>
    </row>
    <row r="9" spans="1:49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296"/>
      <c r="AM9" s="297"/>
      <c r="AN9" s="342">
        <v>14880</v>
      </c>
    </row>
    <row r="10" spans="1:49" ht="18">
      <c r="O10" s="232" t="s">
        <v>157</v>
      </c>
      <c r="AA10" s="232" t="s">
        <v>157</v>
      </c>
      <c r="AL10" s="226"/>
      <c r="AM10" s="226"/>
      <c r="AN10" s="263">
        <v>46063</v>
      </c>
      <c r="AP10" s="260" t="s">
        <v>193</v>
      </c>
    </row>
    <row r="11" spans="1:49">
      <c r="AL11" s="226"/>
      <c r="AM11" s="226"/>
      <c r="AN11" s="260" t="s">
        <v>182</v>
      </c>
      <c r="AP11" s="347">
        <f>AN9*2</f>
        <v>29760</v>
      </c>
    </row>
    <row r="12" spans="1:49" ht="18">
      <c r="O12" s="225" t="s">
        <v>158</v>
      </c>
      <c r="AA12" s="225" t="s">
        <v>158</v>
      </c>
      <c r="AL12" s="226"/>
      <c r="AM12" s="226"/>
      <c r="AN12" s="226"/>
    </row>
    <row r="13" spans="1:49">
      <c r="AM13" s="209"/>
      <c r="AN13" s="209"/>
    </row>
    <row r="14" spans="1:49">
      <c r="A14" s="227">
        <v>1998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18">
        <f>W2*30%</f>
        <v>3240</v>
      </c>
      <c r="X14" s="219">
        <f t="shared" ref="X14:X17" si="15">W14/340.75</f>
        <v>9.5084372707263398</v>
      </c>
      <c r="Y14" s="218">
        <f>Y2*AO14</f>
        <v>119.69999999999999</v>
      </c>
      <c r="Z14" s="218">
        <f>Z2*30%</f>
        <v>6480</v>
      </c>
      <c r="AA14" s="219">
        <f t="shared" ref="AA14:AA17" si="16">Z14/340.75</f>
        <v>19.01687454145268</v>
      </c>
      <c r="AB14" s="218">
        <f>AB2*AO14</f>
        <v>234.89999999999998</v>
      </c>
      <c r="AC14" s="218">
        <f>AC2*30%</f>
        <v>10800</v>
      </c>
      <c r="AD14" s="219">
        <f t="shared" ref="AD14:AD17" si="17">AC14/340.75</f>
        <v>31.694790902421129</v>
      </c>
      <c r="AE14" s="218">
        <f>AE2*AO14</f>
        <v>384.3</v>
      </c>
      <c r="AF14" s="218">
        <f>AF2*30%</f>
        <v>6150</v>
      </c>
      <c r="AG14" s="219">
        <f t="shared" ref="AG14:AG17" si="18">AF14/340.75</f>
        <v>18.048422597212031</v>
      </c>
      <c r="AH14" s="218">
        <f>AH2*AO14</f>
        <v>214.79999999999998</v>
      </c>
      <c r="AI14" s="218">
        <f>AI2*30%</f>
        <v>22500</v>
      </c>
      <c r="AJ14" s="219">
        <f t="shared" ref="AJ14:AJ17" si="19">AI14/340.75</f>
        <v>66.030814380044021</v>
      </c>
      <c r="AK14" s="218">
        <f>AK2*AO14</f>
        <v>770.69999999999993</v>
      </c>
      <c r="AL14" s="218">
        <f>W14+Z14+AC14+AF14+AI14</f>
        <v>49170</v>
      </c>
      <c r="AM14" s="219">
        <f>X14+AA14+AD14+AG14+AJ14</f>
        <v>144.29933969185618</v>
      </c>
      <c r="AN14" s="218">
        <f>Y14+AB14+AE14+AH14+AK14</f>
        <v>1724.3999999999999</v>
      </c>
      <c r="AO14" s="308">
        <v>0.3</v>
      </c>
    </row>
    <row r="15" spans="1:49" s="201" customFormat="1">
      <c r="A15" s="229">
        <v>1999</v>
      </c>
      <c r="B15" s="218">
        <f>B3*40%</f>
        <v>2440</v>
      </c>
      <c r="C15" s="219">
        <f t="shared" ref="C15:C18" si="20">B15/340.75</f>
        <v>7.160674981658107</v>
      </c>
      <c r="D15" s="218">
        <f>D3*40%</f>
        <v>82</v>
      </c>
      <c r="E15" s="218">
        <f>E3*30%</f>
        <v>4680</v>
      </c>
      <c r="F15" s="218">
        <f>F3*40%</f>
        <v>18.31254585473221</v>
      </c>
      <c r="G15" s="218">
        <f>G3*40%</f>
        <v>205.60000000000002</v>
      </c>
      <c r="H15" s="218">
        <f>H3*40%</f>
        <v>5760</v>
      </c>
      <c r="I15" s="219">
        <f t="shared" ref="I15:I17" si="21">H15/340.75</f>
        <v>16.903888481291268</v>
      </c>
      <c r="J15" s="218">
        <f>J3*AO15</f>
        <v>186.8</v>
      </c>
      <c r="K15" s="218">
        <f>K3*40%</f>
        <v>8640</v>
      </c>
      <c r="L15" s="219">
        <f t="shared" ref="L15:L18" si="22">K15/340.75</f>
        <v>25.355832721936903</v>
      </c>
      <c r="M15" s="218">
        <f>M3*40%</f>
        <v>275.2</v>
      </c>
      <c r="N15" s="218">
        <f>N3*40%</f>
        <v>10211.6</v>
      </c>
      <c r="O15" s="219">
        <f t="shared" ref="O15:O17" si="23">N15/340.75</f>
        <v>29.968011738811445</v>
      </c>
      <c r="P15" s="218">
        <f>P3*40%</f>
        <v>319.60000000000002</v>
      </c>
      <c r="Q15" s="218">
        <f>Q3*40%</f>
        <v>1440</v>
      </c>
      <c r="R15" s="219">
        <f t="shared" ref="R15:R17" si="24">Q15/340.75</f>
        <v>4.2259721203228171</v>
      </c>
      <c r="S15" s="218">
        <f>S3*AO15</f>
        <v>44.400000000000006</v>
      </c>
      <c r="T15" s="218">
        <f>T3*40%</f>
        <v>4320</v>
      </c>
      <c r="U15" s="219">
        <f t="shared" ref="U15:U17" si="25">T15/340.75</f>
        <v>12.677916360968451</v>
      </c>
      <c r="V15" s="218">
        <f>V3*AO15</f>
        <v>130.4</v>
      </c>
      <c r="W15" s="218">
        <f>W3*40%</f>
        <v>17441.2</v>
      </c>
      <c r="X15" s="219">
        <f t="shared" si="15"/>
        <v>51.184739545121062</v>
      </c>
      <c r="Y15" s="218">
        <f t="shared" ref="Y15:Y18" si="26">Y3*AO15</f>
        <v>518.4</v>
      </c>
      <c r="Z15" s="218">
        <f>Z3*40%</f>
        <v>3912</v>
      </c>
      <c r="AA15" s="219">
        <f t="shared" si="16"/>
        <v>11.480557593543654</v>
      </c>
      <c r="AB15" s="218">
        <f t="shared" ref="AB15:AB17" si="27">AB3*AO15</f>
        <v>114.4</v>
      </c>
      <c r="AC15" s="218">
        <f>AC3*40%</f>
        <v>6720</v>
      </c>
      <c r="AD15" s="219">
        <f t="shared" si="17"/>
        <v>19.721203228173149</v>
      </c>
      <c r="AE15" s="218">
        <f t="shared" ref="AE15:AE17" si="28">AE3*AO15</f>
        <v>192.8</v>
      </c>
      <c r="AF15" s="218">
        <f>AF3*40%</f>
        <v>3840</v>
      </c>
      <c r="AG15" s="219">
        <f t="shared" si="18"/>
        <v>11.269258987527513</v>
      </c>
      <c r="AH15" s="218">
        <f t="shared" ref="AH15:AH18" si="29">AH3*AO15</f>
        <v>108.4</v>
      </c>
      <c r="AI15" s="218">
        <f>AI3*40%</f>
        <v>960</v>
      </c>
      <c r="AJ15" s="219">
        <f t="shared" si="19"/>
        <v>2.8173147468818782</v>
      </c>
      <c r="AK15" s="218">
        <f t="shared" ref="AK15:AK18" si="30">AK3*AO15</f>
        <v>26.8</v>
      </c>
      <c r="AL15" s="218">
        <f>B15+E15+H15+K15+N15+Q15+T15+W15+Z15+AC15+AF15+AI15</f>
        <v>70364.800000000003</v>
      </c>
      <c r="AM15" s="219">
        <f>C15+F15+I15+L15+O15+R15+U15+X15+AA15+AD15+AG15+AJ15</f>
        <v>211.07791636096849</v>
      </c>
      <c r="AN15" s="218">
        <f>D15+G15+J15+M15+P15+S15+V15+Y15+AB15+AE15+AH15+AK15</f>
        <v>2204.8000000000006</v>
      </c>
      <c r="AO15" s="309">
        <v>0.4</v>
      </c>
      <c r="AP15" s="2"/>
      <c r="AQ15" s="2"/>
      <c r="AR15" s="2"/>
      <c r="AS15" s="2"/>
      <c r="AT15" s="2"/>
      <c r="AU15" s="2"/>
      <c r="AV15" s="2"/>
      <c r="AW15" s="2"/>
    </row>
    <row r="16" spans="1:49" s="201" customFormat="1">
      <c r="A16" s="230">
        <v>2000</v>
      </c>
      <c r="B16" s="218">
        <f t="shared" ref="B16:B17" si="31">B4*30%</f>
        <v>0</v>
      </c>
      <c r="C16" s="217">
        <f t="shared" si="20"/>
        <v>0</v>
      </c>
      <c r="D16" s="218">
        <f t="shared" ref="D16:E18" si="32">D4*30%</f>
        <v>0</v>
      </c>
      <c r="E16" s="218">
        <f t="shared" si="32"/>
        <v>0</v>
      </c>
      <c r="F16" s="217">
        <f t="shared" ref="F16:F18" si="33">E16/340.75</f>
        <v>0</v>
      </c>
      <c r="G16" s="218">
        <f t="shared" ref="G16:H18" si="34">G4*30%</f>
        <v>0</v>
      </c>
      <c r="H16" s="218">
        <f t="shared" si="34"/>
        <v>0</v>
      </c>
      <c r="I16" s="217">
        <f t="shared" si="21"/>
        <v>0</v>
      </c>
      <c r="J16" s="218">
        <f t="shared" ref="J16:J18" si="35">J4*AO16</f>
        <v>0</v>
      </c>
      <c r="K16" s="218">
        <f t="shared" ref="K16:K17" si="36">K4*30%</f>
        <v>0</v>
      </c>
      <c r="L16" s="217">
        <f t="shared" si="22"/>
        <v>0</v>
      </c>
      <c r="M16" s="218">
        <f t="shared" ref="M16:N18" si="37">M4*30%</f>
        <v>0</v>
      </c>
      <c r="N16" s="218">
        <f t="shared" si="37"/>
        <v>0</v>
      </c>
      <c r="O16" s="217">
        <f t="shared" si="23"/>
        <v>0</v>
      </c>
      <c r="P16" s="218">
        <f t="shared" ref="P16:Q17" si="38">P4*30%</f>
        <v>0</v>
      </c>
      <c r="Q16" s="218">
        <f t="shared" si="38"/>
        <v>0</v>
      </c>
      <c r="R16" s="217">
        <f t="shared" si="24"/>
        <v>0</v>
      </c>
      <c r="S16" s="218">
        <f t="shared" ref="S16:S18" si="39">S4*AO16</f>
        <v>0</v>
      </c>
      <c r="T16" s="218">
        <f>T4*45%</f>
        <v>3240</v>
      </c>
      <c r="U16" s="217">
        <f t="shared" si="25"/>
        <v>9.5084372707263398</v>
      </c>
      <c r="V16" s="218">
        <f t="shared" ref="V16:V18" si="40">V4*AO16</f>
        <v>81</v>
      </c>
      <c r="W16" s="218">
        <f>W4*45%</f>
        <v>9720</v>
      </c>
      <c r="X16" s="217">
        <f t="shared" si="15"/>
        <v>28.525311812179016</v>
      </c>
      <c r="Y16" s="218">
        <f t="shared" si="26"/>
        <v>241.20000000000002</v>
      </c>
      <c r="Z16" s="218">
        <f t="shared" ref="Z16:Z17" si="41">Z4*30%</f>
        <v>0</v>
      </c>
      <c r="AA16" s="217">
        <f t="shared" si="16"/>
        <v>0</v>
      </c>
      <c r="AB16" s="218">
        <f t="shared" si="27"/>
        <v>0</v>
      </c>
      <c r="AC16" s="218">
        <f t="shared" ref="AC16:AC17" si="42">AC4*30%</f>
        <v>0</v>
      </c>
      <c r="AD16" s="217">
        <f t="shared" si="17"/>
        <v>0</v>
      </c>
      <c r="AE16" s="218">
        <f t="shared" si="28"/>
        <v>0</v>
      </c>
      <c r="AF16" s="218">
        <f t="shared" ref="AF16:AF17" si="43">AF4*30%</f>
        <v>0</v>
      </c>
      <c r="AG16" s="217">
        <f t="shared" si="18"/>
        <v>0</v>
      </c>
      <c r="AH16" s="218">
        <f t="shared" si="29"/>
        <v>0</v>
      </c>
      <c r="AI16" s="218">
        <f t="shared" ref="AI16:AI17" si="44">AI4*30%</f>
        <v>0</v>
      </c>
      <c r="AJ16" s="217">
        <f t="shared" si="19"/>
        <v>0</v>
      </c>
      <c r="AK16" s="218">
        <f t="shared" si="30"/>
        <v>0</v>
      </c>
      <c r="AL16" s="218">
        <f t="shared" ref="AL16:AN18" si="45">B16+E16+H16+K16+N16+Q16+T16+W16+Z16+AC16+AF16+AI16</f>
        <v>12960</v>
      </c>
      <c r="AM16" s="219">
        <f t="shared" si="45"/>
        <v>38.033749082905359</v>
      </c>
      <c r="AN16" s="218">
        <f t="shared" si="45"/>
        <v>322.20000000000005</v>
      </c>
      <c r="AO16" s="309">
        <v>0.45</v>
      </c>
      <c r="AP16" s="2"/>
      <c r="AQ16" s="2"/>
      <c r="AR16" s="2"/>
      <c r="AS16" s="2"/>
      <c r="AT16" s="2"/>
      <c r="AU16" s="2"/>
      <c r="AV16" s="2"/>
      <c r="AW16" s="2"/>
    </row>
    <row r="17" spans="1:49" s="201" customFormat="1">
      <c r="A17" s="230">
        <v>2001</v>
      </c>
      <c r="B17" s="218">
        <f t="shared" si="31"/>
        <v>0</v>
      </c>
      <c r="C17" s="217">
        <f t="shared" si="20"/>
        <v>0</v>
      </c>
      <c r="D17" s="218">
        <f t="shared" si="32"/>
        <v>0</v>
      </c>
      <c r="E17" s="218">
        <f t="shared" si="32"/>
        <v>0</v>
      </c>
      <c r="F17" s="217">
        <f t="shared" si="33"/>
        <v>0</v>
      </c>
      <c r="G17" s="218">
        <f t="shared" si="34"/>
        <v>0</v>
      </c>
      <c r="H17" s="218">
        <f>H5*40%</f>
        <v>1440</v>
      </c>
      <c r="I17" s="217">
        <f t="shared" si="21"/>
        <v>4.2259721203228171</v>
      </c>
      <c r="J17" s="218">
        <f t="shared" si="35"/>
        <v>32.800000000000004</v>
      </c>
      <c r="K17" s="218">
        <f t="shared" si="36"/>
        <v>0</v>
      </c>
      <c r="L17" s="217">
        <f t="shared" si="22"/>
        <v>0</v>
      </c>
      <c r="M17" s="218">
        <f t="shared" si="37"/>
        <v>0</v>
      </c>
      <c r="N17" s="218">
        <f t="shared" si="37"/>
        <v>0</v>
      </c>
      <c r="O17" s="217">
        <f t="shared" si="23"/>
        <v>0</v>
      </c>
      <c r="P17" s="218">
        <f t="shared" si="38"/>
        <v>0</v>
      </c>
      <c r="Q17" s="218">
        <f t="shared" si="38"/>
        <v>0</v>
      </c>
      <c r="R17" s="217">
        <f t="shared" si="24"/>
        <v>0</v>
      </c>
      <c r="S17" s="218">
        <f t="shared" si="39"/>
        <v>0</v>
      </c>
      <c r="T17" s="218">
        <f t="shared" ref="T17" si="46">T5*30%</f>
        <v>0</v>
      </c>
      <c r="U17" s="217">
        <f t="shared" si="25"/>
        <v>0</v>
      </c>
      <c r="V17" s="218">
        <f t="shared" si="40"/>
        <v>0</v>
      </c>
      <c r="W17" s="218">
        <f>W5*40%</f>
        <v>480</v>
      </c>
      <c r="X17" s="217">
        <f t="shared" si="15"/>
        <v>1.4086573734409391</v>
      </c>
      <c r="Y17" s="218">
        <f t="shared" si="26"/>
        <v>10.4</v>
      </c>
      <c r="Z17" s="218">
        <f t="shared" si="41"/>
        <v>0</v>
      </c>
      <c r="AA17" s="217">
        <f t="shared" si="16"/>
        <v>0</v>
      </c>
      <c r="AB17" s="218">
        <f t="shared" si="27"/>
        <v>0</v>
      </c>
      <c r="AC17" s="218">
        <f t="shared" si="42"/>
        <v>0</v>
      </c>
      <c r="AD17" s="217">
        <f t="shared" si="17"/>
        <v>0</v>
      </c>
      <c r="AE17" s="218">
        <f t="shared" si="28"/>
        <v>0</v>
      </c>
      <c r="AF17" s="218">
        <f t="shared" si="43"/>
        <v>0</v>
      </c>
      <c r="AG17" s="217">
        <f t="shared" si="18"/>
        <v>0</v>
      </c>
      <c r="AH17" s="218">
        <f t="shared" si="29"/>
        <v>0</v>
      </c>
      <c r="AI17" s="218">
        <f t="shared" si="44"/>
        <v>0</v>
      </c>
      <c r="AJ17" s="217">
        <f t="shared" si="19"/>
        <v>0</v>
      </c>
      <c r="AK17" s="218">
        <f t="shared" si="30"/>
        <v>0</v>
      </c>
      <c r="AL17" s="218">
        <f t="shared" si="45"/>
        <v>1920</v>
      </c>
      <c r="AM17" s="219">
        <f t="shared" si="45"/>
        <v>5.6346294937637564</v>
      </c>
      <c r="AN17" s="218">
        <f t="shared" si="45"/>
        <v>43.2</v>
      </c>
      <c r="AO17" s="309">
        <v>0.4</v>
      </c>
      <c r="AP17" s="2"/>
      <c r="AQ17" s="2"/>
      <c r="AR17" s="2"/>
      <c r="AS17" s="2"/>
      <c r="AT17" s="2"/>
      <c r="AU17" s="2"/>
      <c r="AV17" s="2"/>
      <c r="AW17" s="2"/>
    </row>
    <row r="18" spans="1:49" s="201" customFormat="1">
      <c r="A18" s="311">
        <v>2002</v>
      </c>
      <c r="B18" s="235"/>
      <c r="C18" s="217">
        <f t="shared" si="20"/>
        <v>0</v>
      </c>
      <c r="D18" s="218">
        <f t="shared" si="32"/>
        <v>0</v>
      </c>
      <c r="E18" s="235"/>
      <c r="F18" s="217">
        <f t="shared" si="33"/>
        <v>0</v>
      </c>
      <c r="G18" s="218">
        <f t="shared" si="34"/>
        <v>0</v>
      </c>
      <c r="H18" s="235"/>
      <c r="I18" s="217">
        <f>I6*30%</f>
        <v>0</v>
      </c>
      <c r="J18" s="218">
        <f t="shared" si="35"/>
        <v>0</v>
      </c>
      <c r="K18" s="235"/>
      <c r="L18" s="217">
        <f t="shared" si="22"/>
        <v>0</v>
      </c>
      <c r="M18" s="218">
        <f t="shared" si="37"/>
        <v>0</v>
      </c>
      <c r="N18" s="234"/>
      <c r="O18" s="219"/>
      <c r="P18" s="219"/>
      <c r="Q18" s="234"/>
      <c r="R18" s="219"/>
      <c r="S18" s="218">
        <f t="shared" si="39"/>
        <v>0</v>
      </c>
      <c r="T18" s="234"/>
      <c r="U18" s="219"/>
      <c r="V18" s="218">
        <f t="shared" si="40"/>
        <v>0</v>
      </c>
      <c r="W18" s="234"/>
      <c r="X18" s="219"/>
      <c r="Y18" s="218">
        <f t="shared" si="26"/>
        <v>0</v>
      </c>
      <c r="Z18" s="234"/>
      <c r="AA18" s="219"/>
      <c r="AB18" s="218"/>
      <c r="AC18" s="234"/>
      <c r="AD18" s="219"/>
      <c r="AE18" s="218"/>
      <c r="AF18" s="234"/>
      <c r="AG18" s="219"/>
      <c r="AH18" s="218">
        <f t="shared" si="29"/>
        <v>0</v>
      </c>
      <c r="AI18" s="234"/>
      <c r="AJ18" s="219"/>
      <c r="AK18" s="218">
        <f t="shared" si="30"/>
        <v>0</v>
      </c>
      <c r="AL18" s="218">
        <f t="shared" si="45"/>
        <v>0</v>
      </c>
      <c r="AM18" s="218">
        <f t="shared" si="45"/>
        <v>0</v>
      </c>
      <c r="AN18" s="216"/>
      <c r="AO18" s="309">
        <v>0.4</v>
      </c>
      <c r="AP18" s="2"/>
      <c r="AQ18" s="2"/>
      <c r="AR18" s="2"/>
      <c r="AS18" s="2"/>
      <c r="AT18" s="2"/>
      <c r="AU18" s="2"/>
      <c r="AV18" s="2"/>
      <c r="AW18" s="2"/>
    </row>
    <row r="19" spans="1:49">
      <c r="A19" s="312">
        <v>2003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1"/>
      <c r="AM19" s="222">
        <f t="shared" ref="AM19" si="47">SUM(B19:AL19)</f>
        <v>0</v>
      </c>
      <c r="AN19" s="216"/>
      <c r="AO19" s="308">
        <v>0.4</v>
      </c>
    </row>
    <row r="20" spans="1:49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218">
        <f>SUM(AL14:AL19)</f>
        <v>134414.79999999999</v>
      </c>
      <c r="AM20" s="219">
        <f>SUM(AM14:AM19)</f>
        <v>399.04563462949386</v>
      </c>
      <c r="AN20" s="218">
        <f>SUM(AN14:AN19)</f>
        <v>4294.6000000000004</v>
      </c>
    </row>
    <row r="22" spans="1:49">
      <c r="AM22" s="209"/>
      <c r="AN22" s="209"/>
    </row>
    <row r="24" spans="1:49" ht="15.75">
      <c r="A24" s="584" t="s">
        <v>159</v>
      </c>
      <c r="B24" s="584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84"/>
      <c r="U24" s="584"/>
      <c r="V24" s="584"/>
      <c r="W24" s="584"/>
    </row>
    <row r="25" spans="1:49">
      <c r="O25" s="209"/>
    </row>
    <row r="27" spans="1:49" ht="15.75">
      <c r="A27" s="584" t="s">
        <v>160</v>
      </c>
      <c r="B27" s="584"/>
      <c r="C27" s="584"/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4"/>
      <c r="R27" s="584"/>
      <c r="S27" s="584"/>
      <c r="T27" s="584"/>
      <c r="U27" s="584"/>
      <c r="V27" s="584"/>
      <c r="W27" s="584"/>
    </row>
  </sheetData>
  <mergeCells count="2">
    <mergeCell ref="A24:W24"/>
    <mergeCell ref="A27:W2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O54"/>
  <sheetViews>
    <sheetView zoomScaleNormal="100" workbookViewId="0">
      <pane ySplit="1" topLeftCell="A26" activePane="bottomLeft" state="frozen"/>
      <selection pane="bottomLeft" activeCell="A68" sqref="A68"/>
    </sheetView>
  </sheetViews>
  <sheetFormatPr defaultRowHeight="12.75"/>
  <cols>
    <col min="1" max="1" width="3.88671875" style="2" bestFit="1" customWidth="1"/>
    <col min="2" max="2" width="6.21875" style="2" bestFit="1" customWidth="1"/>
    <col min="3" max="3" width="5.44140625" style="2" bestFit="1" customWidth="1"/>
    <col min="4" max="4" width="7.44140625" style="2" bestFit="1" customWidth="1"/>
    <col min="5" max="6" width="6.21875" style="2" bestFit="1" customWidth="1"/>
    <col min="7" max="7" width="7.44140625" style="2" bestFit="1" customWidth="1"/>
    <col min="8" max="9" width="6.21875" style="2" bestFit="1" customWidth="1"/>
    <col min="10" max="10" width="7.44140625" style="2" bestFit="1" customWidth="1"/>
    <col min="11" max="12" width="6.21875" style="2" bestFit="1" customWidth="1"/>
    <col min="13" max="13" width="7.44140625" style="2" bestFit="1" customWidth="1"/>
    <col min="14" max="14" width="5.109375" style="2" bestFit="1" customWidth="1"/>
    <col min="15" max="15" width="6" style="2" customWidth="1"/>
    <col min="16" max="16" width="7.44140625" style="2" bestFit="1" customWidth="1"/>
    <col min="17" max="17" width="5.109375" style="2" bestFit="1" customWidth="1"/>
    <col min="18" max="18" width="5.44140625" style="2" bestFit="1" customWidth="1"/>
    <col min="19" max="19" width="7.44140625" style="2" bestFit="1" customWidth="1"/>
    <col min="20" max="20" width="6.21875" style="2" bestFit="1" customWidth="1"/>
    <col min="21" max="21" width="5.44140625" style="2" bestFit="1" customWidth="1"/>
    <col min="22" max="22" width="7.44140625" style="2" bestFit="1" customWidth="1"/>
    <col min="23" max="23" width="7" style="2" bestFit="1" customWidth="1"/>
    <col min="24" max="24" width="5.44140625" style="2" bestFit="1" customWidth="1"/>
    <col min="25" max="25" width="7.44140625" style="2" bestFit="1" customWidth="1"/>
    <col min="26" max="27" width="6.21875" style="2" bestFit="1" customWidth="1"/>
    <col min="28" max="28" width="7.44140625" style="2" bestFit="1" customWidth="1"/>
    <col min="29" max="30" width="6.21875" style="2" bestFit="1" customWidth="1"/>
    <col min="31" max="31" width="7.44140625" style="2" bestFit="1" customWidth="1"/>
    <col min="32" max="32" width="8.109375" style="2" bestFit="1" customWidth="1"/>
    <col min="33" max="33" width="6.21875" style="2" bestFit="1" customWidth="1"/>
    <col min="34" max="34" width="7.44140625" style="2" bestFit="1" customWidth="1"/>
    <col min="35" max="35" width="7" style="2" bestFit="1" customWidth="1"/>
    <col min="36" max="36" width="6.21875" style="2" bestFit="1" customWidth="1"/>
    <col min="37" max="37" width="7.44140625" style="2" bestFit="1" customWidth="1"/>
    <col min="38" max="39" width="7" style="2" bestFit="1" customWidth="1"/>
    <col min="40" max="40" width="8.109375" style="2" bestFit="1" customWidth="1"/>
    <col min="41" max="41" width="6.77734375" style="2" customWidth="1"/>
    <col min="42" max="16384" width="8.88671875" style="2"/>
  </cols>
  <sheetData>
    <row r="1" spans="1:40" ht="13.5" thickBot="1">
      <c r="A1" s="166"/>
      <c r="B1" s="167" t="s">
        <v>4</v>
      </c>
      <c r="C1" s="167" t="s">
        <v>147</v>
      </c>
      <c r="D1" s="167" t="s">
        <v>139</v>
      </c>
      <c r="E1" s="168" t="s">
        <v>5</v>
      </c>
      <c r="F1" s="168" t="s">
        <v>147</v>
      </c>
      <c r="G1" s="168" t="s">
        <v>139</v>
      </c>
      <c r="H1" s="167" t="s">
        <v>6</v>
      </c>
      <c r="I1" s="167" t="s">
        <v>147</v>
      </c>
      <c r="J1" s="167" t="s">
        <v>139</v>
      </c>
      <c r="K1" s="212" t="s">
        <v>7</v>
      </c>
      <c r="L1" s="212" t="s">
        <v>147</v>
      </c>
      <c r="M1" s="212" t="s">
        <v>139</v>
      </c>
      <c r="N1" s="167" t="s">
        <v>2</v>
      </c>
      <c r="O1" s="167" t="s">
        <v>147</v>
      </c>
      <c r="P1" s="167" t="s">
        <v>139</v>
      </c>
      <c r="Q1" s="168" t="s">
        <v>8</v>
      </c>
      <c r="R1" s="168" t="s">
        <v>147</v>
      </c>
      <c r="S1" s="168" t="s">
        <v>139</v>
      </c>
      <c r="T1" s="167" t="s">
        <v>9</v>
      </c>
      <c r="U1" s="167" t="s">
        <v>147</v>
      </c>
      <c r="V1" s="167" t="s">
        <v>139</v>
      </c>
      <c r="W1" s="212" t="s">
        <v>10</v>
      </c>
      <c r="X1" s="212" t="s">
        <v>147</v>
      </c>
      <c r="Y1" s="212" t="s">
        <v>139</v>
      </c>
      <c r="Z1" s="167" t="s">
        <v>11</v>
      </c>
      <c r="AA1" s="167" t="s">
        <v>147</v>
      </c>
      <c r="AB1" s="167" t="s">
        <v>139</v>
      </c>
      <c r="AC1" s="168" t="s">
        <v>12</v>
      </c>
      <c r="AD1" s="168" t="s">
        <v>147</v>
      </c>
      <c r="AE1" s="168" t="s">
        <v>139</v>
      </c>
      <c r="AF1" s="167" t="s">
        <v>13</v>
      </c>
      <c r="AG1" s="167" t="s">
        <v>147</v>
      </c>
      <c r="AH1" s="167" t="s">
        <v>139</v>
      </c>
      <c r="AI1" s="212" t="s">
        <v>14</v>
      </c>
      <c r="AJ1" s="212" t="s">
        <v>147</v>
      </c>
      <c r="AK1" s="212" t="s">
        <v>139</v>
      </c>
      <c r="AL1" s="213" t="s">
        <v>156</v>
      </c>
      <c r="AM1" s="213" t="s">
        <v>147</v>
      </c>
      <c r="AN1" s="213" t="s">
        <v>139</v>
      </c>
    </row>
    <row r="2" spans="1:40">
      <c r="A2" s="214">
        <v>1998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6">
        <v>2060</v>
      </c>
      <c r="X2" s="217">
        <f>W2/340.75</f>
        <v>6.0454878943506971</v>
      </c>
      <c r="Y2" s="216">
        <v>76</v>
      </c>
      <c r="Z2" s="216">
        <v>5644</v>
      </c>
      <c r="AA2" s="217">
        <f>Z2/340.75</f>
        <v>16.563462949376376</v>
      </c>
      <c r="AB2" s="216">
        <v>204</v>
      </c>
      <c r="AC2" s="216">
        <v>5830</v>
      </c>
      <c r="AD2" s="217">
        <f>AC2/340.75</f>
        <v>17.109317681584738</v>
      </c>
      <c r="AE2" s="216">
        <v>206</v>
      </c>
      <c r="AF2" s="216">
        <v>5160</v>
      </c>
      <c r="AG2" s="217">
        <f>AF2/340.75</f>
        <v>15.143066764490095</v>
      </c>
      <c r="AH2" s="216">
        <v>179</v>
      </c>
      <c r="AI2" s="216">
        <v>7200</v>
      </c>
      <c r="AJ2" s="217">
        <f>AI2/340.75</f>
        <v>21.129860601614087</v>
      </c>
      <c r="AK2" s="216">
        <v>245</v>
      </c>
      <c r="AL2" s="218">
        <f>W2+Z2+AC2+AF2+AI2</f>
        <v>25894</v>
      </c>
      <c r="AM2" s="219">
        <f>X2+AA2+AD2+AG2+AJ2</f>
        <v>75.991195891415998</v>
      </c>
      <c r="AN2" s="218">
        <f>Y2+AB2+AE2+AH2+AK2</f>
        <v>910</v>
      </c>
    </row>
    <row r="3" spans="1:40">
      <c r="A3" s="220">
        <v>1999</v>
      </c>
      <c r="B3" s="218">
        <v>3060</v>
      </c>
      <c r="C3" s="217">
        <f t="shared" ref="C3:C5" si="0">B3/340.75</f>
        <v>8.980190755685987</v>
      </c>
      <c r="D3" s="218">
        <v>101</v>
      </c>
      <c r="E3" s="218">
        <v>3860</v>
      </c>
      <c r="F3" s="217">
        <f t="shared" ref="F3:F5" si="1">E3/340.75</f>
        <v>11.327953044754219</v>
      </c>
      <c r="G3" s="218">
        <v>127</v>
      </c>
      <c r="H3" s="218">
        <v>8370</v>
      </c>
      <c r="I3" s="217">
        <f t="shared" ref="I3:I5" si="2">H3/340.75</f>
        <v>24.563462949376376</v>
      </c>
      <c r="J3" s="218">
        <v>270</v>
      </c>
      <c r="K3" s="218">
        <v>7810</v>
      </c>
      <c r="L3" s="217">
        <f t="shared" ref="L3:L5" si="3">K3/340.75</f>
        <v>22.920029347028613</v>
      </c>
      <c r="M3" s="218">
        <v>247</v>
      </c>
      <c r="N3" s="218">
        <v>610</v>
      </c>
      <c r="O3" s="217">
        <f t="shared" ref="O3:O5" si="4">N3/340.75</f>
        <v>1.7901687454145268</v>
      </c>
      <c r="P3" s="218">
        <v>19</v>
      </c>
      <c r="Q3" s="218">
        <v>700</v>
      </c>
      <c r="R3" s="217">
        <f t="shared" ref="R3:R5" si="5">Q3/340.75</f>
        <v>2.0542920029347029</v>
      </c>
      <c r="S3" s="218">
        <v>21</v>
      </c>
      <c r="T3" s="218">
        <v>1590</v>
      </c>
      <c r="U3" s="217">
        <f t="shared" ref="U3:U5" si="6">T3/340.75</f>
        <v>4.6661775495231108</v>
      </c>
      <c r="V3" s="218">
        <v>48</v>
      </c>
      <c r="W3" s="218">
        <v>600</v>
      </c>
      <c r="X3" s="217">
        <f t="shared" ref="X3:X5" si="7">W3/340.75</f>
        <v>1.7608217168011739</v>
      </c>
      <c r="Y3" s="218">
        <v>18</v>
      </c>
      <c r="Z3" s="218"/>
      <c r="AA3" s="217">
        <f t="shared" ref="AA3:AA5" si="8">Z3/340.75</f>
        <v>0</v>
      </c>
      <c r="AB3" s="218"/>
      <c r="AC3" s="218"/>
      <c r="AD3" s="217">
        <f t="shared" ref="AD3:AD5" si="9">AC3/340.75</f>
        <v>0</v>
      </c>
      <c r="AE3" s="218"/>
      <c r="AF3" s="218">
        <v>230</v>
      </c>
      <c r="AG3" s="217">
        <f t="shared" ref="AG3:AG5" si="10">AF3/340.75</f>
        <v>0.67498165810711663</v>
      </c>
      <c r="AH3" s="218">
        <v>6</v>
      </c>
      <c r="AI3" s="218"/>
      <c r="AJ3" s="217">
        <f t="shared" ref="AJ3:AJ5" si="11">AI3/340.75</f>
        <v>0</v>
      </c>
      <c r="AK3" s="218"/>
      <c r="AL3" s="218">
        <f>B3+E3+H3+K3+N3+Q3+T3+W3+Z3+AC3+AF3+AI3</f>
        <v>26830</v>
      </c>
      <c r="AM3" s="219">
        <f>C3+F3+I3+L3+O3+R3+U3+X3+AA3+AD3+AG3+AJ3</f>
        <v>78.738077769625832</v>
      </c>
      <c r="AN3" s="218">
        <f>D3+G3+J3+M3+P3+S3+V3+Y3+AB3+AE3+AH3+AK3</f>
        <v>857</v>
      </c>
    </row>
    <row r="4" spans="1:40">
      <c r="A4" s="220">
        <v>2000</v>
      </c>
      <c r="B4" s="218"/>
      <c r="C4" s="217">
        <f t="shared" si="0"/>
        <v>0</v>
      </c>
      <c r="D4" s="218"/>
      <c r="E4" s="218"/>
      <c r="F4" s="217">
        <f t="shared" si="1"/>
        <v>0</v>
      </c>
      <c r="G4" s="218"/>
      <c r="H4" s="218"/>
      <c r="I4" s="217">
        <f t="shared" si="2"/>
        <v>0</v>
      </c>
      <c r="J4" s="218"/>
      <c r="K4" s="218"/>
      <c r="L4" s="217">
        <f t="shared" si="3"/>
        <v>0</v>
      </c>
      <c r="M4" s="218"/>
      <c r="N4" s="218"/>
      <c r="O4" s="217">
        <f t="shared" si="4"/>
        <v>0</v>
      </c>
      <c r="P4" s="218"/>
      <c r="Q4" s="218">
        <v>206</v>
      </c>
      <c r="R4" s="217">
        <f t="shared" si="5"/>
        <v>0.60454878943506973</v>
      </c>
      <c r="S4" s="218">
        <v>5</v>
      </c>
      <c r="T4" s="218"/>
      <c r="U4" s="217">
        <f t="shared" si="6"/>
        <v>0</v>
      </c>
      <c r="V4" s="218"/>
      <c r="W4" s="218"/>
      <c r="X4" s="217">
        <f t="shared" si="7"/>
        <v>0</v>
      </c>
      <c r="Y4" s="218"/>
      <c r="Z4" s="218"/>
      <c r="AA4" s="217">
        <f t="shared" si="8"/>
        <v>0</v>
      </c>
      <c r="AB4" s="218"/>
      <c r="AC4" s="218"/>
      <c r="AD4" s="217">
        <f t="shared" si="9"/>
        <v>0</v>
      </c>
      <c r="AE4" s="218"/>
      <c r="AF4" s="218"/>
      <c r="AG4" s="217">
        <f t="shared" si="10"/>
        <v>0</v>
      </c>
      <c r="AH4" s="218"/>
      <c r="AI4" s="218"/>
      <c r="AJ4" s="217">
        <f t="shared" si="11"/>
        <v>0</v>
      </c>
      <c r="AK4" s="218"/>
      <c r="AL4" s="218">
        <f t="shared" ref="AL4:AN8" si="12">B4+E4+H4+K4+N4+Q4+T4+W4+Z4+AC4+AF4+AI4</f>
        <v>206</v>
      </c>
      <c r="AM4" s="219">
        <f t="shared" si="12"/>
        <v>0.60454878943506973</v>
      </c>
      <c r="AN4" s="218">
        <f t="shared" si="12"/>
        <v>5</v>
      </c>
    </row>
    <row r="5" spans="1:40" s="201" customFormat="1">
      <c r="A5" s="281">
        <v>2001</v>
      </c>
      <c r="B5" s="218">
        <v>545</v>
      </c>
      <c r="C5" s="217">
        <f t="shared" si="0"/>
        <v>1.5994130594277329</v>
      </c>
      <c r="D5" s="218">
        <v>13</v>
      </c>
      <c r="E5" s="218"/>
      <c r="F5" s="217">
        <f t="shared" si="1"/>
        <v>0</v>
      </c>
      <c r="G5" s="218"/>
      <c r="H5" s="218"/>
      <c r="I5" s="217">
        <f t="shared" si="2"/>
        <v>0</v>
      </c>
      <c r="J5" s="218"/>
      <c r="K5" s="218">
        <v>2286</v>
      </c>
      <c r="L5" s="217">
        <f t="shared" si="3"/>
        <v>6.7087307410124728</v>
      </c>
      <c r="M5" s="218">
        <v>51</v>
      </c>
      <c r="N5" s="218"/>
      <c r="O5" s="217">
        <f t="shared" si="4"/>
        <v>0</v>
      </c>
      <c r="P5" s="218"/>
      <c r="Q5" s="218"/>
      <c r="R5" s="217">
        <f t="shared" si="5"/>
        <v>0</v>
      </c>
      <c r="S5" s="218"/>
      <c r="T5" s="219"/>
      <c r="U5" s="217">
        <f t="shared" si="6"/>
        <v>0</v>
      </c>
      <c r="V5" s="219"/>
      <c r="W5" s="218">
        <v>860</v>
      </c>
      <c r="X5" s="217">
        <f t="shared" si="7"/>
        <v>2.5238444607483492</v>
      </c>
      <c r="Y5" s="218">
        <v>18</v>
      </c>
      <c r="Z5" s="219"/>
      <c r="AA5" s="217">
        <f t="shared" si="8"/>
        <v>0</v>
      </c>
      <c r="AB5" s="219"/>
      <c r="AC5" s="219"/>
      <c r="AD5" s="217">
        <f t="shared" si="9"/>
        <v>0</v>
      </c>
      <c r="AE5" s="219"/>
      <c r="AF5" s="218">
        <v>2170</v>
      </c>
      <c r="AG5" s="217">
        <f t="shared" si="10"/>
        <v>6.3683052090975787</v>
      </c>
      <c r="AH5" s="218">
        <v>45</v>
      </c>
      <c r="AI5" s="218">
        <v>970</v>
      </c>
      <c r="AJ5" s="217">
        <f t="shared" si="11"/>
        <v>2.8466617754952313</v>
      </c>
      <c r="AK5" s="218">
        <v>20</v>
      </c>
      <c r="AL5" s="218">
        <f t="shared" si="12"/>
        <v>6831</v>
      </c>
      <c r="AM5" s="219">
        <f t="shared" si="12"/>
        <v>20.046955245781366</v>
      </c>
      <c r="AN5" s="218">
        <f t="shared" si="12"/>
        <v>147</v>
      </c>
    </row>
    <row r="6" spans="1:40">
      <c r="A6" s="220">
        <v>2002</v>
      </c>
      <c r="B6" s="223"/>
      <c r="C6" s="217">
        <v>3.26</v>
      </c>
      <c r="D6" s="218">
        <v>23</v>
      </c>
      <c r="E6" s="223"/>
      <c r="F6" s="217">
        <v>1.34</v>
      </c>
      <c r="G6" s="218">
        <v>9</v>
      </c>
      <c r="H6" s="221"/>
      <c r="I6" s="217">
        <v>1.23</v>
      </c>
      <c r="J6" s="218">
        <v>8</v>
      </c>
      <c r="K6" s="221"/>
      <c r="L6" s="217">
        <v>5.55</v>
      </c>
      <c r="M6" s="218">
        <v>38</v>
      </c>
      <c r="N6" s="221"/>
      <c r="O6" s="219">
        <v>3.17</v>
      </c>
      <c r="P6" s="218">
        <v>21</v>
      </c>
      <c r="Q6" s="234"/>
      <c r="R6" s="219"/>
      <c r="S6" s="219"/>
      <c r="T6" s="234"/>
      <c r="U6" s="219">
        <v>6.25</v>
      </c>
      <c r="V6" s="218">
        <v>41</v>
      </c>
      <c r="W6" s="234"/>
      <c r="X6" s="219">
        <v>0.32</v>
      </c>
      <c r="Y6" s="218">
        <v>2</v>
      </c>
      <c r="Z6" s="234"/>
      <c r="AA6" s="219">
        <v>1.6</v>
      </c>
      <c r="AB6" s="218">
        <v>10</v>
      </c>
      <c r="AC6" s="234"/>
      <c r="AD6" s="219">
        <v>6.04</v>
      </c>
      <c r="AE6" s="218">
        <v>39</v>
      </c>
      <c r="AF6" s="234"/>
      <c r="AG6" s="219">
        <v>5.41</v>
      </c>
      <c r="AH6" s="218">
        <v>34</v>
      </c>
      <c r="AI6" s="234"/>
      <c r="AJ6" s="219">
        <v>6.84</v>
      </c>
      <c r="AK6" s="218">
        <v>43</v>
      </c>
      <c r="AL6" s="234"/>
      <c r="AM6" s="219">
        <f t="shared" si="12"/>
        <v>41.010000000000005</v>
      </c>
      <c r="AN6" s="218">
        <f t="shared" si="12"/>
        <v>268</v>
      </c>
    </row>
    <row r="7" spans="1:40">
      <c r="A7" s="1">
        <v>2003</v>
      </c>
      <c r="B7" s="224"/>
      <c r="C7" s="233">
        <v>0.64</v>
      </c>
      <c r="D7" s="321">
        <v>4</v>
      </c>
      <c r="E7" s="224"/>
      <c r="F7" s="233">
        <v>0</v>
      </c>
      <c r="G7" s="233"/>
      <c r="H7" s="224"/>
      <c r="I7" s="233">
        <v>5.85</v>
      </c>
      <c r="J7" s="321">
        <v>36</v>
      </c>
      <c r="K7" s="224"/>
      <c r="L7" s="233">
        <v>5.6</v>
      </c>
      <c r="M7" s="321">
        <v>34</v>
      </c>
      <c r="N7" s="224"/>
      <c r="O7" s="233"/>
      <c r="P7" s="233"/>
      <c r="Q7" s="224"/>
      <c r="R7" s="233">
        <v>0.2</v>
      </c>
      <c r="S7" s="321">
        <v>1</v>
      </c>
      <c r="T7" s="224"/>
      <c r="U7" s="233"/>
      <c r="V7" s="233"/>
      <c r="W7" s="224"/>
      <c r="X7" s="233"/>
      <c r="Y7" s="233"/>
      <c r="Z7" s="224"/>
      <c r="AA7" s="233"/>
      <c r="AB7" s="233"/>
      <c r="AC7" s="224"/>
      <c r="AD7" s="233"/>
      <c r="AE7" s="233"/>
      <c r="AF7" s="224"/>
      <c r="AG7" s="233"/>
      <c r="AH7" s="233"/>
      <c r="AI7" s="224"/>
      <c r="AJ7" s="233"/>
      <c r="AK7" s="233"/>
      <c r="AL7" s="219"/>
      <c r="AM7" s="219">
        <f t="shared" si="12"/>
        <v>12.29</v>
      </c>
      <c r="AN7" s="218">
        <f t="shared" si="12"/>
        <v>75</v>
      </c>
    </row>
    <row r="8" spans="1:40">
      <c r="A8" s="325">
        <v>2004</v>
      </c>
      <c r="B8" s="224"/>
      <c r="C8" s="233"/>
      <c r="D8" s="321"/>
      <c r="E8" s="224"/>
      <c r="F8" s="233"/>
      <c r="G8" s="233"/>
      <c r="H8" s="224"/>
      <c r="I8" s="233"/>
      <c r="J8" s="321"/>
      <c r="K8" s="224"/>
      <c r="L8" s="233">
        <v>1.28</v>
      </c>
      <c r="M8" s="321">
        <v>7</v>
      </c>
      <c r="N8" s="224"/>
      <c r="O8" s="233"/>
      <c r="P8" s="233"/>
      <c r="Q8" s="224"/>
      <c r="R8" s="233">
        <v>0.47</v>
      </c>
      <c r="S8" s="321">
        <v>3</v>
      </c>
      <c r="T8" s="224"/>
      <c r="U8" s="233"/>
      <c r="V8" s="233"/>
      <c r="W8" s="224"/>
      <c r="X8" s="233"/>
      <c r="Y8" s="233"/>
      <c r="Z8" s="224"/>
      <c r="AA8" s="233"/>
      <c r="AB8" s="233"/>
      <c r="AC8" s="224"/>
      <c r="AD8" s="233">
        <v>0.44</v>
      </c>
      <c r="AE8" s="321">
        <v>2</v>
      </c>
      <c r="AF8" s="224"/>
      <c r="AG8" s="233"/>
      <c r="AH8" s="233"/>
      <c r="AI8" s="224"/>
      <c r="AJ8" s="233"/>
      <c r="AK8" s="233"/>
      <c r="AL8" s="219"/>
      <c r="AM8" s="219">
        <f t="shared" si="12"/>
        <v>2.19</v>
      </c>
      <c r="AN8" s="218">
        <f t="shared" si="12"/>
        <v>12</v>
      </c>
    </row>
    <row r="9" spans="1:40">
      <c r="A9" s="325">
        <v>2005</v>
      </c>
      <c r="B9" s="224"/>
      <c r="C9" s="233"/>
      <c r="D9" s="321"/>
      <c r="E9" s="224"/>
      <c r="F9" s="233"/>
      <c r="G9" s="233"/>
      <c r="H9" s="224"/>
      <c r="I9" s="233"/>
      <c r="J9" s="321"/>
      <c r="K9" s="224"/>
      <c r="L9" s="233"/>
      <c r="M9" s="321"/>
      <c r="N9" s="224"/>
      <c r="O9" s="233"/>
      <c r="P9" s="233"/>
      <c r="Q9" s="224"/>
      <c r="R9" s="233"/>
      <c r="S9" s="321"/>
      <c r="T9" s="224"/>
      <c r="U9" s="233"/>
      <c r="V9" s="233"/>
      <c r="W9" s="224"/>
      <c r="X9" s="233"/>
      <c r="Y9" s="233"/>
      <c r="Z9" s="224"/>
      <c r="AA9" s="233"/>
      <c r="AB9" s="233"/>
      <c r="AC9" s="224"/>
      <c r="AD9" s="233">
        <v>1.32</v>
      </c>
      <c r="AE9" s="339"/>
      <c r="AF9" s="224"/>
      <c r="AG9" s="233">
        <v>0.32</v>
      </c>
      <c r="AH9" s="340"/>
      <c r="AI9" s="224"/>
      <c r="AJ9" s="233"/>
      <c r="AK9" s="233"/>
      <c r="AL9" s="219"/>
      <c r="AM9" s="219">
        <f t="shared" ref="AM9" si="13">C9+F9+I9+L9+O9+R9+U9+X9+AA9+AD9+AG9+AJ9</f>
        <v>1.6400000000000001</v>
      </c>
      <c r="AN9" s="338"/>
    </row>
    <row r="10" spans="1:40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218">
        <f>SUM(AL2:AL8)</f>
        <v>59761</v>
      </c>
      <c r="AM10" s="219">
        <f>SUM(AM2:AM9)</f>
        <v>232.5107776962582</v>
      </c>
      <c r="AN10" s="218">
        <f t="shared" ref="AN10" si="14">SUM(AN2:AN8)</f>
        <v>2274</v>
      </c>
    </row>
    <row r="11" spans="1:40">
      <c r="AL11" s="226"/>
      <c r="AM11" s="226"/>
      <c r="AN11" s="343">
        <v>2818</v>
      </c>
    </row>
    <row r="12" spans="1:40">
      <c r="AL12" s="226"/>
      <c r="AM12" s="226"/>
      <c r="AN12" s="263">
        <v>46063</v>
      </c>
    </row>
    <row r="13" spans="1:40">
      <c r="AL13" s="226"/>
      <c r="AM13" s="226"/>
      <c r="AN13" s="260" t="s">
        <v>182</v>
      </c>
    </row>
    <row r="14" spans="1:40">
      <c r="AL14" s="226"/>
      <c r="AM14" s="226"/>
      <c r="AN14" s="263"/>
    </row>
    <row r="15" spans="1:40" ht="18">
      <c r="O15" s="232" t="s">
        <v>157</v>
      </c>
      <c r="AL15" s="226"/>
      <c r="AM15" s="226"/>
      <c r="AN15" s="263"/>
    </row>
    <row r="16" spans="1:40" ht="18">
      <c r="O16" s="225" t="s">
        <v>158</v>
      </c>
      <c r="AL16" s="226"/>
      <c r="AM16" s="226"/>
      <c r="AN16" s="226"/>
    </row>
    <row r="17" spans="1:41">
      <c r="AM17" s="209"/>
      <c r="AN17" s="209"/>
    </row>
    <row r="18" spans="1:41">
      <c r="A18" s="227">
        <v>1998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18">
        <f>W2*AO18</f>
        <v>618</v>
      </c>
      <c r="X18" s="219">
        <f t="shared" ref="X18:X21" si="15">W18/340.75</f>
        <v>1.8136463683052091</v>
      </c>
      <c r="Y18" s="218">
        <f t="shared" ref="Y18:Y24" si="16">Y2*AO18</f>
        <v>22.8</v>
      </c>
      <c r="Z18" s="218">
        <f>Z2*AO18</f>
        <v>1693.2</v>
      </c>
      <c r="AA18" s="219">
        <f t="shared" ref="AA18:AA21" si="17">Z18/340.75</f>
        <v>4.969038884812913</v>
      </c>
      <c r="AB18" s="218">
        <f t="shared" ref="AB18:AB24" si="18">AB2*AO18</f>
        <v>61.199999999999996</v>
      </c>
      <c r="AC18" s="218">
        <f>AC2*AO18</f>
        <v>1749</v>
      </c>
      <c r="AD18" s="219">
        <f t="shared" ref="AD18:AD21" si="19">AC18/340.75</f>
        <v>5.1327953044754215</v>
      </c>
      <c r="AE18" s="218">
        <f t="shared" ref="AE18:AE25" si="20">AE2*AO18</f>
        <v>61.8</v>
      </c>
      <c r="AF18" s="218">
        <f>AF2*AO18</f>
        <v>1548</v>
      </c>
      <c r="AG18" s="219">
        <f t="shared" ref="AG18:AG21" si="21">AF18/340.75</f>
        <v>4.5429200293470284</v>
      </c>
      <c r="AH18" s="218">
        <f t="shared" ref="AH18:AH25" si="22">AH2*AO18</f>
        <v>53.699999999999996</v>
      </c>
      <c r="AI18" s="218">
        <f>AI2*AO18</f>
        <v>2160</v>
      </c>
      <c r="AJ18" s="219">
        <f t="shared" ref="AJ18:AJ21" si="23">AI18/340.75</f>
        <v>6.3389581804842257</v>
      </c>
      <c r="AK18" s="218">
        <f t="shared" ref="AK18:AK25" si="24">AK2*AO18</f>
        <v>73.5</v>
      </c>
      <c r="AL18" s="218">
        <f>W18+Z18+AC18+AF18+AI18</f>
        <v>7768.2</v>
      </c>
      <c r="AM18" s="219">
        <f>X18+AA18+AD18+AG18+AJ18</f>
        <v>22.797358767424797</v>
      </c>
      <c r="AN18" s="218">
        <f>Y18+AB18+AE18+AH18+AK18</f>
        <v>273</v>
      </c>
      <c r="AO18" s="308">
        <v>0.3</v>
      </c>
    </row>
    <row r="19" spans="1:41" s="201" customFormat="1">
      <c r="A19" s="229">
        <v>1999</v>
      </c>
      <c r="B19" s="218">
        <f>B3*AO19</f>
        <v>1224</v>
      </c>
      <c r="C19" s="219">
        <f t="shared" ref="C19:C21" si="25">B19/340.75</f>
        <v>3.5920763022743949</v>
      </c>
      <c r="D19" s="218">
        <f t="shared" ref="D19:D24" si="26">D3*AO19</f>
        <v>40.400000000000006</v>
      </c>
      <c r="E19" s="218">
        <f>E3*AO19</f>
        <v>1544</v>
      </c>
      <c r="F19" s="219">
        <f t="shared" ref="F19:F21" si="27">E19/340.75</f>
        <v>4.531181217901687</v>
      </c>
      <c r="G19" s="218">
        <f t="shared" ref="G19:G24" si="28">G3*AO19</f>
        <v>50.800000000000004</v>
      </c>
      <c r="H19" s="218">
        <f>H3*AO19</f>
        <v>3348</v>
      </c>
      <c r="I19" s="219">
        <f t="shared" ref="I19:I21" si="29">H19/340.75</f>
        <v>9.8253851797505494</v>
      </c>
      <c r="J19" s="218">
        <f t="shared" ref="J19:J24" si="30">J3*AO19</f>
        <v>108</v>
      </c>
      <c r="K19" s="218">
        <f>K3*AO19</f>
        <v>3124</v>
      </c>
      <c r="L19" s="219">
        <f t="shared" ref="L19:L21" si="31">K19/340.75</f>
        <v>9.1680117388114457</v>
      </c>
      <c r="M19" s="218">
        <f t="shared" ref="M19:M24" si="32">M3*AO19</f>
        <v>98.800000000000011</v>
      </c>
      <c r="N19" s="218">
        <f>N3*AO19</f>
        <v>244</v>
      </c>
      <c r="O19" s="219">
        <f t="shared" ref="O19:O21" si="33">N19/340.75</f>
        <v>0.71606749816581072</v>
      </c>
      <c r="P19" s="218">
        <f t="shared" ref="P19:P24" si="34">P3*AO19</f>
        <v>7.6000000000000005</v>
      </c>
      <c r="Q19" s="218">
        <f>Q3*AO19</f>
        <v>280</v>
      </c>
      <c r="R19" s="219">
        <f t="shared" ref="R19:R24" si="35">Q19/340.75</f>
        <v>0.82171680117388113</v>
      </c>
      <c r="S19" s="218">
        <f t="shared" ref="S19:S24" si="36">S3*AO19</f>
        <v>8.4</v>
      </c>
      <c r="T19" s="218">
        <f>T3*AO19</f>
        <v>636</v>
      </c>
      <c r="U19" s="219">
        <f t="shared" ref="U19:U21" si="37">T19/340.75</f>
        <v>1.8664710198092442</v>
      </c>
      <c r="V19" s="218">
        <f t="shared" ref="V19:V24" si="38">V3*AO19</f>
        <v>19.200000000000003</v>
      </c>
      <c r="W19" s="218">
        <f>W3*AO19</f>
        <v>240</v>
      </c>
      <c r="X19" s="219">
        <f t="shared" si="15"/>
        <v>0.70432868672046955</v>
      </c>
      <c r="Y19" s="218">
        <f t="shared" si="16"/>
        <v>7.2</v>
      </c>
      <c r="Z19" s="218">
        <f>Z3*AO19</f>
        <v>0</v>
      </c>
      <c r="AA19" s="219">
        <f t="shared" si="17"/>
        <v>0</v>
      </c>
      <c r="AB19" s="218">
        <f t="shared" si="18"/>
        <v>0</v>
      </c>
      <c r="AC19" s="218">
        <f>AC3*AO19</f>
        <v>0</v>
      </c>
      <c r="AD19" s="219">
        <f t="shared" si="19"/>
        <v>0</v>
      </c>
      <c r="AE19" s="218">
        <f t="shared" si="20"/>
        <v>0</v>
      </c>
      <c r="AF19" s="218">
        <f>AF3*AO19</f>
        <v>92</v>
      </c>
      <c r="AG19" s="219">
        <f t="shared" si="21"/>
        <v>0.26999266324284665</v>
      </c>
      <c r="AH19" s="218">
        <f t="shared" si="22"/>
        <v>2.4000000000000004</v>
      </c>
      <c r="AI19" s="218">
        <f>AI3*AO19</f>
        <v>0</v>
      </c>
      <c r="AJ19" s="219">
        <f t="shared" si="23"/>
        <v>0</v>
      </c>
      <c r="AK19" s="218">
        <f t="shared" si="24"/>
        <v>0</v>
      </c>
      <c r="AL19" s="218">
        <f>B19+E19+H19+K19+N19+Q19+T19+W19+Z19+AC19+AF19+AI19</f>
        <v>10732</v>
      </c>
      <c r="AM19" s="219">
        <f>C19+F19+I19+L19+O19+R19+U19+X19+AA19+AD19+AG19+AJ19</f>
        <v>31.495231107850323</v>
      </c>
      <c r="AN19" s="218">
        <f>D19+G19+J19+M19+P19+S19+V19+Y19+AB19+AE19+AH19+AK19</f>
        <v>342.79999999999995</v>
      </c>
      <c r="AO19" s="309">
        <v>0.4</v>
      </c>
    </row>
    <row r="20" spans="1:41" s="201" customFormat="1">
      <c r="A20" s="230">
        <v>2000</v>
      </c>
      <c r="B20" s="218">
        <f>B4*AO20</f>
        <v>0</v>
      </c>
      <c r="C20" s="217">
        <f t="shared" si="25"/>
        <v>0</v>
      </c>
      <c r="D20" s="218">
        <f t="shared" si="26"/>
        <v>0</v>
      </c>
      <c r="E20" s="218">
        <f>E4*AO20</f>
        <v>0</v>
      </c>
      <c r="F20" s="217">
        <f t="shared" si="27"/>
        <v>0</v>
      </c>
      <c r="G20" s="218">
        <f t="shared" si="28"/>
        <v>0</v>
      </c>
      <c r="H20" s="218">
        <f>H4*AO20</f>
        <v>0</v>
      </c>
      <c r="I20" s="217">
        <f t="shared" si="29"/>
        <v>0</v>
      </c>
      <c r="J20" s="218">
        <f t="shared" si="30"/>
        <v>0</v>
      </c>
      <c r="K20" s="218">
        <f>K4*AO20</f>
        <v>0</v>
      </c>
      <c r="L20" s="217">
        <f t="shared" si="31"/>
        <v>0</v>
      </c>
      <c r="M20" s="218">
        <f t="shared" si="32"/>
        <v>0</v>
      </c>
      <c r="N20" s="218">
        <f>N4*AO20</f>
        <v>0</v>
      </c>
      <c r="O20" s="217">
        <f t="shared" si="33"/>
        <v>0</v>
      </c>
      <c r="P20" s="218">
        <f t="shared" si="34"/>
        <v>0</v>
      </c>
      <c r="Q20" s="218">
        <f>Q4*AO20</f>
        <v>92.7</v>
      </c>
      <c r="R20" s="219">
        <f t="shared" si="35"/>
        <v>0.27204695524578137</v>
      </c>
      <c r="S20" s="218">
        <f t="shared" si="36"/>
        <v>2.25</v>
      </c>
      <c r="T20" s="218">
        <f>T4*AO20</f>
        <v>0</v>
      </c>
      <c r="U20" s="217">
        <f t="shared" si="37"/>
        <v>0</v>
      </c>
      <c r="V20" s="218">
        <f t="shared" si="38"/>
        <v>0</v>
      </c>
      <c r="W20" s="218">
        <f>W4*AO20</f>
        <v>0</v>
      </c>
      <c r="X20" s="217">
        <f t="shared" si="15"/>
        <v>0</v>
      </c>
      <c r="Y20" s="218">
        <f t="shared" si="16"/>
        <v>0</v>
      </c>
      <c r="Z20" s="218">
        <f>Z4*AO20</f>
        <v>0</v>
      </c>
      <c r="AA20" s="217">
        <f t="shared" si="17"/>
        <v>0</v>
      </c>
      <c r="AB20" s="218">
        <f t="shared" si="18"/>
        <v>0</v>
      </c>
      <c r="AC20" s="218">
        <f>AC4*AO20</f>
        <v>0</v>
      </c>
      <c r="AD20" s="217">
        <f t="shared" si="19"/>
        <v>0</v>
      </c>
      <c r="AE20" s="218">
        <f t="shared" si="20"/>
        <v>0</v>
      </c>
      <c r="AF20" s="218">
        <f>AF4*AO20</f>
        <v>0</v>
      </c>
      <c r="AG20" s="217">
        <f t="shared" si="21"/>
        <v>0</v>
      </c>
      <c r="AH20" s="218">
        <f t="shared" si="22"/>
        <v>0</v>
      </c>
      <c r="AI20" s="218">
        <f>AI4*AO20</f>
        <v>0</v>
      </c>
      <c r="AJ20" s="217">
        <f t="shared" si="23"/>
        <v>0</v>
      </c>
      <c r="AK20" s="218">
        <f t="shared" si="24"/>
        <v>0</v>
      </c>
      <c r="AL20" s="218">
        <f t="shared" ref="AL20:AL21" si="39">B20+E20+H20+K20+N20+Q20+T20+W20+Z20+AC20+AF20+AI20</f>
        <v>92.7</v>
      </c>
      <c r="AM20" s="219">
        <f t="shared" ref="AM20:AM24" si="40">C20+F20+I20+L20+O20+R20+U20+X20+AA20+AD20+AG20+AJ20</f>
        <v>0.27204695524578137</v>
      </c>
      <c r="AN20" s="218">
        <f t="shared" ref="AN20:AN24" si="41">D20+G20+J20+M20+P20+S20+V20+Y20+AB20+AE20+AH20+AK20</f>
        <v>2.25</v>
      </c>
      <c r="AO20" s="309">
        <v>0.45</v>
      </c>
    </row>
    <row r="21" spans="1:41" s="201" customFormat="1">
      <c r="A21" s="230">
        <v>2001</v>
      </c>
      <c r="B21" s="218">
        <f>B5*AO21</f>
        <v>218</v>
      </c>
      <c r="C21" s="217">
        <f t="shared" si="25"/>
        <v>0.63976522377109313</v>
      </c>
      <c r="D21" s="218">
        <f t="shared" si="26"/>
        <v>5.2</v>
      </c>
      <c r="E21" s="218">
        <f>E5*AO21</f>
        <v>0</v>
      </c>
      <c r="F21" s="217">
        <f t="shared" si="27"/>
        <v>0</v>
      </c>
      <c r="G21" s="218">
        <f t="shared" si="28"/>
        <v>0</v>
      </c>
      <c r="H21" s="218">
        <f>H5*AO21</f>
        <v>0</v>
      </c>
      <c r="I21" s="217">
        <f t="shared" si="29"/>
        <v>0</v>
      </c>
      <c r="J21" s="218">
        <f t="shared" si="30"/>
        <v>0</v>
      </c>
      <c r="K21" s="218">
        <f>K5*AO21</f>
        <v>914.40000000000009</v>
      </c>
      <c r="L21" s="217">
        <f t="shared" si="31"/>
        <v>2.6834922964049892</v>
      </c>
      <c r="M21" s="218">
        <f t="shared" si="32"/>
        <v>20.400000000000002</v>
      </c>
      <c r="N21" s="218">
        <f>N5*AO21</f>
        <v>0</v>
      </c>
      <c r="O21" s="217">
        <f t="shared" si="33"/>
        <v>0</v>
      </c>
      <c r="P21" s="218">
        <f t="shared" si="34"/>
        <v>0</v>
      </c>
      <c r="Q21" s="218">
        <f>Q5*AO21</f>
        <v>0</v>
      </c>
      <c r="R21" s="219">
        <f t="shared" si="35"/>
        <v>0</v>
      </c>
      <c r="S21" s="218">
        <f t="shared" si="36"/>
        <v>0</v>
      </c>
      <c r="T21" s="218">
        <f>T5*AO21</f>
        <v>0</v>
      </c>
      <c r="U21" s="217">
        <f t="shared" si="37"/>
        <v>0</v>
      </c>
      <c r="V21" s="218">
        <f t="shared" si="38"/>
        <v>0</v>
      </c>
      <c r="W21" s="218">
        <f>W5*AO21</f>
        <v>344</v>
      </c>
      <c r="X21" s="217">
        <f t="shared" si="15"/>
        <v>1.0095377842993396</v>
      </c>
      <c r="Y21" s="218">
        <f t="shared" si="16"/>
        <v>7.2</v>
      </c>
      <c r="Z21" s="218">
        <f>Z5*AO21</f>
        <v>0</v>
      </c>
      <c r="AA21" s="217">
        <f t="shared" si="17"/>
        <v>0</v>
      </c>
      <c r="AB21" s="218">
        <f t="shared" si="18"/>
        <v>0</v>
      </c>
      <c r="AC21" s="218">
        <f>AC5*AO21</f>
        <v>0</v>
      </c>
      <c r="AD21" s="217">
        <f t="shared" si="19"/>
        <v>0</v>
      </c>
      <c r="AE21" s="218">
        <f t="shared" si="20"/>
        <v>0</v>
      </c>
      <c r="AF21" s="218">
        <f>AF5*AO21</f>
        <v>868</v>
      </c>
      <c r="AG21" s="217">
        <f t="shared" si="21"/>
        <v>2.5473220836390316</v>
      </c>
      <c r="AH21" s="218">
        <f t="shared" si="22"/>
        <v>18</v>
      </c>
      <c r="AI21" s="218">
        <f>AI5*AO21</f>
        <v>388</v>
      </c>
      <c r="AJ21" s="217">
        <f t="shared" si="23"/>
        <v>1.1386647101980925</v>
      </c>
      <c r="AK21" s="218">
        <f t="shared" si="24"/>
        <v>8</v>
      </c>
      <c r="AL21" s="218">
        <f t="shared" si="39"/>
        <v>2732.4</v>
      </c>
      <c r="AM21" s="219">
        <f t="shared" si="40"/>
        <v>8.0187820983125455</v>
      </c>
      <c r="AN21" s="218">
        <f t="shared" si="41"/>
        <v>58.800000000000004</v>
      </c>
      <c r="AO21" s="309">
        <v>0.4</v>
      </c>
    </row>
    <row r="22" spans="1:41" s="201" customFormat="1">
      <c r="A22" s="230">
        <v>2002</v>
      </c>
      <c r="B22" s="223"/>
      <c r="C22" s="217">
        <f>C6*40%</f>
        <v>1.304</v>
      </c>
      <c r="D22" s="218">
        <f t="shared" si="26"/>
        <v>9.2000000000000011</v>
      </c>
      <c r="E22" s="223"/>
      <c r="F22" s="217">
        <f>F6*40%</f>
        <v>0.53600000000000003</v>
      </c>
      <c r="G22" s="218">
        <f t="shared" si="28"/>
        <v>3.6</v>
      </c>
      <c r="H22" s="223"/>
      <c r="I22" s="217">
        <f t="shared" ref="I22:I24" si="42">I6*40%</f>
        <v>0.49199999999999999</v>
      </c>
      <c r="J22" s="218">
        <f t="shared" si="30"/>
        <v>3.2</v>
      </c>
      <c r="K22" s="231"/>
      <c r="L22" s="217">
        <f>L6*40%</f>
        <v>2.2200000000000002</v>
      </c>
      <c r="M22" s="218">
        <f t="shared" si="32"/>
        <v>15.200000000000001</v>
      </c>
      <c r="N22" s="234"/>
      <c r="O22" s="217">
        <f>O6*40%</f>
        <v>1.268</v>
      </c>
      <c r="P22" s="218">
        <f t="shared" si="34"/>
        <v>8.4</v>
      </c>
      <c r="Q22" s="234"/>
      <c r="R22" s="219">
        <f t="shared" si="35"/>
        <v>0</v>
      </c>
      <c r="S22" s="218">
        <f t="shared" si="36"/>
        <v>0</v>
      </c>
      <c r="T22" s="234"/>
      <c r="U22" s="217">
        <f>U6*40%</f>
        <v>2.5</v>
      </c>
      <c r="V22" s="218">
        <f t="shared" si="38"/>
        <v>16.400000000000002</v>
      </c>
      <c r="W22" s="234"/>
      <c r="X22" s="217">
        <f>X6*40%</f>
        <v>0.128</v>
      </c>
      <c r="Y22" s="218">
        <f t="shared" si="16"/>
        <v>0.8</v>
      </c>
      <c r="Z22" s="234"/>
      <c r="AA22" s="217">
        <f>AA6*40%</f>
        <v>0.64000000000000012</v>
      </c>
      <c r="AB22" s="218">
        <f t="shared" si="18"/>
        <v>4</v>
      </c>
      <c r="AC22" s="234"/>
      <c r="AD22" s="217">
        <f>AD6*40%</f>
        <v>2.4160000000000004</v>
      </c>
      <c r="AE22" s="218">
        <f t="shared" si="20"/>
        <v>15.600000000000001</v>
      </c>
      <c r="AF22" s="234"/>
      <c r="AG22" s="217">
        <f>AG6*40%</f>
        <v>2.1640000000000001</v>
      </c>
      <c r="AH22" s="218">
        <f t="shared" si="22"/>
        <v>13.600000000000001</v>
      </c>
      <c r="AI22" s="234"/>
      <c r="AJ22" s="217">
        <f>AJ6*40%</f>
        <v>2.7360000000000002</v>
      </c>
      <c r="AK22" s="218">
        <f t="shared" si="24"/>
        <v>17.2</v>
      </c>
      <c r="AL22" s="234"/>
      <c r="AM22" s="219">
        <f t="shared" si="40"/>
        <v>16.404</v>
      </c>
      <c r="AN22" s="218">
        <f t="shared" si="41"/>
        <v>107.2</v>
      </c>
      <c r="AO22" s="309">
        <v>0.4</v>
      </c>
    </row>
    <row r="23" spans="1:41">
      <c r="A23" s="1">
        <v>2003</v>
      </c>
      <c r="B23" s="223"/>
      <c r="C23" s="219">
        <f>C7*40%</f>
        <v>0.25600000000000001</v>
      </c>
      <c r="D23" s="218">
        <f t="shared" si="26"/>
        <v>1.6</v>
      </c>
      <c r="E23" s="223"/>
      <c r="F23" s="218">
        <f>F7*40%</f>
        <v>0</v>
      </c>
      <c r="G23" s="218">
        <f t="shared" si="28"/>
        <v>0</v>
      </c>
      <c r="H23" s="223"/>
      <c r="I23" s="219">
        <f t="shared" si="42"/>
        <v>2.34</v>
      </c>
      <c r="J23" s="218">
        <f t="shared" si="30"/>
        <v>14.4</v>
      </c>
      <c r="K23" s="223"/>
      <c r="L23" s="219">
        <f>L7*40%</f>
        <v>2.2399999999999998</v>
      </c>
      <c r="M23" s="218">
        <f t="shared" si="32"/>
        <v>13.600000000000001</v>
      </c>
      <c r="N23" s="235"/>
      <c r="O23" s="218">
        <f t="shared" ref="O23:O24" si="43">O7*30%</f>
        <v>0</v>
      </c>
      <c r="P23" s="218">
        <f t="shared" si="34"/>
        <v>0</v>
      </c>
      <c r="Q23" s="234"/>
      <c r="R23" s="219">
        <f t="shared" si="35"/>
        <v>0</v>
      </c>
      <c r="S23" s="218">
        <f t="shared" si="36"/>
        <v>0.4</v>
      </c>
      <c r="T23" s="234"/>
      <c r="U23" s="219">
        <f>U7*40%</f>
        <v>0</v>
      </c>
      <c r="V23" s="218">
        <f t="shared" si="38"/>
        <v>0</v>
      </c>
      <c r="W23" s="234"/>
      <c r="X23" s="219">
        <f>X7*40%</f>
        <v>0</v>
      </c>
      <c r="Y23" s="218">
        <f t="shared" si="16"/>
        <v>0</v>
      </c>
      <c r="Z23" s="234"/>
      <c r="AA23" s="219">
        <f>AA7*40%</f>
        <v>0</v>
      </c>
      <c r="AB23" s="218">
        <f t="shared" si="18"/>
        <v>0</v>
      </c>
      <c r="AC23" s="234"/>
      <c r="AD23" s="219">
        <f>AD7*40%</f>
        <v>0</v>
      </c>
      <c r="AE23" s="218">
        <f t="shared" si="20"/>
        <v>0</v>
      </c>
      <c r="AF23" s="234"/>
      <c r="AG23" s="219">
        <f>AG7*40%</f>
        <v>0</v>
      </c>
      <c r="AH23" s="218">
        <f t="shared" si="22"/>
        <v>0</v>
      </c>
      <c r="AI23" s="218">
        <f t="shared" ref="AI23:AI25" si="44">AI7*30%</f>
        <v>0</v>
      </c>
      <c r="AJ23" s="219">
        <f>AJ7*40%</f>
        <v>0</v>
      </c>
      <c r="AK23" s="218">
        <f t="shared" si="24"/>
        <v>0</v>
      </c>
      <c r="AL23" s="219"/>
      <c r="AM23" s="219">
        <f t="shared" si="40"/>
        <v>4.8360000000000003</v>
      </c>
      <c r="AN23" s="218">
        <f t="shared" si="41"/>
        <v>30</v>
      </c>
      <c r="AO23" s="308">
        <v>0.4</v>
      </c>
    </row>
    <row r="24" spans="1:41">
      <c r="A24" s="325">
        <v>2004</v>
      </c>
      <c r="B24" s="223"/>
      <c r="C24" s="219">
        <f>C8*40%</f>
        <v>0</v>
      </c>
      <c r="D24" s="218">
        <f t="shared" si="26"/>
        <v>0</v>
      </c>
      <c r="E24" s="223"/>
      <c r="F24" s="218">
        <f>F8*40%</f>
        <v>0</v>
      </c>
      <c r="G24" s="218">
        <f t="shared" si="28"/>
        <v>0</v>
      </c>
      <c r="H24" s="223"/>
      <c r="I24" s="219">
        <f t="shared" si="42"/>
        <v>0</v>
      </c>
      <c r="J24" s="218">
        <f t="shared" si="30"/>
        <v>0</v>
      </c>
      <c r="K24" s="223"/>
      <c r="L24" s="219">
        <f>L8*40%</f>
        <v>0.51200000000000001</v>
      </c>
      <c r="M24" s="218">
        <f t="shared" si="32"/>
        <v>2.8000000000000003</v>
      </c>
      <c r="N24" s="235"/>
      <c r="O24" s="218">
        <f t="shared" si="43"/>
        <v>0</v>
      </c>
      <c r="P24" s="218">
        <f t="shared" si="34"/>
        <v>0</v>
      </c>
      <c r="Q24" s="234"/>
      <c r="R24" s="219">
        <f t="shared" si="35"/>
        <v>0</v>
      </c>
      <c r="S24" s="218">
        <f t="shared" si="36"/>
        <v>1.2000000000000002</v>
      </c>
      <c r="T24" s="234"/>
      <c r="U24" s="219">
        <f>U8*40%</f>
        <v>0</v>
      </c>
      <c r="V24" s="218">
        <f t="shared" si="38"/>
        <v>0</v>
      </c>
      <c r="W24" s="234"/>
      <c r="X24" s="219">
        <f>X8*40%</f>
        <v>0</v>
      </c>
      <c r="Y24" s="218">
        <f t="shared" si="16"/>
        <v>0</v>
      </c>
      <c r="Z24" s="234"/>
      <c r="AA24" s="219">
        <f>AA8*40%</f>
        <v>0</v>
      </c>
      <c r="AB24" s="218">
        <f t="shared" si="18"/>
        <v>0</v>
      </c>
      <c r="AC24" s="234"/>
      <c r="AD24" s="219">
        <f>AD8*40%</f>
        <v>0.17600000000000002</v>
      </c>
      <c r="AE24" s="218">
        <f t="shared" si="20"/>
        <v>0.8</v>
      </c>
      <c r="AF24" s="234"/>
      <c r="AG24" s="219">
        <f>AG8*40%</f>
        <v>0</v>
      </c>
      <c r="AH24" s="218">
        <f t="shared" si="22"/>
        <v>0</v>
      </c>
      <c r="AI24" s="218">
        <f t="shared" si="44"/>
        <v>0</v>
      </c>
      <c r="AJ24" s="219">
        <f>AJ8*40%</f>
        <v>0</v>
      </c>
      <c r="AK24" s="218">
        <f t="shared" si="24"/>
        <v>0</v>
      </c>
      <c r="AL24" s="219"/>
      <c r="AM24" s="219">
        <f t="shared" si="40"/>
        <v>0.68800000000000006</v>
      </c>
      <c r="AN24" s="218">
        <f t="shared" si="41"/>
        <v>4.8</v>
      </c>
      <c r="AO24" s="308">
        <v>0.4</v>
      </c>
    </row>
    <row r="25" spans="1:41">
      <c r="A25" s="325">
        <v>2005</v>
      </c>
      <c r="B25" s="223"/>
      <c r="C25" s="219"/>
      <c r="D25" s="218"/>
      <c r="E25" s="223"/>
      <c r="F25" s="218"/>
      <c r="G25" s="218"/>
      <c r="H25" s="223"/>
      <c r="I25" s="219"/>
      <c r="J25" s="218"/>
      <c r="K25" s="223"/>
      <c r="L25" s="219"/>
      <c r="M25" s="218"/>
      <c r="N25" s="235"/>
      <c r="O25" s="218"/>
      <c r="P25" s="218"/>
      <c r="Q25" s="234"/>
      <c r="R25" s="219"/>
      <c r="S25" s="218"/>
      <c r="T25" s="234"/>
      <c r="U25" s="219"/>
      <c r="V25" s="218"/>
      <c r="W25" s="234"/>
      <c r="X25" s="219"/>
      <c r="Y25" s="218"/>
      <c r="Z25" s="234"/>
      <c r="AA25" s="219"/>
      <c r="AB25" s="218"/>
      <c r="AC25" s="234"/>
      <c r="AD25" s="219">
        <f>AD9*40%</f>
        <v>0.52800000000000002</v>
      </c>
      <c r="AE25" s="218">
        <f t="shared" si="20"/>
        <v>0</v>
      </c>
      <c r="AF25" s="234"/>
      <c r="AG25" s="219">
        <f>AG9*40%</f>
        <v>0.128</v>
      </c>
      <c r="AH25" s="218">
        <f t="shared" si="22"/>
        <v>0</v>
      </c>
      <c r="AI25" s="218">
        <f t="shared" si="44"/>
        <v>0</v>
      </c>
      <c r="AJ25" s="219">
        <f>AJ9*40%</f>
        <v>0</v>
      </c>
      <c r="AK25" s="218">
        <f t="shared" si="24"/>
        <v>0</v>
      </c>
      <c r="AL25" s="219"/>
      <c r="AM25" s="219">
        <f t="shared" ref="AM25" si="45">C25+F25+I25+L25+O25+R25+U25+X25+AA25+AD25+AG25+AJ25</f>
        <v>0.65600000000000003</v>
      </c>
      <c r="AN25" s="218">
        <f t="shared" ref="AN25" si="46">D25+G25+J25+M25+P25+S25+V25+Y25+AB25+AE25+AH25+AK25</f>
        <v>0</v>
      </c>
      <c r="AO25" s="309">
        <v>0.4</v>
      </c>
    </row>
    <row r="26" spans="1:4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218">
        <f>SUM(AL18:AL23)</f>
        <v>21325.300000000003</v>
      </c>
      <c r="AM26" s="219">
        <f>SUM(AM18:AM25)</f>
        <v>85.167418928833456</v>
      </c>
      <c r="AN26" s="218">
        <f>SUM(AN18:AN25)</f>
        <v>818.84999999999991</v>
      </c>
    </row>
    <row r="28" spans="1:41">
      <c r="AM28" s="209"/>
      <c r="AN28" s="209"/>
    </row>
    <row r="30" spans="1:41" ht="15.75">
      <c r="A30" s="585" t="s">
        <v>170</v>
      </c>
      <c r="B30" s="585"/>
      <c r="C30" s="585"/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</row>
    <row r="31" spans="1:41" ht="15.75">
      <c r="A31" s="584" t="s">
        <v>171</v>
      </c>
      <c r="B31" s="584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  <c r="T31" s="584"/>
      <c r="U31" s="584"/>
      <c r="V31" s="584"/>
      <c r="W31" s="584"/>
    </row>
    <row r="34" spans="1:41" ht="15.75">
      <c r="A34" s="585" t="s">
        <v>169</v>
      </c>
      <c r="B34" s="585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  <c r="Y34" s="585"/>
      <c r="Z34" s="585"/>
      <c r="AA34" s="585"/>
    </row>
    <row r="35" spans="1:41" ht="15.75">
      <c r="A35" s="583" t="s">
        <v>172</v>
      </c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</row>
    <row r="36" spans="1:41" ht="13.5" thickBot="1"/>
    <row r="37" spans="1:41">
      <c r="A37" s="214">
        <v>1998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18"/>
      <c r="X37" s="219">
        <f>W37/340.75</f>
        <v>0</v>
      </c>
      <c r="Y37" s="218"/>
      <c r="Z37" s="218">
        <f>Z2</f>
        <v>5644</v>
      </c>
      <c r="AA37" s="219">
        <f t="shared" ref="AA37:AK37" si="47">AA2</f>
        <v>16.563462949376376</v>
      </c>
      <c r="AB37" s="218">
        <f t="shared" si="47"/>
        <v>204</v>
      </c>
      <c r="AC37" s="218">
        <f t="shared" si="47"/>
        <v>5830</v>
      </c>
      <c r="AD37" s="219">
        <f t="shared" si="47"/>
        <v>17.109317681584738</v>
      </c>
      <c r="AE37" s="218">
        <f t="shared" si="47"/>
        <v>206</v>
      </c>
      <c r="AF37" s="218">
        <f t="shared" si="47"/>
        <v>5160</v>
      </c>
      <c r="AG37" s="219">
        <f t="shared" si="47"/>
        <v>15.143066764490095</v>
      </c>
      <c r="AH37" s="218">
        <f t="shared" si="47"/>
        <v>179</v>
      </c>
      <c r="AI37" s="218">
        <f t="shared" si="47"/>
        <v>7200</v>
      </c>
      <c r="AJ37" s="219">
        <f t="shared" si="47"/>
        <v>21.129860601614087</v>
      </c>
      <c r="AK37" s="218">
        <f t="shared" si="47"/>
        <v>245</v>
      </c>
      <c r="AL37" s="218">
        <f>W37+Z37+AC37+AF37+AI37</f>
        <v>23834</v>
      </c>
      <c r="AM37" s="219">
        <f>X37+AA37+AD37+AG37+AJ37</f>
        <v>69.945707997065298</v>
      </c>
      <c r="AN37" s="218">
        <f>Y37+AB37+AE37+AH37+AK37</f>
        <v>834</v>
      </c>
    </row>
    <row r="38" spans="1:41">
      <c r="A38" s="220">
        <v>1999</v>
      </c>
      <c r="B38" s="218"/>
      <c r="C38" s="217"/>
      <c r="D38" s="218"/>
      <c r="E38" s="218">
        <f>E3</f>
        <v>3860</v>
      </c>
      <c r="F38" s="219">
        <f t="shared" ref="F38:G38" si="48">F3</f>
        <v>11.327953044754219</v>
      </c>
      <c r="G38" s="218">
        <f t="shared" si="48"/>
        <v>127</v>
      </c>
      <c r="H38" s="218"/>
      <c r="I38" s="217"/>
      <c r="J38" s="218"/>
      <c r="K38" s="218">
        <f>K3</f>
        <v>7810</v>
      </c>
      <c r="L38" s="219">
        <f t="shared" ref="L38:P38" si="49">L3</f>
        <v>22.920029347028613</v>
      </c>
      <c r="M38" s="218">
        <f t="shared" si="49"/>
        <v>247</v>
      </c>
      <c r="N38" s="218">
        <f t="shared" si="49"/>
        <v>610</v>
      </c>
      <c r="O38" s="219">
        <f t="shared" si="49"/>
        <v>1.7901687454145268</v>
      </c>
      <c r="P38" s="218">
        <f t="shared" si="49"/>
        <v>19</v>
      </c>
      <c r="Q38" s="218"/>
      <c r="R38" s="217">
        <f t="shared" ref="R38:R40" si="50">Q38/340.75</f>
        <v>0</v>
      </c>
      <c r="S38" s="218"/>
      <c r="T38" s="218"/>
      <c r="U38" s="217">
        <f t="shared" ref="U38:U40" si="51">T38/340.75</f>
        <v>0</v>
      </c>
      <c r="V38" s="218"/>
      <c r="W38" s="218"/>
      <c r="X38" s="217">
        <f t="shared" ref="X38:X40" si="52">W38/340.75</f>
        <v>0</v>
      </c>
      <c r="Y38" s="218"/>
      <c r="Z38" s="218"/>
      <c r="AA38" s="217">
        <f t="shared" ref="AA38:AA40" si="53">Z38/340.75</f>
        <v>0</v>
      </c>
      <c r="AB38" s="218"/>
      <c r="AC38" s="218">
        <f>AC3</f>
        <v>0</v>
      </c>
      <c r="AD38" s="218">
        <f t="shared" ref="AD38:AH38" si="54">AD3</f>
        <v>0</v>
      </c>
      <c r="AE38" s="218">
        <f t="shared" si="54"/>
        <v>0</v>
      </c>
      <c r="AF38" s="218">
        <f t="shared" si="54"/>
        <v>230</v>
      </c>
      <c r="AG38" s="219">
        <f t="shared" si="54"/>
        <v>0.67498165810711663</v>
      </c>
      <c r="AH38" s="218">
        <f t="shared" si="54"/>
        <v>6</v>
      </c>
      <c r="AI38" s="218"/>
      <c r="AJ38" s="217">
        <f t="shared" ref="AJ38:AJ40" si="55">AI38/340.75</f>
        <v>0</v>
      </c>
      <c r="AK38" s="218"/>
      <c r="AL38" s="218">
        <f>B38+E38+H38+K38+N38+Q38+T38+W38+Z38+AC38+AF38+AI38</f>
        <v>12510</v>
      </c>
      <c r="AM38" s="219">
        <f>C38+F38+I38+L38+O38+R38+U38+X38+AA38+AD38+AG38+AJ38</f>
        <v>36.713132795304475</v>
      </c>
      <c r="AN38" s="218">
        <f>D38+G38+J38+M38+P38+S38+V38+Y38+AB38+AE38+AH38+AK38</f>
        <v>399</v>
      </c>
    </row>
    <row r="39" spans="1:41">
      <c r="A39" s="220">
        <v>2000</v>
      </c>
      <c r="B39" s="218">
        <f>B4</f>
        <v>0</v>
      </c>
      <c r="C39" s="218">
        <f t="shared" ref="C39:M39" si="56">C4</f>
        <v>0</v>
      </c>
      <c r="D39" s="218">
        <f t="shared" si="56"/>
        <v>0</v>
      </c>
      <c r="E39" s="218">
        <f t="shared" si="56"/>
        <v>0</v>
      </c>
      <c r="F39" s="218">
        <f t="shared" si="56"/>
        <v>0</v>
      </c>
      <c r="G39" s="218">
        <f t="shared" si="56"/>
        <v>0</v>
      </c>
      <c r="H39" s="218">
        <f t="shared" si="56"/>
        <v>0</v>
      </c>
      <c r="I39" s="218">
        <f t="shared" si="56"/>
        <v>0</v>
      </c>
      <c r="J39" s="218">
        <f t="shared" si="56"/>
        <v>0</v>
      </c>
      <c r="K39" s="218">
        <f t="shared" si="56"/>
        <v>0</v>
      </c>
      <c r="L39" s="218">
        <f t="shared" si="56"/>
        <v>0</v>
      </c>
      <c r="M39" s="218">
        <f t="shared" si="56"/>
        <v>0</v>
      </c>
      <c r="N39" s="218"/>
      <c r="O39" s="217">
        <f t="shared" ref="O39:O40" si="57">N39/340.75</f>
        <v>0</v>
      </c>
      <c r="P39" s="218"/>
      <c r="Q39" s="218"/>
      <c r="R39" s="217">
        <f t="shared" si="50"/>
        <v>0</v>
      </c>
      <c r="S39" s="218"/>
      <c r="T39" s="218"/>
      <c r="U39" s="217">
        <f t="shared" si="51"/>
        <v>0</v>
      </c>
      <c r="V39" s="218"/>
      <c r="W39" s="218"/>
      <c r="X39" s="217">
        <f t="shared" si="52"/>
        <v>0</v>
      </c>
      <c r="Y39" s="218"/>
      <c r="Z39" s="218"/>
      <c r="AA39" s="217">
        <f t="shared" si="53"/>
        <v>0</v>
      </c>
      <c r="AB39" s="218"/>
      <c r="AC39" s="218"/>
      <c r="AD39" s="217">
        <f t="shared" ref="AD39:AD40" si="58">AC39/340.75</f>
        <v>0</v>
      </c>
      <c r="AE39" s="218"/>
      <c r="AF39" s="218"/>
      <c r="AG39" s="217">
        <f t="shared" ref="AG39:AG40" si="59">AF39/340.75</f>
        <v>0</v>
      </c>
      <c r="AH39" s="218"/>
      <c r="AI39" s="218"/>
      <c r="AJ39" s="217">
        <f t="shared" si="55"/>
        <v>0</v>
      </c>
      <c r="AK39" s="218"/>
      <c r="AL39" s="218">
        <f t="shared" ref="AL39:AL42" si="60">B39+E39+H39+K39+N39+Q39+T39+W39+Z39+AC39+AF39+AI39</f>
        <v>0</v>
      </c>
      <c r="AM39" s="219">
        <f t="shared" ref="AM39:AM42" si="61">C39+F39+I39+L39+O39+R39+U39+X39+AA39+AD39+AG39+AJ39</f>
        <v>0</v>
      </c>
      <c r="AN39" s="218">
        <f t="shared" ref="AN39:AN42" si="62">D39+G39+J39+M39+P39+S39+V39+Y39+AB39+AE39+AH39+AK39</f>
        <v>0</v>
      </c>
    </row>
    <row r="40" spans="1:41" s="201" customFormat="1">
      <c r="A40" s="281">
        <v>2001</v>
      </c>
      <c r="B40" s="218"/>
      <c r="C40" s="217">
        <f t="shared" ref="C40" si="63">B40/340.75</f>
        <v>0</v>
      </c>
      <c r="D40" s="218"/>
      <c r="E40" s="218"/>
      <c r="F40" s="217">
        <f t="shared" ref="F40" si="64">E40/340.75</f>
        <v>0</v>
      </c>
      <c r="G40" s="218"/>
      <c r="H40" s="218"/>
      <c r="I40" s="217">
        <f t="shared" ref="I40" si="65">H40/340.75</f>
        <v>0</v>
      </c>
      <c r="J40" s="218"/>
      <c r="K40" s="218"/>
      <c r="L40" s="217">
        <f t="shared" ref="L40" si="66">K40/340.75</f>
        <v>0</v>
      </c>
      <c r="M40" s="218"/>
      <c r="N40" s="218"/>
      <c r="O40" s="217">
        <f t="shared" si="57"/>
        <v>0</v>
      </c>
      <c r="P40" s="218"/>
      <c r="Q40" s="218"/>
      <c r="R40" s="217">
        <f t="shared" si="50"/>
        <v>0</v>
      </c>
      <c r="S40" s="218"/>
      <c r="T40" s="219"/>
      <c r="U40" s="217">
        <f t="shared" si="51"/>
        <v>0</v>
      </c>
      <c r="V40" s="219"/>
      <c r="W40" s="219"/>
      <c r="X40" s="217">
        <f t="shared" si="52"/>
        <v>0</v>
      </c>
      <c r="Y40" s="219"/>
      <c r="Z40" s="219"/>
      <c r="AA40" s="217">
        <f t="shared" si="53"/>
        <v>0</v>
      </c>
      <c r="AB40" s="219"/>
      <c r="AC40" s="219"/>
      <c r="AD40" s="217">
        <f t="shared" si="58"/>
        <v>0</v>
      </c>
      <c r="AE40" s="219"/>
      <c r="AF40" s="219"/>
      <c r="AG40" s="217">
        <f t="shared" si="59"/>
        <v>0</v>
      </c>
      <c r="AH40" s="219"/>
      <c r="AI40" s="219"/>
      <c r="AJ40" s="217">
        <f t="shared" si="55"/>
        <v>0</v>
      </c>
      <c r="AK40" s="219"/>
      <c r="AL40" s="218">
        <f t="shared" si="60"/>
        <v>0</v>
      </c>
      <c r="AM40" s="219">
        <f t="shared" si="61"/>
        <v>0</v>
      </c>
      <c r="AN40" s="218">
        <f t="shared" si="62"/>
        <v>0</v>
      </c>
    </row>
    <row r="41" spans="1:41">
      <c r="A41" s="220">
        <v>2002</v>
      </c>
      <c r="B41" s="218"/>
      <c r="C41" s="217"/>
      <c r="D41" s="218"/>
      <c r="E41" s="218"/>
      <c r="F41" s="217"/>
      <c r="G41" s="218"/>
      <c r="H41" s="219"/>
      <c r="I41" s="217"/>
      <c r="J41" s="218"/>
      <c r="K41" s="221"/>
      <c r="L41" s="217">
        <v>5.55</v>
      </c>
      <c r="M41" s="218">
        <f t="shared" ref="M41" si="67">M6</f>
        <v>38</v>
      </c>
      <c r="N41" s="221"/>
      <c r="O41" s="217">
        <v>3.17</v>
      </c>
      <c r="P41" s="218">
        <f t="shared" ref="P41" si="68">P6</f>
        <v>21</v>
      </c>
      <c r="Q41" s="234"/>
      <c r="R41" s="219"/>
      <c r="S41" s="219"/>
      <c r="T41" s="234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8">
        <f t="shared" si="60"/>
        <v>0</v>
      </c>
      <c r="AM41" s="219">
        <f t="shared" si="61"/>
        <v>8.7199999999999989</v>
      </c>
      <c r="AN41" s="218">
        <f t="shared" si="62"/>
        <v>59</v>
      </c>
    </row>
    <row r="42" spans="1:41">
      <c r="A42" s="1">
        <v>2003</v>
      </c>
      <c r="B42" s="224"/>
      <c r="C42" s="233"/>
      <c r="D42" s="233"/>
      <c r="E42" s="224"/>
      <c r="F42" s="233"/>
      <c r="G42" s="233"/>
      <c r="H42" s="224"/>
      <c r="I42" s="233"/>
      <c r="J42" s="233"/>
      <c r="K42" s="224"/>
      <c r="L42" s="233"/>
      <c r="M42" s="233"/>
      <c r="N42" s="224"/>
      <c r="O42" s="233"/>
      <c r="P42" s="233"/>
      <c r="Q42" s="224"/>
      <c r="R42" s="233"/>
      <c r="S42" s="233"/>
      <c r="T42" s="224"/>
      <c r="U42" s="233"/>
      <c r="V42" s="233"/>
      <c r="W42" s="224"/>
      <c r="X42" s="233"/>
      <c r="Y42" s="233"/>
      <c r="Z42" s="224"/>
      <c r="AA42" s="233"/>
      <c r="AB42" s="233"/>
      <c r="AC42" s="224"/>
      <c r="AD42" s="233"/>
      <c r="AE42" s="233"/>
      <c r="AF42" s="224"/>
      <c r="AG42" s="233"/>
      <c r="AH42" s="233"/>
      <c r="AI42" s="224"/>
      <c r="AJ42" s="233"/>
      <c r="AK42" s="233"/>
      <c r="AL42" s="218">
        <f t="shared" si="60"/>
        <v>0</v>
      </c>
      <c r="AM42" s="219">
        <f t="shared" si="61"/>
        <v>0</v>
      </c>
      <c r="AN42" s="218">
        <f t="shared" si="62"/>
        <v>0</v>
      </c>
    </row>
    <row r="43" spans="1:41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218">
        <f>SUM(AL37:AL42)</f>
        <v>36344</v>
      </c>
      <c r="AM43" s="219">
        <f>SUM(AM37:AM42)</f>
        <v>115.37884079236977</v>
      </c>
      <c r="AN43" s="218">
        <f>SUM(AN37:AN42)</f>
        <v>1292</v>
      </c>
    </row>
    <row r="44" spans="1:41" ht="18">
      <c r="O44" s="232" t="s">
        <v>157</v>
      </c>
      <c r="AL44" s="226"/>
      <c r="AM44" s="226"/>
      <c r="AN44" s="287"/>
    </row>
    <row r="45" spans="1:41">
      <c r="AL45" s="226"/>
      <c r="AM45" s="226"/>
      <c r="AN45" s="344">
        <f>AN11*AM43/AM10</f>
        <v>1398.3763530206902</v>
      </c>
    </row>
    <row r="46" spans="1:41" ht="18">
      <c r="O46" s="225" t="s">
        <v>158</v>
      </c>
      <c r="AL46" s="226"/>
      <c r="AM46" s="226"/>
      <c r="AN46" s="287"/>
    </row>
    <row r="47" spans="1:41">
      <c r="AM47" s="209"/>
      <c r="AN47" s="288"/>
    </row>
    <row r="48" spans="1:41">
      <c r="A48" s="227">
        <v>1998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18">
        <f>W37*30%</f>
        <v>0</v>
      </c>
      <c r="X48" s="219">
        <f t="shared" ref="X48:X51" si="69">W48/340.75</f>
        <v>0</v>
      </c>
      <c r="Y48" s="218">
        <f>Y37*30%</f>
        <v>0</v>
      </c>
      <c r="Z48" s="218">
        <f>Z37*30%</f>
        <v>1693.2</v>
      </c>
      <c r="AA48" s="219">
        <f t="shared" ref="AA48:AA51" si="70">Z48/340.75</f>
        <v>4.969038884812913</v>
      </c>
      <c r="AB48" s="218">
        <f>AB37*30%</f>
        <v>61.199999999999996</v>
      </c>
      <c r="AC48" s="218">
        <f>AC37*30%</f>
        <v>1749</v>
      </c>
      <c r="AD48" s="219">
        <f t="shared" ref="AD48:AD51" si="71">AC48/340.75</f>
        <v>5.1327953044754215</v>
      </c>
      <c r="AE48" s="218">
        <f>AE37*30%</f>
        <v>61.8</v>
      </c>
      <c r="AF48" s="218">
        <f>AF37*30%</f>
        <v>1548</v>
      </c>
      <c r="AG48" s="219">
        <f t="shared" ref="AG48:AG51" si="72">AF48/340.75</f>
        <v>4.5429200293470284</v>
      </c>
      <c r="AH48" s="218">
        <f>AH37*30%</f>
        <v>53.699999999999996</v>
      </c>
      <c r="AI48" s="218">
        <f>AI37*30%</f>
        <v>2160</v>
      </c>
      <c r="AJ48" s="219">
        <f t="shared" ref="AJ48:AJ51" si="73">AI48/340.75</f>
        <v>6.3389581804842257</v>
      </c>
      <c r="AK48" s="218">
        <f>AK37*30%</f>
        <v>73.5</v>
      </c>
      <c r="AL48" s="218">
        <f>W48+Z48+AC48+AF48+AI48</f>
        <v>7150.2</v>
      </c>
      <c r="AM48" s="219">
        <f>X48+AA48+AD48+AG48+AJ48</f>
        <v>20.98371239911959</v>
      </c>
      <c r="AN48" s="218">
        <f>Y48+AB48+AE48+AH48+AK48</f>
        <v>250.2</v>
      </c>
      <c r="AO48" s="308">
        <v>0.3</v>
      </c>
    </row>
    <row r="49" spans="1:41">
      <c r="A49" s="229">
        <v>1999</v>
      </c>
      <c r="B49" s="223">
        <f>B38*30%</f>
        <v>0</v>
      </c>
      <c r="C49" s="221">
        <f t="shared" ref="C49:C51" si="74">B49/340.75</f>
        <v>0</v>
      </c>
      <c r="D49" s="223">
        <f>D38*30%</f>
        <v>0</v>
      </c>
      <c r="E49" s="218">
        <f>E38*40%</f>
        <v>1544</v>
      </c>
      <c r="F49" s="219">
        <f t="shared" ref="F49:F51" si="75">E49/340.75</f>
        <v>4.531181217901687</v>
      </c>
      <c r="G49" s="218">
        <f>G38*30%</f>
        <v>38.1</v>
      </c>
      <c r="H49" s="218">
        <f>H38*30%</f>
        <v>0</v>
      </c>
      <c r="I49" s="219">
        <f t="shared" ref="I49:I51" si="76">H49/340.75</f>
        <v>0</v>
      </c>
      <c r="J49" s="218">
        <f>J38*30%</f>
        <v>0</v>
      </c>
      <c r="K49" s="218">
        <f>K38*40%</f>
        <v>3124</v>
      </c>
      <c r="L49" s="219">
        <f t="shared" ref="L49:L51" si="77">K49/340.75</f>
        <v>9.1680117388114457</v>
      </c>
      <c r="M49" s="218">
        <f>M38*30%</f>
        <v>74.099999999999994</v>
      </c>
      <c r="N49" s="218">
        <f>N38*30%</f>
        <v>183</v>
      </c>
      <c r="O49" s="219">
        <f t="shared" ref="O49:O51" si="78">N49/340.75</f>
        <v>0.53705062362435807</v>
      </c>
      <c r="P49" s="218">
        <f>P38*30%</f>
        <v>5.7</v>
      </c>
      <c r="Q49" s="218">
        <f>Q38*30%</f>
        <v>0</v>
      </c>
      <c r="R49" s="219">
        <f t="shared" ref="R49:R51" si="79">Q49/340.75</f>
        <v>0</v>
      </c>
      <c r="S49" s="218">
        <f>S38*30%</f>
        <v>0</v>
      </c>
      <c r="T49" s="218">
        <f>T38*30%</f>
        <v>0</v>
      </c>
      <c r="U49" s="219">
        <f t="shared" ref="U49:U51" si="80">T49/340.75</f>
        <v>0</v>
      </c>
      <c r="V49" s="218">
        <f>V38*30%</f>
        <v>0</v>
      </c>
      <c r="W49" s="218">
        <f t="shared" ref="W49:W51" si="81">W38*30%</f>
        <v>0</v>
      </c>
      <c r="X49" s="219">
        <f t="shared" si="69"/>
        <v>0</v>
      </c>
      <c r="Y49" s="218">
        <f t="shared" ref="Y49:Z49" si="82">Y38*30%</f>
        <v>0</v>
      </c>
      <c r="Z49" s="218">
        <f t="shared" si="82"/>
        <v>0</v>
      </c>
      <c r="AA49" s="219">
        <f t="shared" si="70"/>
        <v>0</v>
      </c>
      <c r="AB49" s="218">
        <f t="shared" ref="AB49:AC49" si="83">AB38*30%</f>
        <v>0</v>
      </c>
      <c r="AC49" s="218">
        <f t="shared" si="83"/>
        <v>0</v>
      </c>
      <c r="AD49" s="219">
        <f t="shared" si="71"/>
        <v>0</v>
      </c>
      <c r="AE49" s="218">
        <f t="shared" ref="AE49:AF49" si="84">AE38*30%</f>
        <v>0</v>
      </c>
      <c r="AF49" s="218">
        <f t="shared" si="84"/>
        <v>69</v>
      </c>
      <c r="AG49" s="219">
        <f t="shared" si="72"/>
        <v>0.20249449743213499</v>
      </c>
      <c r="AH49" s="218">
        <f t="shared" ref="AH49:AI49" si="85">AH38*30%</f>
        <v>1.7999999999999998</v>
      </c>
      <c r="AI49" s="218">
        <f t="shared" si="85"/>
        <v>0</v>
      </c>
      <c r="AJ49" s="219">
        <f t="shared" si="73"/>
        <v>0</v>
      </c>
      <c r="AK49" s="218">
        <f t="shared" ref="AK49:AK51" si="86">AK38*30%</f>
        <v>0</v>
      </c>
      <c r="AL49" s="218">
        <f>B49+E49+H49+K49+N49+Q49+T49+W49+Z49+AC49+AF49+AI49</f>
        <v>4920</v>
      </c>
      <c r="AM49" s="219">
        <f>C49+F49+I49+L49+O49+R49+U49+X49+AA49+AD49+AG49+AJ49</f>
        <v>14.438738077769626</v>
      </c>
      <c r="AN49" s="218">
        <f>D49+G49+J49+M49+P49+S49+V49+Y49+AB49+AE49+AH49+AK49</f>
        <v>119.69999999999999</v>
      </c>
      <c r="AO49" s="309">
        <v>0.4</v>
      </c>
    </row>
    <row r="50" spans="1:41">
      <c r="A50" s="230">
        <v>2000</v>
      </c>
      <c r="B50" s="218">
        <f t="shared" ref="B50" si="87">B39*30%</f>
        <v>0</v>
      </c>
      <c r="C50" s="217">
        <f t="shared" si="74"/>
        <v>0</v>
      </c>
      <c r="D50" s="218">
        <f t="shared" ref="D50:E50" si="88">D39*30%</f>
        <v>0</v>
      </c>
      <c r="E50" s="218">
        <f t="shared" si="88"/>
        <v>0</v>
      </c>
      <c r="F50" s="217">
        <f t="shared" si="75"/>
        <v>0</v>
      </c>
      <c r="G50" s="218">
        <f t="shared" ref="G50:H50" si="89">G39*30%</f>
        <v>0</v>
      </c>
      <c r="H50" s="218">
        <f t="shared" si="89"/>
        <v>0</v>
      </c>
      <c r="I50" s="217">
        <f t="shared" si="76"/>
        <v>0</v>
      </c>
      <c r="J50" s="218">
        <f t="shared" ref="J50:K50" si="90">J39*30%</f>
        <v>0</v>
      </c>
      <c r="K50" s="218">
        <f t="shared" si="90"/>
        <v>0</v>
      </c>
      <c r="L50" s="217">
        <f t="shared" si="77"/>
        <v>0</v>
      </c>
      <c r="M50" s="218">
        <f t="shared" ref="M50:N50" si="91">M39*30%</f>
        <v>0</v>
      </c>
      <c r="N50" s="218">
        <f t="shared" si="91"/>
        <v>0</v>
      </c>
      <c r="O50" s="217">
        <f t="shared" si="78"/>
        <v>0</v>
      </c>
      <c r="P50" s="218">
        <f t="shared" ref="P50:Q50" si="92">P39*30%</f>
        <v>0</v>
      </c>
      <c r="Q50" s="218">
        <f t="shared" si="92"/>
        <v>0</v>
      </c>
      <c r="R50" s="217">
        <f t="shared" si="79"/>
        <v>0</v>
      </c>
      <c r="S50" s="218">
        <f t="shared" ref="S50:T50" si="93">S39*30%</f>
        <v>0</v>
      </c>
      <c r="T50" s="218">
        <f t="shared" si="93"/>
        <v>0</v>
      </c>
      <c r="U50" s="217">
        <f t="shared" si="80"/>
        <v>0</v>
      </c>
      <c r="V50" s="218">
        <f t="shared" ref="V50:V51" si="94">V39*30%</f>
        <v>0</v>
      </c>
      <c r="W50" s="218">
        <f t="shared" si="81"/>
        <v>0</v>
      </c>
      <c r="X50" s="217">
        <f t="shared" si="69"/>
        <v>0</v>
      </c>
      <c r="Y50" s="218">
        <f t="shared" ref="Y50:Z50" si="95">Y39*30%</f>
        <v>0</v>
      </c>
      <c r="Z50" s="218">
        <f t="shared" si="95"/>
        <v>0</v>
      </c>
      <c r="AA50" s="217">
        <f t="shared" si="70"/>
        <v>0</v>
      </c>
      <c r="AB50" s="218">
        <f t="shared" ref="AB50:AC50" si="96">AB39*30%</f>
        <v>0</v>
      </c>
      <c r="AC50" s="218">
        <f t="shared" si="96"/>
        <v>0</v>
      </c>
      <c r="AD50" s="217">
        <f t="shared" si="71"/>
        <v>0</v>
      </c>
      <c r="AE50" s="218">
        <f t="shared" ref="AE50:AF50" si="97">AE39*30%</f>
        <v>0</v>
      </c>
      <c r="AF50" s="218">
        <f t="shared" si="97"/>
        <v>0</v>
      </c>
      <c r="AG50" s="217">
        <f t="shared" si="72"/>
        <v>0</v>
      </c>
      <c r="AH50" s="218">
        <f t="shared" ref="AH50:AI50" si="98">AH39*30%</f>
        <v>0</v>
      </c>
      <c r="AI50" s="218">
        <f t="shared" si="98"/>
        <v>0</v>
      </c>
      <c r="AJ50" s="217">
        <f t="shared" si="73"/>
        <v>0</v>
      </c>
      <c r="AK50" s="218">
        <f t="shared" si="86"/>
        <v>0</v>
      </c>
      <c r="AL50" s="218">
        <f t="shared" ref="AL50:AL51" si="99">B50+E50+H50+K50+N50+Q50+T50+W50+Z50+AC50+AF50+AI50</f>
        <v>0</v>
      </c>
      <c r="AM50" s="219">
        <f t="shared" ref="AM50:AM51" si="100">C50+F50+I50+L50+O50+R50+U50+X50+AA50+AD50+AG50+AJ50</f>
        <v>0</v>
      </c>
      <c r="AN50" s="218">
        <f t="shared" ref="AN50:AN53" si="101">D50+G50+J50+M50+P50+S50+V50+Y50+AB50+AE50+AH50+AK50</f>
        <v>0</v>
      </c>
      <c r="AO50" s="309">
        <v>0.45</v>
      </c>
    </row>
    <row r="51" spans="1:41">
      <c r="A51" s="230">
        <v>2001</v>
      </c>
      <c r="B51" s="218">
        <f t="shared" ref="B51" si="102">B40*30%</f>
        <v>0</v>
      </c>
      <c r="C51" s="217">
        <f t="shared" si="74"/>
        <v>0</v>
      </c>
      <c r="D51" s="218">
        <f t="shared" ref="D51:E51" si="103">D40*30%</f>
        <v>0</v>
      </c>
      <c r="E51" s="218">
        <f t="shared" si="103"/>
        <v>0</v>
      </c>
      <c r="F51" s="217">
        <f t="shared" si="75"/>
        <v>0</v>
      </c>
      <c r="G51" s="218">
        <f t="shared" ref="G51:H51" si="104">G40*30%</f>
        <v>0</v>
      </c>
      <c r="H51" s="218">
        <f t="shared" si="104"/>
        <v>0</v>
      </c>
      <c r="I51" s="217">
        <f t="shared" si="76"/>
        <v>0</v>
      </c>
      <c r="J51" s="218">
        <f t="shared" ref="J51:K51" si="105">J40*30%</f>
        <v>0</v>
      </c>
      <c r="K51" s="218">
        <f t="shared" si="105"/>
        <v>0</v>
      </c>
      <c r="L51" s="217">
        <f t="shared" si="77"/>
        <v>0</v>
      </c>
      <c r="M51" s="218">
        <f t="shared" ref="M51:N51" si="106">M40*30%</f>
        <v>0</v>
      </c>
      <c r="N51" s="218">
        <f t="shared" si="106"/>
        <v>0</v>
      </c>
      <c r="O51" s="217">
        <f t="shared" si="78"/>
        <v>0</v>
      </c>
      <c r="P51" s="218">
        <f t="shared" ref="P51:Q52" si="107">P40*30%</f>
        <v>0</v>
      </c>
      <c r="Q51" s="218">
        <f t="shared" si="107"/>
        <v>0</v>
      </c>
      <c r="R51" s="217">
        <f t="shared" si="79"/>
        <v>0</v>
      </c>
      <c r="S51" s="218">
        <f t="shared" ref="S51:T51" si="108">S40*30%</f>
        <v>0</v>
      </c>
      <c r="T51" s="218">
        <f t="shared" si="108"/>
        <v>0</v>
      </c>
      <c r="U51" s="217">
        <f t="shared" si="80"/>
        <v>0</v>
      </c>
      <c r="V51" s="218">
        <f t="shared" si="94"/>
        <v>0</v>
      </c>
      <c r="W51" s="218">
        <f t="shared" si="81"/>
        <v>0</v>
      </c>
      <c r="X51" s="217">
        <f t="shared" si="69"/>
        <v>0</v>
      </c>
      <c r="Y51" s="218">
        <f t="shared" ref="Y51:Z51" si="109">Y40*30%</f>
        <v>0</v>
      </c>
      <c r="Z51" s="218">
        <f t="shared" si="109"/>
        <v>0</v>
      </c>
      <c r="AA51" s="217">
        <f t="shared" si="70"/>
        <v>0</v>
      </c>
      <c r="AB51" s="218">
        <f t="shared" ref="AB51:AC51" si="110">AB40*30%</f>
        <v>0</v>
      </c>
      <c r="AC51" s="218">
        <f t="shared" si="110"/>
        <v>0</v>
      </c>
      <c r="AD51" s="217">
        <f t="shared" si="71"/>
        <v>0</v>
      </c>
      <c r="AE51" s="218">
        <f t="shared" ref="AE51:AF51" si="111">AE40*30%</f>
        <v>0</v>
      </c>
      <c r="AF51" s="218">
        <f t="shared" si="111"/>
        <v>0</v>
      </c>
      <c r="AG51" s="217">
        <f t="shared" si="72"/>
        <v>0</v>
      </c>
      <c r="AH51" s="218">
        <f t="shared" ref="AH51:AI51" si="112">AH40*30%</f>
        <v>0</v>
      </c>
      <c r="AI51" s="218">
        <f t="shared" si="112"/>
        <v>0</v>
      </c>
      <c r="AJ51" s="217">
        <f t="shared" si="73"/>
        <v>0</v>
      </c>
      <c r="AK51" s="218">
        <f t="shared" si="86"/>
        <v>0</v>
      </c>
      <c r="AL51" s="218">
        <f t="shared" si="99"/>
        <v>0</v>
      </c>
      <c r="AM51" s="219">
        <f t="shared" si="100"/>
        <v>0</v>
      </c>
      <c r="AN51" s="218">
        <f t="shared" si="101"/>
        <v>0</v>
      </c>
      <c r="AO51" s="309">
        <v>0.4</v>
      </c>
    </row>
    <row r="52" spans="1:41">
      <c r="A52" s="230">
        <v>2002</v>
      </c>
      <c r="B52" s="234"/>
      <c r="C52" s="217"/>
      <c r="D52" s="218"/>
      <c r="E52" s="234"/>
      <c r="F52" s="217"/>
      <c r="G52" s="218"/>
      <c r="H52" s="234"/>
      <c r="I52" s="217"/>
      <c r="J52" s="218"/>
      <c r="K52" s="234"/>
      <c r="L52" s="219">
        <f>L41*40%</f>
        <v>2.2200000000000002</v>
      </c>
      <c r="M52" s="218">
        <f t="shared" ref="M52" si="113">M41*30%</f>
        <v>11.4</v>
      </c>
      <c r="N52" s="234"/>
      <c r="O52" s="219">
        <f>O41*40%</f>
        <v>1.268</v>
      </c>
      <c r="P52" s="218">
        <f t="shared" si="107"/>
        <v>6.3</v>
      </c>
      <c r="Q52" s="234"/>
      <c r="R52" s="219"/>
      <c r="S52" s="219"/>
      <c r="T52" s="234"/>
      <c r="U52" s="219"/>
      <c r="V52" s="219"/>
      <c r="W52" s="219"/>
      <c r="X52" s="219"/>
      <c r="Y52" s="218"/>
      <c r="Z52" s="219"/>
      <c r="AA52" s="219"/>
      <c r="AB52" s="218"/>
      <c r="AC52" s="219"/>
      <c r="AD52" s="219"/>
      <c r="AE52" s="218"/>
      <c r="AF52" s="219"/>
      <c r="AG52" s="219"/>
      <c r="AH52" s="218"/>
      <c r="AI52" s="219"/>
      <c r="AJ52" s="219"/>
      <c r="AK52" s="218"/>
      <c r="AL52" s="218">
        <f t="shared" ref="AL52" si="114">B53+E53+H53+K53+N53+Q53+T53+W53+Z53+AC53+AF53+AI53</f>
        <v>0</v>
      </c>
      <c r="AM52" s="219">
        <f t="shared" ref="AM52" si="115">C53+F53+I53+L53+O53+R53+U53+X53+AA53+AD53+AG53+AJ53</f>
        <v>0</v>
      </c>
      <c r="AN52" s="218">
        <f t="shared" si="101"/>
        <v>17.7</v>
      </c>
      <c r="AO52" s="309">
        <v>0.4</v>
      </c>
    </row>
    <row r="53" spans="1:41">
      <c r="A53" s="1">
        <v>2003</v>
      </c>
      <c r="B53" s="223">
        <f t="shared" ref="B53:AK53" si="116">B42*30%</f>
        <v>0</v>
      </c>
      <c r="C53" s="218">
        <f t="shared" si="116"/>
        <v>0</v>
      </c>
      <c r="D53" s="218">
        <f t="shared" si="116"/>
        <v>0</v>
      </c>
      <c r="E53" s="223">
        <f t="shared" si="116"/>
        <v>0</v>
      </c>
      <c r="F53" s="218">
        <f t="shared" si="116"/>
        <v>0</v>
      </c>
      <c r="G53" s="218">
        <f t="shared" si="116"/>
        <v>0</v>
      </c>
      <c r="H53" s="223">
        <f t="shared" si="116"/>
        <v>0</v>
      </c>
      <c r="I53" s="218">
        <f t="shared" si="116"/>
        <v>0</v>
      </c>
      <c r="J53" s="218">
        <f t="shared" si="116"/>
        <v>0</v>
      </c>
      <c r="K53" s="223">
        <f t="shared" si="116"/>
        <v>0</v>
      </c>
      <c r="L53" s="218">
        <f t="shared" si="116"/>
        <v>0</v>
      </c>
      <c r="M53" s="218">
        <f t="shared" si="116"/>
        <v>0</v>
      </c>
      <c r="N53" s="235">
        <f t="shared" si="116"/>
        <v>0</v>
      </c>
      <c r="O53" s="218">
        <f t="shared" si="116"/>
        <v>0</v>
      </c>
      <c r="P53" s="218">
        <f t="shared" si="116"/>
        <v>0</v>
      </c>
      <c r="Q53" s="218">
        <f t="shared" si="116"/>
        <v>0</v>
      </c>
      <c r="R53" s="218">
        <f t="shared" si="116"/>
        <v>0</v>
      </c>
      <c r="S53" s="218">
        <f t="shared" si="116"/>
        <v>0</v>
      </c>
      <c r="T53" s="218">
        <f t="shared" si="116"/>
        <v>0</v>
      </c>
      <c r="U53" s="218">
        <f t="shared" si="116"/>
        <v>0</v>
      </c>
      <c r="V53" s="218">
        <f t="shared" si="116"/>
        <v>0</v>
      </c>
      <c r="W53" s="218">
        <f t="shared" si="116"/>
        <v>0</v>
      </c>
      <c r="X53" s="218">
        <f t="shared" si="116"/>
        <v>0</v>
      </c>
      <c r="Y53" s="218">
        <f t="shared" si="116"/>
        <v>0</v>
      </c>
      <c r="Z53" s="218">
        <f t="shared" si="116"/>
        <v>0</v>
      </c>
      <c r="AA53" s="218">
        <f t="shared" si="116"/>
        <v>0</v>
      </c>
      <c r="AB53" s="218">
        <f t="shared" si="116"/>
        <v>0</v>
      </c>
      <c r="AC53" s="218">
        <f t="shared" si="116"/>
        <v>0</v>
      </c>
      <c r="AD53" s="218">
        <f t="shared" si="116"/>
        <v>0</v>
      </c>
      <c r="AE53" s="218">
        <f t="shared" si="116"/>
        <v>0</v>
      </c>
      <c r="AF53" s="218">
        <f t="shared" si="116"/>
        <v>0</v>
      </c>
      <c r="AG53" s="218">
        <f t="shared" si="116"/>
        <v>0</v>
      </c>
      <c r="AH53" s="218">
        <f t="shared" si="116"/>
        <v>0</v>
      </c>
      <c r="AI53" s="218">
        <f t="shared" si="116"/>
        <v>0</v>
      </c>
      <c r="AJ53" s="218">
        <f t="shared" si="116"/>
        <v>0</v>
      </c>
      <c r="AK53" s="218">
        <f t="shared" si="116"/>
        <v>0</v>
      </c>
      <c r="AL53" s="219"/>
      <c r="AM53" s="217">
        <f t="shared" ref="AM53" si="117">SUM(B53:AL53)</f>
        <v>0</v>
      </c>
      <c r="AN53" s="218">
        <f t="shared" si="101"/>
        <v>0</v>
      </c>
      <c r="AO53" s="308">
        <v>0.4</v>
      </c>
    </row>
    <row r="54" spans="1:4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218">
        <f>SUM(AL48:AL53)</f>
        <v>12070.2</v>
      </c>
      <c r="AM54" s="219">
        <f>SUM(AM48:AM53)</f>
        <v>35.422450476889217</v>
      </c>
      <c r="AN54" s="218">
        <f>SUM(AN48:AN53)</f>
        <v>387.59999999999997</v>
      </c>
    </row>
  </sheetData>
  <mergeCells count="4">
    <mergeCell ref="A30:AA30"/>
    <mergeCell ref="A31:W31"/>
    <mergeCell ref="A34:AA34"/>
    <mergeCell ref="A35:Y3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O25"/>
  <sheetViews>
    <sheetView topLeftCell="M1" workbookViewId="0">
      <pane ySplit="1" topLeftCell="A2" activePane="bottomLeft" state="frozen"/>
      <selection pane="bottomLeft" activeCell="A23" sqref="A23:AD23"/>
    </sheetView>
  </sheetViews>
  <sheetFormatPr defaultRowHeight="12.75"/>
  <cols>
    <col min="1" max="1" width="3.88671875" style="2" bestFit="1" customWidth="1"/>
    <col min="2" max="3" width="6.21875" style="2" bestFit="1" customWidth="1"/>
    <col min="4" max="4" width="7.44140625" style="2" bestFit="1" customWidth="1"/>
    <col min="5" max="5" width="7" style="2" bestFit="1" customWidth="1"/>
    <col min="6" max="6" width="6.21875" style="2" bestFit="1" customWidth="1"/>
    <col min="7" max="7" width="7.44140625" style="2" bestFit="1" customWidth="1"/>
    <col min="8" max="8" width="7" style="2" bestFit="1" customWidth="1"/>
    <col min="9" max="9" width="6.21875" style="2" bestFit="1" customWidth="1"/>
    <col min="10" max="10" width="7.44140625" style="2" bestFit="1" customWidth="1"/>
    <col min="11" max="11" width="7" style="2" bestFit="1" customWidth="1"/>
    <col min="12" max="12" width="6.21875" style="2" bestFit="1" customWidth="1"/>
    <col min="13" max="13" width="7.44140625" style="2" bestFit="1" customWidth="1"/>
    <col min="14" max="14" width="6.21875" style="2" bestFit="1" customWidth="1"/>
    <col min="15" max="15" width="6.33203125" style="2" customWidth="1"/>
    <col min="16" max="16" width="7.44140625" style="2" bestFit="1" customWidth="1"/>
    <col min="17" max="18" width="6.21875" style="2" bestFit="1" customWidth="1"/>
    <col min="19" max="19" width="7.44140625" style="2" bestFit="1" customWidth="1"/>
    <col min="20" max="21" width="6.21875" style="2" bestFit="1" customWidth="1"/>
    <col min="22" max="22" width="7.44140625" style="2" bestFit="1" customWidth="1"/>
    <col min="23" max="23" width="7" style="2" bestFit="1" customWidth="1"/>
    <col min="24" max="24" width="6.21875" style="2" bestFit="1" customWidth="1"/>
    <col min="25" max="25" width="7.44140625" style="2" bestFit="1" customWidth="1"/>
    <col min="26" max="26" width="8.109375" style="2" bestFit="1" customWidth="1"/>
    <col min="27" max="27" width="6.21875" style="2" bestFit="1" customWidth="1"/>
    <col min="28" max="28" width="7.44140625" style="2" bestFit="1" customWidth="1"/>
    <col min="29" max="29" width="8.109375" style="2" bestFit="1" customWidth="1"/>
    <col min="30" max="30" width="6.21875" style="2" bestFit="1" customWidth="1"/>
    <col min="31" max="31" width="7.44140625" style="2" bestFit="1" customWidth="1"/>
    <col min="32" max="32" width="8.109375" style="2" bestFit="1" customWidth="1"/>
    <col min="33" max="33" width="6.21875" style="2" bestFit="1" customWidth="1"/>
    <col min="34" max="34" width="7.44140625" style="2" bestFit="1" customWidth="1"/>
    <col min="35" max="35" width="8.109375" style="2" bestFit="1" customWidth="1"/>
    <col min="36" max="36" width="6.21875" style="2" bestFit="1" customWidth="1"/>
    <col min="37" max="37" width="7.44140625" style="2" bestFit="1" customWidth="1"/>
    <col min="38" max="38" width="7.77734375" style="2" bestFit="1" customWidth="1"/>
    <col min="39" max="39" width="7" style="2" bestFit="1" customWidth="1"/>
    <col min="40" max="40" width="8.88671875" style="2" bestFit="1" customWidth="1"/>
    <col min="41" max="41" width="6.77734375" style="2" customWidth="1"/>
    <col min="42" max="16384" width="8.88671875" style="2"/>
  </cols>
  <sheetData>
    <row r="1" spans="1:41" ht="13.5" thickBot="1">
      <c r="A1" s="166"/>
      <c r="B1" s="167" t="s">
        <v>4</v>
      </c>
      <c r="C1" s="167" t="s">
        <v>147</v>
      </c>
      <c r="D1" s="167" t="s">
        <v>139</v>
      </c>
      <c r="E1" s="168" t="s">
        <v>5</v>
      </c>
      <c r="F1" s="168" t="s">
        <v>147</v>
      </c>
      <c r="G1" s="168" t="s">
        <v>139</v>
      </c>
      <c r="H1" s="167" t="s">
        <v>6</v>
      </c>
      <c r="I1" s="167" t="s">
        <v>147</v>
      </c>
      <c r="J1" s="167" t="s">
        <v>139</v>
      </c>
      <c r="K1" s="212" t="s">
        <v>7</v>
      </c>
      <c r="L1" s="212" t="s">
        <v>147</v>
      </c>
      <c r="M1" s="212" t="s">
        <v>139</v>
      </c>
      <c r="N1" s="167" t="s">
        <v>2</v>
      </c>
      <c r="O1" s="167" t="s">
        <v>147</v>
      </c>
      <c r="P1" s="167" t="s">
        <v>139</v>
      </c>
      <c r="Q1" s="168" t="s">
        <v>8</v>
      </c>
      <c r="R1" s="168" t="s">
        <v>147</v>
      </c>
      <c r="S1" s="168" t="s">
        <v>139</v>
      </c>
      <c r="T1" s="167" t="s">
        <v>9</v>
      </c>
      <c r="U1" s="167" t="s">
        <v>147</v>
      </c>
      <c r="V1" s="167" t="s">
        <v>139</v>
      </c>
      <c r="W1" s="212" t="s">
        <v>10</v>
      </c>
      <c r="X1" s="212" t="s">
        <v>147</v>
      </c>
      <c r="Y1" s="212" t="s">
        <v>139</v>
      </c>
      <c r="Z1" s="167" t="s">
        <v>11</v>
      </c>
      <c r="AA1" s="167" t="s">
        <v>147</v>
      </c>
      <c r="AB1" s="167" t="s">
        <v>139</v>
      </c>
      <c r="AC1" s="168" t="s">
        <v>12</v>
      </c>
      <c r="AD1" s="168" t="s">
        <v>147</v>
      </c>
      <c r="AE1" s="168" t="s">
        <v>139</v>
      </c>
      <c r="AF1" s="167" t="s">
        <v>13</v>
      </c>
      <c r="AG1" s="167" t="s">
        <v>147</v>
      </c>
      <c r="AH1" s="167" t="s">
        <v>139</v>
      </c>
      <c r="AI1" s="212" t="s">
        <v>14</v>
      </c>
      <c r="AJ1" s="212" t="s">
        <v>147</v>
      </c>
      <c r="AK1" s="212" t="s">
        <v>139</v>
      </c>
      <c r="AL1" s="213" t="s">
        <v>156</v>
      </c>
      <c r="AM1" s="213" t="s">
        <v>147</v>
      </c>
      <c r="AN1" s="213" t="s">
        <v>139</v>
      </c>
    </row>
    <row r="2" spans="1:41">
      <c r="A2" s="214">
        <v>1998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6">
        <v>3918</v>
      </c>
      <c r="X2" s="217">
        <f>W2/340.75</f>
        <v>11.498165810711665</v>
      </c>
      <c r="Y2" s="216">
        <v>144</v>
      </c>
      <c r="Z2" s="216">
        <v>15562</v>
      </c>
      <c r="AA2" s="217">
        <f>Z2/340.75</f>
        <v>45.669845928099782</v>
      </c>
      <c r="AB2" s="216">
        <v>561</v>
      </c>
      <c r="AC2" s="216">
        <v>16840</v>
      </c>
      <c r="AD2" s="217">
        <f>AC2/340.75</f>
        <v>49.420396184886279</v>
      </c>
      <c r="AE2" s="216">
        <v>596</v>
      </c>
      <c r="AF2" s="216">
        <v>9922</v>
      </c>
      <c r="AG2" s="217">
        <f>AF2/340.75</f>
        <v>29.118121790168747</v>
      </c>
      <c r="AH2" s="216">
        <v>345</v>
      </c>
      <c r="AI2" s="216">
        <v>22788</v>
      </c>
      <c r="AJ2" s="217">
        <f>AI2/340.75</f>
        <v>66.876008804108579</v>
      </c>
      <c r="AK2" s="216">
        <v>776</v>
      </c>
      <c r="AL2" s="218">
        <f>W2+Z2+AC2+AF2+AI2</f>
        <v>69030</v>
      </c>
      <c r="AM2" s="219">
        <f>X2+AA2+AD2+AG2+AJ2</f>
        <v>202.58253851797505</v>
      </c>
      <c r="AN2" s="219">
        <f>Y2+AB2+AE2+AH2+AK2</f>
        <v>2422</v>
      </c>
    </row>
    <row r="3" spans="1:41">
      <c r="A3" s="220">
        <v>1999</v>
      </c>
      <c r="B3" s="218">
        <v>4404</v>
      </c>
      <c r="C3" s="217">
        <f t="shared" ref="C3:C5" si="0">B3/340.75</f>
        <v>12.924431401320616</v>
      </c>
      <c r="D3" s="218">
        <v>147</v>
      </c>
      <c r="E3" s="218">
        <v>10356</v>
      </c>
      <c r="F3" s="217">
        <f t="shared" ref="F3:F5" si="1">E3/340.75</f>
        <v>30.391782831988262</v>
      </c>
      <c r="G3" s="218">
        <v>340</v>
      </c>
      <c r="H3" s="218">
        <v>16136</v>
      </c>
      <c r="I3" s="217">
        <f t="shared" ref="I3:I5" si="2">H3/340.75</f>
        <v>47.354365370506237</v>
      </c>
      <c r="J3" s="218">
        <v>520</v>
      </c>
      <c r="K3" s="218">
        <v>14888</v>
      </c>
      <c r="L3" s="217">
        <f t="shared" ref="L3:L5" si="3">K3/340.75</f>
        <v>43.691856199559794</v>
      </c>
      <c r="M3" s="218">
        <v>472</v>
      </c>
      <c r="N3" s="218">
        <v>6364</v>
      </c>
      <c r="O3" s="217">
        <f t="shared" ref="O3:O5" si="4">N3/340.75</f>
        <v>18.676449009537784</v>
      </c>
      <c r="P3" s="218">
        <v>198</v>
      </c>
      <c r="Q3" s="218">
        <v>6394</v>
      </c>
      <c r="R3" s="217">
        <f t="shared" ref="R3:R5" si="5">Q3/340.75</f>
        <v>18.764490095377845</v>
      </c>
      <c r="S3" s="218">
        <v>196</v>
      </c>
      <c r="T3" s="218">
        <v>5926</v>
      </c>
      <c r="U3" s="217">
        <f t="shared" ref="U3:U5" si="6">T3/340.75</f>
        <v>17.391049156272928</v>
      </c>
      <c r="V3" s="218">
        <v>178</v>
      </c>
      <c r="W3" s="218">
        <v>17508</v>
      </c>
      <c r="X3" s="217">
        <f t="shared" ref="X3:X5" si="7">W3/340.75</f>
        <v>51.380777696258257</v>
      </c>
      <c r="Y3" s="218">
        <v>517</v>
      </c>
      <c r="Z3" s="218">
        <v>14280</v>
      </c>
      <c r="AA3" s="217">
        <f t="shared" ref="AA3:AA5" si="8">Z3/340.75</f>
        <v>41.907556859867938</v>
      </c>
      <c r="AB3" s="218">
        <v>415</v>
      </c>
      <c r="AC3" s="218">
        <v>12348</v>
      </c>
      <c r="AD3" s="217">
        <f t="shared" ref="AD3:AD5" si="9">AC3/340.75</f>
        <v>36.237710931768156</v>
      </c>
      <c r="AE3" s="218">
        <v>353</v>
      </c>
      <c r="AF3" s="218">
        <v>5976</v>
      </c>
      <c r="AG3" s="217">
        <f t="shared" ref="AG3:AG5" si="10">AF3/340.75</f>
        <v>17.537784299339691</v>
      </c>
      <c r="AH3" s="218">
        <v>168</v>
      </c>
      <c r="AI3" s="218">
        <v>288</v>
      </c>
      <c r="AJ3" s="217">
        <f t="shared" ref="AJ3:AJ5" si="11">AI3/340.75</f>
        <v>0.84519442406456347</v>
      </c>
      <c r="AK3" s="218">
        <v>8</v>
      </c>
      <c r="AL3" s="218">
        <f>B3+E3+H3+K3+N3+Q3+T3+W3+Z3+AC3+AF3+AI3</f>
        <v>114868</v>
      </c>
      <c r="AM3" s="219">
        <f>C3+F3+I3+L3+O3+R3+U3+X3+AA3+AD3+AG3+AJ3</f>
        <v>337.10344827586209</v>
      </c>
      <c r="AN3" s="219">
        <f>D3+G3+J3+M3+P3+S3+V3+Y3+AB3+AE3+AH3+AK3</f>
        <v>3512</v>
      </c>
    </row>
    <row r="4" spans="1:41" s="201" customFormat="1">
      <c r="A4" s="279">
        <v>2000</v>
      </c>
      <c r="B4" s="218"/>
      <c r="C4" s="217">
        <f t="shared" si="0"/>
        <v>0</v>
      </c>
      <c r="D4" s="218"/>
      <c r="E4" s="218"/>
      <c r="F4" s="217">
        <f t="shared" si="1"/>
        <v>0</v>
      </c>
      <c r="G4" s="218"/>
      <c r="H4" s="218">
        <v>120</v>
      </c>
      <c r="I4" s="217">
        <f t="shared" si="2"/>
        <v>0.35216434336023478</v>
      </c>
      <c r="J4" s="218">
        <v>3</v>
      </c>
      <c r="K4" s="218"/>
      <c r="L4" s="217">
        <f t="shared" si="3"/>
        <v>0</v>
      </c>
      <c r="M4" s="218"/>
      <c r="N4" s="218"/>
      <c r="O4" s="217">
        <f t="shared" si="4"/>
        <v>0</v>
      </c>
      <c r="P4" s="218"/>
      <c r="Q4" s="218">
        <v>1554</v>
      </c>
      <c r="R4" s="217">
        <f t="shared" si="5"/>
        <v>4.5605282465150401</v>
      </c>
      <c r="S4" s="218">
        <v>39</v>
      </c>
      <c r="T4" s="218">
        <v>3108</v>
      </c>
      <c r="U4" s="217">
        <f t="shared" si="6"/>
        <v>9.1210564930300801</v>
      </c>
      <c r="V4" s="218">
        <v>77</v>
      </c>
      <c r="W4" s="218">
        <v>11076</v>
      </c>
      <c r="X4" s="217">
        <f t="shared" si="7"/>
        <v>32.50476889214967</v>
      </c>
      <c r="Y4" s="218">
        <v>272</v>
      </c>
      <c r="Z4" s="218">
        <v>2424</v>
      </c>
      <c r="AA4" s="217">
        <f t="shared" si="8"/>
        <v>7.1137197358767423</v>
      </c>
      <c r="AB4" s="218">
        <v>59</v>
      </c>
      <c r="AC4" s="218">
        <v>3012</v>
      </c>
      <c r="AD4" s="217">
        <f t="shared" si="9"/>
        <v>8.8393250183418921</v>
      </c>
      <c r="AE4" s="218">
        <v>72</v>
      </c>
      <c r="AF4" s="218">
        <v>4958</v>
      </c>
      <c r="AG4" s="217">
        <f t="shared" si="10"/>
        <v>14.550256786500366</v>
      </c>
      <c r="AH4" s="218">
        <v>117</v>
      </c>
      <c r="AI4" s="218">
        <v>1500</v>
      </c>
      <c r="AJ4" s="217">
        <f t="shared" si="11"/>
        <v>4.4020542920029344</v>
      </c>
      <c r="AK4" s="218">
        <v>35</v>
      </c>
      <c r="AL4" s="218">
        <f t="shared" ref="AL4:AN6" si="12">B4+E4+H4+K4+N4+Q4+T4+W4+Z4+AC4+AF4+AI4</f>
        <v>27752</v>
      </c>
      <c r="AM4" s="219">
        <f t="shared" si="12"/>
        <v>81.443873807776967</v>
      </c>
      <c r="AN4" s="219">
        <f t="shared" si="12"/>
        <v>674</v>
      </c>
    </row>
    <row r="5" spans="1:41" s="201" customFormat="1">
      <c r="A5" s="281">
        <v>2001</v>
      </c>
      <c r="B5" s="218">
        <v>300</v>
      </c>
      <c r="C5" s="217">
        <f t="shared" si="0"/>
        <v>0.88041085840058697</v>
      </c>
      <c r="D5" s="218">
        <v>7</v>
      </c>
      <c r="E5" s="218">
        <v>1350</v>
      </c>
      <c r="F5" s="217">
        <f t="shared" si="1"/>
        <v>3.9618488628026411</v>
      </c>
      <c r="G5" s="218">
        <v>31</v>
      </c>
      <c r="H5" s="218">
        <v>540</v>
      </c>
      <c r="I5" s="217">
        <f t="shared" si="2"/>
        <v>1.5847395451210564</v>
      </c>
      <c r="J5" s="218">
        <v>12</v>
      </c>
      <c r="K5" s="218"/>
      <c r="L5" s="217">
        <f t="shared" si="3"/>
        <v>0</v>
      </c>
      <c r="M5" s="218"/>
      <c r="N5" s="218"/>
      <c r="O5" s="217">
        <f t="shared" si="4"/>
        <v>0</v>
      </c>
      <c r="P5" s="218"/>
      <c r="Q5" s="218">
        <v>300</v>
      </c>
      <c r="R5" s="217">
        <f t="shared" si="5"/>
        <v>0.88041085840058697</v>
      </c>
      <c r="S5" s="218">
        <v>7</v>
      </c>
      <c r="T5" s="219"/>
      <c r="U5" s="217">
        <f t="shared" si="6"/>
        <v>0</v>
      </c>
      <c r="V5" s="219"/>
      <c r="W5" s="219">
        <v>240</v>
      </c>
      <c r="X5" s="217">
        <f t="shared" si="7"/>
        <v>0.70432868672046955</v>
      </c>
      <c r="Y5" s="218">
        <v>5</v>
      </c>
      <c r="Z5" s="219">
        <v>4044</v>
      </c>
      <c r="AA5" s="217">
        <f t="shared" si="8"/>
        <v>11.867938371239912</v>
      </c>
      <c r="AB5" s="218">
        <v>86</v>
      </c>
      <c r="AC5" s="219">
        <v>6912</v>
      </c>
      <c r="AD5" s="217">
        <f t="shared" si="9"/>
        <v>20.284666177549521</v>
      </c>
      <c r="AE5" s="218">
        <v>145</v>
      </c>
      <c r="AF5" s="219">
        <v>6540</v>
      </c>
      <c r="AG5" s="217">
        <f t="shared" si="10"/>
        <v>19.192956713132794</v>
      </c>
      <c r="AH5" s="218">
        <v>136</v>
      </c>
      <c r="AI5" s="219">
        <v>4272</v>
      </c>
      <c r="AJ5" s="217">
        <f t="shared" si="11"/>
        <v>12.537050623624358</v>
      </c>
      <c r="AK5" s="218">
        <v>88</v>
      </c>
      <c r="AL5" s="218">
        <f t="shared" si="12"/>
        <v>24498</v>
      </c>
      <c r="AM5" s="219">
        <f t="shared" si="12"/>
        <v>71.894350696991921</v>
      </c>
      <c r="AN5" s="219">
        <f t="shared" si="12"/>
        <v>517</v>
      </c>
    </row>
    <row r="6" spans="1:41">
      <c r="A6" s="220">
        <v>2002</v>
      </c>
      <c r="B6" s="221"/>
      <c r="C6" s="217">
        <v>6.37</v>
      </c>
      <c r="D6" s="218">
        <v>44</v>
      </c>
      <c r="E6" s="221"/>
      <c r="F6" s="217">
        <v>2.64</v>
      </c>
      <c r="G6" s="218">
        <v>18</v>
      </c>
      <c r="H6" s="221"/>
      <c r="I6" s="217">
        <v>1.1100000000000001</v>
      </c>
      <c r="J6" s="218">
        <v>8</v>
      </c>
      <c r="K6" s="221"/>
      <c r="L6" s="217"/>
      <c r="M6" s="219"/>
      <c r="N6" s="221"/>
      <c r="O6" s="219"/>
      <c r="P6" s="219"/>
      <c r="Q6" s="221"/>
      <c r="R6" s="219"/>
      <c r="S6" s="219"/>
      <c r="T6" s="221"/>
      <c r="U6" s="219"/>
      <c r="V6" s="219"/>
      <c r="W6" s="221"/>
      <c r="X6" s="219"/>
      <c r="Y6" s="219"/>
      <c r="Z6" s="221"/>
      <c r="AA6" s="219"/>
      <c r="AB6" s="219"/>
      <c r="AC6" s="221"/>
      <c r="AD6" s="219"/>
      <c r="AE6" s="219"/>
      <c r="AF6" s="221"/>
      <c r="AG6" s="219"/>
      <c r="AH6" s="219"/>
      <c r="AI6" s="221"/>
      <c r="AJ6" s="219"/>
      <c r="AK6" s="219"/>
      <c r="AL6" s="221"/>
      <c r="AM6" s="219">
        <f t="shared" si="12"/>
        <v>10.119999999999999</v>
      </c>
      <c r="AN6" s="219">
        <f t="shared" si="12"/>
        <v>70</v>
      </c>
    </row>
    <row r="7" spans="1:41">
      <c r="A7" s="1">
        <v>2003</v>
      </c>
      <c r="B7" s="224"/>
      <c r="C7" s="233"/>
      <c r="D7" s="233"/>
      <c r="E7" s="224"/>
      <c r="F7" s="233"/>
      <c r="G7" s="233"/>
      <c r="H7" s="224"/>
      <c r="I7" s="233"/>
      <c r="J7" s="233"/>
      <c r="K7" s="224"/>
      <c r="L7" s="233"/>
      <c r="M7" s="233"/>
      <c r="N7" s="224"/>
      <c r="O7" s="233"/>
      <c r="P7" s="233"/>
      <c r="Q7" s="224"/>
      <c r="R7" s="233"/>
      <c r="S7" s="233"/>
      <c r="T7" s="224"/>
      <c r="U7" s="233"/>
      <c r="V7" s="233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1"/>
      <c r="AM7" s="222">
        <f t="shared" ref="AM7" si="13">SUM(B7:AL7)</f>
        <v>0</v>
      </c>
      <c r="AN7" s="222"/>
    </row>
    <row r="8" spans="1:4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218">
        <f>SUM(AL2:AL7)</f>
        <v>236148</v>
      </c>
      <c r="AM8" s="219">
        <f>SUM(AM2:AM7)</f>
        <v>703.14421129860614</v>
      </c>
      <c r="AN8" s="219">
        <f>SUM(AN2:AN7)</f>
        <v>7195</v>
      </c>
    </row>
    <row r="9" spans="1:41" ht="18">
      <c r="O9" s="232" t="s">
        <v>157</v>
      </c>
      <c r="AL9" s="226"/>
      <c r="AM9" s="226"/>
      <c r="AN9" s="343">
        <v>8910</v>
      </c>
    </row>
    <row r="10" spans="1:41">
      <c r="AL10" s="226"/>
      <c r="AM10" s="226"/>
      <c r="AN10" s="263">
        <v>46063</v>
      </c>
    </row>
    <row r="11" spans="1:41" ht="18">
      <c r="O11" s="225" t="s">
        <v>158</v>
      </c>
      <c r="AL11" s="226"/>
      <c r="AM11" s="226"/>
      <c r="AN11" s="260" t="s">
        <v>182</v>
      </c>
    </row>
    <row r="12" spans="1:41">
      <c r="AM12" s="209"/>
      <c r="AN12" s="209"/>
    </row>
    <row r="13" spans="1:41">
      <c r="A13" s="227">
        <v>1998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18">
        <f>W2*AO13</f>
        <v>1175.3999999999999</v>
      </c>
      <c r="X13" s="219">
        <f t="shared" ref="X13:X16" si="14">W13/340.75</f>
        <v>3.4494497432134992</v>
      </c>
      <c r="Y13" s="218">
        <f>Y2*AO13</f>
        <v>43.199999999999996</v>
      </c>
      <c r="Z13" s="218">
        <f>Z2*AO13</f>
        <v>4668.5999999999995</v>
      </c>
      <c r="AA13" s="219">
        <f t="shared" ref="AA13:AA16" si="15">Z13/340.75</f>
        <v>13.700953778429932</v>
      </c>
      <c r="AB13" s="218">
        <f>AB2*AO13</f>
        <v>168.29999999999998</v>
      </c>
      <c r="AC13" s="218">
        <f>AC2*AO13</f>
        <v>5052</v>
      </c>
      <c r="AD13" s="219">
        <f t="shared" ref="AD13:AD16" si="16">AC13/340.75</f>
        <v>14.826118855465884</v>
      </c>
      <c r="AE13" s="218">
        <f>AE2*AO13</f>
        <v>178.79999999999998</v>
      </c>
      <c r="AF13" s="218">
        <f>AF2*AO13</f>
        <v>2976.6</v>
      </c>
      <c r="AG13" s="219">
        <f t="shared" ref="AG13:AG16" si="17">AF13/340.75</f>
        <v>8.7354365370506226</v>
      </c>
      <c r="AH13" s="218">
        <f>AH2*AO13</f>
        <v>103.5</v>
      </c>
      <c r="AI13" s="218">
        <f>AI2*AO13</f>
        <v>6836.4</v>
      </c>
      <c r="AJ13" s="219">
        <f t="shared" ref="AJ13:AJ16" si="18">AI13/340.75</f>
        <v>20.062802641232572</v>
      </c>
      <c r="AK13" s="218">
        <f>AK2*AO13</f>
        <v>232.79999999999998</v>
      </c>
      <c r="AL13" s="218">
        <f>W13+Z13+AC13+AF13+AI13</f>
        <v>20709</v>
      </c>
      <c r="AM13" s="219">
        <f>X13+AA13+AD13+AG13+AJ13</f>
        <v>60.774761555392516</v>
      </c>
      <c r="AN13" s="219">
        <f>Y13+AB13+AE13+AH13+AK13</f>
        <v>726.59999999999991</v>
      </c>
      <c r="AO13" s="308">
        <v>0.3</v>
      </c>
    </row>
    <row r="14" spans="1:41" s="201" customFormat="1">
      <c r="A14" s="229">
        <v>1999</v>
      </c>
      <c r="B14" s="218">
        <f>B3*AO14</f>
        <v>1761.6000000000001</v>
      </c>
      <c r="C14" s="219">
        <f t="shared" ref="C14:C16" si="19">B14/340.75</f>
        <v>5.169772560528247</v>
      </c>
      <c r="D14" s="218">
        <f>D3*AO14</f>
        <v>58.800000000000004</v>
      </c>
      <c r="E14" s="218">
        <f>E3*AO14</f>
        <v>4142.4000000000005</v>
      </c>
      <c r="F14" s="219">
        <f t="shared" ref="F14:F16" si="20">E14/340.75</f>
        <v>12.156713132795305</v>
      </c>
      <c r="G14" s="218">
        <f>G3*AO14</f>
        <v>136</v>
      </c>
      <c r="H14" s="218">
        <f>H3*AO14</f>
        <v>6454.4000000000005</v>
      </c>
      <c r="I14" s="219">
        <f t="shared" ref="I14:I16" si="21">H14/340.75</f>
        <v>18.941746148202498</v>
      </c>
      <c r="J14" s="218">
        <f>J3*AO14</f>
        <v>208</v>
      </c>
      <c r="K14" s="218">
        <f>K3*AO14</f>
        <v>5955.2000000000007</v>
      </c>
      <c r="L14" s="219">
        <f t="shared" ref="L14:L17" si="22">K14/340.75</f>
        <v>17.476742479823919</v>
      </c>
      <c r="M14" s="218">
        <f>M3*AO14</f>
        <v>188.8</v>
      </c>
      <c r="N14" s="218">
        <f>N3*AO14</f>
        <v>2545.6000000000004</v>
      </c>
      <c r="O14" s="219">
        <f t="shared" ref="O14:O17" si="23">N14/340.75</f>
        <v>7.4705796038151151</v>
      </c>
      <c r="P14" s="218">
        <f>P3*AO14</f>
        <v>79.2</v>
      </c>
      <c r="Q14" s="218">
        <f>Q3*AO14</f>
        <v>2557.6000000000004</v>
      </c>
      <c r="R14" s="219">
        <f t="shared" ref="R14:R16" si="24">Q14/340.75</f>
        <v>7.5057960381511384</v>
      </c>
      <c r="S14" s="218">
        <f>S3*AO14</f>
        <v>78.400000000000006</v>
      </c>
      <c r="T14" s="218">
        <f>T3*AO14</f>
        <v>2370.4</v>
      </c>
      <c r="U14" s="219">
        <f t="shared" ref="U14:U16" si="25">T14/340.75</f>
        <v>6.9564196625091714</v>
      </c>
      <c r="V14" s="218">
        <f>V3*AO14</f>
        <v>71.2</v>
      </c>
      <c r="W14" s="218">
        <f t="shared" ref="W14:W16" si="26">W3*AO14</f>
        <v>7003.2000000000007</v>
      </c>
      <c r="X14" s="219">
        <f t="shared" si="14"/>
        <v>20.552311078503305</v>
      </c>
      <c r="Y14" s="218">
        <f t="shared" ref="Y14:Y18" si="27">Y3*AO14</f>
        <v>206.8</v>
      </c>
      <c r="Z14" s="218">
        <f t="shared" ref="Z14:Z16" si="28">Z3*AO14</f>
        <v>5712</v>
      </c>
      <c r="AA14" s="219">
        <f t="shared" si="15"/>
        <v>16.763022743947175</v>
      </c>
      <c r="AB14" s="218">
        <f t="shared" ref="AB14:AB18" si="29">AB3*AO14</f>
        <v>166</v>
      </c>
      <c r="AC14" s="218">
        <f t="shared" ref="AC14:AC16" si="30">AC3*AO14</f>
        <v>4939.2000000000007</v>
      </c>
      <c r="AD14" s="219">
        <f t="shared" si="16"/>
        <v>14.495084372707266</v>
      </c>
      <c r="AE14" s="218">
        <f t="shared" ref="AE14:AE17" si="31">AE3*AO14</f>
        <v>141.20000000000002</v>
      </c>
      <c r="AF14" s="218">
        <f t="shared" ref="AF14:AF16" si="32">AF3*AO14</f>
        <v>2390.4</v>
      </c>
      <c r="AG14" s="219">
        <f t="shared" si="17"/>
        <v>7.0151137197358766</v>
      </c>
      <c r="AH14" s="218">
        <f t="shared" ref="AH14:AH17" si="33">AH3*AO14</f>
        <v>67.2</v>
      </c>
      <c r="AI14" s="218">
        <f t="shared" ref="AI14:AI16" si="34">AI3*AO14</f>
        <v>115.2</v>
      </c>
      <c r="AJ14" s="219">
        <f t="shared" si="18"/>
        <v>0.33807776962582542</v>
      </c>
      <c r="AK14" s="218">
        <f t="shared" ref="AK14:AK17" si="35">AK3*AO14</f>
        <v>3.2</v>
      </c>
      <c r="AL14" s="218">
        <f>B14+E14+H14+K14+N14+Q14+T14+W14+Z14+AC14+AF14+AI14</f>
        <v>45947.200000000004</v>
      </c>
      <c r="AM14" s="219">
        <f>C14+F14+I14+L14+O14+R14+U14+X14+AA14+AD14+AG14+AJ14</f>
        <v>134.84137931034482</v>
      </c>
      <c r="AN14" s="219">
        <f>D14+G14+J14+M14+P14+S14+V14+Y14+AB14+AE14+AH14+AK14</f>
        <v>1404.8000000000002</v>
      </c>
      <c r="AO14" s="309">
        <v>0.4</v>
      </c>
    </row>
    <row r="15" spans="1:41" s="201" customFormat="1">
      <c r="A15" s="230">
        <v>2000</v>
      </c>
      <c r="B15" s="218">
        <f t="shared" ref="B15:B16" si="36">B4*AO15</f>
        <v>0</v>
      </c>
      <c r="C15" s="217">
        <f t="shared" si="19"/>
        <v>0</v>
      </c>
      <c r="D15" s="218">
        <f t="shared" ref="D15:D18" si="37">D4*AO15</f>
        <v>0</v>
      </c>
      <c r="E15" s="218">
        <f t="shared" ref="E15:E16" si="38">E4*AO15</f>
        <v>0</v>
      </c>
      <c r="F15" s="217">
        <f t="shared" si="20"/>
        <v>0</v>
      </c>
      <c r="G15" s="218">
        <f t="shared" ref="G15:G18" si="39">G4*AO15</f>
        <v>0</v>
      </c>
      <c r="H15" s="218">
        <f t="shared" ref="H15:H16" si="40">H4*AO15</f>
        <v>54</v>
      </c>
      <c r="I15" s="217">
        <f t="shared" si="21"/>
        <v>0.15847395451210564</v>
      </c>
      <c r="J15" s="218">
        <f t="shared" ref="J15:J18" si="41">J4*AO15</f>
        <v>1.35</v>
      </c>
      <c r="K15" s="218">
        <f t="shared" ref="K15:K16" si="42">K4*AO15</f>
        <v>0</v>
      </c>
      <c r="L15" s="217">
        <f t="shared" si="22"/>
        <v>0</v>
      </c>
      <c r="M15" s="218">
        <f t="shared" ref="M15:M18" si="43">M4*AO15</f>
        <v>0</v>
      </c>
      <c r="N15" s="218">
        <f t="shared" ref="N15:N16" si="44">N4*AO15</f>
        <v>0</v>
      </c>
      <c r="O15" s="217">
        <f t="shared" si="23"/>
        <v>0</v>
      </c>
      <c r="P15" s="218">
        <f t="shared" ref="P15:P18" si="45">P4*AO15</f>
        <v>0</v>
      </c>
      <c r="Q15" s="218">
        <f t="shared" ref="Q15:Q16" si="46">Q4*AO15</f>
        <v>699.30000000000007</v>
      </c>
      <c r="R15" s="217">
        <f t="shared" si="24"/>
        <v>2.0522377109317684</v>
      </c>
      <c r="S15" s="218">
        <f t="shared" ref="S15:S18" si="47">S4*AO15</f>
        <v>17.55</v>
      </c>
      <c r="T15" s="218">
        <f t="shared" ref="T15:T16" si="48">T4*AO15</f>
        <v>1398.6000000000001</v>
      </c>
      <c r="U15" s="217">
        <f t="shared" si="25"/>
        <v>4.1044754218635369</v>
      </c>
      <c r="V15" s="218">
        <f t="shared" ref="V15:V18" si="49">V4*AO15</f>
        <v>34.65</v>
      </c>
      <c r="W15" s="218">
        <f t="shared" si="26"/>
        <v>4984.2</v>
      </c>
      <c r="X15" s="217">
        <f t="shared" si="14"/>
        <v>14.62714600146735</v>
      </c>
      <c r="Y15" s="218">
        <f t="shared" si="27"/>
        <v>122.4</v>
      </c>
      <c r="Z15" s="218">
        <f t="shared" si="28"/>
        <v>1090.8</v>
      </c>
      <c r="AA15" s="217">
        <f t="shared" si="15"/>
        <v>3.2011738811445341</v>
      </c>
      <c r="AB15" s="218">
        <f t="shared" si="29"/>
        <v>26.55</v>
      </c>
      <c r="AC15" s="218">
        <f t="shared" si="30"/>
        <v>1355.4</v>
      </c>
      <c r="AD15" s="217">
        <f t="shared" si="16"/>
        <v>3.977696258253852</v>
      </c>
      <c r="AE15" s="218">
        <f t="shared" si="31"/>
        <v>32.4</v>
      </c>
      <c r="AF15" s="218">
        <f t="shared" si="32"/>
        <v>2231.1</v>
      </c>
      <c r="AG15" s="217">
        <f t="shared" si="17"/>
        <v>6.5476155539251648</v>
      </c>
      <c r="AH15" s="218">
        <f t="shared" si="33"/>
        <v>52.65</v>
      </c>
      <c r="AI15" s="218">
        <f t="shared" si="34"/>
        <v>675</v>
      </c>
      <c r="AJ15" s="217">
        <f t="shared" si="18"/>
        <v>1.9809244314013206</v>
      </c>
      <c r="AK15" s="218">
        <f t="shared" si="35"/>
        <v>15.75</v>
      </c>
      <c r="AL15" s="218">
        <f t="shared" ref="AL15:AN16" si="50">B15+E15+H15+K15+N15+Q15+T15+W15+Z15+AC15+AF15+AI15</f>
        <v>12488.4</v>
      </c>
      <c r="AM15" s="219">
        <f t="shared" si="50"/>
        <v>36.649743213499626</v>
      </c>
      <c r="AN15" s="219">
        <f t="shared" si="50"/>
        <v>303.3</v>
      </c>
      <c r="AO15" s="309">
        <v>0.45</v>
      </c>
    </row>
    <row r="16" spans="1:41" s="201" customFormat="1">
      <c r="A16" s="230">
        <v>2001</v>
      </c>
      <c r="B16" s="218">
        <f t="shared" si="36"/>
        <v>120</v>
      </c>
      <c r="C16" s="217">
        <f t="shared" si="19"/>
        <v>0.35216434336023478</v>
      </c>
      <c r="D16" s="218">
        <f t="shared" si="37"/>
        <v>2.8000000000000003</v>
      </c>
      <c r="E16" s="218">
        <f t="shared" si="38"/>
        <v>540</v>
      </c>
      <c r="F16" s="217">
        <f t="shared" si="20"/>
        <v>1.5847395451210564</v>
      </c>
      <c r="G16" s="218">
        <f t="shared" si="39"/>
        <v>12.4</v>
      </c>
      <c r="H16" s="218">
        <f t="shared" si="40"/>
        <v>216</v>
      </c>
      <c r="I16" s="217">
        <f t="shared" si="21"/>
        <v>0.63389581804842254</v>
      </c>
      <c r="J16" s="218">
        <f t="shared" si="41"/>
        <v>4.8000000000000007</v>
      </c>
      <c r="K16" s="218">
        <f t="shared" si="42"/>
        <v>0</v>
      </c>
      <c r="L16" s="217">
        <f t="shared" si="22"/>
        <v>0</v>
      </c>
      <c r="M16" s="218">
        <f t="shared" si="43"/>
        <v>0</v>
      </c>
      <c r="N16" s="218">
        <f t="shared" si="44"/>
        <v>0</v>
      </c>
      <c r="O16" s="217">
        <f t="shared" si="23"/>
        <v>0</v>
      </c>
      <c r="P16" s="218">
        <f t="shared" si="45"/>
        <v>0</v>
      </c>
      <c r="Q16" s="218">
        <f t="shared" si="46"/>
        <v>120</v>
      </c>
      <c r="R16" s="217">
        <f t="shared" si="24"/>
        <v>0.35216434336023478</v>
      </c>
      <c r="S16" s="218">
        <f t="shared" si="47"/>
        <v>2.8000000000000003</v>
      </c>
      <c r="T16" s="218">
        <f t="shared" si="48"/>
        <v>0</v>
      </c>
      <c r="U16" s="217">
        <f t="shared" si="25"/>
        <v>0</v>
      </c>
      <c r="V16" s="218">
        <f t="shared" si="49"/>
        <v>0</v>
      </c>
      <c r="W16" s="218">
        <f t="shared" si="26"/>
        <v>96</v>
      </c>
      <c r="X16" s="217">
        <f t="shared" si="14"/>
        <v>0.28173147468818782</v>
      </c>
      <c r="Y16" s="218">
        <f t="shared" si="27"/>
        <v>2</v>
      </c>
      <c r="Z16" s="218">
        <f t="shared" si="28"/>
        <v>1617.6000000000001</v>
      </c>
      <c r="AA16" s="217">
        <f t="shared" si="15"/>
        <v>4.7471753484959649</v>
      </c>
      <c r="AB16" s="218">
        <f t="shared" si="29"/>
        <v>34.4</v>
      </c>
      <c r="AC16" s="218">
        <f t="shared" si="30"/>
        <v>2764.8</v>
      </c>
      <c r="AD16" s="217">
        <f t="shared" si="16"/>
        <v>8.1138664710198096</v>
      </c>
      <c r="AE16" s="218">
        <f t="shared" si="31"/>
        <v>58</v>
      </c>
      <c r="AF16" s="218">
        <f t="shared" si="32"/>
        <v>2616</v>
      </c>
      <c r="AG16" s="217">
        <f t="shared" si="17"/>
        <v>7.6771826852531184</v>
      </c>
      <c r="AH16" s="218">
        <f t="shared" si="33"/>
        <v>54.400000000000006</v>
      </c>
      <c r="AI16" s="218">
        <f t="shared" si="34"/>
        <v>1708.8000000000002</v>
      </c>
      <c r="AJ16" s="217">
        <f t="shared" si="18"/>
        <v>5.0148202494497438</v>
      </c>
      <c r="AK16" s="218">
        <f t="shared" si="35"/>
        <v>35.200000000000003</v>
      </c>
      <c r="AL16" s="218">
        <f t="shared" si="50"/>
        <v>9799.2000000000007</v>
      </c>
      <c r="AM16" s="219">
        <f t="shared" si="50"/>
        <v>28.757740278796774</v>
      </c>
      <c r="AN16" s="219">
        <f t="shared" si="50"/>
        <v>206.8</v>
      </c>
      <c r="AO16" s="309">
        <v>0.4</v>
      </c>
    </row>
    <row r="17" spans="1:41" s="201" customFormat="1">
      <c r="A17" s="230">
        <v>2002</v>
      </c>
      <c r="B17" s="221"/>
      <c r="C17" s="217">
        <f>C6*40%</f>
        <v>2.548</v>
      </c>
      <c r="D17" s="218">
        <f t="shared" si="37"/>
        <v>17.600000000000001</v>
      </c>
      <c r="E17" s="221"/>
      <c r="F17" s="217">
        <f>F6*40%</f>
        <v>1.056</v>
      </c>
      <c r="G17" s="218">
        <f t="shared" si="39"/>
        <v>7.2</v>
      </c>
      <c r="H17" s="221"/>
      <c r="I17" s="217">
        <f>I6*40%</f>
        <v>0.44400000000000006</v>
      </c>
      <c r="J17" s="218">
        <f t="shared" si="41"/>
        <v>3.2</v>
      </c>
      <c r="K17" s="221"/>
      <c r="L17" s="217">
        <f t="shared" si="22"/>
        <v>0</v>
      </c>
      <c r="M17" s="218">
        <f t="shared" si="43"/>
        <v>0</v>
      </c>
      <c r="N17" s="221"/>
      <c r="O17" s="217">
        <f t="shared" si="23"/>
        <v>0</v>
      </c>
      <c r="P17" s="218">
        <f t="shared" si="45"/>
        <v>0</v>
      </c>
      <c r="Q17" s="221"/>
      <c r="R17" s="219"/>
      <c r="S17" s="218">
        <f t="shared" si="47"/>
        <v>0</v>
      </c>
      <c r="T17" s="221"/>
      <c r="U17" s="219"/>
      <c r="V17" s="218">
        <f t="shared" si="49"/>
        <v>0</v>
      </c>
      <c r="W17" s="221"/>
      <c r="X17" s="219"/>
      <c r="Y17" s="218">
        <f t="shared" si="27"/>
        <v>0</v>
      </c>
      <c r="Z17" s="221"/>
      <c r="AA17" s="219"/>
      <c r="AB17" s="218">
        <f t="shared" si="29"/>
        <v>0</v>
      </c>
      <c r="AC17" s="221"/>
      <c r="AD17" s="219"/>
      <c r="AE17" s="218">
        <f t="shared" si="31"/>
        <v>0</v>
      </c>
      <c r="AF17" s="221"/>
      <c r="AG17" s="219"/>
      <c r="AH17" s="218">
        <f t="shared" si="33"/>
        <v>0</v>
      </c>
      <c r="AI17" s="221"/>
      <c r="AJ17" s="219"/>
      <c r="AK17" s="218">
        <f t="shared" si="35"/>
        <v>0</v>
      </c>
      <c r="AL17" s="221"/>
      <c r="AM17" s="219">
        <f t="shared" ref="AM17" si="51">C18+F18+I18+L18+O18+R18+U18+X18+AA18+AD18+AG18+AJ18</f>
        <v>0</v>
      </c>
      <c r="AN17" s="217"/>
      <c r="AO17" s="309">
        <v>0.4</v>
      </c>
    </row>
    <row r="18" spans="1:41">
      <c r="A18" s="1">
        <v>2003</v>
      </c>
      <c r="B18" s="223"/>
      <c r="C18" s="218">
        <f t="shared" ref="C18:O18" si="52">C7*30%</f>
        <v>0</v>
      </c>
      <c r="D18" s="218">
        <f t="shared" si="37"/>
        <v>0</v>
      </c>
      <c r="E18" s="223"/>
      <c r="F18" s="218">
        <f t="shared" si="52"/>
        <v>0</v>
      </c>
      <c r="G18" s="218">
        <f t="shared" si="39"/>
        <v>0</v>
      </c>
      <c r="H18" s="223"/>
      <c r="I18" s="218">
        <f t="shared" si="52"/>
        <v>0</v>
      </c>
      <c r="J18" s="218">
        <f t="shared" si="41"/>
        <v>0</v>
      </c>
      <c r="K18" s="223"/>
      <c r="L18" s="218">
        <f t="shared" si="52"/>
        <v>0</v>
      </c>
      <c r="M18" s="218">
        <f t="shared" si="43"/>
        <v>0</v>
      </c>
      <c r="N18" s="223"/>
      <c r="O18" s="218">
        <f t="shared" si="52"/>
        <v>0</v>
      </c>
      <c r="P18" s="218">
        <f t="shared" si="45"/>
        <v>0</v>
      </c>
      <c r="Q18" s="223"/>
      <c r="R18" s="218">
        <f t="shared" ref="R18:AK18" si="53">R7*30%</f>
        <v>0</v>
      </c>
      <c r="S18" s="218">
        <f t="shared" si="47"/>
        <v>0</v>
      </c>
      <c r="T18" s="223"/>
      <c r="U18" s="218">
        <f t="shared" si="53"/>
        <v>0</v>
      </c>
      <c r="V18" s="218">
        <f t="shared" si="49"/>
        <v>0</v>
      </c>
      <c r="W18" s="223"/>
      <c r="X18" s="223">
        <f t="shared" si="53"/>
        <v>0</v>
      </c>
      <c r="Y18" s="218">
        <f t="shared" si="27"/>
        <v>0</v>
      </c>
      <c r="Z18" s="223"/>
      <c r="AA18" s="223">
        <f t="shared" si="53"/>
        <v>0</v>
      </c>
      <c r="AB18" s="218">
        <f t="shared" si="29"/>
        <v>0</v>
      </c>
      <c r="AC18" s="223"/>
      <c r="AD18" s="223">
        <f t="shared" si="53"/>
        <v>0</v>
      </c>
      <c r="AE18" s="223">
        <f t="shared" si="53"/>
        <v>0</v>
      </c>
      <c r="AF18" s="223"/>
      <c r="AG18" s="223">
        <f t="shared" si="53"/>
        <v>0</v>
      </c>
      <c r="AH18" s="223">
        <f t="shared" si="53"/>
        <v>0</v>
      </c>
      <c r="AI18" s="223">
        <f t="shared" si="53"/>
        <v>0</v>
      </c>
      <c r="AJ18" s="223">
        <f t="shared" si="53"/>
        <v>0</v>
      </c>
      <c r="AK18" s="223">
        <f t="shared" si="53"/>
        <v>0</v>
      </c>
      <c r="AL18" s="221"/>
      <c r="AM18" s="222">
        <f t="shared" ref="AM18" si="54">SUM(B18:AL18)</f>
        <v>0</v>
      </c>
      <c r="AN18" s="222"/>
      <c r="AO18" s="308">
        <v>0.4</v>
      </c>
    </row>
    <row r="19" spans="1:4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218">
        <f>SUM(AL13:AL18)</f>
        <v>88943.8</v>
      </c>
      <c r="AM19" s="219">
        <f>SUM(AM13:AM18)</f>
        <v>261.02362435803377</v>
      </c>
      <c r="AN19" s="219">
        <f>SUM(AN13:AN18)</f>
        <v>2641.5000000000005</v>
      </c>
    </row>
    <row r="23" spans="1:41" ht="15.75">
      <c r="A23" s="583" t="s">
        <v>173</v>
      </c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</row>
    <row r="25" spans="1:41" ht="15.75">
      <c r="A25" s="583" t="s">
        <v>180</v>
      </c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3"/>
      <c r="AD25" s="583"/>
    </row>
  </sheetData>
  <mergeCells count="2">
    <mergeCell ref="A23:AD23"/>
    <mergeCell ref="A25:AD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BA64"/>
  <sheetViews>
    <sheetView workbookViewId="0">
      <pane ySplit="1" topLeftCell="A2" activePane="bottomLeft" state="frozen"/>
      <selection pane="bottomLeft" activeCell="A9" sqref="A9:XFD9"/>
    </sheetView>
  </sheetViews>
  <sheetFormatPr defaultRowHeight="12.75"/>
  <cols>
    <col min="1" max="1" width="3.88671875" style="2" bestFit="1" customWidth="1"/>
    <col min="2" max="2" width="8.44140625" style="2" bestFit="1" customWidth="1"/>
    <col min="3" max="3" width="6.44140625" style="2" bestFit="1" customWidth="1"/>
    <col min="4" max="4" width="8.44140625" style="2" bestFit="1" customWidth="1"/>
    <col min="5" max="12" width="6.44140625" style="2" bestFit="1" customWidth="1"/>
    <col min="13" max="13" width="8.44140625" style="2" bestFit="1" customWidth="1"/>
    <col min="14" max="14" width="7.21875" style="2" bestFit="1" customWidth="1"/>
    <col min="15" max="15" width="10.21875" style="2" customWidth="1"/>
    <col min="16" max="16" width="9.21875" style="2" bestFit="1" customWidth="1"/>
    <col min="17" max="17" width="11.109375" style="2" bestFit="1" customWidth="1"/>
    <col min="18" max="18" width="9.21875" style="2" bestFit="1" customWidth="1"/>
    <col min="19" max="31" width="6.44140625" style="2" bestFit="1" customWidth="1"/>
    <col min="32" max="32" width="4.88671875" style="2" customWidth="1"/>
    <col min="33" max="44" width="3.6640625" style="2" bestFit="1" customWidth="1"/>
    <col min="45" max="45" width="4.44140625" style="2" bestFit="1" customWidth="1"/>
    <col min="46" max="46" width="3.33203125" style="2" customWidth="1"/>
    <col min="47" max="47" width="8.88671875" style="2"/>
    <col min="48" max="48" width="5.6640625" style="2" bestFit="1" customWidth="1"/>
    <col min="49" max="49" width="6.33203125" style="2" bestFit="1" customWidth="1"/>
    <col min="50" max="50" width="3.33203125" style="2" customWidth="1"/>
    <col min="51" max="51" width="9.33203125" style="2" bestFit="1" customWidth="1"/>
    <col min="52" max="52" width="3" style="2" customWidth="1"/>
    <col min="53" max="53" width="9.33203125" style="2" bestFit="1" customWidth="1"/>
    <col min="54" max="16384" width="8.88671875" style="2"/>
  </cols>
  <sheetData>
    <row r="1" spans="1:45" ht="13.5" thickBot="1">
      <c r="A1" s="166"/>
      <c r="B1" s="171" t="s">
        <v>4</v>
      </c>
      <c r="C1" s="173" t="s">
        <v>5</v>
      </c>
      <c r="D1" s="171" t="s">
        <v>6</v>
      </c>
      <c r="E1" s="172" t="s">
        <v>7</v>
      </c>
      <c r="F1" s="171" t="s">
        <v>2</v>
      </c>
      <c r="G1" s="173" t="s">
        <v>8</v>
      </c>
      <c r="H1" s="171" t="s">
        <v>9</v>
      </c>
      <c r="I1" s="172" t="s">
        <v>10</v>
      </c>
      <c r="J1" s="171" t="s">
        <v>11</v>
      </c>
      <c r="K1" s="173" t="s">
        <v>12</v>
      </c>
      <c r="L1" s="171" t="s">
        <v>13</v>
      </c>
      <c r="M1" s="172" t="s">
        <v>14</v>
      </c>
      <c r="N1" s="185" t="s">
        <v>29</v>
      </c>
      <c r="O1" s="186" t="s">
        <v>147</v>
      </c>
      <c r="P1" s="186" t="s">
        <v>139</v>
      </c>
      <c r="Q1" s="210" t="s">
        <v>149</v>
      </c>
      <c r="R1" s="186" t="s">
        <v>139</v>
      </c>
    </row>
    <row r="2" spans="1:45">
      <c r="A2" s="7">
        <v>1998</v>
      </c>
      <c r="B2" s="130"/>
      <c r="C2" s="130"/>
      <c r="D2" s="130"/>
      <c r="E2" s="130"/>
      <c r="F2" s="130"/>
      <c r="G2" s="130"/>
      <c r="H2" s="130"/>
      <c r="I2" s="125">
        <v>1400</v>
      </c>
      <c r="J2" s="125">
        <v>4100</v>
      </c>
      <c r="K2" s="125">
        <v>4200</v>
      </c>
      <c r="L2" s="125">
        <v>2800</v>
      </c>
      <c r="M2" s="125">
        <v>6500</v>
      </c>
      <c r="N2" s="125">
        <f>SUM(I2:M2)</f>
        <v>19000</v>
      </c>
      <c r="O2" s="123">
        <f>N2/340.75</f>
        <v>55.759354365370505</v>
      </c>
      <c r="P2" s="125">
        <v>660</v>
      </c>
      <c r="Q2" s="123">
        <f>O2*S2</f>
        <v>16.72780630961115</v>
      </c>
      <c r="R2" s="272">
        <f>P2*S2</f>
        <v>198</v>
      </c>
      <c r="S2" s="308">
        <v>0.3</v>
      </c>
      <c r="T2" s="6">
        <f>B2/340.75</f>
        <v>0</v>
      </c>
      <c r="U2" s="6">
        <f t="shared" ref="U2:AE5" si="0">C2/340.75</f>
        <v>0</v>
      </c>
      <c r="V2" s="6">
        <f t="shared" si="0"/>
        <v>0</v>
      </c>
      <c r="W2" s="6">
        <f t="shared" si="0"/>
        <v>0</v>
      </c>
      <c r="X2" s="6">
        <f t="shared" si="0"/>
        <v>0</v>
      </c>
      <c r="Y2" s="6">
        <f t="shared" si="0"/>
        <v>0</v>
      </c>
      <c r="Z2" s="6">
        <f t="shared" si="0"/>
        <v>0</v>
      </c>
      <c r="AA2" s="6">
        <f t="shared" si="0"/>
        <v>4.1085840058694059</v>
      </c>
      <c r="AB2" s="6">
        <f t="shared" si="0"/>
        <v>12.032281731474688</v>
      </c>
      <c r="AC2" s="6">
        <f t="shared" si="0"/>
        <v>12.325752017608217</v>
      </c>
      <c r="AD2" s="6">
        <f t="shared" si="0"/>
        <v>8.2171680117388117</v>
      </c>
      <c r="AE2" s="6">
        <f t="shared" si="0"/>
        <v>19.075568598679382</v>
      </c>
      <c r="AF2" s="6"/>
      <c r="AG2" s="169">
        <v>1</v>
      </c>
      <c r="AH2" s="169">
        <v>1</v>
      </c>
      <c r="AI2" s="169">
        <v>1</v>
      </c>
      <c r="AJ2" s="169">
        <v>1</v>
      </c>
      <c r="AK2" s="169">
        <v>1</v>
      </c>
      <c r="AL2" s="169">
        <v>1</v>
      </c>
      <c r="AM2" s="169">
        <v>1</v>
      </c>
      <c r="AN2" s="169">
        <v>1</v>
      </c>
      <c r="AO2" s="169">
        <v>1</v>
      </c>
      <c r="AP2" s="169">
        <v>1</v>
      </c>
      <c r="AQ2" s="169">
        <v>1</v>
      </c>
      <c r="AR2" s="169">
        <v>1</v>
      </c>
      <c r="AS2" s="268">
        <f>SUM(AG2:AR2)</f>
        <v>12</v>
      </c>
    </row>
    <row r="3" spans="1:45">
      <c r="A3" s="1">
        <v>1999</v>
      </c>
      <c r="B3" s="189">
        <v>3200</v>
      </c>
      <c r="C3" s="189">
        <v>2700</v>
      </c>
      <c r="D3" s="189">
        <v>5000</v>
      </c>
      <c r="E3" s="189">
        <v>4200</v>
      </c>
      <c r="F3" s="189">
        <v>3500</v>
      </c>
      <c r="G3" s="189">
        <v>1710</v>
      </c>
      <c r="H3" s="189">
        <v>700</v>
      </c>
      <c r="I3" s="189">
        <v>5300</v>
      </c>
      <c r="J3" s="189">
        <v>4400</v>
      </c>
      <c r="K3" s="189">
        <v>3800</v>
      </c>
      <c r="L3" s="189">
        <v>2600</v>
      </c>
      <c r="M3" s="189">
        <v>100</v>
      </c>
      <c r="N3" s="125">
        <f>SUM(B3:M3)</f>
        <v>37210</v>
      </c>
      <c r="O3" s="123">
        <f>N3/340.75</f>
        <v>109.20029347028613</v>
      </c>
      <c r="P3" s="125">
        <v>1159</v>
      </c>
      <c r="Q3" s="123">
        <f t="shared" ref="Q3:Q25" si="1">O3*S3</f>
        <v>43.680117388114454</v>
      </c>
      <c r="R3" s="272">
        <f t="shared" ref="R3:R25" si="2">P3*S3</f>
        <v>463.6</v>
      </c>
      <c r="S3" s="309">
        <v>0.4</v>
      </c>
      <c r="T3" s="310">
        <f t="shared" ref="T3:T5" si="3">B3/340.75</f>
        <v>9.3910491562729277</v>
      </c>
      <c r="U3" s="6">
        <f t="shared" si="0"/>
        <v>7.9236977256052823</v>
      </c>
      <c r="V3" s="6">
        <f t="shared" si="0"/>
        <v>14.673514306676449</v>
      </c>
      <c r="W3" s="6">
        <f t="shared" si="0"/>
        <v>12.325752017608217</v>
      </c>
      <c r="X3" s="6">
        <f t="shared" si="0"/>
        <v>10.271460014673515</v>
      </c>
      <c r="Y3" s="6">
        <f t="shared" si="0"/>
        <v>5.0183418928833454</v>
      </c>
      <c r="Z3" s="6">
        <f t="shared" si="0"/>
        <v>2.0542920029347029</v>
      </c>
      <c r="AA3" s="6">
        <f t="shared" si="0"/>
        <v>15.553925165077036</v>
      </c>
      <c r="AB3" s="6">
        <f t="shared" si="0"/>
        <v>12.912692589875276</v>
      </c>
      <c r="AC3" s="6">
        <f t="shared" si="0"/>
        <v>11.151870873074101</v>
      </c>
      <c r="AD3" s="6">
        <f t="shared" si="0"/>
        <v>7.6302274394717537</v>
      </c>
      <c r="AE3" s="6">
        <f t="shared" si="0"/>
        <v>0.29347028613352899</v>
      </c>
      <c r="AF3" s="6"/>
      <c r="AG3" s="169">
        <v>1</v>
      </c>
      <c r="AH3" s="169">
        <v>1</v>
      </c>
      <c r="AI3" s="169">
        <v>1</v>
      </c>
      <c r="AJ3" s="169">
        <v>1</v>
      </c>
      <c r="AK3" s="169">
        <v>1</v>
      </c>
      <c r="AL3" s="169">
        <v>1</v>
      </c>
      <c r="AM3" s="169">
        <v>1</v>
      </c>
      <c r="AN3" s="169">
        <v>1</v>
      </c>
      <c r="AO3" s="169">
        <v>1</v>
      </c>
      <c r="AP3" s="169">
        <v>1</v>
      </c>
      <c r="AQ3" s="169">
        <v>1</v>
      </c>
      <c r="AR3" s="169">
        <v>1</v>
      </c>
      <c r="AS3" s="268">
        <f t="shared" ref="AS3:AS25" si="4">SUM(AG3:AR3)</f>
        <v>12</v>
      </c>
    </row>
    <row r="4" spans="1:45">
      <c r="A4" s="1">
        <v>2000</v>
      </c>
      <c r="B4" s="189">
        <v>170</v>
      </c>
      <c r="C4" s="189">
        <v>0</v>
      </c>
      <c r="D4" s="189">
        <v>200</v>
      </c>
      <c r="E4" s="189">
        <v>0</v>
      </c>
      <c r="F4" s="189">
        <v>200</v>
      </c>
      <c r="G4" s="189">
        <v>700</v>
      </c>
      <c r="H4" s="189">
        <v>0</v>
      </c>
      <c r="I4" s="189">
        <v>172</v>
      </c>
      <c r="J4" s="189">
        <v>80</v>
      </c>
      <c r="K4" s="189">
        <v>1100</v>
      </c>
      <c r="L4" s="189">
        <v>2500</v>
      </c>
      <c r="M4" s="189">
        <v>1330</v>
      </c>
      <c r="N4" s="125">
        <f t="shared" ref="N4:N5" si="5">SUM(B4:M4)</f>
        <v>6452</v>
      </c>
      <c r="O4" s="123">
        <f t="shared" ref="O4:O5" si="6">N4/340.75</f>
        <v>18.934702861335289</v>
      </c>
      <c r="P4" s="125">
        <v>165</v>
      </c>
      <c r="Q4" s="123">
        <f t="shared" si="1"/>
        <v>8.5206162876008804</v>
      </c>
      <c r="R4" s="272">
        <f t="shared" si="2"/>
        <v>74.25</v>
      </c>
      <c r="S4" s="309">
        <v>0.45</v>
      </c>
      <c r="T4" s="6">
        <f t="shared" si="3"/>
        <v>0.49889948642699927</v>
      </c>
      <c r="U4" s="6">
        <f t="shared" si="0"/>
        <v>0</v>
      </c>
      <c r="V4" s="6">
        <f t="shared" si="0"/>
        <v>0.58694057226705798</v>
      </c>
      <c r="W4" s="6">
        <f t="shared" si="0"/>
        <v>0</v>
      </c>
      <c r="X4" s="6">
        <f t="shared" si="0"/>
        <v>0.58694057226705798</v>
      </c>
      <c r="Y4" s="6">
        <f t="shared" si="0"/>
        <v>2.0542920029347029</v>
      </c>
      <c r="Z4" s="6">
        <f t="shared" si="0"/>
        <v>0</v>
      </c>
      <c r="AA4" s="6">
        <f t="shared" si="0"/>
        <v>0.5047688921496698</v>
      </c>
      <c r="AB4" s="6">
        <f t="shared" si="0"/>
        <v>0.23477622890682318</v>
      </c>
      <c r="AC4" s="6">
        <f t="shared" si="0"/>
        <v>3.2281731474688189</v>
      </c>
      <c r="AD4" s="6">
        <f t="shared" si="0"/>
        <v>7.3367571533382243</v>
      </c>
      <c r="AE4" s="6">
        <f t="shared" si="0"/>
        <v>3.9031548055759355</v>
      </c>
      <c r="AG4" s="169">
        <v>1</v>
      </c>
      <c r="AH4" s="169">
        <v>1</v>
      </c>
      <c r="AI4" s="169">
        <v>1</v>
      </c>
      <c r="AJ4" s="169">
        <v>1</v>
      </c>
      <c r="AK4" s="169">
        <v>1</v>
      </c>
      <c r="AL4" s="169">
        <v>1</v>
      </c>
      <c r="AM4" s="169">
        <v>1</v>
      </c>
      <c r="AN4" s="169">
        <v>1</v>
      </c>
      <c r="AO4" s="169">
        <v>1</v>
      </c>
      <c r="AP4" s="169">
        <v>1</v>
      </c>
      <c r="AQ4" s="169">
        <v>1</v>
      </c>
      <c r="AR4" s="169">
        <v>1</v>
      </c>
      <c r="AS4" s="268">
        <f t="shared" si="4"/>
        <v>12</v>
      </c>
    </row>
    <row r="5" spans="1:45">
      <c r="A5" s="1">
        <v>2001</v>
      </c>
      <c r="B5" s="189">
        <v>1990</v>
      </c>
      <c r="C5" s="189">
        <v>4368</v>
      </c>
      <c r="D5" s="189">
        <v>1750</v>
      </c>
      <c r="E5" s="189">
        <v>1690</v>
      </c>
      <c r="F5" s="189">
        <v>2050</v>
      </c>
      <c r="G5" s="189">
        <v>3430</v>
      </c>
      <c r="H5" s="189">
        <v>3900</v>
      </c>
      <c r="I5" s="189">
        <v>4520</v>
      </c>
      <c r="J5" s="189">
        <v>4630</v>
      </c>
      <c r="K5" s="189">
        <v>2490</v>
      </c>
      <c r="L5" s="189">
        <v>4580</v>
      </c>
      <c r="M5" s="189">
        <v>2690</v>
      </c>
      <c r="N5" s="125">
        <f t="shared" si="5"/>
        <v>38088</v>
      </c>
      <c r="O5" s="123">
        <f t="shared" si="6"/>
        <v>111.77696258253852</v>
      </c>
      <c r="P5" s="125">
        <v>844</v>
      </c>
      <c r="Q5" s="123">
        <f t="shared" si="1"/>
        <v>44.710785033015412</v>
      </c>
      <c r="R5" s="272">
        <f t="shared" si="2"/>
        <v>337.6</v>
      </c>
      <c r="S5" s="309">
        <v>0.4</v>
      </c>
      <c r="T5" s="6">
        <f t="shared" si="3"/>
        <v>5.8400586940572268</v>
      </c>
      <c r="U5" s="6">
        <f t="shared" si="0"/>
        <v>12.818782098312546</v>
      </c>
      <c r="V5" s="6">
        <f t="shared" si="0"/>
        <v>5.1357300073367576</v>
      </c>
      <c r="W5" s="6">
        <f t="shared" si="0"/>
        <v>4.9596478356566394</v>
      </c>
      <c r="X5" s="6">
        <f t="shared" si="0"/>
        <v>6.0161408657373441</v>
      </c>
      <c r="Y5" s="6">
        <f t="shared" si="0"/>
        <v>10.066030814380044</v>
      </c>
      <c r="Z5" s="6">
        <f t="shared" si="0"/>
        <v>11.445341159207631</v>
      </c>
      <c r="AA5" s="6">
        <f t="shared" si="0"/>
        <v>13.26485693323551</v>
      </c>
      <c r="AB5" s="6">
        <f t="shared" si="0"/>
        <v>13.587674247982392</v>
      </c>
      <c r="AC5" s="6">
        <f t="shared" si="0"/>
        <v>7.3074101247248713</v>
      </c>
      <c r="AD5" s="6">
        <f t="shared" si="0"/>
        <v>13.440939104915627</v>
      </c>
      <c r="AE5" s="6">
        <f t="shared" si="0"/>
        <v>7.8943506969919293</v>
      </c>
      <c r="AG5" s="169">
        <v>1</v>
      </c>
      <c r="AH5" s="169">
        <v>1</v>
      </c>
      <c r="AI5" s="169">
        <v>1</v>
      </c>
      <c r="AJ5" s="169">
        <v>1</v>
      </c>
      <c r="AK5" s="169">
        <v>1</v>
      </c>
      <c r="AL5" s="169">
        <v>1</v>
      </c>
      <c r="AM5" s="169">
        <v>1</v>
      </c>
      <c r="AN5" s="169">
        <v>1</v>
      </c>
      <c r="AO5" s="169">
        <v>1</v>
      </c>
      <c r="AP5" s="169">
        <v>1</v>
      </c>
      <c r="AQ5" s="169">
        <v>1</v>
      </c>
      <c r="AR5" s="169">
        <v>1</v>
      </c>
      <c r="AS5" s="268">
        <f t="shared" si="4"/>
        <v>12</v>
      </c>
    </row>
    <row r="6" spans="1:45">
      <c r="A6" s="1">
        <v>2002</v>
      </c>
      <c r="B6" s="4">
        <f>B40</f>
        <v>6.2</v>
      </c>
      <c r="C6" s="4">
        <f>C40</f>
        <v>5.64</v>
      </c>
      <c r="D6" s="4">
        <f t="shared" ref="D6:M6" si="7">D40</f>
        <v>26</v>
      </c>
      <c r="E6" s="4">
        <f t="shared" si="7"/>
        <v>24</v>
      </c>
      <c r="F6" s="4">
        <f t="shared" si="7"/>
        <v>21</v>
      </c>
      <c r="G6" s="4">
        <f t="shared" si="7"/>
        <v>13</v>
      </c>
      <c r="H6" s="4">
        <f t="shared" si="7"/>
        <v>38</v>
      </c>
      <c r="I6" s="4">
        <f t="shared" si="7"/>
        <v>36</v>
      </c>
      <c r="J6" s="4">
        <f t="shared" si="7"/>
        <v>19.5</v>
      </c>
      <c r="K6" s="4">
        <f t="shared" si="7"/>
        <v>28</v>
      </c>
      <c r="L6" s="4">
        <f t="shared" si="7"/>
        <v>20.5</v>
      </c>
      <c r="M6" s="4">
        <f t="shared" si="7"/>
        <v>1</v>
      </c>
      <c r="N6" s="289"/>
      <c r="O6" s="211">
        <f>(N6/340.75)+D6+E6+F6+G6+H6+I6+J6+K6+L6+M6</f>
        <v>227</v>
      </c>
      <c r="P6" s="125">
        <v>1525</v>
      </c>
      <c r="Q6" s="123">
        <f t="shared" si="1"/>
        <v>90.800000000000011</v>
      </c>
      <c r="R6" s="272">
        <f t="shared" si="2"/>
        <v>610</v>
      </c>
      <c r="S6" s="309">
        <v>0.4</v>
      </c>
      <c r="T6" s="299"/>
      <c r="U6" s="299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G6" s="169">
        <v>1</v>
      </c>
      <c r="AH6" s="169">
        <v>1</v>
      </c>
      <c r="AI6" s="169">
        <v>1</v>
      </c>
      <c r="AJ6" s="169">
        <v>1</v>
      </c>
      <c r="AK6" s="169">
        <v>1</v>
      </c>
      <c r="AL6" s="169">
        <v>1</v>
      </c>
      <c r="AM6" s="169">
        <v>1</v>
      </c>
      <c r="AN6" s="169">
        <v>1</v>
      </c>
      <c r="AO6" s="169">
        <v>1</v>
      </c>
      <c r="AP6" s="169">
        <v>1</v>
      </c>
      <c r="AQ6" s="169">
        <v>1</v>
      </c>
      <c r="AR6" s="169">
        <v>1</v>
      </c>
      <c r="AS6" s="268">
        <f t="shared" si="4"/>
        <v>12</v>
      </c>
    </row>
    <row r="7" spans="1:45">
      <c r="A7" s="1">
        <v>2003</v>
      </c>
      <c r="B7" s="179">
        <v>1</v>
      </c>
      <c r="C7" s="179">
        <v>13</v>
      </c>
      <c r="D7" s="4">
        <v>11</v>
      </c>
      <c r="E7" s="179">
        <v>20</v>
      </c>
      <c r="F7" s="179">
        <v>3</v>
      </c>
      <c r="G7" s="179">
        <v>8</v>
      </c>
      <c r="H7" s="179">
        <v>1</v>
      </c>
      <c r="I7" s="179">
        <v>7.5</v>
      </c>
      <c r="J7" s="179">
        <v>1</v>
      </c>
      <c r="K7" s="179">
        <v>13.5</v>
      </c>
      <c r="L7" s="179">
        <v>25</v>
      </c>
      <c r="M7" s="179">
        <v>13.5</v>
      </c>
      <c r="N7" s="289"/>
      <c r="O7" s="179">
        <f>SUM(B7:M7)</f>
        <v>117.5</v>
      </c>
      <c r="P7" s="125">
        <v>708</v>
      </c>
      <c r="Q7" s="123">
        <f t="shared" si="1"/>
        <v>47</v>
      </c>
      <c r="R7" s="272">
        <f t="shared" si="2"/>
        <v>283.2</v>
      </c>
      <c r="S7" s="308">
        <v>0.4</v>
      </c>
      <c r="T7" s="300"/>
      <c r="U7" s="300"/>
      <c r="V7" s="300"/>
      <c r="W7" s="267"/>
      <c r="X7" s="267"/>
      <c r="Y7" s="267"/>
      <c r="Z7" s="267"/>
      <c r="AA7" s="267"/>
      <c r="AB7" s="267"/>
      <c r="AC7" s="300"/>
      <c r="AD7" s="300"/>
      <c r="AE7" s="300"/>
      <c r="AG7" s="169">
        <v>1</v>
      </c>
      <c r="AH7" s="169">
        <v>1</v>
      </c>
      <c r="AI7" s="169">
        <v>1</v>
      </c>
      <c r="AJ7" s="169">
        <v>1</v>
      </c>
      <c r="AK7" s="169">
        <v>1</v>
      </c>
      <c r="AL7" s="169">
        <v>1</v>
      </c>
      <c r="AM7" s="169">
        <v>1</v>
      </c>
      <c r="AN7" s="169">
        <v>1</v>
      </c>
      <c r="AO7" s="169">
        <v>1</v>
      </c>
      <c r="AP7" s="169">
        <v>1</v>
      </c>
      <c r="AQ7" s="169">
        <v>1</v>
      </c>
      <c r="AR7" s="169">
        <v>1</v>
      </c>
      <c r="AS7" s="268">
        <f t="shared" si="4"/>
        <v>12</v>
      </c>
    </row>
    <row r="8" spans="1:45">
      <c r="A8" s="1">
        <v>2004</v>
      </c>
      <c r="B8" s="179">
        <v>18.5</v>
      </c>
      <c r="C8" s="179">
        <v>30</v>
      </c>
      <c r="D8" s="4">
        <v>32</v>
      </c>
      <c r="E8" s="179">
        <v>59.5</v>
      </c>
      <c r="F8" s="179">
        <v>37</v>
      </c>
      <c r="G8" s="179">
        <v>22</v>
      </c>
      <c r="H8" s="179">
        <v>38.5</v>
      </c>
      <c r="I8" s="179">
        <v>53</v>
      </c>
      <c r="J8" s="179">
        <v>43</v>
      </c>
      <c r="K8" s="179">
        <v>36</v>
      </c>
      <c r="L8" s="179">
        <v>30</v>
      </c>
      <c r="M8" s="179">
        <v>32</v>
      </c>
      <c r="N8" s="294"/>
      <c r="O8" s="179">
        <f t="shared" ref="O8:O27" si="8">SUM(B8:M8)</f>
        <v>431.5</v>
      </c>
      <c r="P8" s="125">
        <v>2354</v>
      </c>
      <c r="Q8" s="123">
        <f t="shared" si="1"/>
        <v>172.60000000000002</v>
      </c>
      <c r="R8" s="272">
        <f t="shared" si="2"/>
        <v>941.6</v>
      </c>
      <c r="S8" s="308">
        <v>0.4</v>
      </c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G8" s="169">
        <v>1</v>
      </c>
      <c r="AH8" s="169">
        <v>1</v>
      </c>
      <c r="AI8" s="169">
        <v>1</v>
      </c>
      <c r="AJ8" s="169">
        <v>1</v>
      </c>
      <c r="AK8" s="169">
        <v>1</v>
      </c>
      <c r="AL8" s="169">
        <v>1</v>
      </c>
      <c r="AM8" s="169">
        <v>1</v>
      </c>
      <c r="AN8" s="169">
        <v>1</v>
      </c>
      <c r="AO8" s="169">
        <v>1</v>
      </c>
      <c r="AP8" s="169">
        <v>1</v>
      </c>
      <c r="AQ8" s="169">
        <v>1</v>
      </c>
      <c r="AR8" s="169">
        <v>1</v>
      </c>
      <c r="AS8" s="268">
        <f t="shared" si="4"/>
        <v>12</v>
      </c>
    </row>
    <row r="9" spans="1:45">
      <c r="A9" s="1">
        <v>2005</v>
      </c>
      <c r="B9" s="336">
        <v>5</v>
      </c>
      <c r="C9" s="336">
        <v>2.5</v>
      </c>
      <c r="D9" s="336">
        <v>6</v>
      </c>
      <c r="E9" s="336">
        <v>2</v>
      </c>
      <c r="F9" s="4">
        <v>0</v>
      </c>
      <c r="G9" s="4">
        <v>0</v>
      </c>
      <c r="H9" s="336">
        <v>3.5</v>
      </c>
      <c r="I9" s="336">
        <v>52</v>
      </c>
      <c r="J9" s="336">
        <v>63.5</v>
      </c>
      <c r="K9" s="336">
        <v>44</v>
      </c>
      <c r="L9" s="336">
        <v>47.5</v>
      </c>
      <c r="M9" s="4"/>
      <c r="N9" s="190"/>
      <c r="O9" s="179">
        <f t="shared" si="8"/>
        <v>226</v>
      </c>
      <c r="P9" s="125"/>
      <c r="Q9" s="123">
        <f t="shared" si="1"/>
        <v>90.4</v>
      </c>
      <c r="R9" s="272">
        <f t="shared" si="2"/>
        <v>0</v>
      </c>
      <c r="S9" s="330">
        <v>0.4</v>
      </c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G9" s="169">
        <v>1</v>
      </c>
      <c r="AH9" s="169">
        <v>1</v>
      </c>
      <c r="AI9" s="169">
        <v>1</v>
      </c>
      <c r="AJ9" s="169">
        <v>1</v>
      </c>
      <c r="AK9" s="169">
        <v>1</v>
      </c>
      <c r="AL9" s="169">
        <v>1</v>
      </c>
      <c r="AM9" s="169">
        <v>1</v>
      </c>
      <c r="AN9" s="169">
        <v>1</v>
      </c>
      <c r="AO9" s="169">
        <v>1</v>
      </c>
      <c r="AP9" s="169">
        <v>1</v>
      </c>
      <c r="AQ9" s="169">
        <v>1</v>
      </c>
      <c r="AR9" s="169">
        <v>1</v>
      </c>
      <c r="AS9" s="268">
        <f t="shared" si="4"/>
        <v>12</v>
      </c>
    </row>
    <row r="10" spans="1:45">
      <c r="A10" s="1">
        <v>2006</v>
      </c>
      <c r="B10" s="4">
        <v>82.5</v>
      </c>
      <c r="C10" s="195"/>
      <c r="D10" s="199">
        <f t="shared" ref="D10:D16" si="9">D44*0.5</f>
        <v>454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0"/>
      <c r="O10" s="179">
        <f t="shared" si="8"/>
        <v>536.5</v>
      </c>
      <c r="P10" s="125">
        <v>2392</v>
      </c>
      <c r="Q10" s="123">
        <f t="shared" si="1"/>
        <v>214.60000000000002</v>
      </c>
      <c r="R10" s="272">
        <f t="shared" si="2"/>
        <v>956.80000000000007</v>
      </c>
      <c r="S10" s="330">
        <v>0.4</v>
      </c>
      <c r="T10" s="165"/>
      <c r="AG10" s="169">
        <v>1</v>
      </c>
      <c r="AH10" s="169">
        <v>1</v>
      </c>
      <c r="AI10" s="169">
        <v>1</v>
      </c>
      <c r="AJ10" s="169">
        <v>1</v>
      </c>
      <c r="AK10" s="169">
        <v>1</v>
      </c>
      <c r="AL10" s="169">
        <v>1</v>
      </c>
      <c r="AM10" s="169">
        <v>1</v>
      </c>
      <c r="AN10" s="169">
        <v>1</v>
      </c>
      <c r="AO10" s="169">
        <v>1</v>
      </c>
      <c r="AP10" s="169">
        <v>1</v>
      </c>
      <c r="AQ10" s="169">
        <v>1</v>
      </c>
      <c r="AR10" s="169">
        <v>1</v>
      </c>
      <c r="AS10" s="268">
        <f t="shared" si="4"/>
        <v>12</v>
      </c>
    </row>
    <row r="11" spans="1:45">
      <c r="A11" s="1">
        <v>2007</v>
      </c>
      <c r="B11" s="4">
        <v>98</v>
      </c>
      <c r="C11" s="195"/>
      <c r="D11" s="199">
        <f t="shared" si="9"/>
        <v>424.5</v>
      </c>
      <c r="E11" s="195"/>
      <c r="F11" s="195"/>
      <c r="G11" s="195"/>
      <c r="H11" s="195"/>
      <c r="I11" s="195"/>
      <c r="J11" s="195"/>
      <c r="K11" s="195"/>
      <c r="L11" s="195"/>
      <c r="M11" s="195"/>
      <c r="N11" s="190"/>
      <c r="O11" s="179">
        <f t="shared" si="8"/>
        <v>522.5</v>
      </c>
      <c r="P11" s="125">
        <v>2082</v>
      </c>
      <c r="Q11" s="123">
        <f t="shared" si="1"/>
        <v>209</v>
      </c>
      <c r="R11" s="272">
        <f t="shared" si="2"/>
        <v>832.80000000000007</v>
      </c>
      <c r="S11" s="330">
        <v>0.4</v>
      </c>
      <c r="T11" s="165"/>
      <c r="AG11" s="169">
        <v>1</v>
      </c>
      <c r="AH11" s="169">
        <v>1</v>
      </c>
      <c r="AI11" s="169">
        <v>1</v>
      </c>
      <c r="AJ11" s="169">
        <v>1</v>
      </c>
      <c r="AK11" s="169">
        <v>1</v>
      </c>
      <c r="AL11" s="169">
        <v>1</v>
      </c>
      <c r="AM11" s="169">
        <v>1</v>
      </c>
      <c r="AN11" s="169">
        <v>1</v>
      </c>
      <c r="AO11" s="169">
        <v>1</v>
      </c>
      <c r="AP11" s="169">
        <v>1</v>
      </c>
      <c r="AQ11" s="169">
        <v>1</v>
      </c>
      <c r="AR11" s="169">
        <v>1</v>
      </c>
      <c r="AS11" s="268">
        <f t="shared" si="4"/>
        <v>12</v>
      </c>
    </row>
    <row r="12" spans="1:45">
      <c r="A12" s="1">
        <v>2008</v>
      </c>
      <c r="B12" s="4">
        <v>87</v>
      </c>
      <c r="C12" s="195"/>
      <c r="D12" s="199">
        <f t="shared" si="9"/>
        <v>439.5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0"/>
      <c r="O12" s="179">
        <f t="shared" si="8"/>
        <v>526.5</v>
      </c>
      <c r="P12" s="125">
        <v>1861</v>
      </c>
      <c r="Q12" s="123">
        <f t="shared" si="1"/>
        <v>210.60000000000002</v>
      </c>
      <c r="R12" s="272">
        <f t="shared" si="2"/>
        <v>744.40000000000009</v>
      </c>
      <c r="S12" s="330">
        <v>0.4</v>
      </c>
      <c r="T12" s="165"/>
      <c r="AG12" s="169">
        <v>1</v>
      </c>
      <c r="AH12" s="169">
        <v>1</v>
      </c>
      <c r="AI12" s="169">
        <v>1</v>
      </c>
      <c r="AJ12" s="169">
        <v>1</v>
      </c>
      <c r="AK12" s="169">
        <v>1</v>
      </c>
      <c r="AL12" s="169">
        <v>1</v>
      </c>
      <c r="AM12" s="169">
        <v>1</v>
      </c>
      <c r="AN12" s="169">
        <v>1</v>
      </c>
      <c r="AO12" s="169">
        <v>1</v>
      </c>
      <c r="AP12" s="169">
        <v>1</v>
      </c>
      <c r="AQ12" s="169">
        <v>1</v>
      </c>
      <c r="AR12" s="169">
        <v>1</v>
      </c>
      <c r="AS12" s="268">
        <f t="shared" si="4"/>
        <v>12</v>
      </c>
    </row>
    <row r="13" spans="1:45">
      <c r="A13" s="1">
        <v>2009</v>
      </c>
      <c r="B13" s="4">
        <v>47.5</v>
      </c>
      <c r="C13" s="195"/>
      <c r="D13" s="199">
        <f t="shared" si="9"/>
        <v>372.5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0"/>
      <c r="O13" s="179">
        <f t="shared" si="8"/>
        <v>420</v>
      </c>
      <c r="P13" s="125">
        <v>1334</v>
      </c>
      <c r="Q13" s="123">
        <f t="shared" si="1"/>
        <v>147</v>
      </c>
      <c r="R13" s="272">
        <f t="shared" si="2"/>
        <v>466.9</v>
      </c>
      <c r="S13" s="330">
        <v>0.35</v>
      </c>
      <c r="T13" s="165"/>
      <c r="AG13" s="169">
        <v>1</v>
      </c>
      <c r="AH13" s="169">
        <v>1</v>
      </c>
      <c r="AI13" s="169">
        <v>1</v>
      </c>
      <c r="AJ13" s="169">
        <v>1</v>
      </c>
      <c r="AK13" s="169">
        <v>1</v>
      </c>
      <c r="AL13" s="169">
        <v>1</v>
      </c>
      <c r="AM13" s="169">
        <v>1</v>
      </c>
      <c r="AN13" s="169">
        <v>1</v>
      </c>
      <c r="AO13" s="169">
        <v>1</v>
      </c>
      <c r="AP13" s="169">
        <v>1</v>
      </c>
      <c r="AQ13" s="169">
        <v>1</v>
      </c>
      <c r="AR13" s="169">
        <v>1</v>
      </c>
      <c r="AS13" s="268">
        <f t="shared" si="4"/>
        <v>12</v>
      </c>
    </row>
    <row r="14" spans="1:45">
      <c r="A14" s="1">
        <v>2010</v>
      </c>
      <c r="B14" s="4">
        <v>19</v>
      </c>
      <c r="C14" s="195"/>
      <c r="D14" s="199">
        <f t="shared" si="9"/>
        <v>334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0"/>
      <c r="O14" s="179">
        <f t="shared" si="8"/>
        <v>353</v>
      </c>
      <c r="P14" s="125">
        <v>1028</v>
      </c>
      <c r="Q14" s="123">
        <f t="shared" si="1"/>
        <v>158.85</v>
      </c>
      <c r="R14" s="272">
        <f t="shared" si="2"/>
        <v>462.6</v>
      </c>
      <c r="S14" s="330">
        <v>0.45</v>
      </c>
      <c r="T14" s="165"/>
      <c r="AG14" s="169">
        <v>1</v>
      </c>
      <c r="AH14" s="169">
        <v>1</v>
      </c>
      <c r="AI14" s="169">
        <v>1</v>
      </c>
      <c r="AJ14" s="169">
        <v>1</v>
      </c>
      <c r="AK14" s="169">
        <v>1</v>
      </c>
      <c r="AL14" s="169">
        <v>1</v>
      </c>
      <c r="AM14" s="169">
        <v>1</v>
      </c>
      <c r="AN14" s="169">
        <v>1</v>
      </c>
      <c r="AO14" s="169">
        <v>1</v>
      </c>
      <c r="AP14" s="169">
        <v>1</v>
      </c>
      <c r="AQ14" s="169">
        <v>1</v>
      </c>
      <c r="AR14" s="169">
        <v>1</v>
      </c>
      <c r="AS14" s="268">
        <f t="shared" si="4"/>
        <v>12</v>
      </c>
    </row>
    <row r="15" spans="1:45">
      <c r="A15" s="1">
        <v>2011</v>
      </c>
      <c r="B15" s="4">
        <v>28.5</v>
      </c>
      <c r="C15" s="195"/>
      <c r="D15" s="199">
        <f t="shared" si="9"/>
        <v>271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0"/>
      <c r="O15" s="179">
        <f t="shared" si="8"/>
        <v>299.5</v>
      </c>
      <c r="P15" s="125">
        <v>799</v>
      </c>
      <c r="Q15" s="123">
        <f t="shared" si="1"/>
        <v>104.82499999999999</v>
      </c>
      <c r="R15" s="272">
        <f t="shared" si="2"/>
        <v>279.64999999999998</v>
      </c>
      <c r="S15" s="330">
        <v>0.35</v>
      </c>
      <c r="T15" s="165"/>
      <c r="AG15" s="169">
        <v>1</v>
      </c>
      <c r="AH15" s="169">
        <v>1</v>
      </c>
      <c r="AI15" s="169">
        <v>1</v>
      </c>
      <c r="AJ15" s="169">
        <v>1</v>
      </c>
      <c r="AK15" s="169">
        <v>1</v>
      </c>
      <c r="AL15" s="169">
        <v>1</v>
      </c>
      <c r="AM15" s="169">
        <v>1</v>
      </c>
      <c r="AN15" s="169">
        <v>1</v>
      </c>
      <c r="AO15" s="169">
        <v>1</v>
      </c>
      <c r="AP15" s="169">
        <v>1</v>
      </c>
      <c r="AQ15" s="169">
        <v>1</v>
      </c>
      <c r="AR15" s="169">
        <v>1</v>
      </c>
      <c r="AS15" s="268">
        <f t="shared" si="4"/>
        <v>12</v>
      </c>
    </row>
    <row r="16" spans="1:45">
      <c r="A16" s="1">
        <v>2012</v>
      </c>
      <c r="B16" s="4">
        <v>21.5</v>
      </c>
      <c r="C16" s="195"/>
      <c r="D16" s="199">
        <f t="shared" si="9"/>
        <v>221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0"/>
      <c r="O16" s="179">
        <f t="shared" si="8"/>
        <v>242.5</v>
      </c>
      <c r="P16" s="125">
        <v>592</v>
      </c>
      <c r="Q16" s="123">
        <f t="shared" si="1"/>
        <v>43.65</v>
      </c>
      <c r="R16" s="272">
        <f t="shared" si="2"/>
        <v>106.56</v>
      </c>
      <c r="S16" s="330">
        <v>0.18</v>
      </c>
      <c r="T16" s="165"/>
      <c r="AG16" s="169">
        <v>1</v>
      </c>
      <c r="AH16" s="169">
        <v>1</v>
      </c>
      <c r="AI16" s="169">
        <v>1</v>
      </c>
      <c r="AJ16" s="169">
        <v>1</v>
      </c>
      <c r="AK16" s="169">
        <v>1</v>
      </c>
      <c r="AL16" s="169">
        <v>1</v>
      </c>
      <c r="AM16" s="169">
        <v>1</v>
      </c>
      <c r="AN16" s="169">
        <v>1</v>
      </c>
      <c r="AO16" s="169">
        <v>1</v>
      </c>
      <c r="AP16" s="169">
        <v>1</v>
      </c>
      <c r="AQ16" s="169">
        <v>1</v>
      </c>
      <c r="AR16" s="169">
        <v>1</v>
      </c>
      <c r="AS16" s="268">
        <f t="shared" si="4"/>
        <v>12</v>
      </c>
    </row>
    <row r="17" spans="1:53">
      <c r="A17" s="1">
        <v>2013</v>
      </c>
      <c r="B17" s="4">
        <v>38</v>
      </c>
      <c r="C17" s="200">
        <v>10</v>
      </c>
      <c r="D17" s="200">
        <v>63.5</v>
      </c>
      <c r="E17" s="200">
        <v>73.5</v>
      </c>
      <c r="F17" s="200">
        <v>63.5</v>
      </c>
      <c r="G17" s="200">
        <v>22.5</v>
      </c>
      <c r="H17" s="200">
        <v>36.5</v>
      </c>
      <c r="I17" s="200">
        <v>64</v>
      </c>
      <c r="J17" s="200">
        <v>68</v>
      </c>
      <c r="K17" s="200">
        <v>35</v>
      </c>
      <c r="L17" s="200">
        <v>59</v>
      </c>
      <c r="M17" s="200">
        <v>71</v>
      </c>
      <c r="N17" s="190"/>
      <c r="O17" s="179">
        <f t="shared" si="8"/>
        <v>604.5</v>
      </c>
      <c r="P17" s="125">
        <v>1357</v>
      </c>
      <c r="Q17" s="123">
        <f t="shared" si="1"/>
        <v>157.17000000000002</v>
      </c>
      <c r="R17" s="272">
        <f t="shared" si="2"/>
        <v>352.82</v>
      </c>
      <c r="S17" s="330">
        <v>0.26</v>
      </c>
      <c r="T17" s="192" t="s">
        <v>148</v>
      </c>
      <c r="AG17" s="169">
        <v>1</v>
      </c>
      <c r="AH17" s="169">
        <v>1</v>
      </c>
      <c r="AI17" s="169">
        <v>1</v>
      </c>
      <c r="AJ17" s="169">
        <v>1</v>
      </c>
      <c r="AK17" s="169">
        <v>1</v>
      </c>
      <c r="AL17" s="169">
        <v>1</v>
      </c>
      <c r="AM17" s="169">
        <v>1</v>
      </c>
      <c r="AN17" s="169">
        <v>1</v>
      </c>
      <c r="AO17" s="169">
        <v>1</v>
      </c>
      <c r="AP17" s="169">
        <v>1</v>
      </c>
      <c r="AQ17" s="169">
        <v>1</v>
      </c>
      <c r="AR17" s="169">
        <v>1</v>
      </c>
      <c r="AS17" s="268">
        <f t="shared" si="4"/>
        <v>12</v>
      </c>
    </row>
    <row r="18" spans="1:53">
      <c r="A18" s="1">
        <v>2014</v>
      </c>
      <c r="B18" s="4">
        <v>27.5</v>
      </c>
      <c r="C18" s="4">
        <v>33</v>
      </c>
      <c r="D18" s="4">
        <v>44</v>
      </c>
      <c r="E18" s="4">
        <v>26.5</v>
      </c>
      <c r="F18" s="4">
        <v>3.5</v>
      </c>
      <c r="G18" s="4">
        <v>3</v>
      </c>
      <c r="H18" s="4">
        <v>2</v>
      </c>
      <c r="I18" s="4">
        <v>6.5</v>
      </c>
      <c r="J18" s="4">
        <v>6.5</v>
      </c>
      <c r="K18" s="4"/>
      <c r="L18" s="4"/>
      <c r="M18" s="4">
        <v>6</v>
      </c>
      <c r="N18" s="190"/>
      <c r="O18" s="179">
        <f t="shared" si="8"/>
        <v>158.5</v>
      </c>
      <c r="P18" s="125">
        <v>329</v>
      </c>
      <c r="Q18" s="123">
        <f t="shared" si="1"/>
        <v>41.21</v>
      </c>
      <c r="R18" s="272">
        <f t="shared" si="2"/>
        <v>85.54</v>
      </c>
      <c r="S18" s="330">
        <v>0.26</v>
      </c>
      <c r="AG18" s="169">
        <v>1</v>
      </c>
      <c r="AH18" s="169">
        <v>1</v>
      </c>
      <c r="AI18" s="169">
        <v>1</v>
      </c>
      <c r="AJ18" s="169">
        <v>1</v>
      </c>
      <c r="AK18" s="169">
        <v>1</v>
      </c>
      <c r="AL18" s="169">
        <v>1</v>
      </c>
      <c r="AM18" s="169">
        <v>1</v>
      </c>
      <c r="AN18" s="169">
        <v>1</v>
      </c>
      <c r="AO18" s="169">
        <v>1</v>
      </c>
      <c r="AP18" s="169">
        <v>1</v>
      </c>
      <c r="AQ18" s="169">
        <v>1</v>
      </c>
      <c r="AR18" s="169">
        <v>1</v>
      </c>
      <c r="AS18" s="268">
        <f t="shared" si="4"/>
        <v>12</v>
      </c>
    </row>
    <row r="19" spans="1:53">
      <c r="A19" s="1">
        <v>2015</v>
      </c>
      <c r="B19" s="4">
        <v>3.5</v>
      </c>
      <c r="C19" s="4">
        <v>2.5</v>
      </c>
      <c r="D19" s="4"/>
      <c r="E19" s="200">
        <v>41.5</v>
      </c>
      <c r="F19" s="200">
        <v>48</v>
      </c>
      <c r="G19" s="200">
        <v>75</v>
      </c>
      <c r="H19" s="200">
        <v>72.5</v>
      </c>
      <c r="I19" s="200">
        <v>40.5</v>
      </c>
      <c r="J19" s="200">
        <v>71</v>
      </c>
      <c r="K19" s="4">
        <v>0.5</v>
      </c>
      <c r="L19" s="200">
        <v>55</v>
      </c>
      <c r="M19" s="200">
        <v>99.5</v>
      </c>
      <c r="N19" s="190"/>
      <c r="O19" s="179">
        <f t="shared" si="8"/>
        <v>509.5</v>
      </c>
      <c r="P19" s="125">
        <v>983</v>
      </c>
      <c r="Q19" s="123">
        <f t="shared" si="1"/>
        <v>168.13500000000002</v>
      </c>
      <c r="R19" s="272">
        <f t="shared" si="2"/>
        <v>324.39000000000004</v>
      </c>
      <c r="S19" s="330">
        <v>0.33</v>
      </c>
      <c r="T19" s="192" t="s">
        <v>148</v>
      </c>
      <c r="AG19" s="169">
        <v>1</v>
      </c>
      <c r="AH19" s="169">
        <v>1</v>
      </c>
      <c r="AI19" s="169">
        <v>1</v>
      </c>
      <c r="AJ19" s="169">
        <v>1</v>
      </c>
      <c r="AK19" s="169">
        <v>1</v>
      </c>
      <c r="AL19" s="169">
        <v>1</v>
      </c>
      <c r="AM19" s="169">
        <v>1</v>
      </c>
      <c r="AN19" s="169">
        <v>1</v>
      </c>
      <c r="AO19" s="169">
        <v>1</v>
      </c>
      <c r="AP19" s="169">
        <v>1</v>
      </c>
      <c r="AQ19" s="169">
        <v>1</v>
      </c>
      <c r="AR19" s="169">
        <v>1</v>
      </c>
      <c r="AS19" s="268">
        <f t="shared" si="4"/>
        <v>12</v>
      </c>
    </row>
    <row r="20" spans="1:53">
      <c r="A20" s="1">
        <v>2016</v>
      </c>
      <c r="B20" s="4"/>
      <c r="C20" s="200">
        <v>27.5</v>
      </c>
      <c r="D20" s="200">
        <v>25</v>
      </c>
      <c r="E20" s="200">
        <v>63.5</v>
      </c>
      <c r="F20" s="200">
        <v>50.5</v>
      </c>
      <c r="G20" s="200">
        <v>48.5</v>
      </c>
      <c r="H20" s="200">
        <v>37.5</v>
      </c>
      <c r="I20" s="200">
        <v>86</v>
      </c>
      <c r="J20" s="200">
        <v>50</v>
      </c>
      <c r="K20" s="200">
        <v>40</v>
      </c>
      <c r="L20" s="200">
        <v>35.5</v>
      </c>
      <c r="M20" s="200">
        <v>111.5</v>
      </c>
      <c r="N20" s="190"/>
      <c r="O20" s="179">
        <f t="shared" si="8"/>
        <v>575.5</v>
      </c>
      <c r="P20" s="125">
        <v>1032</v>
      </c>
      <c r="Q20" s="123">
        <f t="shared" si="1"/>
        <v>258.97500000000002</v>
      </c>
      <c r="R20" s="272">
        <f t="shared" si="2"/>
        <v>464.40000000000003</v>
      </c>
      <c r="S20" s="330">
        <v>0.45</v>
      </c>
      <c r="T20" s="192" t="s">
        <v>148</v>
      </c>
      <c r="AG20" s="169">
        <v>1</v>
      </c>
      <c r="AH20" s="169">
        <v>1</v>
      </c>
      <c r="AI20" s="169">
        <v>1</v>
      </c>
      <c r="AJ20" s="169">
        <v>1</v>
      </c>
      <c r="AK20" s="169">
        <v>1</v>
      </c>
      <c r="AL20" s="169">
        <v>1</v>
      </c>
      <c r="AM20" s="169">
        <v>1</v>
      </c>
      <c r="AN20" s="169">
        <v>1</v>
      </c>
      <c r="AO20" s="169">
        <v>1</v>
      </c>
      <c r="AP20" s="169">
        <v>1</v>
      </c>
      <c r="AQ20" s="169">
        <v>1</v>
      </c>
      <c r="AR20" s="169">
        <v>1</v>
      </c>
      <c r="AS20" s="268">
        <f t="shared" si="4"/>
        <v>12</v>
      </c>
    </row>
    <row r="21" spans="1:53">
      <c r="A21" s="1">
        <v>2017</v>
      </c>
      <c r="B21" s="4">
        <v>8.5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>
        <v>1312</v>
      </c>
      <c r="N21" s="190"/>
      <c r="O21" s="179">
        <f t="shared" si="8"/>
        <v>1320.5</v>
      </c>
      <c r="P21" s="125">
        <v>2206</v>
      </c>
      <c r="Q21" s="123">
        <f t="shared" si="1"/>
        <v>594.22500000000002</v>
      </c>
      <c r="R21" s="272">
        <f t="shared" si="2"/>
        <v>992.7</v>
      </c>
      <c r="S21" s="330">
        <v>0.45</v>
      </c>
      <c r="T21" s="165"/>
      <c r="AG21" s="169">
        <v>1</v>
      </c>
      <c r="AH21" s="169">
        <v>1</v>
      </c>
      <c r="AI21" s="169">
        <v>1</v>
      </c>
      <c r="AJ21" s="169">
        <v>1</v>
      </c>
      <c r="AK21" s="169">
        <v>1</v>
      </c>
      <c r="AL21" s="169">
        <v>1</v>
      </c>
      <c r="AM21" s="169">
        <v>1</v>
      </c>
      <c r="AN21" s="169">
        <v>1</v>
      </c>
      <c r="AO21" s="169">
        <v>1</v>
      </c>
      <c r="AP21" s="169">
        <v>1</v>
      </c>
      <c r="AQ21" s="169">
        <v>1</v>
      </c>
      <c r="AR21" s="169">
        <v>1</v>
      </c>
      <c r="AS21" s="268">
        <f t="shared" si="4"/>
        <v>12</v>
      </c>
    </row>
    <row r="22" spans="1:53">
      <c r="A22" s="1">
        <v>2018</v>
      </c>
      <c r="B22" s="4">
        <v>4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>
        <v>1144</v>
      </c>
      <c r="N22" s="190"/>
      <c r="O22" s="179">
        <f t="shared" si="8"/>
        <v>1148</v>
      </c>
      <c r="P22" s="125">
        <v>1789</v>
      </c>
      <c r="Q22" s="123">
        <f t="shared" si="1"/>
        <v>516.6</v>
      </c>
      <c r="R22" s="272">
        <f t="shared" si="2"/>
        <v>805.05000000000007</v>
      </c>
      <c r="S22" s="330">
        <v>0.45</v>
      </c>
      <c r="T22" s="165"/>
      <c r="AG22" s="169">
        <v>1</v>
      </c>
      <c r="AH22" s="169">
        <v>1</v>
      </c>
      <c r="AI22" s="169">
        <v>1</v>
      </c>
      <c r="AJ22" s="169">
        <v>1</v>
      </c>
      <c r="AK22" s="169">
        <v>1</v>
      </c>
      <c r="AL22" s="169">
        <v>1</v>
      </c>
      <c r="AM22" s="169">
        <v>1</v>
      </c>
      <c r="AN22" s="169">
        <v>1</v>
      </c>
      <c r="AO22" s="169">
        <v>1</v>
      </c>
      <c r="AP22" s="169">
        <v>1</v>
      </c>
      <c r="AQ22" s="169">
        <v>1</v>
      </c>
      <c r="AR22" s="169">
        <v>1</v>
      </c>
      <c r="AS22" s="268">
        <f t="shared" si="4"/>
        <v>12</v>
      </c>
    </row>
    <row r="23" spans="1:53">
      <c r="A23" s="1">
        <v>2019</v>
      </c>
      <c r="B23" s="4">
        <v>16</v>
      </c>
      <c r="C23" s="4">
        <v>6</v>
      </c>
      <c r="D23" s="4">
        <v>3</v>
      </c>
      <c r="E23" s="195"/>
      <c r="F23" s="195"/>
      <c r="G23" s="195"/>
      <c r="H23" s="195"/>
      <c r="I23" s="195"/>
      <c r="J23" s="195"/>
      <c r="K23" s="195"/>
      <c r="L23" s="195"/>
      <c r="M23" s="195">
        <v>1300</v>
      </c>
      <c r="N23" s="190"/>
      <c r="O23" s="179">
        <f t="shared" si="8"/>
        <v>1325</v>
      </c>
      <c r="P23" s="125">
        <v>1926</v>
      </c>
      <c r="Q23" s="123">
        <f t="shared" si="1"/>
        <v>596.25</v>
      </c>
      <c r="R23" s="272">
        <f t="shared" si="2"/>
        <v>866.7</v>
      </c>
      <c r="S23" s="330">
        <v>0.45</v>
      </c>
      <c r="T23" s="165"/>
      <c r="AG23" s="169">
        <v>1</v>
      </c>
      <c r="AH23" s="169">
        <v>1</v>
      </c>
      <c r="AI23" s="169">
        <v>1</v>
      </c>
      <c r="AJ23" s="169">
        <v>1</v>
      </c>
      <c r="AK23" s="169">
        <v>1</v>
      </c>
      <c r="AL23" s="169">
        <v>1</v>
      </c>
      <c r="AM23" s="169">
        <v>1</v>
      </c>
      <c r="AN23" s="169">
        <v>1</v>
      </c>
      <c r="AO23" s="169">
        <v>1</v>
      </c>
      <c r="AP23" s="169">
        <v>1</v>
      </c>
      <c r="AQ23" s="169">
        <v>1</v>
      </c>
      <c r="AR23" s="169">
        <v>1</v>
      </c>
      <c r="AS23" s="268">
        <f t="shared" si="4"/>
        <v>12</v>
      </c>
    </row>
    <row r="24" spans="1:53">
      <c r="A24" s="1">
        <v>2020</v>
      </c>
      <c r="B24" s="4">
        <v>9</v>
      </c>
      <c r="C24" s="4">
        <v>62</v>
      </c>
      <c r="D24" s="4">
        <v>29</v>
      </c>
      <c r="E24" s="4">
        <v>12</v>
      </c>
      <c r="F24" s="4">
        <v>24</v>
      </c>
      <c r="G24" s="4">
        <v>24</v>
      </c>
      <c r="H24" s="4">
        <v>65</v>
      </c>
      <c r="I24" s="4">
        <v>18</v>
      </c>
      <c r="J24" s="4">
        <v>6</v>
      </c>
      <c r="K24" s="4">
        <v>14</v>
      </c>
      <c r="L24" s="195">
        <v>11</v>
      </c>
      <c r="M24" s="195">
        <v>11</v>
      </c>
      <c r="N24" s="190"/>
      <c r="O24" s="179">
        <f t="shared" si="8"/>
        <v>285</v>
      </c>
      <c r="P24" s="125">
        <v>385</v>
      </c>
      <c r="Q24" s="123">
        <f t="shared" si="1"/>
        <v>102.6</v>
      </c>
      <c r="R24" s="272">
        <f t="shared" si="2"/>
        <v>138.6</v>
      </c>
      <c r="S24" s="330">
        <v>0.36</v>
      </c>
      <c r="T24" s="165"/>
      <c r="AG24" s="169">
        <v>1</v>
      </c>
      <c r="AH24" s="169">
        <v>1</v>
      </c>
      <c r="AI24" s="169">
        <v>1</v>
      </c>
      <c r="AJ24" s="169">
        <v>1</v>
      </c>
      <c r="AK24" s="169">
        <v>1</v>
      </c>
      <c r="AL24" s="169">
        <v>1</v>
      </c>
      <c r="AM24" s="169">
        <v>1</v>
      </c>
      <c r="AN24" s="169">
        <v>1</v>
      </c>
      <c r="AO24" s="169">
        <v>1</v>
      </c>
      <c r="AP24" s="169">
        <v>1</v>
      </c>
      <c r="AQ24" s="169">
        <v>1</v>
      </c>
      <c r="AR24" s="169">
        <v>1</v>
      </c>
      <c r="AS24" s="268">
        <f t="shared" si="4"/>
        <v>12</v>
      </c>
    </row>
    <row r="25" spans="1:53">
      <c r="A25" s="1">
        <v>2021</v>
      </c>
      <c r="B25" s="4"/>
      <c r="C25" s="195"/>
      <c r="D25" s="195"/>
      <c r="E25" s="195"/>
      <c r="F25" s="195"/>
      <c r="G25" s="195"/>
      <c r="H25" s="8"/>
      <c r="I25" s="8"/>
      <c r="J25" s="8"/>
      <c r="K25" s="8"/>
      <c r="L25" s="8"/>
      <c r="M25" s="8"/>
      <c r="N25" s="190"/>
      <c r="O25" s="179">
        <f t="shared" si="8"/>
        <v>0</v>
      </c>
      <c r="P25" s="125"/>
      <c r="Q25" s="123">
        <f t="shared" si="1"/>
        <v>0</v>
      </c>
      <c r="R25" s="272">
        <f t="shared" si="2"/>
        <v>0</v>
      </c>
      <c r="S25" s="330">
        <v>0.44</v>
      </c>
      <c r="T25" s="165"/>
      <c r="AG25" s="169">
        <v>1</v>
      </c>
      <c r="AH25" s="169">
        <v>1</v>
      </c>
      <c r="AI25" s="169">
        <v>1</v>
      </c>
      <c r="AJ25" s="169">
        <v>1</v>
      </c>
      <c r="AK25" s="169">
        <v>1</v>
      </c>
      <c r="AL25" s="169">
        <v>1</v>
      </c>
      <c r="AM25" s="169">
        <v>1</v>
      </c>
      <c r="AN25" s="169">
        <v>1</v>
      </c>
      <c r="AO25" s="169">
        <v>1</v>
      </c>
      <c r="AP25" s="169">
        <v>1</v>
      </c>
      <c r="AQ25" s="169">
        <v>1</v>
      </c>
      <c r="AR25" s="169">
        <v>1</v>
      </c>
      <c r="AS25" s="268">
        <f t="shared" si="4"/>
        <v>12</v>
      </c>
    </row>
    <row r="26" spans="1:53">
      <c r="A26" s="1">
        <v>2022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240"/>
      <c r="P26" s="289"/>
      <c r="Q26" s="188"/>
      <c r="R26" s="274"/>
      <c r="S26" s="330">
        <v>0.44</v>
      </c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</row>
    <row r="27" spans="1:53">
      <c r="A27" s="1">
        <v>2023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240">
        <f t="shared" si="8"/>
        <v>0</v>
      </c>
      <c r="P27" s="289"/>
      <c r="Q27" s="188">
        <f t="shared" ref="Q27" si="10">O27*30%</f>
        <v>0</v>
      </c>
      <c r="R27" s="274">
        <f t="shared" ref="R27" si="11">P27*30%</f>
        <v>0</v>
      </c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</row>
    <row r="28" spans="1:53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">
        <f>SUM(O2:O27)</f>
        <v>10124.67131327953</v>
      </c>
      <c r="P28" s="189">
        <f t="shared" ref="P28:R28" si="12">SUM(P2:P27)</f>
        <v>27510</v>
      </c>
      <c r="Q28" s="4">
        <f t="shared" si="12"/>
        <v>4038.1293250183417</v>
      </c>
      <c r="R28" s="189">
        <f t="shared" si="12"/>
        <v>10788.16</v>
      </c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U28" s="301"/>
      <c r="AV28" s="331"/>
      <c r="AW28" s="302" t="s">
        <v>184</v>
      </c>
      <c r="AX28" s="331"/>
      <c r="AY28" s="331" t="s">
        <v>3</v>
      </c>
      <c r="AZ28" s="331"/>
      <c r="BA28" s="331" t="s">
        <v>185</v>
      </c>
    </row>
    <row r="29" spans="1:53">
      <c r="Q29" s="196">
        <v>299</v>
      </c>
      <c r="S29" s="263">
        <v>45673</v>
      </c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U29" s="303" t="s">
        <v>186</v>
      </c>
      <c r="AV29" s="304">
        <v>5555</v>
      </c>
      <c r="AW29" s="278">
        <v>11111</v>
      </c>
      <c r="AX29" s="259"/>
      <c r="AY29" s="259">
        <f>AV29*AW29</f>
        <v>61721605</v>
      </c>
      <c r="AZ29" s="128"/>
      <c r="BA29" s="278">
        <f>P28*AY29/O28</f>
        <v>167705330.96940657</v>
      </c>
    </row>
    <row r="30" spans="1:53">
      <c r="S30" s="260" t="s">
        <v>182</v>
      </c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U30" s="303" t="s">
        <v>187</v>
      </c>
      <c r="AV30" s="278">
        <v>5555</v>
      </c>
      <c r="AW30" s="278">
        <v>7777</v>
      </c>
      <c r="AX30" s="259"/>
      <c r="AY30" s="259">
        <f>AV30*AW30</f>
        <v>43201235</v>
      </c>
      <c r="AZ30" s="259"/>
      <c r="BA30" s="278">
        <v>188888888</v>
      </c>
    </row>
    <row r="31" spans="1:53">
      <c r="A31" s="586" t="s">
        <v>179</v>
      </c>
      <c r="B31" s="586"/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U31" s="303" t="s">
        <v>188</v>
      </c>
      <c r="AV31" s="278">
        <v>5555</v>
      </c>
      <c r="AW31" s="278">
        <v>4444</v>
      </c>
      <c r="AX31" s="259"/>
      <c r="AY31" s="259">
        <f>AV31*AW31</f>
        <v>24686420</v>
      </c>
      <c r="AZ31" s="259"/>
      <c r="BA31" s="278">
        <v>199999999</v>
      </c>
    </row>
    <row r="32" spans="1:53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U32" s="162"/>
      <c r="AV32" s="305"/>
      <c r="AW32" s="259"/>
      <c r="AX32" s="259"/>
      <c r="AY32" s="259">
        <f t="shared" ref="AY32" si="13">SUM(AY29:AY31)</f>
        <v>129609260</v>
      </c>
      <c r="AZ32" s="259"/>
      <c r="BA32" s="278">
        <f>SUM(BA29:BA31)</f>
        <v>556594217.9694066</v>
      </c>
    </row>
    <row r="33" spans="1:44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</row>
    <row r="34" spans="1:44">
      <c r="F34" s="587" t="s">
        <v>164</v>
      </c>
      <c r="G34" s="587"/>
      <c r="H34" s="587"/>
      <c r="I34" s="587"/>
      <c r="J34" s="587"/>
      <c r="K34" s="587"/>
      <c r="L34" s="587"/>
      <c r="M34" s="587"/>
      <c r="N34" s="587"/>
      <c r="O34" s="587"/>
    </row>
    <row r="35" spans="1:44" s="201" customFormat="1"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R35" s="202">
        <v>1</v>
      </c>
      <c r="S35" s="202">
        <v>2</v>
      </c>
      <c r="T35" s="202">
        <v>3</v>
      </c>
      <c r="U35" s="202">
        <v>4</v>
      </c>
      <c r="V35" s="202">
        <v>5</v>
      </c>
      <c r="W35" s="202">
        <v>6</v>
      </c>
      <c r="X35" s="202">
        <v>7</v>
      </c>
      <c r="Y35" s="202">
        <v>8</v>
      </c>
      <c r="Z35" s="202">
        <v>9</v>
      </c>
      <c r="AA35" s="202">
        <v>10</v>
      </c>
      <c r="AB35" s="202">
        <v>11</v>
      </c>
      <c r="AC35" s="202">
        <v>12</v>
      </c>
    </row>
    <row r="36" spans="1:44">
      <c r="A36" s="2">
        <v>1998</v>
      </c>
      <c r="B36" s="203"/>
      <c r="C36" s="203"/>
      <c r="D36" s="203"/>
      <c r="E36" s="203"/>
      <c r="F36" s="203"/>
      <c r="G36" s="203"/>
      <c r="H36" s="203"/>
      <c r="I36" s="169">
        <v>14</v>
      </c>
      <c r="J36" s="204">
        <v>50</v>
      </c>
      <c r="K36" s="204">
        <v>43</v>
      </c>
      <c r="L36" s="204">
        <v>40</v>
      </c>
      <c r="M36" s="204">
        <v>89</v>
      </c>
      <c r="N36" s="205">
        <f t="shared" ref="N36:N53" si="14">SUM(B36:M36)</f>
        <v>236</v>
      </c>
      <c r="O36" s="2">
        <v>100</v>
      </c>
      <c r="R36" s="243">
        <f>B36*100</f>
        <v>0</v>
      </c>
      <c r="S36" s="243">
        <f t="shared" ref="S36:AA39" si="15">C36*100</f>
        <v>0</v>
      </c>
      <c r="T36" s="243">
        <f t="shared" si="15"/>
        <v>0</v>
      </c>
      <c r="U36" s="243">
        <f t="shared" si="15"/>
        <v>0</v>
      </c>
      <c r="V36" s="243">
        <f t="shared" si="15"/>
        <v>0</v>
      </c>
      <c r="W36" s="243">
        <f t="shared" si="15"/>
        <v>0</v>
      </c>
      <c r="X36" s="243">
        <f t="shared" si="15"/>
        <v>0</v>
      </c>
      <c r="Y36" s="205">
        <f t="shared" si="15"/>
        <v>1400</v>
      </c>
      <c r="Z36" s="205">
        <f t="shared" si="15"/>
        <v>5000</v>
      </c>
      <c r="AA36" s="205">
        <f t="shared" si="15"/>
        <v>4300</v>
      </c>
      <c r="AB36" s="205">
        <f t="shared" ref="AB36:AC39" si="16">L36*100</f>
        <v>4000</v>
      </c>
      <c r="AC36" s="205">
        <f t="shared" ref="AC36:AC38" si="17">M36*100</f>
        <v>8900</v>
      </c>
    </row>
    <row r="37" spans="1:44">
      <c r="A37" s="2">
        <v>1999</v>
      </c>
      <c r="B37" s="204">
        <v>18</v>
      </c>
      <c r="C37" s="204">
        <v>26</v>
      </c>
      <c r="D37" s="204">
        <v>49</v>
      </c>
      <c r="E37" s="204">
        <v>42</v>
      </c>
      <c r="F37" s="204">
        <v>35</v>
      </c>
      <c r="G37" s="204">
        <v>52</v>
      </c>
      <c r="H37" s="204">
        <v>51</v>
      </c>
      <c r="I37" s="204">
        <v>89</v>
      </c>
      <c r="J37" s="204">
        <v>72</v>
      </c>
      <c r="K37" s="204">
        <v>51</v>
      </c>
      <c r="L37" s="204">
        <v>34</v>
      </c>
      <c r="M37" s="204">
        <v>47</v>
      </c>
      <c r="N37" s="205">
        <f t="shared" si="14"/>
        <v>566</v>
      </c>
      <c r="O37" s="2">
        <v>100</v>
      </c>
      <c r="R37" s="205">
        <f t="shared" ref="R37:R39" si="18">B37*100</f>
        <v>1800</v>
      </c>
      <c r="S37" s="205">
        <f t="shared" si="15"/>
        <v>2600</v>
      </c>
      <c r="T37" s="205">
        <f t="shared" si="15"/>
        <v>4900</v>
      </c>
      <c r="U37" s="205">
        <f t="shared" si="15"/>
        <v>4200</v>
      </c>
      <c r="V37" s="205">
        <f t="shared" si="15"/>
        <v>3500</v>
      </c>
      <c r="W37" s="205">
        <f t="shared" si="15"/>
        <v>5200</v>
      </c>
      <c r="X37" s="205">
        <f t="shared" si="15"/>
        <v>5100</v>
      </c>
      <c r="Y37" s="205">
        <f t="shared" si="15"/>
        <v>8900</v>
      </c>
      <c r="Z37" s="205">
        <f t="shared" si="15"/>
        <v>7200</v>
      </c>
      <c r="AA37" s="205">
        <f t="shared" si="15"/>
        <v>5100</v>
      </c>
      <c r="AB37" s="205">
        <f t="shared" si="16"/>
        <v>3400</v>
      </c>
      <c r="AC37" s="205">
        <f t="shared" si="17"/>
        <v>4700</v>
      </c>
    </row>
    <row r="38" spans="1:44">
      <c r="A38" s="2">
        <v>2000</v>
      </c>
      <c r="B38" s="204">
        <v>28</v>
      </c>
      <c r="C38" s="204">
        <v>36</v>
      </c>
      <c r="D38" s="204">
        <v>41</v>
      </c>
      <c r="E38" s="204">
        <v>33</v>
      </c>
      <c r="F38" s="204">
        <v>51</v>
      </c>
      <c r="G38" s="204">
        <v>40</v>
      </c>
      <c r="H38" s="204">
        <v>48</v>
      </c>
      <c r="I38" s="204">
        <v>86</v>
      </c>
      <c r="J38" s="204">
        <v>44</v>
      </c>
      <c r="K38" s="204">
        <v>50</v>
      </c>
      <c r="L38" s="204">
        <v>60</v>
      </c>
      <c r="M38" s="204">
        <v>47</v>
      </c>
      <c r="N38" s="205">
        <f t="shared" si="14"/>
        <v>564</v>
      </c>
      <c r="O38" s="2">
        <v>100</v>
      </c>
      <c r="P38" s="2" t="s">
        <v>151</v>
      </c>
      <c r="R38" s="205">
        <f t="shared" si="18"/>
        <v>2800</v>
      </c>
      <c r="S38" s="205">
        <f t="shared" si="15"/>
        <v>3600</v>
      </c>
      <c r="T38" s="205">
        <f t="shared" si="15"/>
        <v>4100</v>
      </c>
      <c r="U38" s="205">
        <f t="shared" si="15"/>
        <v>3300</v>
      </c>
      <c r="V38" s="205">
        <f t="shared" si="15"/>
        <v>5100</v>
      </c>
      <c r="W38" s="205">
        <f t="shared" si="15"/>
        <v>4000</v>
      </c>
      <c r="X38" s="205">
        <f t="shared" si="15"/>
        <v>4800</v>
      </c>
      <c r="Y38" s="205">
        <f t="shared" si="15"/>
        <v>8600</v>
      </c>
      <c r="Z38" s="205">
        <f t="shared" si="15"/>
        <v>4400</v>
      </c>
      <c r="AA38" s="205">
        <f t="shared" si="15"/>
        <v>5000</v>
      </c>
      <c r="AB38" s="205">
        <f t="shared" si="16"/>
        <v>6000</v>
      </c>
      <c r="AC38" s="205">
        <f t="shared" si="17"/>
        <v>4700</v>
      </c>
    </row>
    <row r="39" spans="1:44">
      <c r="A39" s="2">
        <v>2001</v>
      </c>
      <c r="B39" s="169">
        <v>40</v>
      </c>
      <c r="C39" s="169">
        <v>54</v>
      </c>
      <c r="D39" s="204">
        <v>35</v>
      </c>
      <c r="E39" s="169">
        <v>35</v>
      </c>
      <c r="F39" s="169">
        <v>42</v>
      </c>
      <c r="G39" s="169">
        <v>33</v>
      </c>
      <c r="H39" s="169">
        <v>56</v>
      </c>
      <c r="I39" s="169">
        <v>81</v>
      </c>
      <c r="J39" s="169">
        <v>55</v>
      </c>
      <c r="K39" s="169">
        <v>34</v>
      </c>
      <c r="L39" s="169">
        <v>58</v>
      </c>
      <c r="M39" s="169">
        <v>57</v>
      </c>
      <c r="N39" s="205">
        <f t="shared" si="14"/>
        <v>580</v>
      </c>
      <c r="O39" s="2">
        <v>100</v>
      </c>
      <c r="R39" s="205">
        <f t="shared" si="18"/>
        <v>4000</v>
      </c>
      <c r="S39" s="205">
        <f t="shared" si="15"/>
        <v>5400</v>
      </c>
      <c r="T39" s="205">
        <f t="shared" si="15"/>
        <v>3500</v>
      </c>
      <c r="U39" s="205">
        <f t="shared" si="15"/>
        <v>3500</v>
      </c>
      <c r="V39" s="205">
        <f t="shared" si="15"/>
        <v>4200</v>
      </c>
      <c r="W39" s="205">
        <f t="shared" si="15"/>
        <v>3300</v>
      </c>
      <c r="X39" s="205">
        <f t="shared" si="15"/>
        <v>5600</v>
      </c>
      <c r="Y39" s="205">
        <f t="shared" si="15"/>
        <v>8100</v>
      </c>
      <c r="Z39" s="205">
        <f t="shared" si="15"/>
        <v>5500</v>
      </c>
      <c r="AA39" s="205">
        <f t="shared" si="15"/>
        <v>3400</v>
      </c>
      <c r="AB39" s="205">
        <f t="shared" si="16"/>
        <v>5800</v>
      </c>
      <c r="AC39" s="205">
        <f t="shared" si="16"/>
        <v>5700</v>
      </c>
    </row>
    <row r="40" spans="1:44">
      <c r="A40" s="2">
        <v>2002</v>
      </c>
      <c r="B40" s="6">
        <v>6.2</v>
      </c>
      <c r="C40" s="6">
        <v>5.64</v>
      </c>
      <c r="D40" s="6">
        <v>26</v>
      </c>
      <c r="E40" s="6">
        <v>24</v>
      </c>
      <c r="F40" s="6">
        <v>21</v>
      </c>
      <c r="G40" s="6">
        <v>13</v>
      </c>
      <c r="H40" s="6">
        <v>38</v>
      </c>
      <c r="I40" s="6">
        <v>36</v>
      </c>
      <c r="J40" s="6">
        <v>19.5</v>
      </c>
      <c r="K40" s="6">
        <v>28</v>
      </c>
      <c r="L40" s="6">
        <v>20.5</v>
      </c>
      <c r="M40" s="6">
        <v>1</v>
      </c>
      <c r="N40" s="205">
        <f t="shared" si="14"/>
        <v>238.84</v>
      </c>
      <c r="O40" s="2">
        <v>0.5</v>
      </c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</row>
    <row r="41" spans="1:44">
      <c r="A41" s="2">
        <v>2003</v>
      </c>
      <c r="B41" s="292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5"/>
      <c r="O41" s="2">
        <v>0.5</v>
      </c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</row>
    <row r="42" spans="1:44">
      <c r="A42" s="2">
        <v>2004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5">
        <f t="shared" si="14"/>
        <v>0</v>
      </c>
      <c r="O42" s="2">
        <v>0.5</v>
      </c>
      <c r="P42" s="206"/>
      <c r="Q42" s="206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</row>
    <row r="43" spans="1:44">
      <c r="A43" s="2">
        <v>2005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44"/>
      <c r="O43" s="2">
        <v>0.5</v>
      </c>
      <c r="P43" s="206" t="s">
        <v>152</v>
      </c>
      <c r="Q43" s="206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</row>
    <row r="44" spans="1:44">
      <c r="A44" s="2">
        <v>2006</v>
      </c>
      <c r="B44" s="169">
        <v>64</v>
      </c>
      <c r="C44" s="169"/>
      <c r="D44" s="170">
        <v>908</v>
      </c>
      <c r="E44" s="169"/>
      <c r="F44" s="169"/>
      <c r="G44" s="169"/>
      <c r="H44" s="169"/>
      <c r="I44" s="169"/>
      <c r="J44" s="169"/>
      <c r="K44" s="169"/>
      <c r="L44" s="169"/>
      <c r="M44" s="169"/>
      <c r="N44" s="205">
        <f t="shared" si="14"/>
        <v>972</v>
      </c>
      <c r="O44" s="2">
        <v>0.5</v>
      </c>
      <c r="P44" s="206" t="s">
        <v>152</v>
      </c>
      <c r="Q44" s="206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</row>
    <row r="45" spans="1:44">
      <c r="A45" s="2">
        <v>2007</v>
      </c>
      <c r="B45" s="169">
        <v>82</v>
      </c>
      <c r="C45" s="169"/>
      <c r="D45" s="170">
        <v>849</v>
      </c>
      <c r="E45" s="169"/>
      <c r="F45" s="169"/>
      <c r="G45" s="169"/>
      <c r="H45" s="169"/>
      <c r="I45" s="169"/>
      <c r="J45" s="169"/>
      <c r="K45" s="169"/>
      <c r="L45" s="169"/>
      <c r="M45" s="169"/>
      <c r="N45" s="205">
        <f t="shared" si="14"/>
        <v>931</v>
      </c>
      <c r="O45" s="2">
        <v>0.5</v>
      </c>
      <c r="P45" s="206" t="s">
        <v>152</v>
      </c>
      <c r="Q45" s="206"/>
    </row>
    <row r="46" spans="1:44">
      <c r="A46" s="2">
        <v>2008</v>
      </c>
      <c r="B46" s="169">
        <v>78</v>
      </c>
      <c r="C46" s="169"/>
      <c r="D46" s="170">
        <v>879</v>
      </c>
      <c r="E46" s="169"/>
      <c r="F46" s="169"/>
      <c r="G46" s="169"/>
      <c r="H46" s="169"/>
      <c r="I46" s="169"/>
      <c r="J46" s="169"/>
      <c r="K46" s="169"/>
      <c r="L46" s="169"/>
      <c r="M46" s="169"/>
      <c r="N46" s="205">
        <f t="shared" si="14"/>
        <v>957</v>
      </c>
      <c r="O46" s="2">
        <v>0.5</v>
      </c>
      <c r="P46" s="206" t="s">
        <v>152</v>
      </c>
      <c r="Q46" s="206"/>
    </row>
    <row r="47" spans="1:44">
      <c r="A47" s="2">
        <v>2009</v>
      </c>
      <c r="B47" s="169">
        <v>56</v>
      </c>
      <c r="C47" s="169"/>
      <c r="D47" s="170">
        <v>745</v>
      </c>
      <c r="E47" s="169"/>
      <c r="F47" s="169"/>
      <c r="G47" s="169"/>
      <c r="H47" s="169"/>
      <c r="I47" s="169"/>
      <c r="J47" s="169"/>
      <c r="K47" s="169"/>
      <c r="L47" s="169"/>
      <c r="M47" s="169"/>
      <c r="N47" s="205">
        <f t="shared" si="14"/>
        <v>801</v>
      </c>
      <c r="O47" s="2">
        <v>0.5</v>
      </c>
      <c r="P47" s="206" t="s">
        <v>152</v>
      </c>
      <c r="Q47" s="206"/>
    </row>
    <row r="48" spans="1:44">
      <c r="A48" s="2">
        <v>2010</v>
      </c>
      <c r="B48" s="169">
        <v>34</v>
      </c>
      <c r="C48" s="169"/>
      <c r="D48" s="170">
        <v>668</v>
      </c>
      <c r="E48" s="169"/>
      <c r="F48" s="169"/>
      <c r="G48" s="169"/>
      <c r="H48" s="169"/>
      <c r="I48" s="169"/>
      <c r="J48" s="169"/>
      <c r="K48" s="169"/>
      <c r="L48" s="169"/>
      <c r="M48" s="169"/>
      <c r="N48" s="205">
        <f t="shared" si="14"/>
        <v>702</v>
      </c>
      <c r="O48" s="2">
        <v>0.5</v>
      </c>
      <c r="P48" s="206" t="s">
        <v>152</v>
      </c>
      <c r="Q48" s="206"/>
    </row>
    <row r="49" spans="1:18">
      <c r="A49" s="2">
        <v>2011</v>
      </c>
      <c r="B49" s="169">
        <v>33</v>
      </c>
      <c r="C49" s="169"/>
      <c r="D49" s="170">
        <v>542</v>
      </c>
      <c r="E49" s="169"/>
      <c r="F49" s="169"/>
      <c r="G49" s="169"/>
      <c r="H49" s="169"/>
      <c r="I49" s="169"/>
      <c r="J49" s="169"/>
      <c r="K49" s="169"/>
      <c r="L49" s="169"/>
      <c r="M49" s="169"/>
      <c r="N49" s="205">
        <f t="shared" si="14"/>
        <v>575</v>
      </c>
      <c r="O49" s="2">
        <v>0.5</v>
      </c>
      <c r="P49" s="206" t="s">
        <v>152</v>
      </c>
      <c r="Q49" s="206"/>
    </row>
    <row r="50" spans="1:18">
      <c r="A50" s="2">
        <v>2012</v>
      </c>
      <c r="B50" s="169">
        <v>21</v>
      </c>
      <c r="C50" s="169"/>
      <c r="D50" s="170">
        <v>442</v>
      </c>
      <c r="E50" s="169"/>
      <c r="F50" s="169"/>
      <c r="G50" s="169"/>
      <c r="H50" s="169"/>
      <c r="I50" s="169"/>
      <c r="J50" s="169"/>
      <c r="K50" s="169"/>
      <c r="L50" s="169"/>
      <c r="M50" s="169"/>
      <c r="N50" s="205">
        <f t="shared" si="14"/>
        <v>463</v>
      </c>
      <c r="O50" s="2">
        <v>0.5</v>
      </c>
      <c r="P50" s="206" t="s">
        <v>152</v>
      </c>
      <c r="Q50" s="206"/>
    </row>
    <row r="51" spans="1:18">
      <c r="A51" s="2">
        <v>2013</v>
      </c>
      <c r="B51" s="169">
        <v>35</v>
      </c>
      <c r="C51" s="169">
        <v>32</v>
      </c>
      <c r="D51" s="169">
        <v>51</v>
      </c>
      <c r="E51" s="169">
        <v>54</v>
      </c>
      <c r="F51" s="169">
        <v>66</v>
      </c>
      <c r="G51" s="169">
        <v>37</v>
      </c>
      <c r="H51" s="169">
        <v>59</v>
      </c>
      <c r="I51" s="169">
        <v>77</v>
      </c>
      <c r="J51" s="169">
        <v>65</v>
      </c>
      <c r="K51" s="169">
        <v>42</v>
      </c>
      <c r="L51" s="169">
        <v>51</v>
      </c>
      <c r="M51" s="169">
        <v>49</v>
      </c>
      <c r="N51" s="205">
        <f t="shared" si="14"/>
        <v>618</v>
      </c>
      <c r="O51" s="2">
        <v>0.5</v>
      </c>
      <c r="P51" s="206" t="s">
        <v>152</v>
      </c>
      <c r="Q51" s="206"/>
    </row>
    <row r="52" spans="1:18">
      <c r="A52" s="2">
        <v>2014</v>
      </c>
      <c r="B52" s="169">
        <v>26</v>
      </c>
      <c r="C52" s="169">
        <v>47</v>
      </c>
      <c r="D52" s="204">
        <v>37</v>
      </c>
      <c r="E52" s="169">
        <v>20</v>
      </c>
      <c r="F52" s="169">
        <v>31</v>
      </c>
      <c r="G52" s="169">
        <v>47</v>
      </c>
      <c r="H52" s="169">
        <v>55</v>
      </c>
      <c r="I52" s="169">
        <v>61</v>
      </c>
      <c r="J52" s="169">
        <v>86</v>
      </c>
      <c r="K52" s="169">
        <v>62</v>
      </c>
      <c r="L52" s="169">
        <v>59</v>
      </c>
      <c r="M52" s="169">
        <v>57</v>
      </c>
      <c r="N52" s="205">
        <f t="shared" si="14"/>
        <v>588</v>
      </c>
      <c r="O52" s="2">
        <v>0.5</v>
      </c>
      <c r="P52" s="206" t="s">
        <v>152</v>
      </c>
      <c r="Q52" s="206"/>
    </row>
    <row r="53" spans="1:18">
      <c r="A53" s="2">
        <v>2015</v>
      </c>
      <c r="B53" s="169">
        <v>21</v>
      </c>
      <c r="C53" s="169">
        <v>60</v>
      </c>
      <c r="D53" s="169">
        <v>49</v>
      </c>
      <c r="E53" s="169">
        <v>53</v>
      </c>
      <c r="F53" s="169">
        <v>52</v>
      </c>
      <c r="G53" s="169">
        <v>53</v>
      </c>
      <c r="H53" s="169">
        <v>56</v>
      </c>
      <c r="I53" s="169">
        <v>72</v>
      </c>
      <c r="J53" s="169">
        <v>79</v>
      </c>
      <c r="K53" s="169">
        <v>64</v>
      </c>
      <c r="L53" s="169">
        <v>64</v>
      </c>
      <c r="M53" s="169">
        <v>75</v>
      </c>
      <c r="N53" s="205">
        <f t="shared" si="14"/>
        <v>698</v>
      </c>
      <c r="O53" s="2">
        <v>0.5</v>
      </c>
      <c r="P53" s="206" t="s">
        <v>152</v>
      </c>
      <c r="Q53" s="206"/>
    </row>
    <row r="54" spans="1:18">
      <c r="A54" s="2">
        <v>2016</v>
      </c>
      <c r="B54" s="169">
        <v>16</v>
      </c>
      <c r="C54" s="169">
        <v>22</v>
      </c>
      <c r="D54" s="204">
        <v>39</v>
      </c>
      <c r="E54" s="169">
        <v>55</v>
      </c>
      <c r="F54" s="169">
        <v>53</v>
      </c>
      <c r="G54" s="169">
        <v>52</v>
      </c>
      <c r="H54" s="204">
        <v>52</v>
      </c>
      <c r="I54" s="169">
        <v>98</v>
      </c>
      <c r="J54" s="169">
        <v>85</v>
      </c>
      <c r="K54" s="169">
        <v>66</v>
      </c>
      <c r="L54" s="169">
        <v>54</v>
      </c>
      <c r="M54" s="169">
        <v>110</v>
      </c>
      <c r="N54" s="205">
        <f>SUM(B54:M54)</f>
        <v>702</v>
      </c>
      <c r="O54" s="2">
        <v>0.5</v>
      </c>
      <c r="P54" s="206" t="s">
        <v>152</v>
      </c>
      <c r="Q54" s="206"/>
    </row>
    <row r="55" spans="1:18">
      <c r="A55" s="2">
        <v>2017</v>
      </c>
      <c r="B55" s="169">
        <v>35</v>
      </c>
      <c r="C55" s="169"/>
      <c r="D55" s="169"/>
      <c r="E55" s="169"/>
      <c r="F55" s="169"/>
      <c r="G55" s="169"/>
      <c r="H55" s="170">
        <v>656</v>
      </c>
      <c r="I55" s="169"/>
      <c r="J55" s="169"/>
      <c r="K55" s="169"/>
      <c r="L55" s="169"/>
      <c r="M55" s="169"/>
      <c r="N55" s="205">
        <f t="shared" ref="N55:N58" si="19">SUM(B55:M55)</f>
        <v>691</v>
      </c>
      <c r="O55" s="2">
        <v>2</v>
      </c>
      <c r="P55" s="206" t="s">
        <v>152</v>
      </c>
      <c r="Q55" s="206"/>
    </row>
    <row r="56" spans="1:18">
      <c r="A56" s="2">
        <v>2018</v>
      </c>
      <c r="B56" s="169">
        <v>33</v>
      </c>
      <c r="C56" s="169"/>
      <c r="D56" s="169"/>
      <c r="E56" s="169"/>
      <c r="F56" s="169"/>
      <c r="G56" s="169"/>
      <c r="H56" s="170">
        <v>572</v>
      </c>
      <c r="I56" s="169"/>
      <c r="J56" s="169"/>
      <c r="K56" s="169"/>
      <c r="L56" s="169"/>
      <c r="M56" s="169"/>
      <c r="N56" s="205">
        <f t="shared" si="19"/>
        <v>605</v>
      </c>
      <c r="O56" s="2">
        <v>2</v>
      </c>
      <c r="P56" s="206" t="s">
        <v>152</v>
      </c>
      <c r="Q56" s="206"/>
    </row>
    <row r="57" spans="1:18">
      <c r="A57" s="2">
        <v>2019</v>
      </c>
      <c r="B57" s="169">
        <v>18</v>
      </c>
      <c r="C57" s="169">
        <v>49</v>
      </c>
      <c r="D57" s="169">
        <v>60</v>
      </c>
      <c r="E57" s="169"/>
      <c r="F57" s="169"/>
      <c r="G57" s="169"/>
      <c r="H57" s="170">
        <v>653</v>
      </c>
      <c r="I57" s="169"/>
      <c r="J57" s="169"/>
      <c r="K57" s="169"/>
      <c r="L57" s="169"/>
      <c r="M57" s="169"/>
      <c r="N57" s="205">
        <f t="shared" si="19"/>
        <v>780</v>
      </c>
      <c r="O57" s="2">
        <v>2</v>
      </c>
      <c r="P57" s="206" t="s">
        <v>152</v>
      </c>
      <c r="Q57" s="206"/>
    </row>
    <row r="58" spans="1:18">
      <c r="A58" s="2">
        <v>2020</v>
      </c>
      <c r="B58" s="169">
        <v>23</v>
      </c>
      <c r="C58" s="169">
        <v>44</v>
      </c>
      <c r="D58" s="169">
        <v>21</v>
      </c>
      <c r="E58" s="169">
        <v>10</v>
      </c>
      <c r="F58" s="169">
        <v>21</v>
      </c>
      <c r="G58" s="169">
        <v>21</v>
      </c>
      <c r="H58" s="169">
        <v>47</v>
      </c>
      <c r="I58" s="169">
        <v>40</v>
      </c>
      <c r="J58" s="169">
        <v>55</v>
      </c>
      <c r="K58" s="169">
        <v>41</v>
      </c>
      <c r="L58" s="169">
        <v>26</v>
      </c>
      <c r="M58" s="169">
        <v>39</v>
      </c>
      <c r="N58" s="205">
        <f t="shared" si="19"/>
        <v>388</v>
      </c>
      <c r="O58" s="2">
        <v>1</v>
      </c>
      <c r="P58" s="206" t="s">
        <v>155</v>
      </c>
      <c r="Q58" s="206" t="s">
        <v>152</v>
      </c>
      <c r="R58" s="206"/>
    </row>
    <row r="59" spans="1:18">
      <c r="A59" s="2">
        <v>2021</v>
      </c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</row>
    <row r="60" spans="1:18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</row>
    <row r="61" spans="1:18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</row>
    <row r="62" spans="1:18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</row>
    <row r="63" spans="1:18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</row>
    <row r="64" spans="1:18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</row>
  </sheetData>
  <mergeCells count="2">
    <mergeCell ref="A31:R31"/>
    <mergeCell ref="F34:O3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P62"/>
  <sheetViews>
    <sheetView workbookViewId="0">
      <pane ySplit="1" topLeftCell="A5" activePane="bottomLeft" state="frozen"/>
      <selection pane="bottomLeft" activeCell="L9" sqref="L9"/>
    </sheetView>
  </sheetViews>
  <sheetFormatPr defaultRowHeight="12.75"/>
  <cols>
    <col min="1" max="1" width="3.88671875" style="2" bestFit="1" customWidth="1"/>
    <col min="2" max="3" width="6.44140625" style="2" bestFit="1" customWidth="1"/>
    <col min="4" max="4" width="7.21875" style="2" bestFit="1" customWidth="1"/>
    <col min="5" max="5" width="7.6640625" style="2" customWidth="1"/>
    <col min="6" max="6" width="7.21875" style="2" bestFit="1" customWidth="1"/>
    <col min="7" max="7" width="6.44140625" style="2" bestFit="1" customWidth="1"/>
    <col min="8" max="12" width="7.21875" style="2" bestFit="1" customWidth="1"/>
    <col min="13" max="13" width="8.44140625" style="2" bestFit="1" customWidth="1"/>
    <col min="14" max="14" width="8" style="2" bestFit="1" customWidth="1"/>
    <col min="15" max="15" width="9.21875" style="2" bestFit="1" customWidth="1"/>
    <col min="16" max="16" width="7.44140625" style="2" bestFit="1" customWidth="1"/>
    <col min="17" max="17" width="8.44140625" style="2" bestFit="1" customWidth="1"/>
    <col min="18" max="18" width="7.44140625" style="2" bestFit="1" customWidth="1"/>
    <col min="19" max="19" width="8.109375" style="2" customWidth="1"/>
    <col min="20" max="20" width="7.21875" style="2" customWidth="1"/>
    <col min="21" max="22" width="7.21875" style="2" bestFit="1" customWidth="1"/>
    <col min="23" max="23" width="6.44140625" style="2" bestFit="1" customWidth="1"/>
    <col min="24" max="29" width="7.21875" style="2" bestFit="1" customWidth="1"/>
    <col min="30" max="30" width="6.44140625" style="2" bestFit="1" customWidth="1"/>
    <col min="31" max="31" width="7.21875" style="2" bestFit="1" customWidth="1"/>
    <col min="32" max="16384" width="8.88671875" style="2"/>
  </cols>
  <sheetData>
    <row r="1" spans="1:42" ht="13.5" thickBot="1">
      <c r="A1" s="166"/>
      <c r="B1" s="171" t="s">
        <v>4</v>
      </c>
      <c r="C1" s="173" t="s">
        <v>5</v>
      </c>
      <c r="D1" s="171" t="s">
        <v>6</v>
      </c>
      <c r="E1" s="172" t="s">
        <v>7</v>
      </c>
      <c r="F1" s="171" t="s">
        <v>2</v>
      </c>
      <c r="G1" s="173" t="s">
        <v>8</v>
      </c>
      <c r="H1" s="171" t="s">
        <v>9</v>
      </c>
      <c r="I1" s="172" t="s">
        <v>10</v>
      </c>
      <c r="J1" s="171" t="s">
        <v>11</v>
      </c>
      <c r="K1" s="173" t="s">
        <v>12</v>
      </c>
      <c r="L1" s="171" t="s">
        <v>13</v>
      </c>
      <c r="M1" s="172" t="s">
        <v>14</v>
      </c>
      <c r="N1" s="185" t="s">
        <v>29</v>
      </c>
      <c r="O1" s="186" t="s">
        <v>147</v>
      </c>
      <c r="P1" s="186" t="s">
        <v>139</v>
      </c>
      <c r="Q1" s="210" t="s">
        <v>177</v>
      </c>
      <c r="R1" s="186" t="s">
        <v>139</v>
      </c>
    </row>
    <row r="2" spans="1:42">
      <c r="A2" s="7">
        <v>1998</v>
      </c>
      <c r="B2" s="130"/>
      <c r="C2" s="130"/>
      <c r="D2" s="130"/>
      <c r="E2" s="130"/>
      <c r="F2" s="130"/>
      <c r="G2" s="130"/>
      <c r="H2" s="130"/>
      <c r="I2" s="189">
        <f t="shared" ref="C2:M3" si="0">Y34</f>
        <v>4700</v>
      </c>
      <c r="J2" s="189">
        <f t="shared" ref="J2" si="1">Z34</f>
        <v>23000</v>
      </c>
      <c r="K2" s="189">
        <f t="shared" ref="K2" si="2">AA34</f>
        <v>25400</v>
      </c>
      <c r="L2" s="189">
        <f t="shared" ref="L2" si="3">AB34</f>
        <v>11200</v>
      </c>
      <c r="M2" s="189">
        <f t="shared" ref="M2" si="4">AC34</f>
        <v>40600</v>
      </c>
      <c r="N2" s="125">
        <f>SUM(I2:M2)</f>
        <v>104900</v>
      </c>
      <c r="O2" s="123">
        <f>N2/340.75</f>
        <v>307.85033015407191</v>
      </c>
      <c r="P2" s="125">
        <v>3642</v>
      </c>
      <c r="Q2" s="123">
        <f>O2*S2</f>
        <v>92.355099046221568</v>
      </c>
      <c r="R2" s="272">
        <f>P2*S2</f>
        <v>1092.5999999999999</v>
      </c>
      <c r="S2" s="322">
        <v>0.3</v>
      </c>
      <c r="T2" s="6">
        <f>B2/340.75</f>
        <v>0</v>
      </c>
      <c r="U2" s="6">
        <f t="shared" ref="U2:AE5" si="5">C2/340.75</f>
        <v>0</v>
      </c>
      <c r="V2" s="6">
        <f t="shared" si="5"/>
        <v>0</v>
      </c>
      <c r="W2" s="6">
        <f t="shared" si="5"/>
        <v>0</v>
      </c>
      <c r="X2" s="6">
        <f t="shared" si="5"/>
        <v>0</v>
      </c>
      <c r="Y2" s="6">
        <f t="shared" si="5"/>
        <v>0</v>
      </c>
      <c r="Z2" s="6">
        <f t="shared" si="5"/>
        <v>0</v>
      </c>
      <c r="AA2" s="6">
        <f t="shared" si="5"/>
        <v>13.793103448275861</v>
      </c>
      <c r="AB2" s="6">
        <f t="shared" si="5"/>
        <v>67.498165810711669</v>
      </c>
      <c r="AC2" s="6">
        <f t="shared" si="5"/>
        <v>74.541452677916368</v>
      </c>
      <c r="AD2" s="6">
        <f t="shared" si="5"/>
        <v>32.868672046955247</v>
      </c>
      <c r="AE2" s="6">
        <f t="shared" si="5"/>
        <v>119.14893617021276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>
      <c r="A3" s="1">
        <v>1999</v>
      </c>
      <c r="B3" s="189">
        <f t="shared" ref="B3:C9" si="6">R35</f>
        <v>3600</v>
      </c>
      <c r="C3" s="189">
        <f t="shared" si="0"/>
        <v>8000</v>
      </c>
      <c r="D3" s="189">
        <f t="shared" si="0"/>
        <v>13900</v>
      </c>
      <c r="E3" s="189">
        <f t="shared" si="0"/>
        <v>16700</v>
      </c>
      <c r="F3" s="189">
        <f t="shared" si="0"/>
        <v>10700</v>
      </c>
      <c r="G3" s="189">
        <f t="shared" si="0"/>
        <v>9700</v>
      </c>
      <c r="H3" s="189">
        <f t="shared" si="0"/>
        <v>11500</v>
      </c>
      <c r="I3" s="189">
        <f t="shared" si="0"/>
        <v>27800</v>
      </c>
      <c r="J3" s="189">
        <f t="shared" si="0"/>
        <v>18000</v>
      </c>
      <c r="K3" s="189">
        <f t="shared" si="0"/>
        <v>17700</v>
      </c>
      <c r="L3" s="189">
        <f t="shared" si="0"/>
        <v>8800</v>
      </c>
      <c r="M3" s="189">
        <f t="shared" si="0"/>
        <v>5700</v>
      </c>
      <c r="N3" s="125">
        <f>SUM(B3:M3)</f>
        <v>152100</v>
      </c>
      <c r="O3" s="123">
        <f>N3/340.75</f>
        <v>446.36830520909757</v>
      </c>
      <c r="P3" s="125">
        <v>4736</v>
      </c>
      <c r="Q3" s="123">
        <f>O3*S3</f>
        <v>178.54732208363905</v>
      </c>
      <c r="R3" s="272">
        <f t="shared" ref="R3:R24" si="7">P3*S3</f>
        <v>1894.4</v>
      </c>
      <c r="S3" s="323">
        <v>0.4</v>
      </c>
      <c r="T3" s="6">
        <f t="shared" ref="T3:T5" si="8">B3/340.75</f>
        <v>10.564930300807044</v>
      </c>
      <c r="U3" s="6">
        <f t="shared" si="5"/>
        <v>23.477622890682319</v>
      </c>
      <c r="V3" s="6">
        <f t="shared" si="5"/>
        <v>40.792369772560527</v>
      </c>
      <c r="W3" s="6">
        <f t="shared" si="5"/>
        <v>49.00953778429934</v>
      </c>
      <c r="X3" s="6">
        <f t="shared" si="5"/>
        <v>31.401320616287602</v>
      </c>
      <c r="Y3" s="6">
        <f t="shared" si="5"/>
        <v>28.46661775495231</v>
      </c>
      <c r="Z3" s="6">
        <f t="shared" si="5"/>
        <v>33.749082905355834</v>
      </c>
      <c r="AA3" s="6">
        <f t="shared" si="5"/>
        <v>81.584739545121053</v>
      </c>
      <c r="AB3" s="6">
        <f t="shared" si="5"/>
        <v>52.824651504035216</v>
      </c>
      <c r="AC3" s="6">
        <f t="shared" ref="AC3:AC5" si="9">K3/340.75</f>
        <v>51.944240645634629</v>
      </c>
      <c r="AD3" s="6">
        <f t="shared" ref="AD3:AD5" si="10">L3/340.75</f>
        <v>25.825385179750551</v>
      </c>
      <c r="AE3" s="6">
        <f t="shared" ref="AE3:AE5" si="11">M3/340.75</f>
        <v>16.72780630961115</v>
      </c>
    </row>
    <row r="4" spans="1:42">
      <c r="A4" s="1">
        <v>2000</v>
      </c>
      <c r="B4" s="189">
        <f t="shared" si="6"/>
        <v>2800</v>
      </c>
      <c r="C4" s="189">
        <f t="shared" ref="C4:M9" si="12">S36</f>
        <v>3600</v>
      </c>
      <c r="D4" s="189">
        <f t="shared" si="12"/>
        <v>4200</v>
      </c>
      <c r="E4" s="189">
        <f t="shared" si="12"/>
        <v>3300</v>
      </c>
      <c r="F4" s="189">
        <f t="shared" si="12"/>
        <v>5300</v>
      </c>
      <c r="G4" s="189">
        <f t="shared" si="12"/>
        <v>5944</v>
      </c>
      <c r="H4" s="189">
        <f t="shared" si="12"/>
        <v>5100</v>
      </c>
      <c r="I4" s="189">
        <f t="shared" si="12"/>
        <v>8700</v>
      </c>
      <c r="J4" s="189">
        <f t="shared" si="12"/>
        <v>4600</v>
      </c>
      <c r="K4" s="189">
        <f t="shared" si="12"/>
        <v>5100</v>
      </c>
      <c r="L4" s="189">
        <f t="shared" si="12"/>
        <v>8900</v>
      </c>
      <c r="M4" s="189">
        <f t="shared" si="12"/>
        <v>4800</v>
      </c>
      <c r="N4" s="125">
        <f t="shared" ref="N4:N5" si="13">SUM(B4:M4)</f>
        <v>62344</v>
      </c>
      <c r="O4" s="123">
        <f t="shared" ref="O4:O5" si="14">N4/340.75</f>
        <v>182.9611151870873</v>
      </c>
      <c r="P4" s="125">
        <v>1594</v>
      </c>
      <c r="Q4" s="123">
        <f t="shared" ref="Q4:Q24" si="15">O4*S4</f>
        <v>82.332501834189287</v>
      </c>
      <c r="R4" s="272">
        <f t="shared" si="7"/>
        <v>717.30000000000007</v>
      </c>
      <c r="S4" s="323">
        <v>0.45</v>
      </c>
      <c r="T4" s="6">
        <f t="shared" si="8"/>
        <v>8.2171680117388117</v>
      </c>
      <c r="U4" s="6">
        <f t="shared" si="5"/>
        <v>10.564930300807044</v>
      </c>
      <c r="V4" s="6">
        <f t="shared" si="5"/>
        <v>12.325752017608217</v>
      </c>
      <c r="W4" s="6">
        <f t="shared" si="5"/>
        <v>9.6845194424064562</v>
      </c>
      <c r="X4" s="6">
        <f t="shared" si="5"/>
        <v>15.553925165077036</v>
      </c>
      <c r="Y4" s="6">
        <f t="shared" si="5"/>
        <v>17.443873807776964</v>
      </c>
      <c r="Z4" s="6">
        <f t="shared" si="5"/>
        <v>14.966984592809977</v>
      </c>
      <c r="AA4" s="6">
        <f t="shared" si="5"/>
        <v>25.531914893617021</v>
      </c>
      <c r="AB4" s="6">
        <f t="shared" si="5"/>
        <v>13.499633162142333</v>
      </c>
      <c r="AC4" s="6">
        <f t="shared" si="9"/>
        <v>14.966984592809977</v>
      </c>
      <c r="AD4" s="6">
        <f t="shared" si="10"/>
        <v>26.118855465884078</v>
      </c>
      <c r="AE4" s="6">
        <f t="shared" si="11"/>
        <v>14.086573734409392</v>
      </c>
    </row>
    <row r="5" spans="1:42">
      <c r="A5" s="1">
        <v>2001</v>
      </c>
      <c r="B5" s="189">
        <f t="shared" si="6"/>
        <v>4060</v>
      </c>
      <c r="C5" s="189">
        <f t="shared" si="12"/>
        <v>7956</v>
      </c>
      <c r="D5" s="189">
        <f t="shared" si="12"/>
        <v>3510</v>
      </c>
      <c r="E5" s="189">
        <f t="shared" si="12"/>
        <v>3600</v>
      </c>
      <c r="F5" s="189">
        <f t="shared" si="12"/>
        <v>4220</v>
      </c>
      <c r="G5" s="189">
        <f t="shared" si="12"/>
        <v>5400</v>
      </c>
      <c r="H5" s="189">
        <f t="shared" si="12"/>
        <v>5600</v>
      </c>
      <c r="I5" s="189">
        <f t="shared" si="12"/>
        <v>9000</v>
      </c>
      <c r="J5" s="189">
        <f t="shared" si="12"/>
        <v>6400</v>
      </c>
      <c r="K5" s="189">
        <f t="shared" si="12"/>
        <v>3400</v>
      </c>
      <c r="L5" s="189">
        <f t="shared" si="12"/>
        <v>6240</v>
      </c>
      <c r="M5" s="189">
        <f t="shared" si="12"/>
        <v>5920</v>
      </c>
      <c r="N5" s="125">
        <f t="shared" si="13"/>
        <v>65306</v>
      </c>
      <c r="O5" s="123">
        <f t="shared" si="14"/>
        <v>191.65370506236243</v>
      </c>
      <c r="P5" s="125">
        <v>1447</v>
      </c>
      <c r="Q5" s="123">
        <f t="shared" si="15"/>
        <v>76.661482024944974</v>
      </c>
      <c r="R5" s="272">
        <f t="shared" si="7"/>
        <v>578.80000000000007</v>
      </c>
      <c r="S5" s="323">
        <v>0.4</v>
      </c>
      <c r="T5" s="6">
        <f t="shared" si="8"/>
        <v>11.914893617021276</v>
      </c>
      <c r="U5" s="6">
        <f t="shared" si="5"/>
        <v>23.348495964783567</v>
      </c>
      <c r="V5" s="6">
        <f t="shared" si="5"/>
        <v>10.300807043286866</v>
      </c>
      <c r="W5" s="6">
        <f t="shared" si="5"/>
        <v>10.564930300807044</v>
      </c>
      <c r="X5" s="6">
        <f t="shared" si="5"/>
        <v>12.384446074834923</v>
      </c>
      <c r="Y5" s="6">
        <f t="shared" si="5"/>
        <v>15.847395451210565</v>
      </c>
      <c r="Z5" s="6">
        <f t="shared" si="5"/>
        <v>16.434336023477623</v>
      </c>
      <c r="AA5" s="6">
        <f t="shared" si="5"/>
        <v>26.412325752017608</v>
      </c>
      <c r="AB5" s="6">
        <f t="shared" si="5"/>
        <v>18.782098312545855</v>
      </c>
      <c r="AC5" s="6">
        <f t="shared" si="9"/>
        <v>9.9779897285399848</v>
      </c>
      <c r="AD5" s="6">
        <f t="shared" si="10"/>
        <v>18.312545854732207</v>
      </c>
      <c r="AE5" s="6">
        <f t="shared" si="11"/>
        <v>17.373440939104917</v>
      </c>
    </row>
    <row r="6" spans="1:42">
      <c r="A6" s="1">
        <v>2002</v>
      </c>
      <c r="B6" s="4">
        <f t="shared" si="6"/>
        <v>13.03</v>
      </c>
      <c r="C6" s="4">
        <f>S38</f>
        <v>17.79</v>
      </c>
      <c r="D6" s="4">
        <f t="shared" si="12"/>
        <v>16.5</v>
      </c>
      <c r="E6" s="4">
        <f t="shared" si="12"/>
        <v>33</v>
      </c>
      <c r="F6" s="4">
        <f t="shared" si="12"/>
        <v>26</v>
      </c>
      <c r="G6" s="4">
        <f t="shared" si="12"/>
        <v>16.5</v>
      </c>
      <c r="H6" s="4">
        <f t="shared" si="12"/>
        <v>49.5</v>
      </c>
      <c r="I6" s="4">
        <f t="shared" si="12"/>
        <v>48.5</v>
      </c>
      <c r="J6" s="4">
        <f t="shared" si="12"/>
        <v>29</v>
      </c>
      <c r="K6" s="4">
        <f t="shared" si="12"/>
        <v>39</v>
      </c>
      <c r="L6" s="4">
        <f t="shared" si="12"/>
        <v>29.5</v>
      </c>
      <c r="M6" s="4">
        <f t="shared" si="12"/>
        <v>26.5</v>
      </c>
      <c r="N6" s="289"/>
      <c r="O6" s="211">
        <f>SUM(B6:M6)</f>
        <v>344.82</v>
      </c>
      <c r="P6" s="216">
        <v>2317</v>
      </c>
      <c r="Q6" s="123">
        <f t="shared" si="15"/>
        <v>137.928</v>
      </c>
      <c r="R6" s="272">
        <f t="shared" si="7"/>
        <v>926.80000000000007</v>
      </c>
      <c r="S6" s="323">
        <v>0.4</v>
      </c>
      <c r="T6" s="6"/>
      <c r="U6" s="6"/>
      <c r="V6" s="6"/>
      <c r="W6" s="6"/>
      <c r="X6" s="6"/>
      <c r="Y6" s="6"/>
      <c r="Z6" s="6"/>
    </row>
    <row r="7" spans="1:42">
      <c r="A7" s="1">
        <v>2003</v>
      </c>
      <c r="B7" s="179">
        <f t="shared" si="6"/>
        <v>24.5</v>
      </c>
      <c r="C7" s="179">
        <f t="shared" ref="C7:C8" si="16">S39</f>
        <v>33</v>
      </c>
      <c r="D7" s="179">
        <f t="shared" si="12"/>
        <v>31</v>
      </c>
      <c r="E7" s="179">
        <f t="shared" si="12"/>
        <v>27.5</v>
      </c>
      <c r="F7" s="179">
        <f t="shared" si="12"/>
        <v>39.5</v>
      </c>
      <c r="G7" s="179">
        <f t="shared" si="12"/>
        <v>42.5</v>
      </c>
      <c r="H7" s="179">
        <f t="shared" si="12"/>
        <v>48</v>
      </c>
      <c r="I7" s="179">
        <f t="shared" si="12"/>
        <v>63.5</v>
      </c>
      <c r="J7" s="179">
        <f t="shared" si="12"/>
        <v>63</v>
      </c>
      <c r="K7" s="179">
        <f t="shared" si="12"/>
        <v>67.5</v>
      </c>
      <c r="L7" s="179">
        <f t="shared" si="12"/>
        <v>63</v>
      </c>
      <c r="M7" s="179">
        <f t="shared" si="12"/>
        <v>43</v>
      </c>
      <c r="N7" s="289"/>
      <c r="O7" s="179">
        <f>SUM(B7:M7)</f>
        <v>546</v>
      </c>
      <c r="P7" s="270">
        <v>3291</v>
      </c>
      <c r="Q7" s="123">
        <f t="shared" si="15"/>
        <v>218.4</v>
      </c>
      <c r="R7" s="272">
        <f t="shared" si="7"/>
        <v>1316.4</v>
      </c>
      <c r="S7" s="322">
        <v>0.4</v>
      </c>
      <c r="T7" s="6"/>
      <c r="X7" s="6"/>
    </row>
    <row r="8" spans="1:42">
      <c r="A8" s="1">
        <v>2004</v>
      </c>
      <c r="B8" s="179">
        <f t="shared" si="6"/>
        <v>28</v>
      </c>
      <c r="C8" s="179">
        <f t="shared" si="16"/>
        <v>51</v>
      </c>
      <c r="D8" s="179">
        <f t="shared" si="12"/>
        <v>48.5</v>
      </c>
      <c r="E8" s="179">
        <f t="shared" si="12"/>
        <v>63.5</v>
      </c>
      <c r="F8" s="179">
        <f t="shared" si="12"/>
        <v>59.5</v>
      </c>
      <c r="G8" s="179">
        <f t="shared" si="12"/>
        <v>43.5</v>
      </c>
      <c r="H8" s="179">
        <f t="shared" si="12"/>
        <v>84.5</v>
      </c>
      <c r="I8" s="179">
        <f t="shared" si="12"/>
        <v>80.5</v>
      </c>
      <c r="J8" s="179">
        <f t="shared" si="12"/>
        <v>84.5</v>
      </c>
      <c r="K8" s="179">
        <f t="shared" si="12"/>
        <v>73</v>
      </c>
      <c r="L8" s="179">
        <f t="shared" si="12"/>
        <v>63</v>
      </c>
      <c r="M8" s="179">
        <f t="shared" si="12"/>
        <v>67.5</v>
      </c>
      <c r="N8" s="294"/>
      <c r="O8" s="179">
        <f t="shared" ref="O8:O24" si="17">SUM(B8:M8)</f>
        <v>747</v>
      </c>
      <c r="P8" s="270">
        <v>4076</v>
      </c>
      <c r="Q8" s="123">
        <f t="shared" si="15"/>
        <v>298.8</v>
      </c>
      <c r="R8" s="272">
        <f t="shared" si="7"/>
        <v>1630.4</v>
      </c>
      <c r="S8" s="322">
        <v>0.4</v>
      </c>
      <c r="X8" s="6"/>
    </row>
    <row r="9" spans="1:42">
      <c r="A9" s="1">
        <v>2005</v>
      </c>
      <c r="B9" s="335">
        <f t="shared" si="6"/>
        <v>24.5</v>
      </c>
      <c r="C9" s="335">
        <f t="shared" si="6"/>
        <v>26</v>
      </c>
      <c r="D9" s="335">
        <f t="shared" si="12"/>
        <v>49.5</v>
      </c>
      <c r="E9" s="335">
        <f t="shared" si="12"/>
        <v>17</v>
      </c>
      <c r="F9" s="335">
        <f t="shared" si="12"/>
        <v>19</v>
      </c>
      <c r="G9" s="335">
        <f t="shared" si="12"/>
        <v>37.5</v>
      </c>
      <c r="H9" s="335">
        <f t="shared" si="12"/>
        <v>55</v>
      </c>
      <c r="I9" s="335">
        <f t="shared" si="12"/>
        <v>172.5</v>
      </c>
      <c r="J9" s="335">
        <f t="shared" si="12"/>
        <v>210.5</v>
      </c>
      <c r="K9" s="335">
        <f t="shared" si="12"/>
        <v>129</v>
      </c>
      <c r="L9" s="335">
        <f t="shared" si="12"/>
        <v>170</v>
      </c>
      <c r="M9" s="179">
        <f t="shared" si="12"/>
        <v>2.5</v>
      </c>
      <c r="N9" s="190"/>
      <c r="O9" s="179">
        <f t="shared" si="17"/>
        <v>913</v>
      </c>
      <c r="P9" s="270">
        <v>2633</v>
      </c>
      <c r="Q9" s="123">
        <f t="shared" si="15"/>
        <v>365.20000000000005</v>
      </c>
      <c r="R9" s="272">
        <f t="shared" si="7"/>
        <v>1053.2</v>
      </c>
      <c r="S9" s="322">
        <v>0.4</v>
      </c>
      <c r="X9" s="6"/>
    </row>
    <row r="10" spans="1:42">
      <c r="A10" s="1">
        <v>2006</v>
      </c>
      <c r="B10" s="199">
        <v>85</v>
      </c>
      <c r="C10" s="195"/>
      <c r="D10" s="195">
        <f t="shared" ref="D10:D16" si="18">D42*0.5</f>
        <v>454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0"/>
      <c r="O10" s="179">
        <f t="shared" si="17"/>
        <v>539</v>
      </c>
      <c r="P10" s="270">
        <v>2406</v>
      </c>
      <c r="Q10" s="123">
        <f t="shared" si="15"/>
        <v>215.60000000000002</v>
      </c>
      <c r="R10" s="272">
        <f t="shared" si="7"/>
        <v>962.40000000000009</v>
      </c>
      <c r="S10" s="322">
        <v>0.4</v>
      </c>
      <c r="X10" s="6"/>
    </row>
    <row r="11" spans="1:42">
      <c r="A11" s="1">
        <v>2007</v>
      </c>
      <c r="B11" s="199">
        <v>98</v>
      </c>
      <c r="C11" s="195"/>
      <c r="D11" s="195">
        <f t="shared" si="18"/>
        <v>424.5</v>
      </c>
      <c r="E11" s="195"/>
      <c r="F11" s="195"/>
      <c r="G11" s="195"/>
      <c r="H11" s="195"/>
      <c r="I11" s="195"/>
      <c r="J11" s="195"/>
      <c r="K11" s="195"/>
      <c r="L11" s="195"/>
      <c r="M11" s="195"/>
      <c r="N11" s="190"/>
      <c r="O11" s="179">
        <f t="shared" si="17"/>
        <v>522.5</v>
      </c>
      <c r="P11" s="270">
        <v>2084</v>
      </c>
      <c r="Q11" s="123">
        <f t="shared" si="15"/>
        <v>209</v>
      </c>
      <c r="R11" s="272">
        <f t="shared" si="7"/>
        <v>833.6</v>
      </c>
      <c r="S11" s="322">
        <v>0.4</v>
      </c>
      <c r="X11" s="6"/>
    </row>
    <row r="12" spans="1:42">
      <c r="A12" s="1">
        <v>2008</v>
      </c>
      <c r="B12" s="199">
        <v>38</v>
      </c>
      <c r="C12" s="195"/>
      <c r="D12" s="195">
        <f t="shared" si="18"/>
        <v>439.5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0"/>
      <c r="O12" s="179">
        <f t="shared" si="17"/>
        <v>477.5</v>
      </c>
      <c r="P12" s="270">
        <v>1690</v>
      </c>
      <c r="Q12" s="123">
        <f t="shared" si="15"/>
        <v>191</v>
      </c>
      <c r="R12" s="272">
        <f t="shared" si="7"/>
        <v>676</v>
      </c>
      <c r="S12" s="322">
        <v>0.4</v>
      </c>
      <c r="X12" s="6"/>
    </row>
    <row r="13" spans="1:42">
      <c r="A13" s="1">
        <v>2009</v>
      </c>
      <c r="B13" s="199">
        <v>30</v>
      </c>
      <c r="C13" s="195"/>
      <c r="D13" s="195">
        <f t="shared" si="18"/>
        <v>372.5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0"/>
      <c r="O13" s="179">
        <f t="shared" si="17"/>
        <v>402.5</v>
      </c>
      <c r="P13" s="270">
        <v>1279</v>
      </c>
      <c r="Q13" s="123">
        <f t="shared" si="15"/>
        <v>140.875</v>
      </c>
      <c r="R13" s="272">
        <f t="shared" si="7"/>
        <v>447.65</v>
      </c>
      <c r="S13" s="322">
        <v>0.35</v>
      </c>
      <c r="X13" s="6"/>
    </row>
    <row r="14" spans="1:42">
      <c r="A14" s="1">
        <v>2010</v>
      </c>
      <c r="B14" s="199">
        <v>20</v>
      </c>
      <c r="C14" s="195"/>
      <c r="D14" s="195">
        <f t="shared" si="18"/>
        <v>334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0"/>
      <c r="O14" s="179">
        <f t="shared" si="17"/>
        <v>354</v>
      </c>
      <c r="P14" s="270">
        <v>1031</v>
      </c>
      <c r="Q14" s="123">
        <f t="shared" si="15"/>
        <v>159.30000000000001</v>
      </c>
      <c r="R14" s="272">
        <f t="shared" si="7"/>
        <v>463.95</v>
      </c>
      <c r="S14" s="322">
        <v>0.45</v>
      </c>
      <c r="X14" s="6"/>
    </row>
    <row r="15" spans="1:42">
      <c r="A15" s="1">
        <v>2011</v>
      </c>
      <c r="B15" s="199">
        <v>28.5</v>
      </c>
      <c r="C15" s="195"/>
      <c r="D15" s="195">
        <f t="shared" si="18"/>
        <v>271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0"/>
      <c r="O15" s="179">
        <f t="shared" si="17"/>
        <v>299.5</v>
      </c>
      <c r="P15" s="270">
        <v>799</v>
      </c>
      <c r="Q15" s="123">
        <f t="shared" si="15"/>
        <v>104.82499999999999</v>
      </c>
      <c r="R15" s="272">
        <f t="shared" si="7"/>
        <v>279.64999999999998</v>
      </c>
      <c r="S15" s="322">
        <v>0.35</v>
      </c>
      <c r="X15" s="6"/>
    </row>
    <row r="16" spans="1:42">
      <c r="A16" s="1">
        <v>2012</v>
      </c>
      <c r="B16" s="4">
        <v>20</v>
      </c>
      <c r="C16" s="195"/>
      <c r="D16" s="195">
        <f t="shared" si="18"/>
        <v>221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0"/>
      <c r="O16" s="179">
        <f t="shared" si="17"/>
        <v>241</v>
      </c>
      <c r="P16" s="270">
        <v>589</v>
      </c>
      <c r="Q16" s="123">
        <f t="shared" si="15"/>
        <v>43.379999999999995</v>
      </c>
      <c r="R16" s="272">
        <f t="shared" si="7"/>
        <v>106.02</v>
      </c>
      <c r="S16" s="322">
        <v>0.18</v>
      </c>
      <c r="X16" s="6"/>
    </row>
    <row r="17" spans="1:24">
      <c r="A17" s="1">
        <v>2013</v>
      </c>
      <c r="B17" s="4">
        <v>42</v>
      </c>
      <c r="C17" s="200">
        <v>10</v>
      </c>
      <c r="D17" s="200">
        <v>63.5</v>
      </c>
      <c r="E17" s="200">
        <v>73.5</v>
      </c>
      <c r="F17" s="200">
        <v>63.5</v>
      </c>
      <c r="G17" s="200">
        <v>22.5</v>
      </c>
      <c r="H17" s="200">
        <v>36.5</v>
      </c>
      <c r="I17" s="200">
        <v>64</v>
      </c>
      <c r="J17" s="200">
        <v>68</v>
      </c>
      <c r="K17" s="200">
        <v>35</v>
      </c>
      <c r="L17" s="200">
        <v>59</v>
      </c>
      <c r="M17" s="200">
        <v>71</v>
      </c>
      <c r="N17" s="190"/>
      <c r="O17" s="179">
        <f t="shared" si="17"/>
        <v>608.5</v>
      </c>
      <c r="P17" s="270">
        <v>1366</v>
      </c>
      <c r="Q17" s="123">
        <f t="shared" si="15"/>
        <v>158.21</v>
      </c>
      <c r="R17" s="272">
        <f t="shared" si="7"/>
        <v>355.16</v>
      </c>
      <c r="S17" s="322">
        <v>0.26</v>
      </c>
      <c r="T17" s="192" t="s">
        <v>148</v>
      </c>
      <c r="X17" s="6"/>
    </row>
    <row r="18" spans="1:24">
      <c r="A18" s="1">
        <v>2014</v>
      </c>
      <c r="B18" s="4">
        <v>29</v>
      </c>
      <c r="C18" s="4">
        <v>24.5</v>
      </c>
      <c r="D18" s="4">
        <v>42</v>
      </c>
      <c r="E18" s="4">
        <v>24</v>
      </c>
      <c r="F18" s="4">
        <v>37.5</v>
      </c>
      <c r="G18" s="4">
        <v>52</v>
      </c>
      <c r="H18" s="4">
        <v>81</v>
      </c>
      <c r="I18" s="4">
        <v>60</v>
      </c>
      <c r="J18" s="4">
        <v>100</v>
      </c>
      <c r="K18" s="4">
        <v>99</v>
      </c>
      <c r="L18" s="4">
        <v>72</v>
      </c>
      <c r="M18" s="4">
        <v>104</v>
      </c>
      <c r="N18" s="190"/>
      <c r="O18" s="179">
        <f t="shared" si="17"/>
        <v>725</v>
      </c>
      <c r="P18" s="270">
        <v>1505</v>
      </c>
      <c r="Q18" s="123">
        <f t="shared" si="15"/>
        <v>188.5</v>
      </c>
      <c r="R18" s="272">
        <f t="shared" si="7"/>
        <v>391.3</v>
      </c>
      <c r="S18" s="322">
        <v>0.26</v>
      </c>
      <c r="X18" s="6"/>
    </row>
    <row r="19" spans="1:24">
      <c r="A19" s="1">
        <v>2015</v>
      </c>
      <c r="B19" s="4">
        <v>27</v>
      </c>
      <c r="C19" s="4">
        <v>87</v>
      </c>
      <c r="D19" s="4">
        <v>53</v>
      </c>
      <c r="E19" s="200">
        <v>41.5</v>
      </c>
      <c r="F19" s="200">
        <v>48</v>
      </c>
      <c r="G19" s="200">
        <v>75</v>
      </c>
      <c r="H19" s="200">
        <v>72.5</v>
      </c>
      <c r="I19" s="200">
        <v>40.5</v>
      </c>
      <c r="J19" s="200">
        <v>71</v>
      </c>
      <c r="K19" s="4">
        <v>85</v>
      </c>
      <c r="L19" s="200">
        <v>55</v>
      </c>
      <c r="M19" s="200">
        <v>99.5</v>
      </c>
      <c r="N19" s="190"/>
      <c r="O19" s="179">
        <f t="shared" si="17"/>
        <v>755</v>
      </c>
      <c r="P19" s="270">
        <v>1457</v>
      </c>
      <c r="Q19" s="123">
        <f t="shared" si="15"/>
        <v>249.15</v>
      </c>
      <c r="R19" s="272">
        <f t="shared" si="7"/>
        <v>480.81</v>
      </c>
      <c r="S19" s="322">
        <v>0.33</v>
      </c>
      <c r="T19" s="192" t="s">
        <v>148</v>
      </c>
      <c r="X19" s="6"/>
    </row>
    <row r="20" spans="1:24">
      <c r="A20" s="1">
        <v>2016</v>
      </c>
      <c r="B20" s="4">
        <v>22</v>
      </c>
      <c r="C20" s="200">
        <v>27.5</v>
      </c>
      <c r="D20" s="200">
        <v>25</v>
      </c>
      <c r="E20" s="200">
        <v>63.5</v>
      </c>
      <c r="F20" s="200">
        <v>50.5</v>
      </c>
      <c r="G20" s="200">
        <v>48.5</v>
      </c>
      <c r="H20" s="200">
        <v>37.5</v>
      </c>
      <c r="I20" s="200">
        <v>86</v>
      </c>
      <c r="J20" s="200">
        <v>50</v>
      </c>
      <c r="K20" s="200">
        <v>40</v>
      </c>
      <c r="L20" s="200">
        <v>35.5</v>
      </c>
      <c r="M20" s="200">
        <v>111.5</v>
      </c>
      <c r="N20" s="190"/>
      <c r="O20" s="179">
        <f t="shared" si="17"/>
        <v>597.5</v>
      </c>
      <c r="P20" s="270">
        <v>1072</v>
      </c>
      <c r="Q20" s="123">
        <f t="shared" si="15"/>
        <v>268.875</v>
      </c>
      <c r="R20" s="272">
        <f t="shared" si="7"/>
        <v>482.40000000000003</v>
      </c>
      <c r="S20" s="322">
        <v>0.45</v>
      </c>
      <c r="T20" s="192" t="s">
        <v>148</v>
      </c>
      <c r="X20" s="6"/>
    </row>
    <row r="21" spans="1:24">
      <c r="A21" s="1">
        <v>2017</v>
      </c>
      <c r="B21" s="4">
        <v>53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>
        <v>1312</v>
      </c>
      <c r="N21" s="190"/>
      <c r="O21" s="179">
        <f t="shared" si="17"/>
        <v>1365</v>
      </c>
      <c r="P21" s="270">
        <v>2280</v>
      </c>
      <c r="Q21" s="123">
        <f t="shared" si="15"/>
        <v>614.25</v>
      </c>
      <c r="R21" s="272">
        <f t="shared" si="7"/>
        <v>1026</v>
      </c>
      <c r="S21" s="322">
        <v>0.45</v>
      </c>
      <c r="X21" s="6"/>
    </row>
    <row r="22" spans="1:24">
      <c r="A22" s="1">
        <v>2018</v>
      </c>
      <c r="B22" s="4">
        <v>78.5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>
        <v>1144</v>
      </c>
      <c r="N22" s="190"/>
      <c r="O22" s="179">
        <f t="shared" si="17"/>
        <v>1222.5</v>
      </c>
      <c r="P22" s="270">
        <v>1905</v>
      </c>
      <c r="Q22" s="123">
        <f t="shared" si="15"/>
        <v>550.125</v>
      </c>
      <c r="R22" s="272">
        <f t="shared" si="7"/>
        <v>857.25</v>
      </c>
      <c r="S22" s="322">
        <v>0.45</v>
      </c>
      <c r="X22" s="6"/>
    </row>
    <row r="23" spans="1:24">
      <c r="A23" s="1">
        <v>2019</v>
      </c>
      <c r="B23" s="4">
        <v>16</v>
      </c>
      <c r="C23" s="4">
        <v>98</v>
      </c>
      <c r="D23" s="4">
        <v>117</v>
      </c>
      <c r="E23" s="195"/>
      <c r="F23" s="195"/>
      <c r="G23" s="195"/>
      <c r="H23" s="195"/>
      <c r="I23" s="195"/>
      <c r="J23" s="195"/>
      <c r="K23" s="195"/>
      <c r="L23" s="195"/>
      <c r="M23" s="195">
        <v>1306</v>
      </c>
      <c r="N23" s="190"/>
      <c r="O23" s="179">
        <f t="shared" si="17"/>
        <v>1537</v>
      </c>
      <c r="P23" s="270">
        <v>2235</v>
      </c>
      <c r="Q23" s="123">
        <f t="shared" si="15"/>
        <v>691.65</v>
      </c>
      <c r="R23" s="272">
        <f t="shared" si="7"/>
        <v>1005.75</v>
      </c>
      <c r="S23" s="322">
        <v>0.45</v>
      </c>
      <c r="X23" s="6"/>
    </row>
    <row r="24" spans="1:24">
      <c r="A24" s="1">
        <v>2020</v>
      </c>
      <c r="B24" s="4">
        <v>35</v>
      </c>
      <c r="C24" s="4">
        <v>87</v>
      </c>
      <c r="D24" s="4">
        <v>41</v>
      </c>
      <c r="E24" s="4">
        <v>21</v>
      </c>
      <c r="F24" s="4">
        <v>44</v>
      </c>
      <c r="G24" s="4">
        <v>35</v>
      </c>
      <c r="H24" s="4">
        <v>113</v>
      </c>
      <c r="I24" s="4">
        <v>82</v>
      </c>
      <c r="J24" s="4">
        <v>80</v>
      </c>
      <c r="K24" s="4">
        <v>72.5</v>
      </c>
      <c r="L24" s="4">
        <v>44</v>
      </c>
      <c r="M24" s="4">
        <v>90.5</v>
      </c>
      <c r="N24" s="190"/>
      <c r="O24" s="179">
        <f t="shared" si="17"/>
        <v>745</v>
      </c>
      <c r="P24" s="270">
        <v>1006</v>
      </c>
      <c r="Q24" s="123">
        <f t="shared" si="15"/>
        <v>268.2</v>
      </c>
      <c r="R24" s="272">
        <f t="shared" si="7"/>
        <v>362.15999999999997</v>
      </c>
      <c r="S24" s="322">
        <v>0.36</v>
      </c>
      <c r="X24" s="6"/>
    </row>
    <row r="25" spans="1:24">
      <c r="A25" s="1">
        <v>2021</v>
      </c>
      <c r="B25" s="4"/>
      <c r="C25" s="195"/>
      <c r="D25" s="195"/>
      <c r="E25" s="195"/>
      <c r="F25" s="195"/>
      <c r="G25" s="195"/>
      <c r="H25" s="8"/>
      <c r="I25" s="8"/>
      <c r="J25" s="8"/>
      <c r="K25" s="8"/>
      <c r="L25" s="8"/>
      <c r="M25" s="8"/>
      <c r="N25" s="190"/>
      <c r="O25" s="179"/>
      <c r="P25" s="270"/>
      <c r="Q25" s="123"/>
      <c r="R25" s="272"/>
      <c r="S25" s="322">
        <v>0.44</v>
      </c>
      <c r="X25" s="6"/>
    </row>
    <row r="26" spans="1:24">
      <c r="A26" s="1">
        <v>2022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240"/>
      <c r="P26" s="290"/>
      <c r="Q26" s="123"/>
      <c r="R26" s="272"/>
      <c r="S26" s="322">
        <v>0.44</v>
      </c>
      <c r="X26" s="6"/>
    </row>
    <row r="27" spans="1:24">
      <c r="A27" s="1">
        <v>2023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240"/>
      <c r="P27" s="290"/>
      <c r="Q27" s="123">
        <f t="shared" ref="Q27" si="19">O27*30%</f>
        <v>0</v>
      </c>
      <c r="R27" s="272">
        <f t="shared" ref="R27" si="20">P27*30%</f>
        <v>0</v>
      </c>
      <c r="X27" s="6"/>
    </row>
    <row r="28" spans="1:2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">
        <f>SUM(O2:O27)</f>
        <v>14071.153455612619</v>
      </c>
      <c r="P28" s="189">
        <f t="shared" ref="P28:R28" si="21">SUM(P2:P27)</f>
        <v>46440</v>
      </c>
      <c r="Q28" s="4">
        <f t="shared" si="21"/>
        <v>5503.1644049889946</v>
      </c>
      <c r="R28" s="189">
        <f t="shared" si="21"/>
        <v>17940</v>
      </c>
    </row>
    <row r="29" spans="1:24">
      <c r="Q29" s="196">
        <v>299</v>
      </c>
      <c r="S29" s="263">
        <v>45673</v>
      </c>
    </row>
    <row r="30" spans="1:24">
      <c r="S30" s="260" t="s">
        <v>182</v>
      </c>
      <c r="V30" s="6"/>
    </row>
    <row r="31" spans="1:24">
      <c r="A31" s="586" t="s">
        <v>154</v>
      </c>
      <c r="B31" s="586"/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</row>
    <row r="32" spans="1:24">
      <c r="F32" s="587" t="s">
        <v>164</v>
      </c>
      <c r="G32" s="587"/>
      <c r="H32" s="587"/>
      <c r="I32" s="587"/>
      <c r="J32" s="587"/>
      <c r="K32" s="587"/>
      <c r="L32" s="587"/>
      <c r="M32" s="587"/>
      <c r="N32" s="587"/>
      <c r="O32" s="587"/>
      <c r="P32" s="208"/>
    </row>
    <row r="33" spans="1:31" s="201" customFormat="1"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R33" s="202">
        <v>1</v>
      </c>
      <c r="S33" s="202">
        <v>2</v>
      </c>
      <c r="T33" s="202">
        <v>3</v>
      </c>
      <c r="U33" s="202">
        <v>4</v>
      </c>
      <c r="V33" s="202">
        <v>5</v>
      </c>
      <c r="W33" s="202">
        <v>6</v>
      </c>
      <c r="X33" s="202">
        <v>7</v>
      </c>
      <c r="Y33" s="202">
        <v>8</v>
      </c>
      <c r="Z33" s="202">
        <v>9</v>
      </c>
      <c r="AA33" s="202">
        <v>10</v>
      </c>
      <c r="AB33" s="202">
        <v>11</v>
      </c>
      <c r="AC33" s="202">
        <v>12</v>
      </c>
    </row>
    <row r="34" spans="1:31">
      <c r="A34" s="2">
        <v>1998</v>
      </c>
      <c r="B34" s="203"/>
      <c r="C34" s="203"/>
      <c r="D34" s="203"/>
      <c r="E34" s="203"/>
      <c r="F34" s="203"/>
      <c r="G34" s="203"/>
      <c r="H34" s="203"/>
      <c r="I34" s="169">
        <v>14</v>
      </c>
      <c r="J34" s="204">
        <v>50</v>
      </c>
      <c r="K34" s="204">
        <v>43</v>
      </c>
      <c r="L34" s="204">
        <v>40</v>
      </c>
      <c r="M34" s="204">
        <v>90</v>
      </c>
      <c r="N34" s="169">
        <f>SUM(I34:M34)</f>
        <v>237</v>
      </c>
      <c r="O34" s="2">
        <v>100</v>
      </c>
      <c r="R34" s="267"/>
      <c r="S34" s="243">
        <f>C34*100</f>
        <v>0</v>
      </c>
      <c r="T34" s="243">
        <f t="shared" ref="T34:AA37" si="22">D34*100</f>
        <v>0</v>
      </c>
      <c r="U34" s="243">
        <f t="shared" si="22"/>
        <v>0</v>
      </c>
      <c r="V34" s="243">
        <f t="shared" si="22"/>
        <v>0</v>
      </c>
      <c r="W34" s="243">
        <f t="shared" si="22"/>
        <v>0</v>
      </c>
      <c r="X34" s="243">
        <f t="shared" si="22"/>
        <v>0</v>
      </c>
      <c r="Y34" s="244">
        <f>(I34*100)+3300</f>
        <v>4700</v>
      </c>
      <c r="Z34" s="244">
        <f>(J34*100)+18000</f>
        <v>23000</v>
      </c>
      <c r="AA34" s="244">
        <f>(K34*100)+21100</f>
        <v>25400</v>
      </c>
      <c r="AB34" s="244">
        <f>(L34*100)+7200</f>
        <v>11200</v>
      </c>
      <c r="AC34" s="244">
        <f>(M34*100)+31600</f>
        <v>40600</v>
      </c>
      <c r="AD34" s="244"/>
      <c r="AE34" s="244"/>
    </row>
    <row r="35" spans="1:31">
      <c r="A35" s="2">
        <v>1999</v>
      </c>
      <c r="B35" s="204">
        <v>18</v>
      </c>
      <c r="C35" s="204">
        <v>26</v>
      </c>
      <c r="D35" s="204">
        <v>49</v>
      </c>
      <c r="E35" s="204">
        <v>42</v>
      </c>
      <c r="F35" s="204">
        <v>35</v>
      </c>
      <c r="G35" s="204">
        <v>52</v>
      </c>
      <c r="H35" s="204">
        <v>52</v>
      </c>
      <c r="I35" s="204">
        <v>89</v>
      </c>
      <c r="J35" s="204">
        <v>72</v>
      </c>
      <c r="K35" s="204">
        <v>51</v>
      </c>
      <c r="L35" s="204">
        <v>34</v>
      </c>
      <c r="M35" s="204">
        <v>48</v>
      </c>
      <c r="N35" s="169">
        <f>SUM(B35:M35)</f>
        <v>568</v>
      </c>
      <c r="O35" s="2">
        <v>100</v>
      </c>
      <c r="R35" s="244">
        <f>(B35*100)+1800</f>
        <v>3600</v>
      </c>
      <c r="S35" s="244">
        <f>(C35*100)+5400</f>
        <v>8000</v>
      </c>
      <c r="T35" s="244">
        <f>(D35*100)+9000</f>
        <v>13900</v>
      </c>
      <c r="U35" s="244">
        <f>(E35*100)+12500</f>
        <v>16700</v>
      </c>
      <c r="V35" s="244">
        <f>(F35*100)+7200</f>
        <v>10700</v>
      </c>
      <c r="W35" s="244">
        <f>(G35*100)+4500</f>
        <v>9700</v>
      </c>
      <c r="X35" s="244">
        <f>(H35*100)+6300</f>
        <v>11500</v>
      </c>
      <c r="Y35" s="244">
        <f>(I35*100)+18900</f>
        <v>27800</v>
      </c>
      <c r="Z35" s="244">
        <f>(J35*100)+10800</f>
        <v>18000</v>
      </c>
      <c r="AA35" s="244">
        <f>(K35*100)+12600</f>
        <v>17700</v>
      </c>
      <c r="AB35" s="244">
        <f>(L35*100)+5400</f>
        <v>8800</v>
      </c>
      <c r="AC35" s="244">
        <f>(M35*100)+900</f>
        <v>5700</v>
      </c>
      <c r="AD35" s="244"/>
      <c r="AE35" s="244"/>
    </row>
    <row r="36" spans="1:31">
      <c r="A36" s="2">
        <v>2000</v>
      </c>
      <c r="B36" s="204">
        <v>28</v>
      </c>
      <c r="C36" s="204">
        <v>36</v>
      </c>
      <c r="D36" s="204">
        <v>42</v>
      </c>
      <c r="E36" s="204">
        <v>33</v>
      </c>
      <c r="F36" s="204">
        <v>53</v>
      </c>
      <c r="G36" s="204">
        <v>41</v>
      </c>
      <c r="H36" s="204">
        <v>51</v>
      </c>
      <c r="I36" s="204">
        <v>87</v>
      </c>
      <c r="J36" s="204">
        <v>46</v>
      </c>
      <c r="K36" s="204">
        <v>51</v>
      </c>
      <c r="L36" s="204">
        <v>62</v>
      </c>
      <c r="M36" s="204">
        <v>48</v>
      </c>
      <c r="N36" s="169">
        <f t="shared" ref="N36:N57" si="23">SUM(B36:M36)</f>
        <v>578</v>
      </c>
      <c r="O36" s="2">
        <v>100</v>
      </c>
      <c r="Q36" s="2" t="s">
        <v>151</v>
      </c>
      <c r="R36" s="244">
        <f t="shared" ref="R36:S36" si="24">B36*100</f>
        <v>2800</v>
      </c>
      <c r="S36" s="244">
        <f t="shared" si="24"/>
        <v>3600</v>
      </c>
      <c r="T36" s="244">
        <f t="shared" si="22"/>
        <v>4200</v>
      </c>
      <c r="U36" s="244">
        <f t="shared" si="22"/>
        <v>3300</v>
      </c>
      <c r="V36" s="244">
        <f t="shared" si="22"/>
        <v>5300</v>
      </c>
      <c r="W36" s="244">
        <f>(G36*100)+1844</f>
        <v>5944</v>
      </c>
      <c r="X36" s="244">
        <f t="shared" si="22"/>
        <v>5100</v>
      </c>
      <c r="Y36" s="244">
        <f t="shared" si="22"/>
        <v>8700</v>
      </c>
      <c r="Z36" s="244">
        <f t="shared" si="22"/>
        <v>4600</v>
      </c>
      <c r="AA36" s="244">
        <f t="shared" si="22"/>
        <v>5100</v>
      </c>
      <c r="AB36" s="244">
        <f>(L36*100)+2700</f>
        <v>8900</v>
      </c>
      <c r="AC36" s="244">
        <f t="shared" ref="AC36" si="25">M36*100</f>
        <v>4800</v>
      </c>
    </row>
    <row r="37" spans="1:31">
      <c r="A37" s="2">
        <v>2001</v>
      </c>
      <c r="B37" s="169">
        <v>40</v>
      </c>
      <c r="C37" s="169">
        <v>54</v>
      </c>
      <c r="D37" s="204">
        <v>35</v>
      </c>
      <c r="E37" s="169">
        <v>35</v>
      </c>
      <c r="F37" s="169">
        <v>42</v>
      </c>
      <c r="G37" s="169">
        <v>33</v>
      </c>
      <c r="H37" s="169">
        <v>56</v>
      </c>
      <c r="I37" s="169">
        <v>81</v>
      </c>
      <c r="J37" s="169">
        <v>55</v>
      </c>
      <c r="K37" s="169">
        <v>34</v>
      </c>
      <c r="L37" s="169">
        <v>58</v>
      </c>
      <c r="M37" s="169">
        <v>57</v>
      </c>
      <c r="N37" s="169">
        <f t="shared" si="23"/>
        <v>580</v>
      </c>
      <c r="O37" s="2">
        <v>100</v>
      </c>
      <c r="R37" s="244">
        <f>(B37*100)+60</f>
        <v>4060</v>
      </c>
      <c r="S37" s="244">
        <f>(C37*100)+2556</f>
        <v>7956</v>
      </c>
      <c r="T37" s="244">
        <f>(D37*100)+10</f>
        <v>3510</v>
      </c>
      <c r="U37" s="244">
        <f>(E37*100)+100</f>
        <v>3600</v>
      </c>
      <c r="V37" s="244">
        <f>(F37*100)+20</f>
        <v>4220</v>
      </c>
      <c r="W37" s="244">
        <f>(G37*100)+2100</f>
        <v>5400</v>
      </c>
      <c r="X37" s="244">
        <f t="shared" si="22"/>
        <v>5600</v>
      </c>
      <c r="Y37" s="244">
        <f>(I37*100)+900</f>
        <v>9000</v>
      </c>
      <c r="Z37" s="244">
        <f>(J37*100)+900</f>
        <v>6400</v>
      </c>
      <c r="AA37" s="244">
        <f t="shared" si="22"/>
        <v>3400</v>
      </c>
      <c r="AB37" s="244">
        <f>(L37*100)+440</f>
        <v>6240</v>
      </c>
      <c r="AC37" s="244">
        <f>(M37*100)+220</f>
        <v>5920</v>
      </c>
    </row>
    <row r="38" spans="1:31">
      <c r="A38" s="2">
        <v>2002</v>
      </c>
      <c r="B38" s="169">
        <v>25</v>
      </c>
      <c r="C38" s="169">
        <v>35</v>
      </c>
      <c r="D38" s="169">
        <v>28</v>
      </c>
      <c r="E38" s="169">
        <v>38</v>
      </c>
      <c r="F38" s="169">
        <v>44</v>
      </c>
      <c r="G38" s="169">
        <v>29</v>
      </c>
      <c r="H38" s="169">
        <v>81</v>
      </c>
      <c r="I38" s="169">
        <v>80</v>
      </c>
      <c r="J38" s="169">
        <v>58</v>
      </c>
      <c r="K38" s="169">
        <v>73</v>
      </c>
      <c r="L38" s="169">
        <v>56</v>
      </c>
      <c r="M38" s="169">
        <v>53</v>
      </c>
      <c r="N38" s="169">
        <f t="shared" si="23"/>
        <v>600</v>
      </c>
      <c r="O38" s="2">
        <v>0.5</v>
      </c>
      <c r="R38" s="292">
        <f>(B38*0.5+0.53)</f>
        <v>13.03</v>
      </c>
      <c r="S38" s="292">
        <f>(C38*0.5)+0.29</f>
        <v>17.79</v>
      </c>
      <c r="T38" s="292">
        <f>(D38*0.5)+2.5</f>
        <v>16.5</v>
      </c>
      <c r="U38" s="292">
        <f>(E38*0.5)+14</f>
        <v>33</v>
      </c>
      <c r="V38" s="292">
        <f>(F38*0.5)+4</f>
        <v>26</v>
      </c>
      <c r="W38" s="292">
        <f>(G38*0.5)+2</f>
        <v>16.5</v>
      </c>
      <c r="X38" s="292">
        <f>(H38*0.5)+9</f>
        <v>49.5</v>
      </c>
      <c r="Y38" s="292">
        <f>(I38*0.5)+8.5</f>
        <v>48.5</v>
      </c>
      <c r="Z38" s="292">
        <f t="shared" ref="U38:AC39" si="26">J38*0.5</f>
        <v>29</v>
      </c>
      <c r="AA38" s="292">
        <f>(K38*0.5)+2.5</f>
        <v>39</v>
      </c>
      <c r="AB38" s="292">
        <f>(L38*0.5)+1.5</f>
        <v>29.5</v>
      </c>
      <c r="AC38" s="292">
        <f t="shared" si="26"/>
        <v>26.5</v>
      </c>
    </row>
    <row r="39" spans="1:31">
      <c r="A39" s="2">
        <v>2003</v>
      </c>
      <c r="B39" s="169">
        <v>44</v>
      </c>
      <c r="C39" s="169">
        <v>46</v>
      </c>
      <c r="D39" s="169">
        <v>62</v>
      </c>
      <c r="E39" s="169">
        <v>55</v>
      </c>
      <c r="F39" s="169">
        <v>74</v>
      </c>
      <c r="G39" s="169">
        <v>75</v>
      </c>
      <c r="H39" s="169">
        <v>96</v>
      </c>
      <c r="I39" s="169">
        <v>117</v>
      </c>
      <c r="J39" s="169">
        <v>126</v>
      </c>
      <c r="K39" s="169">
        <v>115</v>
      </c>
      <c r="L39" s="169">
        <v>86</v>
      </c>
      <c r="M39" s="169">
        <v>75</v>
      </c>
      <c r="N39" s="169">
        <f t="shared" si="23"/>
        <v>971</v>
      </c>
      <c r="O39" s="2">
        <v>0.5</v>
      </c>
      <c r="R39" s="292">
        <f>(B39*0.5)+2.5</f>
        <v>24.5</v>
      </c>
      <c r="S39" s="6">
        <f>(C39*0.5)+10</f>
        <v>33</v>
      </c>
      <c r="T39" s="6">
        <f>(D39*0.5)</f>
        <v>31</v>
      </c>
      <c r="U39" s="6">
        <f t="shared" si="26"/>
        <v>27.5</v>
      </c>
      <c r="V39" s="6">
        <f>(F39*0.5)+2.5</f>
        <v>39.5</v>
      </c>
      <c r="W39" s="6">
        <f>(G39*0.5)+5</f>
        <v>42.5</v>
      </c>
      <c r="X39" s="6">
        <f t="shared" si="26"/>
        <v>48</v>
      </c>
      <c r="Y39" s="6">
        <f>(I39*0.5)+5</f>
        <v>63.5</v>
      </c>
      <c r="Z39" s="6">
        <f t="shared" si="26"/>
        <v>63</v>
      </c>
      <c r="AA39" s="6">
        <f>(K39*0.5)+10</f>
        <v>67.5</v>
      </c>
      <c r="AB39" s="6">
        <f>(L39*0.5)+20</f>
        <v>63</v>
      </c>
      <c r="AC39" s="6">
        <f>(M39*0.5)+5.5</f>
        <v>43</v>
      </c>
    </row>
    <row r="40" spans="1:31">
      <c r="A40" s="2">
        <v>2004</v>
      </c>
      <c r="B40" s="169">
        <v>41</v>
      </c>
      <c r="C40" s="169">
        <v>77</v>
      </c>
      <c r="D40" s="169">
        <v>82</v>
      </c>
      <c r="E40" s="169">
        <v>77</v>
      </c>
      <c r="F40" s="169">
        <v>84</v>
      </c>
      <c r="G40" s="169">
        <v>52</v>
      </c>
      <c r="H40" s="169">
        <v>89</v>
      </c>
      <c r="I40" s="169">
        <v>116</v>
      </c>
      <c r="J40" s="169">
        <v>114</v>
      </c>
      <c r="K40" s="169">
        <v>96</v>
      </c>
      <c r="L40" s="169">
        <v>76</v>
      </c>
      <c r="M40" s="169">
        <v>85</v>
      </c>
      <c r="N40" s="169">
        <f t="shared" si="23"/>
        <v>989</v>
      </c>
      <c r="O40" s="2">
        <v>0.5</v>
      </c>
      <c r="Q40" s="206"/>
      <c r="R40" s="292">
        <f>(B40*0.5)+7.5</f>
        <v>28</v>
      </c>
      <c r="S40" s="292">
        <f>(C40*0.5)+12.5</f>
        <v>51</v>
      </c>
      <c r="T40" s="292">
        <f>(D40*0.5)+7.5</f>
        <v>48.5</v>
      </c>
      <c r="U40" s="292">
        <f>(E40*0.5)+25</f>
        <v>63.5</v>
      </c>
      <c r="V40" s="292">
        <f>(F40*0.5)+17.5</f>
        <v>59.5</v>
      </c>
      <c r="W40" s="292">
        <f>(G40*0.5)+17.5</f>
        <v>43.5</v>
      </c>
      <c r="X40" s="292">
        <f>(H40*0.5)+40</f>
        <v>84.5</v>
      </c>
      <c r="Y40" s="292">
        <f>(I40*0.5)+22.5</f>
        <v>80.5</v>
      </c>
      <c r="Z40" s="292">
        <f>(J40*0.5)+27.5</f>
        <v>84.5</v>
      </c>
      <c r="AA40" s="292">
        <f>(K40*0.5)+25</f>
        <v>73</v>
      </c>
      <c r="AB40" s="292">
        <f>(L40*0.5)+25</f>
        <v>63</v>
      </c>
      <c r="AC40" s="292">
        <f>(M40*0.5)+25</f>
        <v>67.5</v>
      </c>
    </row>
    <row r="41" spans="1:31">
      <c r="A41" s="2">
        <v>2005</v>
      </c>
      <c r="B41" s="169">
        <v>44</v>
      </c>
      <c r="C41" s="169">
        <v>32</v>
      </c>
      <c r="D41" s="204">
        <v>69</v>
      </c>
      <c r="E41" s="169">
        <v>30</v>
      </c>
      <c r="F41" s="169">
        <v>38</v>
      </c>
      <c r="G41" s="169">
        <v>75</v>
      </c>
      <c r="H41" s="169">
        <v>90</v>
      </c>
      <c r="I41" s="169">
        <v>155</v>
      </c>
      <c r="J41" s="169">
        <v>150</v>
      </c>
      <c r="K41" s="169">
        <v>98</v>
      </c>
      <c r="L41" s="169">
        <v>130</v>
      </c>
      <c r="M41" s="169"/>
      <c r="N41" s="169">
        <f t="shared" si="23"/>
        <v>911</v>
      </c>
      <c r="O41" s="2">
        <v>0.5</v>
      </c>
      <c r="Q41" s="206" t="s">
        <v>152</v>
      </c>
      <c r="R41" s="292">
        <f>(B41*0.5)+2.5</f>
        <v>24.5</v>
      </c>
      <c r="S41" s="292">
        <f>(C41*0.5)+10</f>
        <v>26</v>
      </c>
      <c r="T41" s="292">
        <f>(D41*0.5)+15</f>
        <v>49.5</v>
      </c>
      <c r="U41" s="292">
        <f>(E41*0.5)+2</f>
        <v>17</v>
      </c>
      <c r="V41" s="292">
        <f>(F41*0.5)</f>
        <v>19</v>
      </c>
      <c r="W41" s="292">
        <f>(G41*0.5)</f>
        <v>37.5</v>
      </c>
      <c r="X41" s="292">
        <f>(H41*0.5)+10</f>
        <v>55</v>
      </c>
      <c r="Y41" s="292">
        <f>(I41*0.5)+95</f>
        <v>172.5</v>
      </c>
      <c r="Z41" s="292">
        <f>(J41*0.5)+135.5</f>
        <v>210.5</v>
      </c>
      <c r="AA41" s="292">
        <f>(K41*0.5)+80</f>
        <v>129</v>
      </c>
      <c r="AB41" s="292">
        <f>(L41*0.5)+105</f>
        <v>170</v>
      </c>
      <c r="AC41" s="292">
        <f t="shared" ref="AC41" si="27">(M41*0.5)+2.5</f>
        <v>2.5</v>
      </c>
    </row>
    <row r="42" spans="1:31">
      <c r="A42" s="2">
        <v>2006</v>
      </c>
      <c r="B42" s="169">
        <v>64</v>
      </c>
      <c r="C42" s="169"/>
      <c r="D42" s="170">
        <v>908</v>
      </c>
      <c r="E42" s="169"/>
      <c r="F42" s="169"/>
      <c r="G42" s="169"/>
      <c r="H42" s="169"/>
      <c r="I42" s="169"/>
      <c r="J42" s="169"/>
      <c r="K42" s="169"/>
      <c r="L42" s="169"/>
      <c r="M42" s="169"/>
      <c r="N42" s="169">
        <f t="shared" si="23"/>
        <v>972</v>
      </c>
      <c r="O42" s="2">
        <v>0.5</v>
      </c>
      <c r="Q42" s="206" t="s">
        <v>152</v>
      </c>
      <c r="R42" s="292">
        <f t="shared" ref="R42:R49" si="28">B42*0.5</f>
        <v>32</v>
      </c>
    </row>
    <row r="43" spans="1:31">
      <c r="A43" s="2">
        <v>2007</v>
      </c>
      <c r="B43" s="169">
        <v>82</v>
      </c>
      <c r="C43" s="169"/>
      <c r="D43" s="170">
        <v>849</v>
      </c>
      <c r="E43" s="169"/>
      <c r="F43" s="169"/>
      <c r="G43" s="169"/>
      <c r="H43" s="169"/>
      <c r="I43" s="169"/>
      <c r="J43" s="169"/>
      <c r="K43" s="169"/>
      <c r="L43" s="169"/>
      <c r="M43" s="169"/>
      <c r="N43" s="169">
        <f t="shared" si="23"/>
        <v>931</v>
      </c>
      <c r="O43" s="2">
        <v>0.5</v>
      </c>
      <c r="Q43" s="206" t="s">
        <v>152</v>
      </c>
      <c r="R43" s="292">
        <f t="shared" si="28"/>
        <v>41</v>
      </c>
    </row>
    <row r="44" spans="1:31">
      <c r="A44" s="2">
        <v>2008</v>
      </c>
      <c r="B44" s="169">
        <v>78</v>
      </c>
      <c r="C44" s="169"/>
      <c r="D44" s="170">
        <v>879</v>
      </c>
      <c r="E44" s="169"/>
      <c r="F44" s="169"/>
      <c r="G44" s="169"/>
      <c r="H44" s="169"/>
      <c r="I44" s="169"/>
      <c r="J44" s="169"/>
      <c r="K44" s="169"/>
      <c r="L44" s="169"/>
      <c r="M44" s="169"/>
      <c r="N44" s="169">
        <f t="shared" si="23"/>
        <v>957</v>
      </c>
      <c r="O44" s="2">
        <v>0.5</v>
      </c>
      <c r="Q44" s="206" t="s">
        <v>152</v>
      </c>
      <c r="R44" s="292">
        <f t="shared" si="28"/>
        <v>39</v>
      </c>
    </row>
    <row r="45" spans="1:31">
      <c r="A45" s="2">
        <v>2009</v>
      </c>
      <c r="B45" s="169">
        <v>56</v>
      </c>
      <c r="C45" s="169"/>
      <c r="D45" s="170">
        <v>745</v>
      </c>
      <c r="E45" s="169"/>
      <c r="F45" s="169"/>
      <c r="G45" s="169"/>
      <c r="H45" s="169"/>
      <c r="I45" s="169"/>
      <c r="J45" s="169"/>
      <c r="K45" s="169"/>
      <c r="L45" s="169"/>
      <c r="M45" s="169"/>
      <c r="N45" s="169">
        <f t="shared" si="23"/>
        <v>801</v>
      </c>
      <c r="O45" s="2">
        <v>0.5</v>
      </c>
      <c r="Q45" s="206" t="s">
        <v>152</v>
      </c>
      <c r="R45" s="292">
        <f t="shared" si="28"/>
        <v>28</v>
      </c>
    </row>
    <row r="46" spans="1:31">
      <c r="A46" s="2">
        <v>2010</v>
      </c>
      <c r="B46" s="169">
        <v>34</v>
      </c>
      <c r="C46" s="169"/>
      <c r="D46" s="170">
        <v>668</v>
      </c>
      <c r="E46" s="169"/>
      <c r="F46" s="169"/>
      <c r="G46" s="169"/>
      <c r="H46" s="169"/>
      <c r="I46" s="169"/>
      <c r="J46" s="169"/>
      <c r="K46" s="169"/>
      <c r="L46" s="169"/>
      <c r="M46" s="169"/>
      <c r="N46" s="169">
        <f t="shared" si="23"/>
        <v>702</v>
      </c>
      <c r="O46" s="2">
        <v>0.5</v>
      </c>
      <c r="Q46" s="206" t="s">
        <v>152</v>
      </c>
      <c r="R46" s="292">
        <f t="shared" si="28"/>
        <v>17</v>
      </c>
    </row>
    <row r="47" spans="1:31">
      <c r="A47" s="2">
        <v>2011</v>
      </c>
      <c r="B47" s="169">
        <v>33</v>
      </c>
      <c r="C47" s="169"/>
      <c r="D47" s="170">
        <v>542</v>
      </c>
      <c r="E47" s="169"/>
      <c r="F47" s="169"/>
      <c r="G47" s="169"/>
      <c r="H47" s="169"/>
      <c r="I47" s="169"/>
      <c r="J47" s="169"/>
      <c r="K47" s="169"/>
      <c r="L47" s="169"/>
      <c r="M47" s="169"/>
      <c r="N47" s="169">
        <f t="shared" si="23"/>
        <v>575</v>
      </c>
      <c r="O47" s="2">
        <v>0.5</v>
      </c>
      <c r="Q47" s="206" t="s">
        <v>152</v>
      </c>
      <c r="R47" s="292">
        <f t="shared" si="28"/>
        <v>16.5</v>
      </c>
    </row>
    <row r="48" spans="1:31">
      <c r="A48" s="2">
        <v>2012</v>
      </c>
      <c r="B48" s="169">
        <v>21</v>
      </c>
      <c r="C48" s="169"/>
      <c r="D48" s="170">
        <v>442</v>
      </c>
      <c r="E48" s="169"/>
      <c r="F48" s="169"/>
      <c r="G48" s="169"/>
      <c r="H48" s="169"/>
      <c r="I48" s="169"/>
      <c r="J48" s="169"/>
      <c r="K48" s="169"/>
      <c r="L48" s="169"/>
      <c r="M48" s="169"/>
      <c r="N48" s="169">
        <f t="shared" si="23"/>
        <v>463</v>
      </c>
      <c r="O48" s="2">
        <v>0.5</v>
      </c>
      <c r="Q48" s="206" t="s">
        <v>152</v>
      </c>
      <c r="R48" s="292">
        <f t="shared" si="28"/>
        <v>10.5</v>
      </c>
    </row>
    <row r="49" spans="1:22">
      <c r="A49" s="2">
        <v>2013</v>
      </c>
      <c r="B49" s="169">
        <v>35</v>
      </c>
      <c r="C49" s="169">
        <v>32</v>
      </c>
      <c r="D49" s="169">
        <v>51</v>
      </c>
      <c r="E49" s="169">
        <v>54</v>
      </c>
      <c r="F49" s="169">
        <v>66</v>
      </c>
      <c r="G49" s="169">
        <v>37</v>
      </c>
      <c r="H49" s="169">
        <v>59</v>
      </c>
      <c r="I49" s="169">
        <v>77</v>
      </c>
      <c r="J49" s="169">
        <v>65</v>
      </c>
      <c r="K49" s="169">
        <v>42</v>
      </c>
      <c r="L49" s="169">
        <v>51</v>
      </c>
      <c r="M49" s="169">
        <v>49</v>
      </c>
      <c r="N49" s="169">
        <f t="shared" si="23"/>
        <v>618</v>
      </c>
      <c r="O49" s="2">
        <v>0.5</v>
      </c>
      <c r="Q49" s="206" t="s">
        <v>152</v>
      </c>
      <c r="R49" s="292">
        <f t="shared" si="28"/>
        <v>17.5</v>
      </c>
    </row>
    <row r="50" spans="1:22">
      <c r="A50" s="2">
        <v>2014</v>
      </c>
      <c r="B50" s="169">
        <v>26</v>
      </c>
      <c r="C50" s="169">
        <v>47</v>
      </c>
      <c r="D50" s="204">
        <v>37</v>
      </c>
      <c r="E50" s="169">
        <v>20</v>
      </c>
      <c r="F50" s="169">
        <v>31</v>
      </c>
      <c r="G50" s="169">
        <v>47</v>
      </c>
      <c r="H50" s="169">
        <v>55</v>
      </c>
      <c r="I50" s="169">
        <v>61</v>
      </c>
      <c r="J50" s="169">
        <v>86</v>
      </c>
      <c r="K50" s="169">
        <v>62</v>
      </c>
      <c r="L50" s="169">
        <v>59</v>
      </c>
      <c r="M50" s="169">
        <v>57</v>
      </c>
      <c r="N50" s="169">
        <f t="shared" si="23"/>
        <v>588</v>
      </c>
      <c r="O50" s="2">
        <v>0.5</v>
      </c>
      <c r="Q50" s="206" t="s">
        <v>152</v>
      </c>
    </row>
    <row r="51" spans="1:22">
      <c r="A51" s="2">
        <v>2015</v>
      </c>
      <c r="B51" s="169">
        <v>21</v>
      </c>
      <c r="C51" s="169">
        <v>60</v>
      </c>
      <c r="D51" s="169">
        <v>49</v>
      </c>
      <c r="E51" s="169">
        <v>53</v>
      </c>
      <c r="F51" s="169">
        <v>52</v>
      </c>
      <c r="G51" s="169">
        <v>53</v>
      </c>
      <c r="H51" s="169">
        <v>56</v>
      </c>
      <c r="I51" s="169">
        <v>72</v>
      </c>
      <c r="J51" s="169">
        <v>79</v>
      </c>
      <c r="K51" s="169">
        <v>64</v>
      </c>
      <c r="L51" s="169">
        <v>64</v>
      </c>
      <c r="M51" s="169">
        <v>75</v>
      </c>
      <c r="N51" s="169">
        <f t="shared" si="23"/>
        <v>698</v>
      </c>
      <c r="O51" s="2">
        <v>0.5</v>
      </c>
      <c r="Q51" s="206" t="s">
        <v>152</v>
      </c>
    </row>
    <row r="52" spans="1:22">
      <c r="A52" s="2">
        <v>2016</v>
      </c>
      <c r="B52" s="169">
        <v>16</v>
      </c>
      <c r="C52" s="169">
        <v>22</v>
      </c>
      <c r="D52" s="169">
        <v>39</v>
      </c>
      <c r="E52" s="169">
        <v>55</v>
      </c>
      <c r="F52" s="169">
        <v>53</v>
      </c>
      <c r="G52" s="169">
        <v>52</v>
      </c>
      <c r="H52" s="169">
        <v>52</v>
      </c>
      <c r="I52" s="169">
        <v>98</v>
      </c>
      <c r="J52" s="169">
        <v>85</v>
      </c>
      <c r="K52" s="169">
        <v>66</v>
      </c>
      <c r="L52" s="169">
        <v>54</v>
      </c>
      <c r="M52" s="169">
        <v>110</v>
      </c>
      <c r="N52" s="169">
        <f t="shared" si="23"/>
        <v>702</v>
      </c>
      <c r="O52" s="2">
        <v>0.5</v>
      </c>
      <c r="Q52" s="206" t="s">
        <v>152</v>
      </c>
    </row>
    <row r="53" spans="1:22">
      <c r="A53" s="2">
        <v>2017</v>
      </c>
      <c r="B53" s="169">
        <v>35</v>
      </c>
      <c r="C53" s="169"/>
      <c r="D53" s="169"/>
      <c r="E53" s="169"/>
      <c r="F53" s="169"/>
      <c r="G53" s="169"/>
      <c r="H53" s="170">
        <v>656</v>
      </c>
      <c r="I53" s="169"/>
      <c r="J53" s="169"/>
      <c r="K53" s="169"/>
      <c r="L53" s="169"/>
      <c r="M53" s="169"/>
      <c r="N53" s="169">
        <f t="shared" si="23"/>
        <v>691</v>
      </c>
    </row>
    <row r="54" spans="1:22">
      <c r="A54" s="2">
        <v>2018</v>
      </c>
      <c r="B54" s="169">
        <v>33</v>
      </c>
      <c r="C54" s="169"/>
      <c r="D54" s="169"/>
      <c r="E54" s="169"/>
      <c r="F54" s="169"/>
      <c r="G54" s="169"/>
      <c r="H54" s="170">
        <v>572</v>
      </c>
      <c r="I54" s="169"/>
      <c r="J54" s="169"/>
      <c r="K54" s="169"/>
      <c r="L54" s="169"/>
      <c r="M54" s="169"/>
      <c r="N54" s="169">
        <f t="shared" si="23"/>
        <v>605</v>
      </c>
      <c r="O54" s="2">
        <v>2</v>
      </c>
      <c r="Q54" s="206" t="s">
        <v>152</v>
      </c>
      <c r="U54" s="2">
        <v>8</v>
      </c>
      <c r="V54" s="2">
        <v>83</v>
      </c>
    </row>
    <row r="55" spans="1:22">
      <c r="A55" s="2">
        <v>2019</v>
      </c>
      <c r="B55" s="169">
        <v>18</v>
      </c>
      <c r="C55" s="169">
        <v>49</v>
      </c>
      <c r="D55" s="169">
        <v>60</v>
      </c>
      <c r="E55" s="169"/>
      <c r="F55" s="169"/>
      <c r="G55" s="169"/>
      <c r="H55" s="170">
        <v>653</v>
      </c>
      <c r="I55" s="169"/>
      <c r="J55" s="169"/>
      <c r="K55" s="169"/>
      <c r="L55" s="169"/>
      <c r="M55" s="169"/>
      <c r="N55" s="169">
        <f t="shared" si="23"/>
        <v>780</v>
      </c>
      <c r="O55" s="2">
        <v>2</v>
      </c>
      <c r="Q55" s="206" t="s">
        <v>152</v>
      </c>
    </row>
    <row r="56" spans="1:22">
      <c r="A56" s="2">
        <v>2020</v>
      </c>
      <c r="B56" s="169">
        <v>23</v>
      </c>
      <c r="C56" s="169">
        <v>44</v>
      </c>
      <c r="D56" s="169">
        <v>21</v>
      </c>
      <c r="E56" s="169">
        <v>10</v>
      </c>
      <c r="F56" s="169">
        <v>21</v>
      </c>
      <c r="G56" s="169">
        <v>24</v>
      </c>
      <c r="H56" s="169">
        <v>47</v>
      </c>
      <c r="I56" s="169">
        <v>40</v>
      </c>
      <c r="J56" s="169">
        <v>55</v>
      </c>
      <c r="K56" s="169">
        <v>41</v>
      </c>
      <c r="L56" s="169">
        <v>26</v>
      </c>
      <c r="M56" s="169">
        <v>39</v>
      </c>
      <c r="N56" s="169">
        <f t="shared" si="23"/>
        <v>391</v>
      </c>
      <c r="O56" s="2">
        <v>1</v>
      </c>
      <c r="Q56" s="206" t="s">
        <v>155</v>
      </c>
      <c r="R56" s="206" t="s">
        <v>152</v>
      </c>
    </row>
    <row r="57" spans="1:22">
      <c r="A57" s="2">
        <v>2021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>
        <f t="shared" si="23"/>
        <v>0</v>
      </c>
    </row>
    <row r="58" spans="1:22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</row>
    <row r="59" spans="1:22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</row>
    <row r="60" spans="1:22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</row>
    <row r="61" spans="1:22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</row>
    <row r="62" spans="1:22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</row>
  </sheetData>
  <mergeCells count="2">
    <mergeCell ref="A31:R31"/>
    <mergeCell ref="F32:O3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N67"/>
  <sheetViews>
    <sheetView workbookViewId="0">
      <pane ySplit="1" topLeftCell="A8" activePane="bottomLeft" state="frozen"/>
      <selection pane="bottomLeft" activeCell="L9" sqref="L9"/>
    </sheetView>
  </sheetViews>
  <sheetFormatPr defaultRowHeight="12.75"/>
  <cols>
    <col min="1" max="1" width="3.88671875" style="2" bestFit="1" customWidth="1"/>
    <col min="2" max="2" width="6.44140625" style="2" bestFit="1" customWidth="1"/>
    <col min="3" max="4" width="7.21875" style="2" bestFit="1" customWidth="1"/>
    <col min="5" max="7" width="6.44140625" style="2" bestFit="1" customWidth="1"/>
    <col min="8" max="11" width="7.21875" style="2" bestFit="1" customWidth="1"/>
    <col min="12" max="12" width="6.44140625" style="2" bestFit="1" customWidth="1"/>
    <col min="13" max="13" width="8.44140625" style="2" bestFit="1" customWidth="1"/>
    <col min="14" max="14" width="7.21875" style="2" bestFit="1" customWidth="1"/>
    <col min="15" max="15" width="9.21875" style="2" bestFit="1" customWidth="1"/>
    <col min="16" max="16" width="8.44140625" style="2" bestFit="1" customWidth="1"/>
    <col min="17" max="17" width="11.109375" style="2" bestFit="1" customWidth="1"/>
    <col min="18" max="18" width="7.6640625" style="2" bestFit="1" customWidth="1"/>
    <col min="19" max="32" width="6.44140625" style="2" bestFit="1" customWidth="1"/>
    <col min="33" max="33" width="7.21875" style="2" bestFit="1" customWidth="1"/>
    <col min="34" max="34" width="8.88671875" style="2"/>
    <col min="35" max="35" width="5.6640625" style="2" bestFit="1" customWidth="1"/>
    <col min="36" max="36" width="6.33203125" style="2" bestFit="1" customWidth="1"/>
    <col min="37" max="37" width="4" style="2" customWidth="1"/>
    <col min="38" max="38" width="9.33203125" style="2" bestFit="1" customWidth="1"/>
    <col min="39" max="39" width="3.33203125" style="2" customWidth="1"/>
    <col min="40" max="40" width="10.33203125" style="2" bestFit="1" customWidth="1"/>
    <col min="41" max="16384" width="8.88671875" style="2"/>
  </cols>
  <sheetData>
    <row r="1" spans="1:33" ht="13.5" thickBot="1">
      <c r="A1" s="166"/>
      <c r="B1" s="171" t="s">
        <v>4</v>
      </c>
      <c r="C1" s="173" t="s">
        <v>5</v>
      </c>
      <c r="D1" s="171" t="s">
        <v>6</v>
      </c>
      <c r="E1" s="172" t="s">
        <v>7</v>
      </c>
      <c r="F1" s="171" t="s">
        <v>2</v>
      </c>
      <c r="G1" s="173" t="s">
        <v>8</v>
      </c>
      <c r="H1" s="171" t="s">
        <v>9</v>
      </c>
      <c r="I1" s="172" t="s">
        <v>10</v>
      </c>
      <c r="J1" s="171" t="s">
        <v>11</v>
      </c>
      <c r="K1" s="173" t="s">
        <v>12</v>
      </c>
      <c r="L1" s="171" t="s">
        <v>13</v>
      </c>
      <c r="M1" s="172" t="s">
        <v>14</v>
      </c>
      <c r="N1" s="185" t="s">
        <v>29</v>
      </c>
      <c r="O1" s="186" t="s">
        <v>147</v>
      </c>
      <c r="P1" s="186" t="s">
        <v>139</v>
      </c>
      <c r="Q1" s="210" t="s">
        <v>149</v>
      </c>
      <c r="R1" s="186" t="s">
        <v>139</v>
      </c>
    </row>
    <row r="2" spans="1:33">
      <c r="A2" s="7">
        <v>1998</v>
      </c>
      <c r="B2" s="130"/>
      <c r="C2" s="130"/>
      <c r="D2" s="130"/>
      <c r="E2" s="130"/>
      <c r="F2" s="130"/>
      <c r="G2" s="130"/>
      <c r="H2" s="130"/>
      <c r="I2" s="125">
        <v>3928</v>
      </c>
      <c r="J2" s="125">
        <v>5000</v>
      </c>
      <c r="K2" s="125">
        <v>4300</v>
      </c>
      <c r="L2" s="125">
        <v>4000</v>
      </c>
      <c r="M2" s="125">
        <v>8900</v>
      </c>
      <c r="N2" s="125">
        <f>SUM(I2:M2)</f>
        <v>26128</v>
      </c>
      <c r="O2" s="123">
        <f>N2/340.75</f>
        <v>76.677916360968453</v>
      </c>
      <c r="P2" s="125">
        <v>907</v>
      </c>
      <c r="Q2" s="123">
        <f>O2*S2</f>
        <v>23.003374908290535</v>
      </c>
      <c r="R2" s="125">
        <f>P2*S2</f>
        <v>272.09999999999997</v>
      </c>
      <c r="S2" s="322">
        <v>0.3</v>
      </c>
      <c r="V2" s="6">
        <f>B2/340.75</f>
        <v>0</v>
      </c>
      <c r="W2" s="6">
        <f t="shared" ref="W2:AA5" si="0">C2/340.75</f>
        <v>0</v>
      </c>
      <c r="X2" s="6">
        <f t="shared" si="0"/>
        <v>0</v>
      </c>
      <c r="Y2" s="6">
        <f t="shared" si="0"/>
        <v>0</v>
      </c>
      <c r="Z2" s="6">
        <f t="shared" si="0"/>
        <v>0</v>
      </c>
      <c r="AA2" s="6">
        <f t="shared" si="0"/>
        <v>0</v>
      </c>
      <c r="AB2" s="6">
        <f t="shared" ref="AB2:AB5" si="1">H2/340.75</f>
        <v>0</v>
      </c>
      <c r="AC2" s="6">
        <f t="shared" ref="AC2:AC5" si="2">I2/340.75</f>
        <v>11.527512839325018</v>
      </c>
      <c r="AD2" s="6">
        <f t="shared" ref="AD2:AD5" si="3">J2/340.75</f>
        <v>14.673514306676449</v>
      </c>
      <c r="AE2" s="6">
        <f t="shared" ref="AE2:AE5" si="4">K2/340.75</f>
        <v>12.619222303741747</v>
      </c>
      <c r="AF2" s="6">
        <f t="shared" ref="AF2:AG5" si="5">L2/340.75</f>
        <v>11.73881144534116</v>
      </c>
      <c r="AG2" s="6">
        <f t="shared" si="5"/>
        <v>26.118855465884078</v>
      </c>
    </row>
    <row r="3" spans="1:33">
      <c r="A3" s="1">
        <v>1999</v>
      </c>
      <c r="B3" s="189">
        <v>1800</v>
      </c>
      <c r="C3" s="189">
        <v>2600</v>
      </c>
      <c r="D3" s="189">
        <v>4900</v>
      </c>
      <c r="E3" s="189">
        <v>4200</v>
      </c>
      <c r="F3" s="189">
        <v>3500</v>
      </c>
      <c r="G3" s="189">
        <v>5200</v>
      </c>
      <c r="H3" s="189">
        <v>5200</v>
      </c>
      <c r="I3" s="189">
        <v>8900</v>
      </c>
      <c r="J3" s="189">
        <v>7200</v>
      </c>
      <c r="K3" s="189">
        <v>5100</v>
      </c>
      <c r="L3" s="189">
        <v>3400</v>
      </c>
      <c r="M3" s="189">
        <v>4800</v>
      </c>
      <c r="N3" s="125">
        <f>SUM(B3:M3)</f>
        <v>56800</v>
      </c>
      <c r="O3" s="123">
        <f>N3/340.75</f>
        <v>166.69112252384446</v>
      </c>
      <c r="P3" s="125">
        <v>1768</v>
      </c>
      <c r="Q3" s="123">
        <f t="shared" ref="Q3:Q24" si="6">O3*S3</f>
        <v>66.676449009537791</v>
      </c>
      <c r="R3" s="125">
        <f t="shared" ref="R3:R24" si="7">P3*S3</f>
        <v>707.2</v>
      </c>
      <c r="S3" s="323">
        <v>0.4</v>
      </c>
      <c r="V3" s="6">
        <f t="shared" ref="V3:V5" si="8">B3/340.75</f>
        <v>5.2824651504035218</v>
      </c>
      <c r="W3" s="6">
        <f t="shared" si="0"/>
        <v>7.6302274394717537</v>
      </c>
      <c r="X3" s="6">
        <f t="shared" si="0"/>
        <v>14.38004402054292</v>
      </c>
      <c r="Y3" s="6">
        <f t="shared" si="0"/>
        <v>12.325752017608217</v>
      </c>
      <c r="Z3" s="6">
        <f t="shared" si="0"/>
        <v>10.271460014673515</v>
      </c>
      <c r="AA3" s="6">
        <f t="shared" si="0"/>
        <v>15.260454878943507</v>
      </c>
      <c r="AB3" s="6">
        <f t="shared" si="1"/>
        <v>15.260454878943507</v>
      </c>
      <c r="AC3" s="6">
        <f t="shared" si="2"/>
        <v>26.118855465884078</v>
      </c>
      <c r="AD3" s="6">
        <f t="shared" si="3"/>
        <v>21.129860601614087</v>
      </c>
      <c r="AE3" s="6">
        <f t="shared" si="4"/>
        <v>14.966984592809977</v>
      </c>
      <c r="AF3" s="6">
        <f t="shared" si="5"/>
        <v>9.9779897285399848</v>
      </c>
      <c r="AG3" s="6">
        <f t="shared" si="5"/>
        <v>14.086573734409392</v>
      </c>
    </row>
    <row r="4" spans="1:33">
      <c r="A4" s="1">
        <v>2000</v>
      </c>
      <c r="B4" s="189">
        <f>R41</f>
        <v>2800</v>
      </c>
      <c r="C4" s="189">
        <f t="shared" ref="C4:M6" si="9">S41</f>
        <v>3600</v>
      </c>
      <c r="D4" s="189">
        <f t="shared" si="9"/>
        <v>4200</v>
      </c>
      <c r="E4" s="189">
        <f t="shared" si="9"/>
        <v>3300</v>
      </c>
      <c r="F4" s="189">
        <f t="shared" si="9"/>
        <v>5300</v>
      </c>
      <c r="G4" s="189">
        <f t="shared" si="9"/>
        <v>4100</v>
      </c>
      <c r="H4" s="189">
        <f t="shared" si="9"/>
        <v>5100</v>
      </c>
      <c r="I4" s="189">
        <f t="shared" si="9"/>
        <v>8700</v>
      </c>
      <c r="J4" s="189">
        <f t="shared" si="9"/>
        <v>4600</v>
      </c>
      <c r="K4" s="189">
        <f t="shared" si="9"/>
        <v>5100</v>
      </c>
      <c r="L4" s="189">
        <f t="shared" si="9"/>
        <v>6200</v>
      </c>
      <c r="M4" s="189">
        <f t="shared" si="9"/>
        <v>4800</v>
      </c>
      <c r="N4" s="125">
        <f t="shared" ref="N4:N5" si="10">SUM(B4:M4)</f>
        <v>57800</v>
      </c>
      <c r="O4" s="123">
        <f t="shared" ref="O4:O5" si="11">N4/340.75</f>
        <v>169.62582538517975</v>
      </c>
      <c r="P4" s="125">
        <v>1478</v>
      </c>
      <c r="Q4" s="123">
        <f t="shared" si="6"/>
        <v>76.331621423330887</v>
      </c>
      <c r="R4" s="125">
        <f t="shared" si="7"/>
        <v>665.1</v>
      </c>
      <c r="S4" s="323">
        <v>0.45</v>
      </c>
      <c r="V4" s="6">
        <f t="shared" si="8"/>
        <v>8.2171680117388117</v>
      </c>
      <c r="W4" s="6">
        <f t="shared" si="0"/>
        <v>10.564930300807044</v>
      </c>
      <c r="X4" s="6">
        <f t="shared" si="0"/>
        <v>12.325752017608217</v>
      </c>
      <c r="Y4" s="6">
        <f t="shared" si="0"/>
        <v>9.6845194424064562</v>
      </c>
      <c r="Z4" s="6">
        <f t="shared" si="0"/>
        <v>15.553925165077036</v>
      </c>
      <c r="AA4" s="6">
        <f t="shared" si="0"/>
        <v>12.032281731474688</v>
      </c>
      <c r="AB4" s="6">
        <f t="shared" si="1"/>
        <v>14.966984592809977</v>
      </c>
      <c r="AC4" s="6">
        <f t="shared" si="2"/>
        <v>25.531914893617021</v>
      </c>
      <c r="AD4" s="6">
        <f t="shared" si="3"/>
        <v>13.499633162142333</v>
      </c>
      <c r="AE4" s="6">
        <f t="shared" si="4"/>
        <v>14.966984592809977</v>
      </c>
      <c r="AF4" s="6">
        <f t="shared" si="5"/>
        <v>18.195157740278798</v>
      </c>
      <c r="AG4" s="6">
        <f t="shared" si="5"/>
        <v>14.086573734409392</v>
      </c>
    </row>
    <row r="5" spans="1:33">
      <c r="A5" s="1">
        <v>2001</v>
      </c>
      <c r="B5" s="189">
        <f>R42</f>
        <v>4000</v>
      </c>
      <c r="C5" s="189">
        <f t="shared" si="9"/>
        <v>5400</v>
      </c>
      <c r="D5" s="189">
        <f t="shared" si="9"/>
        <v>3500</v>
      </c>
      <c r="E5" s="189">
        <f t="shared" si="9"/>
        <v>3500</v>
      </c>
      <c r="F5" s="189">
        <f t="shared" si="9"/>
        <v>4200</v>
      </c>
      <c r="G5" s="189">
        <f t="shared" si="9"/>
        <v>3300</v>
      </c>
      <c r="H5" s="189">
        <f t="shared" si="9"/>
        <v>5600</v>
      </c>
      <c r="I5" s="189">
        <f t="shared" si="9"/>
        <v>8100</v>
      </c>
      <c r="J5" s="189">
        <f t="shared" si="9"/>
        <v>5500</v>
      </c>
      <c r="K5" s="189">
        <f t="shared" si="9"/>
        <v>3400</v>
      </c>
      <c r="L5" s="189">
        <f t="shared" si="9"/>
        <v>5800</v>
      </c>
      <c r="M5" s="189">
        <f t="shared" si="9"/>
        <v>5700</v>
      </c>
      <c r="N5" s="125">
        <f t="shared" si="10"/>
        <v>58000</v>
      </c>
      <c r="O5" s="123">
        <f t="shared" si="11"/>
        <v>170.21276595744681</v>
      </c>
      <c r="P5" s="125">
        <v>1285</v>
      </c>
      <c r="Q5" s="123">
        <f t="shared" si="6"/>
        <v>68.085106382978722</v>
      </c>
      <c r="R5" s="125">
        <f t="shared" si="7"/>
        <v>514</v>
      </c>
      <c r="S5" s="323">
        <v>0.4</v>
      </c>
      <c r="V5" s="6">
        <f t="shared" si="8"/>
        <v>11.73881144534116</v>
      </c>
      <c r="W5" s="6">
        <f t="shared" si="0"/>
        <v>15.847395451210565</v>
      </c>
      <c r="X5" s="6">
        <f t="shared" si="0"/>
        <v>10.271460014673515</v>
      </c>
      <c r="Y5" s="6">
        <f t="shared" si="0"/>
        <v>10.271460014673515</v>
      </c>
      <c r="Z5" s="6">
        <f t="shared" si="0"/>
        <v>12.325752017608217</v>
      </c>
      <c r="AA5" s="6">
        <f t="shared" si="0"/>
        <v>9.6845194424064562</v>
      </c>
      <c r="AB5" s="6">
        <f t="shared" si="1"/>
        <v>16.434336023477623</v>
      </c>
      <c r="AC5" s="6">
        <f t="shared" si="2"/>
        <v>23.771093176815846</v>
      </c>
      <c r="AD5" s="6">
        <f t="shared" si="3"/>
        <v>16.140865737344093</v>
      </c>
      <c r="AE5" s="6">
        <f t="shared" si="4"/>
        <v>9.9779897285399848</v>
      </c>
      <c r="AF5" s="6">
        <f t="shared" si="5"/>
        <v>17.021276595744681</v>
      </c>
      <c r="AG5" s="6">
        <f t="shared" si="5"/>
        <v>16.72780630961115</v>
      </c>
    </row>
    <row r="6" spans="1:33">
      <c r="A6" s="1">
        <v>2002</v>
      </c>
      <c r="B6" s="4">
        <f>R43</f>
        <v>12.5</v>
      </c>
      <c r="C6" s="4">
        <f t="shared" si="9"/>
        <v>17.5</v>
      </c>
      <c r="D6" s="4">
        <f t="shared" si="9"/>
        <v>29</v>
      </c>
      <c r="E6" s="4">
        <f t="shared" si="9"/>
        <v>30</v>
      </c>
      <c r="F6" s="4">
        <f t="shared" si="9"/>
        <v>22</v>
      </c>
      <c r="G6" s="4">
        <f t="shared" si="9"/>
        <v>14.5</v>
      </c>
      <c r="H6" s="4">
        <f t="shared" si="9"/>
        <v>40.5</v>
      </c>
      <c r="I6" s="4">
        <f t="shared" si="9"/>
        <v>40</v>
      </c>
      <c r="J6" s="4">
        <f t="shared" si="9"/>
        <v>29</v>
      </c>
      <c r="K6" s="4">
        <f t="shared" si="9"/>
        <v>36.5</v>
      </c>
      <c r="L6" s="4">
        <f t="shared" si="9"/>
        <v>28</v>
      </c>
      <c r="M6" s="4">
        <f t="shared" si="9"/>
        <v>26.5</v>
      </c>
      <c r="N6" s="130"/>
      <c r="O6" s="179">
        <f>SUM(B6:M6)</f>
        <v>326</v>
      </c>
      <c r="P6" s="270">
        <v>2184</v>
      </c>
      <c r="Q6" s="123">
        <f t="shared" si="6"/>
        <v>130.4</v>
      </c>
      <c r="R6" s="125">
        <f t="shared" si="7"/>
        <v>873.6</v>
      </c>
      <c r="S6" s="323">
        <v>0.4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>
      <c r="A7" s="1">
        <v>2003</v>
      </c>
      <c r="B7" s="179">
        <f>B44/2</f>
        <v>22.5</v>
      </c>
      <c r="C7" s="179">
        <f t="shared" ref="C7:M7" si="12">C44/2</f>
        <v>23</v>
      </c>
      <c r="D7" s="179">
        <f t="shared" si="12"/>
        <v>31</v>
      </c>
      <c r="E7" s="179">
        <f t="shared" si="12"/>
        <v>27.5</v>
      </c>
      <c r="F7" s="179">
        <f t="shared" si="12"/>
        <v>37</v>
      </c>
      <c r="G7" s="179">
        <f t="shared" si="12"/>
        <v>37.5</v>
      </c>
      <c r="H7" s="179">
        <f t="shared" si="12"/>
        <v>48</v>
      </c>
      <c r="I7" s="179">
        <f t="shared" si="12"/>
        <v>58.5</v>
      </c>
      <c r="J7" s="179">
        <f t="shared" si="12"/>
        <v>63</v>
      </c>
      <c r="K7" s="179">
        <f t="shared" si="12"/>
        <v>57.5</v>
      </c>
      <c r="L7" s="179">
        <f t="shared" si="12"/>
        <v>43</v>
      </c>
      <c r="M7" s="179">
        <f t="shared" si="12"/>
        <v>37.5</v>
      </c>
      <c r="N7" s="130"/>
      <c r="O7" s="179">
        <f>SUM(B7:M7)</f>
        <v>486</v>
      </c>
      <c r="P7" s="270">
        <v>2929</v>
      </c>
      <c r="Q7" s="123">
        <f t="shared" si="6"/>
        <v>194.4</v>
      </c>
      <c r="R7" s="125">
        <f t="shared" si="7"/>
        <v>1171.6000000000001</v>
      </c>
      <c r="S7" s="322">
        <v>0.4</v>
      </c>
      <c r="V7" s="6"/>
    </row>
    <row r="8" spans="1:33">
      <c r="A8" s="325">
        <v>2004</v>
      </c>
      <c r="B8" s="179">
        <f>B45/2</f>
        <v>20.5</v>
      </c>
      <c r="C8" s="179">
        <f t="shared" ref="C8:M8" si="13">C45/2</f>
        <v>38.5</v>
      </c>
      <c r="D8" s="179">
        <f t="shared" si="13"/>
        <v>41</v>
      </c>
      <c r="E8" s="179">
        <f t="shared" si="13"/>
        <v>38.5</v>
      </c>
      <c r="F8" s="179">
        <f t="shared" si="13"/>
        <v>42</v>
      </c>
      <c r="G8" s="179">
        <f t="shared" si="13"/>
        <v>26</v>
      </c>
      <c r="H8" s="179">
        <f t="shared" si="13"/>
        <v>44.5</v>
      </c>
      <c r="I8" s="179">
        <f t="shared" si="13"/>
        <v>58</v>
      </c>
      <c r="J8" s="179">
        <f t="shared" si="13"/>
        <v>57</v>
      </c>
      <c r="K8" s="179">
        <f t="shared" si="13"/>
        <v>48</v>
      </c>
      <c r="L8" s="179">
        <f t="shared" si="13"/>
        <v>38</v>
      </c>
      <c r="M8" s="179">
        <f t="shared" si="13"/>
        <v>42.5</v>
      </c>
      <c r="N8" s="191"/>
      <c r="O8" s="179">
        <f t="shared" ref="O8:O27" si="14">SUM(B8:M8)</f>
        <v>494.5</v>
      </c>
      <c r="P8" s="270">
        <v>2698</v>
      </c>
      <c r="Q8" s="123">
        <f t="shared" si="6"/>
        <v>197.8</v>
      </c>
      <c r="R8" s="125">
        <f t="shared" si="7"/>
        <v>1079.2</v>
      </c>
      <c r="S8" s="322">
        <v>0.4</v>
      </c>
      <c r="V8" s="6"/>
    </row>
    <row r="9" spans="1:33">
      <c r="A9" s="1">
        <v>2005</v>
      </c>
      <c r="B9" s="335">
        <f>B46/2</f>
        <v>22</v>
      </c>
      <c r="C9" s="335">
        <f t="shared" ref="C9:M9" si="15">C46/2</f>
        <v>16</v>
      </c>
      <c r="D9" s="335">
        <f t="shared" si="15"/>
        <v>34.5</v>
      </c>
      <c r="E9" s="335">
        <f t="shared" si="15"/>
        <v>15</v>
      </c>
      <c r="F9" s="335">
        <f t="shared" si="15"/>
        <v>19</v>
      </c>
      <c r="G9" s="335">
        <f t="shared" si="15"/>
        <v>37.5</v>
      </c>
      <c r="H9" s="335">
        <f t="shared" si="15"/>
        <v>45</v>
      </c>
      <c r="I9" s="335">
        <f t="shared" si="15"/>
        <v>77.5</v>
      </c>
      <c r="J9" s="335">
        <f t="shared" si="15"/>
        <v>75</v>
      </c>
      <c r="K9" s="335">
        <f t="shared" si="15"/>
        <v>49</v>
      </c>
      <c r="L9" s="335">
        <f t="shared" si="15"/>
        <v>65</v>
      </c>
      <c r="M9" s="179">
        <f t="shared" si="15"/>
        <v>0</v>
      </c>
      <c r="N9" s="8"/>
      <c r="O9" s="179">
        <f t="shared" si="14"/>
        <v>455.5</v>
      </c>
      <c r="P9" s="270"/>
      <c r="Q9" s="123">
        <f t="shared" si="6"/>
        <v>182.20000000000002</v>
      </c>
      <c r="R9" s="125">
        <f t="shared" si="7"/>
        <v>0</v>
      </c>
      <c r="S9" s="322">
        <v>0.4</v>
      </c>
      <c r="V9" s="6"/>
    </row>
    <row r="10" spans="1:33">
      <c r="A10" s="1">
        <v>2006</v>
      </c>
      <c r="B10" s="199">
        <v>40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>
        <v>454</v>
      </c>
      <c r="N10" s="8"/>
      <c r="O10" s="179">
        <f t="shared" si="14"/>
        <v>494</v>
      </c>
      <c r="P10" s="270">
        <v>2205</v>
      </c>
      <c r="Q10" s="123">
        <f t="shared" si="6"/>
        <v>197.60000000000002</v>
      </c>
      <c r="R10" s="125">
        <f t="shared" si="7"/>
        <v>882</v>
      </c>
      <c r="S10" s="322">
        <v>0.4</v>
      </c>
      <c r="V10" s="6"/>
    </row>
    <row r="11" spans="1:33">
      <c r="A11" s="1">
        <v>2007</v>
      </c>
      <c r="B11" s="199">
        <v>50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>
        <v>424</v>
      </c>
      <c r="N11" s="8"/>
      <c r="O11" s="179">
        <f t="shared" si="14"/>
        <v>474</v>
      </c>
      <c r="P11" s="270">
        <v>1890</v>
      </c>
      <c r="Q11" s="123">
        <f t="shared" si="6"/>
        <v>189.60000000000002</v>
      </c>
      <c r="R11" s="125">
        <f t="shared" si="7"/>
        <v>756</v>
      </c>
      <c r="S11" s="322">
        <v>0.4</v>
      </c>
      <c r="V11" s="6"/>
    </row>
    <row r="12" spans="1:33">
      <c r="A12" s="1">
        <v>2008</v>
      </c>
      <c r="B12" s="199">
        <v>39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>
        <v>439</v>
      </c>
      <c r="N12" s="8"/>
      <c r="O12" s="179">
        <f t="shared" si="14"/>
        <v>478</v>
      </c>
      <c r="P12" s="270">
        <v>1692</v>
      </c>
      <c r="Q12" s="123">
        <f t="shared" si="6"/>
        <v>191.20000000000002</v>
      </c>
      <c r="R12" s="125">
        <f t="shared" si="7"/>
        <v>676.80000000000007</v>
      </c>
      <c r="S12" s="322">
        <v>0.4</v>
      </c>
      <c r="V12" s="6"/>
    </row>
    <row r="13" spans="1:33">
      <c r="A13" s="1">
        <v>2009</v>
      </c>
      <c r="B13" s="199">
        <v>28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>
        <v>372</v>
      </c>
      <c r="N13" s="8"/>
      <c r="O13" s="179">
        <f t="shared" si="14"/>
        <v>400</v>
      </c>
      <c r="P13" s="270">
        <v>1271</v>
      </c>
      <c r="Q13" s="123">
        <f t="shared" si="6"/>
        <v>140</v>
      </c>
      <c r="R13" s="125">
        <f t="shared" si="7"/>
        <v>444.84999999999997</v>
      </c>
      <c r="S13" s="322">
        <v>0.35</v>
      </c>
      <c r="V13" s="6"/>
    </row>
    <row r="14" spans="1:33">
      <c r="A14" s="1">
        <v>2010</v>
      </c>
      <c r="B14" s="199">
        <v>17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>
        <v>334</v>
      </c>
      <c r="N14" s="8"/>
      <c r="O14" s="179">
        <f t="shared" si="14"/>
        <v>351</v>
      </c>
      <c r="P14" s="270">
        <v>1022</v>
      </c>
      <c r="Q14" s="123">
        <f t="shared" si="6"/>
        <v>157.95000000000002</v>
      </c>
      <c r="R14" s="125">
        <f t="shared" si="7"/>
        <v>459.90000000000003</v>
      </c>
      <c r="S14" s="322">
        <v>0.45</v>
      </c>
    </row>
    <row r="15" spans="1:33">
      <c r="A15" s="1">
        <v>2011</v>
      </c>
      <c r="B15" s="199">
        <v>16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>
        <v>271</v>
      </c>
      <c r="N15" s="8"/>
      <c r="O15" s="179">
        <f t="shared" si="14"/>
        <v>287</v>
      </c>
      <c r="P15" s="270">
        <v>766</v>
      </c>
      <c r="Q15" s="123">
        <f t="shared" si="6"/>
        <v>100.44999999999999</v>
      </c>
      <c r="R15" s="125">
        <f t="shared" si="7"/>
        <v>268.09999999999997</v>
      </c>
      <c r="S15" s="322">
        <v>0.35</v>
      </c>
    </row>
    <row r="16" spans="1:33">
      <c r="A16" s="1">
        <v>2012</v>
      </c>
      <c r="B16" s="199">
        <v>11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>
        <v>220</v>
      </c>
      <c r="N16" s="8"/>
      <c r="O16" s="179">
        <f t="shared" si="14"/>
        <v>231</v>
      </c>
      <c r="P16" s="270">
        <v>564</v>
      </c>
      <c r="Q16" s="123">
        <f t="shared" si="6"/>
        <v>41.58</v>
      </c>
      <c r="R16" s="125">
        <f t="shared" si="7"/>
        <v>101.52</v>
      </c>
      <c r="S16" s="322">
        <v>0.18</v>
      </c>
    </row>
    <row r="17" spans="1:40">
      <c r="A17" s="1">
        <v>2013</v>
      </c>
      <c r="B17" s="4">
        <v>17.5</v>
      </c>
      <c r="C17" s="200">
        <v>6</v>
      </c>
      <c r="D17" s="200">
        <v>32.82</v>
      </c>
      <c r="E17" s="200">
        <v>28</v>
      </c>
      <c r="F17" s="200">
        <v>18.5</v>
      </c>
      <c r="G17" s="200">
        <v>15.5</v>
      </c>
      <c r="H17" s="200">
        <v>20.5</v>
      </c>
      <c r="I17" s="200">
        <v>30</v>
      </c>
      <c r="J17" s="200">
        <v>33</v>
      </c>
      <c r="K17" s="200">
        <v>18</v>
      </c>
      <c r="L17" s="200">
        <v>24</v>
      </c>
      <c r="M17" s="200">
        <v>34</v>
      </c>
      <c r="N17" s="8"/>
      <c r="O17" s="179">
        <f t="shared" si="14"/>
        <v>277.82</v>
      </c>
      <c r="P17" s="270">
        <v>622</v>
      </c>
      <c r="Q17" s="123">
        <f t="shared" si="6"/>
        <v>72.233199999999997</v>
      </c>
      <c r="R17" s="125">
        <f t="shared" si="7"/>
        <v>161.72</v>
      </c>
      <c r="S17" s="322">
        <v>0.26</v>
      </c>
      <c r="T17" s="192" t="s">
        <v>148</v>
      </c>
    </row>
    <row r="18" spans="1:40">
      <c r="A18" s="1">
        <v>2014</v>
      </c>
      <c r="B18" s="4">
        <v>12</v>
      </c>
      <c r="C18" s="4">
        <v>42</v>
      </c>
      <c r="D18" s="4">
        <v>19</v>
      </c>
      <c r="E18" s="4">
        <v>14.5</v>
      </c>
      <c r="F18" s="4">
        <v>12</v>
      </c>
      <c r="G18" s="4">
        <v>27.5</v>
      </c>
      <c r="H18" s="4">
        <v>37</v>
      </c>
      <c r="I18" s="4">
        <v>25.5</v>
      </c>
      <c r="J18" s="4">
        <v>52</v>
      </c>
      <c r="K18" s="4">
        <v>31</v>
      </c>
      <c r="L18" s="4">
        <v>35</v>
      </c>
      <c r="M18" s="4">
        <v>42</v>
      </c>
      <c r="N18" s="8"/>
      <c r="O18" s="179">
        <f t="shared" si="14"/>
        <v>349.5</v>
      </c>
      <c r="P18" s="270">
        <v>724</v>
      </c>
      <c r="Q18" s="123">
        <f t="shared" si="6"/>
        <v>90.87</v>
      </c>
      <c r="R18" s="125">
        <f t="shared" si="7"/>
        <v>188.24</v>
      </c>
      <c r="S18" s="322">
        <v>0.26</v>
      </c>
    </row>
    <row r="19" spans="1:40">
      <c r="A19" s="1">
        <v>2015</v>
      </c>
      <c r="B19" s="4">
        <v>10</v>
      </c>
      <c r="C19" s="4">
        <v>30.5</v>
      </c>
      <c r="D19" s="4">
        <v>27</v>
      </c>
      <c r="E19" s="200">
        <v>30</v>
      </c>
      <c r="F19" s="200">
        <v>24.5</v>
      </c>
      <c r="G19" s="200">
        <v>31.5</v>
      </c>
      <c r="H19" s="200">
        <v>32</v>
      </c>
      <c r="I19" s="200">
        <v>22.5</v>
      </c>
      <c r="J19" s="200">
        <v>29.5</v>
      </c>
      <c r="K19" s="4">
        <v>34.5</v>
      </c>
      <c r="L19" s="200">
        <v>38</v>
      </c>
      <c r="M19" s="200">
        <v>44</v>
      </c>
      <c r="N19" s="8"/>
      <c r="O19" s="179">
        <f t="shared" si="14"/>
        <v>354</v>
      </c>
      <c r="P19" s="270">
        <v>683</v>
      </c>
      <c r="Q19" s="123">
        <f t="shared" si="6"/>
        <v>116.82000000000001</v>
      </c>
      <c r="R19" s="125">
        <f t="shared" si="7"/>
        <v>225.39000000000001</v>
      </c>
      <c r="S19" s="322">
        <v>0.33</v>
      </c>
      <c r="T19" s="192" t="s">
        <v>148</v>
      </c>
    </row>
    <row r="20" spans="1:40">
      <c r="A20" s="1">
        <v>2016</v>
      </c>
      <c r="B20" s="4">
        <v>8.5</v>
      </c>
      <c r="C20" s="200">
        <v>10.5</v>
      </c>
      <c r="D20" s="200">
        <v>12</v>
      </c>
      <c r="E20" s="200">
        <v>36.5</v>
      </c>
      <c r="F20" s="200">
        <v>26</v>
      </c>
      <c r="G20" s="200">
        <v>30</v>
      </c>
      <c r="H20" s="200">
        <v>22.5</v>
      </c>
      <c r="I20" s="200">
        <v>61.8</v>
      </c>
      <c r="J20" s="200">
        <v>30</v>
      </c>
      <c r="K20" s="200">
        <v>26.5</v>
      </c>
      <c r="L20" s="200">
        <v>23.5</v>
      </c>
      <c r="M20" s="200">
        <v>57.5</v>
      </c>
      <c r="N20" s="8"/>
      <c r="O20" s="179">
        <f t="shared" si="14"/>
        <v>345.3</v>
      </c>
      <c r="P20" s="270">
        <v>619</v>
      </c>
      <c r="Q20" s="123">
        <f t="shared" si="6"/>
        <v>155.38500000000002</v>
      </c>
      <c r="R20" s="125">
        <f t="shared" si="7"/>
        <v>278.55</v>
      </c>
      <c r="S20" s="322">
        <v>0.45</v>
      </c>
      <c r="T20" s="192" t="s">
        <v>148</v>
      </c>
    </row>
    <row r="21" spans="1:40">
      <c r="A21" s="1">
        <v>2017</v>
      </c>
      <c r="B21" s="4">
        <v>50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>
        <v>1312</v>
      </c>
      <c r="N21" s="8"/>
      <c r="O21" s="179">
        <f t="shared" si="14"/>
        <v>1362</v>
      </c>
      <c r="P21" s="270">
        <v>2275</v>
      </c>
      <c r="Q21" s="123">
        <f t="shared" si="6"/>
        <v>612.9</v>
      </c>
      <c r="R21" s="125">
        <f t="shared" si="7"/>
        <v>1023.75</v>
      </c>
      <c r="S21" s="322">
        <v>0.45</v>
      </c>
      <c r="AH21" s="301"/>
      <c r="AI21" s="331"/>
      <c r="AJ21" s="302" t="s">
        <v>184</v>
      </c>
      <c r="AK21" s="331"/>
      <c r="AL21" s="331" t="s">
        <v>3</v>
      </c>
      <c r="AM21" s="331"/>
      <c r="AN21" s="331" t="s">
        <v>185</v>
      </c>
    </row>
    <row r="22" spans="1:40">
      <c r="A22" s="1">
        <v>2018</v>
      </c>
      <c r="B22" s="4">
        <v>64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>
        <v>1144</v>
      </c>
      <c r="N22" s="8"/>
      <c r="O22" s="179">
        <f t="shared" si="14"/>
        <v>1208</v>
      </c>
      <c r="P22" s="270">
        <v>1882</v>
      </c>
      <c r="Q22" s="123">
        <f t="shared" si="6"/>
        <v>543.6</v>
      </c>
      <c r="R22" s="125">
        <f t="shared" si="7"/>
        <v>846.9</v>
      </c>
      <c r="S22" s="322">
        <v>0.45</v>
      </c>
      <c r="AH22" s="303" t="s">
        <v>186</v>
      </c>
      <c r="AI22" s="304">
        <v>5555</v>
      </c>
      <c r="AJ22" s="278">
        <v>11111</v>
      </c>
      <c r="AK22" s="259"/>
      <c r="AL22" s="259">
        <f>AI22*AJ22</f>
        <v>61721605</v>
      </c>
      <c r="AM22" s="128"/>
      <c r="AN22" s="278">
        <f>P28*AL22/O28</f>
        <v>176757404.14977565</v>
      </c>
    </row>
    <row r="23" spans="1:40">
      <c r="A23" s="1">
        <v>2019</v>
      </c>
      <c r="B23" s="4">
        <v>16</v>
      </c>
      <c r="C23" s="4">
        <v>82</v>
      </c>
      <c r="D23" s="4">
        <v>115</v>
      </c>
      <c r="E23" s="195"/>
      <c r="F23" s="195"/>
      <c r="G23" s="195"/>
      <c r="H23" s="195"/>
      <c r="I23" s="195"/>
      <c r="J23" s="195"/>
      <c r="K23" s="195"/>
      <c r="L23" s="195"/>
      <c r="M23" s="195">
        <v>1303</v>
      </c>
      <c r="N23" s="8"/>
      <c r="O23" s="179">
        <f t="shared" si="14"/>
        <v>1516</v>
      </c>
      <c r="P23" s="270">
        <v>2204</v>
      </c>
      <c r="Q23" s="123">
        <f t="shared" si="6"/>
        <v>682.2</v>
      </c>
      <c r="R23" s="125">
        <f t="shared" si="7"/>
        <v>991.80000000000007</v>
      </c>
      <c r="S23" s="322">
        <v>0.45</v>
      </c>
      <c r="AH23" s="303" t="s">
        <v>187</v>
      </c>
      <c r="AI23" s="278">
        <v>5555</v>
      </c>
      <c r="AJ23" s="278">
        <v>7777</v>
      </c>
      <c r="AK23" s="259"/>
      <c r="AL23" s="259">
        <f>AI23*AJ23</f>
        <v>43201235</v>
      </c>
      <c r="AM23" s="259"/>
      <c r="AN23" s="278">
        <v>200000000</v>
      </c>
    </row>
    <row r="24" spans="1:40">
      <c r="A24" s="1">
        <v>2020</v>
      </c>
      <c r="B24" s="4">
        <v>48</v>
      </c>
      <c r="C24" s="4">
        <v>112</v>
      </c>
      <c r="D24" s="4">
        <v>64</v>
      </c>
      <c r="E24" s="4">
        <v>33</v>
      </c>
      <c r="F24" s="4">
        <v>76</v>
      </c>
      <c r="G24" s="4">
        <v>52</v>
      </c>
      <c r="H24" s="4">
        <v>176</v>
      </c>
      <c r="I24" s="4">
        <v>135</v>
      </c>
      <c r="J24" s="4">
        <v>112</v>
      </c>
      <c r="K24" s="4">
        <v>106.5</v>
      </c>
      <c r="L24" s="4">
        <v>68</v>
      </c>
      <c r="M24" s="4">
        <v>125.5</v>
      </c>
      <c r="N24" s="8"/>
      <c r="O24" s="179">
        <f t="shared" si="14"/>
        <v>1108</v>
      </c>
      <c r="P24" s="270">
        <v>1497</v>
      </c>
      <c r="Q24" s="123">
        <f t="shared" si="6"/>
        <v>398.88</v>
      </c>
      <c r="R24" s="125">
        <f t="shared" si="7"/>
        <v>538.91999999999996</v>
      </c>
      <c r="S24" s="322">
        <v>0.36</v>
      </c>
      <c r="AH24" s="303" t="s">
        <v>188</v>
      </c>
      <c r="AI24" s="278">
        <v>5555</v>
      </c>
      <c r="AJ24" s="278">
        <v>4444</v>
      </c>
      <c r="AK24" s="259"/>
      <c r="AL24" s="259">
        <f>AI24*AJ24</f>
        <v>24686420</v>
      </c>
      <c r="AM24" s="259"/>
      <c r="AN24" s="278">
        <v>210000000</v>
      </c>
    </row>
    <row r="25" spans="1:40">
      <c r="A25" s="1">
        <v>2021</v>
      </c>
      <c r="B25" s="4"/>
      <c r="C25" s="195"/>
      <c r="D25" s="195"/>
      <c r="E25" s="195"/>
      <c r="F25" s="195"/>
      <c r="G25" s="195"/>
      <c r="H25" s="8"/>
      <c r="I25" s="8"/>
      <c r="J25" s="8"/>
      <c r="K25" s="8"/>
      <c r="L25" s="8"/>
      <c r="M25" s="8"/>
      <c r="N25" s="8"/>
      <c r="O25" s="179">
        <f t="shared" si="14"/>
        <v>0</v>
      </c>
      <c r="P25" s="270"/>
      <c r="Q25" s="123"/>
      <c r="R25" s="125"/>
      <c r="S25" s="322">
        <v>0.44</v>
      </c>
      <c r="AH25" s="162"/>
      <c r="AI25" s="305"/>
      <c r="AJ25" s="259"/>
      <c r="AK25" s="259"/>
      <c r="AL25" s="259">
        <f t="shared" ref="AL25" si="16">SUM(AL22:AL24)</f>
        <v>129609260</v>
      </c>
      <c r="AM25" s="259"/>
      <c r="AN25" s="278">
        <f>SUM(AN22:AN24)</f>
        <v>586757404.14977562</v>
      </c>
    </row>
    <row r="26" spans="1:40">
      <c r="A26" s="1">
        <v>2022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240"/>
      <c r="P26" s="271"/>
      <c r="Q26" s="269"/>
      <c r="R26" s="291"/>
      <c r="S26" s="322">
        <v>0.44</v>
      </c>
    </row>
    <row r="27" spans="1:40">
      <c r="A27" s="1">
        <v>2023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240">
        <f t="shared" si="14"/>
        <v>0</v>
      </c>
      <c r="P27" s="271"/>
      <c r="Q27" s="269">
        <f t="shared" ref="Q27" si="17">O27*30%</f>
        <v>0</v>
      </c>
      <c r="R27" s="291">
        <f t="shared" ref="R27" si="18">P27*30%</f>
        <v>0</v>
      </c>
    </row>
    <row r="28" spans="1:40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">
        <f>SUM(O2:O27)</f>
        <v>11580.827630227439</v>
      </c>
      <c r="P28" s="189">
        <f t="shared" ref="P28:R28" si="19">SUM(P2:P27)</f>
        <v>33165</v>
      </c>
      <c r="Q28" s="4">
        <f t="shared" si="19"/>
        <v>4630.1647517241381</v>
      </c>
      <c r="R28" s="189">
        <f t="shared" si="19"/>
        <v>13127.239999999998</v>
      </c>
    </row>
    <row r="29" spans="1:40">
      <c r="Q29" s="196">
        <v>299</v>
      </c>
      <c r="S29" s="263">
        <v>45673</v>
      </c>
    </row>
    <row r="30" spans="1:40">
      <c r="S30" s="260" t="s">
        <v>182</v>
      </c>
    </row>
    <row r="31" spans="1:40">
      <c r="A31" s="586" t="s">
        <v>153</v>
      </c>
      <c r="B31" s="586"/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</row>
    <row r="32" spans="1:40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</row>
    <row r="33" spans="1:30">
      <c r="A33" s="586" t="s">
        <v>150</v>
      </c>
      <c r="B33" s="586"/>
      <c r="C33" s="586"/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207"/>
    </row>
    <row r="34" spans="1:30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</row>
    <row r="35" spans="1:30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</row>
    <row r="36" spans="1:30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</row>
    <row r="37" spans="1:30">
      <c r="F37" s="587" t="s">
        <v>183</v>
      </c>
      <c r="G37" s="587"/>
      <c r="H37" s="587"/>
      <c r="I37" s="587"/>
      <c r="J37" s="587"/>
      <c r="K37" s="587"/>
      <c r="L37" s="587"/>
      <c r="M37" s="587"/>
      <c r="N37" s="587"/>
      <c r="O37" s="587"/>
      <c r="P37" s="246"/>
    </row>
    <row r="38" spans="1:30" s="201" customFormat="1"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R38" s="202">
        <v>1</v>
      </c>
      <c r="S38" s="202">
        <v>2</v>
      </c>
      <c r="T38" s="202">
        <v>3</v>
      </c>
      <c r="U38" s="202">
        <v>4</v>
      </c>
      <c r="V38" s="202">
        <v>5</v>
      </c>
      <c r="W38" s="202">
        <v>6</v>
      </c>
      <c r="X38" s="202">
        <v>7</v>
      </c>
      <c r="Y38" s="202">
        <v>8</v>
      </c>
      <c r="Z38" s="202">
        <v>9</v>
      </c>
      <c r="AA38" s="202">
        <v>10</v>
      </c>
      <c r="AB38" s="202">
        <v>11</v>
      </c>
      <c r="AC38" s="202">
        <v>12</v>
      </c>
    </row>
    <row r="39" spans="1:30">
      <c r="A39" s="2">
        <v>1998</v>
      </c>
      <c r="B39" s="203"/>
      <c r="C39" s="203"/>
      <c r="D39" s="203"/>
      <c r="E39" s="203"/>
      <c r="F39" s="203"/>
      <c r="G39" s="203"/>
      <c r="H39" s="203"/>
      <c r="I39" s="169">
        <v>14</v>
      </c>
      <c r="J39" s="204">
        <v>50</v>
      </c>
      <c r="K39" s="204">
        <v>43</v>
      </c>
      <c r="L39" s="204">
        <v>40</v>
      </c>
      <c r="M39" s="204">
        <v>89</v>
      </c>
      <c r="N39" s="205">
        <f t="shared" ref="N39:N54" si="20">SUM(B39:M39)</f>
        <v>236</v>
      </c>
      <c r="O39" s="2">
        <v>100</v>
      </c>
      <c r="R39" s="243">
        <f>B39*100</f>
        <v>0</v>
      </c>
      <c r="S39" s="243">
        <f t="shared" ref="S39:Y42" si="21">C39*100</f>
        <v>0</v>
      </c>
      <c r="T39" s="243">
        <f t="shared" si="21"/>
        <v>0</v>
      </c>
      <c r="U39" s="243">
        <f t="shared" si="21"/>
        <v>0</v>
      </c>
      <c r="V39" s="243">
        <f t="shared" si="21"/>
        <v>0</v>
      </c>
      <c r="W39" s="243">
        <f t="shared" si="21"/>
        <v>0</v>
      </c>
      <c r="X39" s="244">
        <f t="shared" si="21"/>
        <v>0</v>
      </c>
      <c r="Y39" s="244">
        <f t="shared" si="21"/>
        <v>1400</v>
      </c>
      <c r="Z39" s="244">
        <f t="shared" ref="Z39:Z42" si="22">J39*100</f>
        <v>5000</v>
      </c>
      <c r="AA39" s="244">
        <f t="shared" ref="AA39:AA42" si="23">K39*100</f>
        <v>4300</v>
      </c>
      <c r="AB39" s="244">
        <f t="shared" ref="AB39:AB42" si="24">L39*100</f>
        <v>4000</v>
      </c>
      <c r="AC39" s="244">
        <f t="shared" ref="AC39:AC42" si="25">M39*100</f>
        <v>8900</v>
      </c>
      <c r="AD39" s="244"/>
    </row>
    <row r="40" spans="1:30">
      <c r="A40" s="2">
        <v>1999</v>
      </c>
      <c r="B40" s="204">
        <v>18</v>
      </c>
      <c r="C40" s="204">
        <v>26</v>
      </c>
      <c r="D40" s="204">
        <v>49</v>
      </c>
      <c r="E40" s="204">
        <v>42</v>
      </c>
      <c r="F40" s="204">
        <v>35</v>
      </c>
      <c r="G40" s="204">
        <v>52</v>
      </c>
      <c r="H40" s="204">
        <v>52</v>
      </c>
      <c r="I40" s="204">
        <v>89</v>
      </c>
      <c r="J40" s="204">
        <v>72</v>
      </c>
      <c r="K40" s="204">
        <v>51</v>
      </c>
      <c r="L40" s="204">
        <v>34</v>
      </c>
      <c r="M40" s="204">
        <v>48</v>
      </c>
      <c r="N40" s="205">
        <f t="shared" si="20"/>
        <v>568</v>
      </c>
      <c r="O40" s="2">
        <v>100</v>
      </c>
      <c r="R40" s="244">
        <f t="shared" ref="R40:R49" si="26">B40*100</f>
        <v>1800</v>
      </c>
      <c r="S40" s="244">
        <f t="shared" si="21"/>
        <v>2600</v>
      </c>
      <c r="T40" s="244">
        <f t="shared" si="21"/>
        <v>4900</v>
      </c>
      <c r="U40" s="244">
        <f t="shared" si="21"/>
        <v>4200</v>
      </c>
      <c r="V40" s="244">
        <f t="shared" si="21"/>
        <v>3500</v>
      </c>
      <c r="W40" s="244">
        <f t="shared" si="21"/>
        <v>5200</v>
      </c>
      <c r="X40" s="244">
        <f t="shared" si="21"/>
        <v>5200</v>
      </c>
      <c r="Y40" s="244">
        <f t="shared" si="21"/>
        <v>8900</v>
      </c>
      <c r="Z40" s="244">
        <f t="shared" si="22"/>
        <v>7200</v>
      </c>
      <c r="AA40" s="244">
        <f t="shared" si="23"/>
        <v>5100</v>
      </c>
      <c r="AB40" s="244">
        <f t="shared" si="24"/>
        <v>3400</v>
      </c>
      <c r="AC40" s="244">
        <f t="shared" si="25"/>
        <v>4800</v>
      </c>
    </row>
    <row r="41" spans="1:30">
      <c r="A41" s="2">
        <v>2000</v>
      </c>
      <c r="B41" s="204">
        <v>28</v>
      </c>
      <c r="C41" s="204">
        <v>36</v>
      </c>
      <c r="D41" s="204">
        <v>42</v>
      </c>
      <c r="E41" s="204">
        <v>33</v>
      </c>
      <c r="F41" s="204">
        <v>53</v>
      </c>
      <c r="G41" s="204">
        <v>41</v>
      </c>
      <c r="H41" s="204">
        <v>51</v>
      </c>
      <c r="I41" s="204">
        <v>87</v>
      </c>
      <c r="J41" s="204">
        <v>46</v>
      </c>
      <c r="K41" s="204">
        <v>51</v>
      </c>
      <c r="L41" s="204">
        <v>62</v>
      </c>
      <c r="M41" s="204">
        <v>48</v>
      </c>
      <c r="N41" s="205">
        <f t="shared" si="20"/>
        <v>578</v>
      </c>
      <c r="O41" s="2">
        <v>100</v>
      </c>
      <c r="P41" s="2" t="s">
        <v>151</v>
      </c>
      <c r="R41" s="244">
        <f t="shared" si="26"/>
        <v>2800</v>
      </c>
      <c r="S41" s="244">
        <f t="shared" si="21"/>
        <v>3600</v>
      </c>
      <c r="T41" s="244">
        <f t="shared" si="21"/>
        <v>4200</v>
      </c>
      <c r="U41" s="244">
        <f t="shared" si="21"/>
        <v>3300</v>
      </c>
      <c r="V41" s="244">
        <f t="shared" si="21"/>
        <v>5300</v>
      </c>
      <c r="W41" s="244">
        <f t="shared" si="21"/>
        <v>4100</v>
      </c>
      <c r="X41" s="244">
        <f t="shared" si="21"/>
        <v>5100</v>
      </c>
      <c r="Y41" s="244">
        <f t="shared" si="21"/>
        <v>8700</v>
      </c>
      <c r="Z41" s="244">
        <f t="shared" si="22"/>
        <v>4600</v>
      </c>
      <c r="AA41" s="244">
        <f t="shared" si="23"/>
        <v>5100</v>
      </c>
      <c r="AB41" s="244">
        <f t="shared" si="24"/>
        <v>6200</v>
      </c>
      <c r="AC41" s="244">
        <f t="shared" si="25"/>
        <v>4800</v>
      </c>
    </row>
    <row r="42" spans="1:30">
      <c r="A42" s="2">
        <v>2001</v>
      </c>
      <c r="B42" s="169">
        <v>40</v>
      </c>
      <c r="C42" s="169">
        <v>54</v>
      </c>
      <c r="D42" s="204">
        <v>35</v>
      </c>
      <c r="E42" s="169">
        <v>35</v>
      </c>
      <c r="F42" s="169">
        <v>42</v>
      </c>
      <c r="G42" s="169">
        <v>33</v>
      </c>
      <c r="H42" s="169">
        <v>56</v>
      </c>
      <c r="I42" s="169">
        <v>81</v>
      </c>
      <c r="J42" s="169">
        <v>55</v>
      </c>
      <c r="K42" s="169">
        <v>34</v>
      </c>
      <c r="L42" s="169">
        <v>58</v>
      </c>
      <c r="M42" s="169">
        <v>57</v>
      </c>
      <c r="N42" s="205">
        <f t="shared" si="20"/>
        <v>580</v>
      </c>
      <c r="O42" s="2">
        <v>100</v>
      </c>
      <c r="R42" s="244">
        <f t="shared" si="26"/>
        <v>4000</v>
      </c>
      <c r="S42" s="244">
        <f t="shared" si="21"/>
        <v>5400</v>
      </c>
      <c r="T42" s="244">
        <f t="shared" si="21"/>
        <v>3500</v>
      </c>
      <c r="U42" s="244">
        <f t="shared" si="21"/>
        <v>3500</v>
      </c>
      <c r="V42" s="244">
        <f t="shared" si="21"/>
        <v>4200</v>
      </c>
      <c r="W42" s="244">
        <f t="shared" si="21"/>
        <v>3300</v>
      </c>
      <c r="X42" s="244">
        <f t="shared" si="21"/>
        <v>5600</v>
      </c>
      <c r="Y42" s="244">
        <f t="shared" si="21"/>
        <v>8100</v>
      </c>
      <c r="Z42" s="244">
        <f t="shared" si="22"/>
        <v>5500</v>
      </c>
      <c r="AA42" s="244">
        <f t="shared" si="23"/>
        <v>3400</v>
      </c>
      <c r="AB42" s="244">
        <f t="shared" si="24"/>
        <v>5800</v>
      </c>
      <c r="AC42" s="244">
        <f t="shared" si="25"/>
        <v>5700</v>
      </c>
    </row>
    <row r="43" spans="1:30">
      <c r="A43" s="2">
        <v>2002</v>
      </c>
      <c r="B43" s="169">
        <v>25</v>
      </c>
      <c r="C43" s="169">
        <v>35</v>
      </c>
      <c r="D43" s="169">
        <v>58</v>
      </c>
      <c r="E43" s="169">
        <v>60</v>
      </c>
      <c r="F43" s="169">
        <v>44</v>
      </c>
      <c r="G43" s="169">
        <v>29</v>
      </c>
      <c r="H43" s="169">
        <v>81</v>
      </c>
      <c r="I43" s="169">
        <v>80</v>
      </c>
      <c r="J43" s="169">
        <v>58</v>
      </c>
      <c r="K43" s="169">
        <v>73</v>
      </c>
      <c r="L43" s="169">
        <v>56</v>
      </c>
      <c r="M43" s="169">
        <v>53</v>
      </c>
      <c r="N43" s="205">
        <f t="shared" si="20"/>
        <v>652</v>
      </c>
      <c r="O43" s="2">
        <v>0.5</v>
      </c>
      <c r="R43" s="292">
        <f>B43*0.5</f>
        <v>12.5</v>
      </c>
      <c r="S43" s="292">
        <f t="shared" ref="S43:AC44" si="27">C43*0.5</f>
        <v>17.5</v>
      </c>
      <c r="T43" s="292">
        <f t="shared" si="27"/>
        <v>29</v>
      </c>
      <c r="U43" s="292">
        <f t="shared" si="27"/>
        <v>30</v>
      </c>
      <c r="V43" s="292">
        <f t="shared" si="27"/>
        <v>22</v>
      </c>
      <c r="W43" s="292">
        <f t="shared" si="27"/>
        <v>14.5</v>
      </c>
      <c r="X43" s="292">
        <f t="shared" si="27"/>
        <v>40.5</v>
      </c>
      <c r="Y43" s="292">
        <f t="shared" si="27"/>
        <v>40</v>
      </c>
      <c r="Z43" s="292">
        <f t="shared" si="27"/>
        <v>29</v>
      </c>
      <c r="AA43" s="292">
        <f t="shared" si="27"/>
        <v>36.5</v>
      </c>
      <c r="AB43" s="292">
        <f t="shared" si="27"/>
        <v>28</v>
      </c>
      <c r="AC43" s="292">
        <f t="shared" si="27"/>
        <v>26.5</v>
      </c>
    </row>
    <row r="44" spans="1:30">
      <c r="A44" s="2">
        <v>2003</v>
      </c>
      <c r="B44" s="169">
        <v>45</v>
      </c>
      <c r="C44" s="169">
        <v>46</v>
      </c>
      <c r="D44" s="169">
        <v>62</v>
      </c>
      <c r="E44" s="169">
        <v>55</v>
      </c>
      <c r="F44" s="169">
        <v>74</v>
      </c>
      <c r="G44" s="169">
        <v>75</v>
      </c>
      <c r="H44" s="169">
        <v>96</v>
      </c>
      <c r="I44" s="169">
        <v>117</v>
      </c>
      <c r="J44" s="169">
        <v>126</v>
      </c>
      <c r="K44" s="169">
        <v>115</v>
      </c>
      <c r="L44" s="169">
        <v>86</v>
      </c>
      <c r="M44" s="169">
        <v>75</v>
      </c>
      <c r="N44" s="205">
        <f t="shared" si="20"/>
        <v>972</v>
      </c>
      <c r="O44" s="2">
        <v>0.5</v>
      </c>
      <c r="R44" s="292"/>
      <c r="S44" s="292"/>
      <c r="T44" s="292">
        <f t="shared" si="27"/>
        <v>31</v>
      </c>
      <c r="U44" s="292">
        <f t="shared" si="27"/>
        <v>27.5</v>
      </c>
      <c r="V44" s="292">
        <f t="shared" si="27"/>
        <v>37</v>
      </c>
      <c r="W44" s="292">
        <f t="shared" si="27"/>
        <v>37.5</v>
      </c>
      <c r="X44" s="292">
        <f t="shared" si="27"/>
        <v>48</v>
      </c>
      <c r="Y44" s="292">
        <f t="shared" si="27"/>
        <v>58.5</v>
      </c>
      <c r="Z44" s="292">
        <f t="shared" si="27"/>
        <v>63</v>
      </c>
      <c r="AA44" s="292">
        <f t="shared" si="27"/>
        <v>57.5</v>
      </c>
      <c r="AB44" s="292">
        <f t="shared" si="27"/>
        <v>43</v>
      </c>
      <c r="AC44" s="292">
        <f t="shared" si="27"/>
        <v>37.5</v>
      </c>
    </row>
    <row r="45" spans="1:30">
      <c r="A45" s="2">
        <v>2004</v>
      </c>
      <c r="B45" s="169">
        <v>41</v>
      </c>
      <c r="C45" s="169">
        <v>77</v>
      </c>
      <c r="D45" s="169">
        <v>82</v>
      </c>
      <c r="E45" s="169">
        <v>77</v>
      </c>
      <c r="F45" s="169">
        <v>84</v>
      </c>
      <c r="G45" s="169">
        <v>52</v>
      </c>
      <c r="H45" s="169">
        <v>89</v>
      </c>
      <c r="I45" s="169">
        <v>116</v>
      </c>
      <c r="J45" s="169">
        <v>114</v>
      </c>
      <c r="K45" s="169">
        <v>96</v>
      </c>
      <c r="L45" s="169">
        <v>76</v>
      </c>
      <c r="M45" s="169">
        <v>85</v>
      </c>
      <c r="N45" s="205">
        <f t="shared" si="20"/>
        <v>989</v>
      </c>
      <c r="O45" s="2">
        <v>0.5</v>
      </c>
      <c r="P45" s="206"/>
      <c r="R45" s="244">
        <f t="shared" si="26"/>
        <v>4100</v>
      </c>
    </row>
    <row r="46" spans="1:30">
      <c r="A46" s="2">
        <v>2005</v>
      </c>
      <c r="B46" s="169">
        <v>44</v>
      </c>
      <c r="C46" s="169">
        <v>32</v>
      </c>
      <c r="D46" s="169">
        <v>69</v>
      </c>
      <c r="E46" s="169">
        <v>30</v>
      </c>
      <c r="F46" s="169">
        <v>38</v>
      </c>
      <c r="G46" s="169">
        <v>75</v>
      </c>
      <c r="H46" s="169">
        <v>90</v>
      </c>
      <c r="I46" s="169">
        <v>155</v>
      </c>
      <c r="J46" s="169">
        <v>150</v>
      </c>
      <c r="K46" s="169">
        <v>98</v>
      </c>
      <c r="L46" s="169">
        <v>130</v>
      </c>
      <c r="M46" s="169"/>
      <c r="N46" s="205">
        <f t="shared" si="20"/>
        <v>911</v>
      </c>
      <c r="O46" s="2">
        <v>0.5</v>
      </c>
      <c r="P46" s="206" t="s">
        <v>152</v>
      </c>
      <c r="R46" s="244">
        <f t="shared" si="26"/>
        <v>4400</v>
      </c>
    </row>
    <row r="47" spans="1:30">
      <c r="A47" s="2">
        <v>2006</v>
      </c>
      <c r="B47" s="169">
        <v>64</v>
      </c>
      <c r="C47" s="169"/>
      <c r="D47" s="170">
        <v>908</v>
      </c>
      <c r="E47" s="169"/>
      <c r="F47" s="169"/>
      <c r="G47" s="169"/>
      <c r="H47" s="169"/>
      <c r="I47" s="169"/>
      <c r="J47" s="169"/>
      <c r="K47" s="169"/>
      <c r="L47" s="169"/>
      <c r="M47" s="169"/>
      <c r="N47" s="205">
        <f t="shared" si="20"/>
        <v>972</v>
      </c>
      <c r="O47" s="2">
        <v>0.5</v>
      </c>
      <c r="P47" s="206" t="s">
        <v>152</v>
      </c>
      <c r="R47" s="244">
        <f t="shared" si="26"/>
        <v>6400</v>
      </c>
    </row>
    <row r="48" spans="1:30">
      <c r="A48" s="2">
        <v>2007</v>
      </c>
      <c r="B48" s="169">
        <v>82</v>
      </c>
      <c r="C48" s="169"/>
      <c r="D48" s="170">
        <v>849</v>
      </c>
      <c r="E48" s="169"/>
      <c r="F48" s="169"/>
      <c r="G48" s="169"/>
      <c r="H48" s="169"/>
      <c r="I48" s="169"/>
      <c r="J48" s="169"/>
      <c r="K48" s="169"/>
      <c r="L48" s="169"/>
      <c r="M48" s="169"/>
      <c r="N48" s="205">
        <f t="shared" si="20"/>
        <v>931</v>
      </c>
      <c r="O48" s="2">
        <v>0.5</v>
      </c>
      <c r="P48" s="206" t="s">
        <v>152</v>
      </c>
      <c r="R48" s="244">
        <f t="shared" si="26"/>
        <v>8200</v>
      </c>
    </row>
    <row r="49" spans="1:18">
      <c r="A49" s="2">
        <v>2008</v>
      </c>
      <c r="B49" s="169">
        <v>78</v>
      </c>
      <c r="C49" s="169"/>
      <c r="D49" s="170">
        <v>879</v>
      </c>
      <c r="E49" s="169"/>
      <c r="F49" s="169"/>
      <c r="G49" s="169"/>
      <c r="H49" s="169"/>
      <c r="I49" s="169"/>
      <c r="J49" s="169"/>
      <c r="K49" s="169"/>
      <c r="L49" s="169"/>
      <c r="M49" s="169"/>
      <c r="N49" s="205">
        <f t="shared" si="20"/>
        <v>957</v>
      </c>
      <c r="O49" s="2">
        <v>0.5</v>
      </c>
      <c r="P49" s="206" t="s">
        <v>152</v>
      </c>
      <c r="R49" s="244">
        <f t="shared" si="26"/>
        <v>7800</v>
      </c>
    </row>
    <row r="50" spans="1:18">
      <c r="A50" s="2">
        <v>2009</v>
      </c>
      <c r="B50" s="169">
        <v>56</v>
      </c>
      <c r="C50" s="169"/>
      <c r="D50" s="170">
        <v>745</v>
      </c>
      <c r="E50" s="169"/>
      <c r="F50" s="169"/>
      <c r="G50" s="169"/>
      <c r="H50" s="169"/>
      <c r="I50" s="169"/>
      <c r="J50" s="169"/>
      <c r="K50" s="169"/>
      <c r="L50" s="169"/>
      <c r="M50" s="169"/>
      <c r="N50" s="205">
        <f t="shared" si="20"/>
        <v>801</v>
      </c>
      <c r="O50" s="2">
        <v>0.5</v>
      </c>
      <c r="P50" s="206" t="s">
        <v>152</v>
      </c>
    </row>
    <row r="51" spans="1:18">
      <c r="A51" s="2">
        <v>2010</v>
      </c>
      <c r="B51" s="169">
        <v>34</v>
      </c>
      <c r="C51" s="169"/>
      <c r="D51" s="170">
        <v>668</v>
      </c>
      <c r="E51" s="169"/>
      <c r="F51" s="169"/>
      <c r="G51" s="169"/>
      <c r="H51" s="169"/>
      <c r="I51" s="169"/>
      <c r="J51" s="169"/>
      <c r="K51" s="169"/>
      <c r="L51" s="169"/>
      <c r="M51" s="169"/>
      <c r="N51" s="205">
        <f t="shared" si="20"/>
        <v>702</v>
      </c>
      <c r="O51" s="2">
        <v>0.5</v>
      </c>
      <c r="P51" s="206" t="s">
        <v>152</v>
      </c>
    </row>
    <row r="52" spans="1:18">
      <c r="A52" s="2">
        <v>2011</v>
      </c>
      <c r="B52" s="169">
        <v>33</v>
      </c>
      <c r="C52" s="169"/>
      <c r="D52" s="170">
        <v>542</v>
      </c>
      <c r="E52" s="169"/>
      <c r="F52" s="169"/>
      <c r="G52" s="169"/>
      <c r="H52" s="169"/>
      <c r="I52" s="169"/>
      <c r="J52" s="169"/>
      <c r="K52" s="169"/>
      <c r="L52" s="169"/>
      <c r="M52" s="169"/>
      <c r="N52" s="205">
        <f t="shared" si="20"/>
        <v>575</v>
      </c>
      <c r="O52" s="2">
        <v>0.5</v>
      </c>
      <c r="P52" s="206" t="s">
        <v>152</v>
      </c>
    </row>
    <row r="53" spans="1:18">
      <c r="A53" s="2">
        <v>2012</v>
      </c>
      <c r="B53" s="169">
        <v>21</v>
      </c>
      <c r="C53" s="169"/>
      <c r="D53" s="170">
        <v>442</v>
      </c>
      <c r="E53" s="169"/>
      <c r="F53" s="169"/>
      <c r="G53" s="169"/>
      <c r="H53" s="169"/>
      <c r="I53" s="169"/>
      <c r="J53" s="169"/>
      <c r="K53" s="169"/>
      <c r="L53" s="169"/>
      <c r="M53" s="169"/>
      <c r="N53" s="205">
        <f t="shared" si="20"/>
        <v>463</v>
      </c>
      <c r="O53" s="2">
        <v>0.5</v>
      </c>
      <c r="P53" s="206" t="s">
        <v>152</v>
      </c>
    </row>
    <row r="54" spans="1:18">
      <c r="A54" s="2">
        <v>2013</v>
      </c>
      <c r="B54" s="169">
        <v>35</v>
      </c>
      <c r="C54" s="169">
        <v>32</v>
      </c>
      <c r="D54" s="169">
        <v>51</v>
      </c>
      <c r="E54" s="169">
        <v>54</v>
      </c>
      <c r="F54" s="169">
        <v>66</v>
      </c>
      <c r="G54" s="169">
        <v>37</v>
      </c>
      <c r="H54" s="169">
        <v>59</v>
      </c>
      <c r="I54" s="169">
        <v>77</v>
      </c>
      <c r="J54" s="169">
        <v>71</v>
      </c>
      <c r="K54" s="169">
        <v>36</v>
      </c>
      <c r="L54" s="169">
        <v>48</v>
      </c>
      <c r="M54" s="169">
        <v>66</v>
      </c>
      <c r="N54" s="205">
        <f t="shared" si="20"/>
        <v>632</v>
      </c>
      <c r="O54" s="2">
        <v>0.5</v>
      </c>
      <c r="P54" s="206" t="s">
        <v>152</v>
      </c>
    </row>
    <row r="55" spans="1:18">
      <c r="A55" s="2">
        <v>2014</v>
      </c>
      <c r="B55" s="169">
        <v>26</v>
      </c>
      <c r="C55" s="169">
        <v>47</v>
      </c>
      <c r="D55" s="204">
        <v>37</v>
      </c>
      <c r="E55" s="169">
        <v>20</v>
      </c>
      <c r="F55" s="169">
        <v>31</v>
      </c>
      <c r="G55" s="169">
        <v>47</v>
      </c>
      <c r="H55" s="169">
        <v>55</v>
      </c>
      <c r="I55" s="169">
        <v>61</v>
      </c>
      <c r="J55" s="169">
        <v>86</v>
      </c>
      <c r="K55" s="169">
        <v>62</v>
      </c>
      <c r="L55" s="169">
        <v>59</v>
      </c>
      <c r="M55" s="169">
        <v>57</v>
      </c>
      <c r="N55" s="205">
        <f>SUM(B55:M55)</f>
        <v>588</v>
      </c>
      <c r="O55" s="2">
        <v>0.5</v>
      </c>
      <c r="P55" s="206" t="s">
        <v>152</v>
      </c>
    </row>
    <row r="56" spans="1:18">
      <c r="A56" s="2">
        <v>2015</v>
      </c>
      <c r="B56" s="169">
        <v>21</v>
      </c>
      <c r="C56" s="169">
        <v>60</v>
      </c>
      <c r="D56" s="169">
        <v>49</v>
      </c>
      <c r="E56" s="169">
        <v>53</v>
      </c>
      <c r="F56" s="169">
        <v>52</v>
      </c>
      <c r="G56" s="169">
        <v>53</v>
      </c>
      <c r="H56" s="169">
        <v>56</v>
      </c>
      <c r="I56" s="169">
        <v>72</v>
      </c>
      <c r="J56" s="169">
        <v>79</v>
      </c>
      <c r="K56" s="169">
        <v>64</v>
      </c>
      <c r="L56" s="169">
        <v>64</v>
      </c>
      <c r="M56" s="169">
        <v>75</v>
      </c>
      <c r="N56" s="205">
        <f>SUM(B56:M56)</f>
        <v>698</v>
      </c>
      <c r="O56" s="2">
        <v>0.5</v>
      </c>
      <c r="P56" s="206" t="s">
        <v>152</v>
      </c>
    </row>
    <row r="57" spans="1:18">
      <c r="A57" s="2">
        <v>2016</v>
      </c>
      <c r="B57" s="169">
        <v>16</v>
      </c>
      <c r="C57" s="169">
        <v>22</v>
      </c>
      <c r="D57" s="169">
        <v>39</v>
      </c>
      <c r="E57" s="169">
        <v>55</v>
      </c>
      <c r="F57" s="169">
        <v>53</v>
      </c>
      <c r="G57" s="169">
        <v>52</v>
      </c>
      <c r="H57" s="169">
        <v>52</v>
      </c>
      <c r="I57" s="169">
        <v>98</v>
      </c>
      <c r="J57" s="169">
        <v>85</v>
      </c>
      <c r="K57" s="169">
        <v>66</v>
      </c>
      <c r="L57" s="169">
        <v>54</v>
      </c>
      <c r="M57" s="169">
        <v>110</v>
      </c>
      <c r="N57" s="205">
        <f t="shared" ref="N57:N61" si="28">SUM(B57:M57)</f>
        <v>702</v>
      </c>
      <c r="O57" s="2">
        <v>0.5</v>
      </c>
      <c r="P57" s="206">
        <v>1</v>
      </c>
    </row>
    <row r="58" spans="1:18">
      <c r="A58" s="2">
        <v>2017</v>
      </c>
      <c r="B58" s="169">
        <v>35</v>
      </c>
      <c r="C58" s="169"/>
      <c r="D58" s="169"/>
      <c r="E58" s="169"/>
      <c r="F58" s="169"/>
      <c r="G58" s="169"/>
      <c r="H58" s="170">
        <v>656</v>
      </c>
      <c r="I58" s="169"/>
      <c r="J58" s="169"/>
      <c r="K58" s="169"/>
      <c r="L58" s="169"/>
      <c r="M58" s="169"/>
      <c r="N58" s="205">
        <f t="shared" si="28"/>
        <v>691</v>
      </c>
      <c r="O58" s="2">
        <v>2</v>
      </c>
      <c r="P58" s="2">
        <v>4</v>
      </c>
    </row>
    <row r="59" spans="1:18">
      <c r="A59" s="2">
        <v>2018</v>
      </c>
      <c r="B59" s="169">
        <v>34</v>
      </c>
      <c r="C59" s="169"/>
      <c r="D59" s="169"/>
      <c r="E59" s="169"/>
      <c r="F59" s="169"/>
      <c r="G59" s="169"/>
      <c r="H59" s="170">
        <v>572</v>
      </c>
      <c r="I59" s="169"/>
      <c r="J59" s="169"/>
      <c r="K59" s="169"/>
      <c r="L59" s="169"/>
      <c r="M59" s="169"/>
      <c r="N59" s="205">
        <f t="shared" si="28"/>
        <v>606</v>
      </c>
      <c r="O59" s="2">
        <v>2</v>
      </c>
      <c r="P59" s="206" t="s">
        <v>152</v>
      </c>
    </row>
    <row r="60" spans="1:18">
      <c r="A60" s="2">
        <v>2019</v>
      </c>
      <c r="B60" s="169">
        <v>18</v>
      </c>
      <c r="C60" s="169">
        <v>54</v>
      </c>
      <c r="D60" s="169">
        <v>66</v>
      </c>
      <c r="E60" s="169"/>
      <c r="F60" s="169"/>
      <c r="G60" s="169"/>
      <c r="H60" s="170">
        <v>653</v>
      </c>
      <c r="I60" s="169"/>
      <c r="J60" s="169"/>
      <c r="K60" s="169"/>
      <c r="L60" s="169"/>
      <c r="M60" s="169"/>
      <c r="N60" s="205">
        <f t="shared" si="28"/>
        <v>791</v>
      </c>
      <c r="O60" s="2">
        <v>2</v>
      </c>
      <c r="P60" s="206" t="s">
        <v>152</v>
      </c>
    </row>
    <row r="61" spans="1:18">
      <c r="A61" s="2">
        <v>2020</v>
      </c>
      <c r="B61" s="169">
        <v>23</v>
      </c>
      <c r="C61" s="169">
        <v>44</v>
      </c>
      <c r="D61" s="169">
        <v>21</v>
      </c>
      <c r="E61" s="169">
        <v>14</v>
      </c>
      <c r="F61" s="169">
        <v>29</v>
      </c>
      <c r="G61" s="169">
        <v>13</v>
      </c>
      <c r="H61" s="169">
        <v>60</v>
      </c>
      <c r="I61" s="169">
        <v>47</v>
      </c>
      <c r="J61" s="169">
        <v>57</v>
      </c>
      <c r="K61" s="169">
        <v>47</v>
      </c>
      <c r="L61" s="169">
        <v>29</v>
      </c>
      <c r="M61" s="169">
        <v>41</v>
      </c>
      <c r="N61" s="205">
        <f t="shared" si="28"/>
        <v>425</v>
      </c>
      <c r="O61" s="2">
        <v>1</v>
      </c>
      <c r="P61" s="206">
        <v>2</v>
      </c>
      <c r="Q61" s="206">
        <v>3</v>
      </c>
      <c r="R61" s="206"/>
    </row>
    <row r="62" spans="1:18">
      <c r="A62" s="2">
        <v>2021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</row>
    <row r="63" spans="1:18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</row>
    <row r="64" spans="1:18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</row>
    <row r="65" spans="2:13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</row>
    <row r="66" spans="2:13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</row>
    <row r="67" spans="2:13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</row>
  </sheetData>
  <mergeCells count="3">
    <mergeCell ref="A31:R31"/>
    <mergeCell ref="F37:O37"/>
    <mergeCell ref="A33:Q3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AZ61"/>
  <sheetViews>
    <sheetView workbookViewId="0">
      <pane ySplit="1" topLeftCell="A5" activePane="bottomLeft" state="frozen"/>
      <selection pane="bottomLeft" activeCell="L9" sqref="L9"/>
    </sheetView>
  </sheetViews>
  <sheetFormatPr defaultRowHeight="12.75"/>
  <cols>
    <col min="1" max="1" width="3.88671875" style="2" bestFit="1" customWidth="1"/>
    <col min="2" max="2" width="6.44140625" style="2" bestFit="1" customWidth="1"/>
    <col min="3" max="5" width="7.21875" style="2" bestFit="1" customWidth="1"/>
    <col min="6" max="6" width="7.109375" style="2" customWidth="1"/>
    <col min="7" max="11" width="7.21875" style="2" bestFit="1" customWidth="1"/>
    <col min="12" max="12" width="7.109375" style="2" customWidth="1"/>
    <col min="13" max="13" width="8.44140625" style="2" bestFit="1" customWidth="1"/>
    <col min="14" max="14" width="8" style="2" bestFit="1" customWidth="1"/>
    <col min="15" max="15" width="9.21875" style="2" bestFit="1" customWidth="1"/>
    <col min="16" max="16" width="8.44140625" style="2" bestFit="1" customWidth="1"/>
    <col min="17" max="17" width="11.109375" style="2" bestFit="1" customWidth="1"/>
    <col min="18" max="18" width="7.6640625" style="2" bestFit="1" customWidth="1"/>
    <col min="19" max="29" width="7.21875" style="2" bestFit="1" customWidth="1"/>
    <col min="30" max="31" width="6.44140625" style="2" bestFit="1" customWidth="1"/>
    <col min="32" max="16384" width="8.88671875" style="2"/>
  </cols>
  <sheetData>
    <row r="1" spans="1:52" ht="13.5" thickBot="1">
      <c r="A1" s="166"/>
      <c r="B1" s="171" t="s">
        <v>4</v>
      </c>
      <c r="C1" s="173" t="s">
        <v>5</v>
      </c>
      <c r="D1" s="171" t="s">
        <v>6</v>
      </c>
      <c r="E1" s="172" t="s">
        <v>7</v>
      </c>
      <c r="F1" s="171" t="s">
        <v>2</v>
      </c>
      <c r="G1" s="173" t="s">
        <v>8</v>
      </c>
      <c r="H1" s="171" t="s">
        <v>9</v>
      </c>
      <c r="I1" s="172" t="s">
        <v>10</v>
      </c>
      <c r="J1" s="171" t="s">
        <v>11</v>
      </c>
      <c r="K1" s="173" t="s">
        <v>12</v>
      </c>
      <c r="L1" s="171" t="s">
        <v>13</v>
      </c>
      <c r="M1" s="172" t="s">
        <v>14</v>
      </c>
      <c r="N1" s="185" t="s">
        <v>29</v>
      </c>
      <c r="O1" s="186" t="s">
        <v>147</v>
      </c>
      <c r="P1" s="186" t="s">
        <v>139</v>
      </c>
      <c r="Q1" s="210" t="s">
        <v>149</v>
      </c>
      <c r="R1" s="186" t="s">
        <v>139</v>
      </c>
    </row>
    <row r="2" spans="1:52">
      <c r="A2" s="7">
        <v>1998</v>
      </c>
      <c r="B2" s="130"/>
      <c r="C2" s="130"/>
      <c r="D2" s="130"/>
      <c r="E2" s="130"/>
      <c r="F2" s="130"/>
      <c r="G2" s="130"/>
      <c r="H2" s="130"/>
      <c r="I2" s="125">
        <v>8591</v>
      </c>
      <c r="J2" s="125">
        <v>12100</v>
      </c>
      <c r="K2" s="125">
        <v>10406</v>
      </c>
      <c r="L2" s="125">
        <v>9680</v>
      </c>
      <c r="M2" s="125">
        <v>21538</v>
      </c>
      <c r="N2" s="125">
        <f>SUM(I2:M2)</f>
        <v>62315</v>
      </c>
      <c r="O2" s="123">
        <f>N2/340.75</f>
        <v>182.87600880410858</v>
      </c>
      <c r="P2" s="125">
        <v>2164</v>
      </c>
      <c r="Q2" s="123">
        <f>O2*S2</f>
        <v>54.86280264123257</v>
      </c>
      <c r="R2" s="272">
        <f>P2*S2</f>
        <v>649.19999999999993</v>
      </c>
      <c r="S2" s="322">
        <v>0.3</v>
      </c>
      <c r="T2" s="6">
        <f>B2/340.75</f>
        <v>0</v>
      </c>
      <c r="U2" s="6">
        <f t="shared" ref="U2:AE5" si="0">C2/340.75</f>
        <v>0</v>
      </c>
      <c r="V2" s="6">
        <f t="shared" si="0"/>
        <v>0</v>
      </c>
      <c r="W2" s="6">
        <f t="shared" si="0"/>
        <v>0</v>
      </c>
      <c r="X2" s="6">
        <f t="shared" si="0"/>
        <v>0</v>
      </c>
      <c r="Y2" s="6">
        <f t="shared" si="0"/>
        <v>0</v>
      </c>
      <c r="Z2" s="6">
        <f t="shared" si="0"/>
        <v>0</v>
      </c>
      <c r="AA2" s="6">
        <f t="shared" si="0"/>
        <v>25.212032281731474</v>
      </c>
      <c r="AB2" s="6">
        <f t="shared" si="0"/>
        <v>35.509904622157009</v>
      </c>
      <c r="AC2" s="6">
        <f t="shared" si="0"/>
        <v>30.538517975055026</v>
      </c>
      <c r="AD2" s="6">
        <f t="shared" si="0"/>
        <v>28.407923697725604</v>
      </c>
      <c r="AE2" s="6">
        <f t="shared" si="0"/>
        <v>63.207630227439473</v>
      </c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</row>
    <row r="3" spans="1:52">
      <c r="A3" s="1">
        <v>1999</v>
      </c>
      <c r="B3" s="189">
        <v>4536</v>
      </c>
      <c r="C3" s="189">
        <v>6292</v>
      </c>
      <c r="D3" s="189">
        <v>11858</v>
      </c>
      <c r="E3" s="189">
        <v>10164</v>
      </c>
      <c r="F3" s="189">
        <v>8470</v>
      </c>
      <c r="G3" s="189">
        <v>12584</v>
      </c>
      <c r="H3" s="189">
        <v>12584</v>
      </c>
      <c r="I3" s="189">
        <v>21538</v>
      </c>
      <c r="J3" s="189">
        <v>17424</v>
      </c>
      <c r="K3" s="189">
        <v>12342</v>
      </c>
      <c r="L3" s="189">
        <v>8228</v>
      </c>
      <c r="M3" s="189">
        <v>11616</v>
      </c>
      <c r="N3" s="125">
        <f>SUM(B3:M3)</f>
        <v>137636</v>
      </c>
      <c r="O3" s="123">
        <f>N3/340.75</f>
        <v>403.92076302274393</v>
      </c>
      <c r="P3" s="125">
        <v>4285</v>
      </c>
      <c r="Q3" s="123">
        <f>O3*S3</f>
        <v>161.56830520909759</v>
      </c>
      <c r="R3" s="272">
        <f t="shared" ref="R3:R20" si="1">P3*S3</f>
        <v>1714</v>
      </c>
      <c r="S3" s="323">
        <v>0.4</v>
      </c>
      <c r="T3" s="6">
        <f t="shared" ref="T3:T5" si="2">B3/340.75</f>
        <v>13.311812179016874</v>
      </c>
      <c r="U3" s="205">
        <f t="shared" ref="U3:AB5" si="3">C3/340.75</f>
        <v>18.465150403521644</v>
      </c>
      <c r="V3" s="205">
        <f t="shared" si="3"/>
        <v>34.799706529713866</v>
      </c>
      <c r="W3" s="205">
        <f t="shared" si="3"/>
        <v>29.828319882611886</v>
      </c>
      <c r="X3" s="205">
        <f t="shared" si="3"/>
        <v>24.856933235509903</v>
      </c>
      <c r="Y3" s="205">
        <f t="shared" si="3"/>
        <v>36.930300807043288</v>
      </c>
      <c r="Z3" s="205">
        <f t="shared" si="3"/>
        <v>36.930300807043288</v>
      </c>
      <c r="AA3" s="205">
        <f t="shared" si="3"/>
        <v>63.207630227439473</v>
      </c>
      <c r="AB3" s="205">
        <f t="shared" si="3"/>
        <v>51.134262655906092</v>
      </c>
      <c r="AC3" s="205">
        <f t="shared" si="0"/>
        <v>36.220102714600145</v>
      </c>
      <c r="AD3" s="205">
        <f t="shared" si="0"/>
        <v>24.146735143066763</v>
      </c>
      <c r="AE3" s="205">
        <f t="shared" si="0"/>
        <v>34.089508437270723</v>
      </c>
    </row>
    <row r="4" spans="1:52">
      <c r="A4" s="1">
        <v>2000</v>
      </c>
      <c r="B4" s="189">
        <f t="shared" ref="B4:B9" si="4">R35</f>
        <v>6776</v>
      </c>
      <c r="C4" s="189">
        <f t="shared" ref="C4:M9" si="5">S35</f>
        <v>8712</v>
      </c>
      <c r="D4" s="189">
        <f t="shared" si="5"/>
        <v>10164</v>
      </c>
      <c r="E4" s="189">
        <f t="shared" si="5"/>
        <v>7986</v>
      </c>
      <c r="F4" s="189">
        <f t="shared" si="5"/>
        <v>12826</v>
      </c>
      <c r="G4" s="189">
        <f t="shared" si="5"/>
        <v>9922</v>
      </c>
      <c r="H4" s="189">
        <f t="shared" si="5"/>
        <v>12342</v>
      </c>
      <c r="I4" s="189">
        <f t="shared" si="5"/>
        <v>21054</v>
      </c>
      <c r="J4" s="189">
        <f t="shared" si="5"/>
        <v>11132</v>
      </c>
      <c r="K4" s="189">
        <f t="shared" si="5"/>
        <v>12342</v>
      </c>
      <c r="L4" s="189">
        <f t="shared" si="5"/>
        <v>15004</v>
      </c>
      <c r="M4" s="189">
        <f t="shared" si="5"/>
        <v>11616</v>
      </c>
      <c r="N4" s="125">
        <f t="shared" ref="N4:N5" si="6">SUM(B4:M4)</f>
        <v>139876</v>
      </c>
      <c r="O4" s="123">
        <f t="shared" ref="O4:O5" si="7">N4/340.75</f>
        <v>410.49449743213501</v>
      </c>
      <c r="P4" s="125">
        <v>3577</v>
      </c>
      <c r="Q4" s="123">
        <f t="shared" ref="Q4:Q20" si="8">O4*S4</f>
        <v>184.72252384446077</v>
      </c>
      <c r="R4" s="272">
        <f t="shared" si="1"/>
        <v>1609.65</v>
      </c>
      <c r="S4" s="323">
        <v>0.45</v>
      </c>
      <c r="T4" s="6">
        <f t="shared" si="2"/>
        <v>19.885546588407923</v>
      </c>
      <c r="U4" s="205">
        <f t="shared" si="3"/>
        <v>25.567131327953046</v>
      </c>
      <c r="V4" s="205">
        <f t="shared" si="3"/>
        <v>29.828319882611886</v>
      </c>
      <c r="W4" s="205">
        <f t="shared" si="3"/>
        <v>23.436537050623624</v>
      </c>
      <c r="X4" s="205">
        <f t="shared" si="3"/>
        <v>37.640498899486424</v>
      </c>
      <c r="Y4" s="205">
        <f t="shared" si="3"/>
        <v>29.118121790168747</v>
      </c>
      <c r="Z4" s="205">
        <f t="shared" si="3"/>
        <v>36.220102714600145</v>
      </c>
      <c r="AA4" s="205">
        <f t="shared" si="3"/>
        <v>61.787234042553195</v>
      </c>
      <c r="AB4" s="205">
        <f t="shared" si="3"/>
        <v>32.669112252384444</v>
      </c>
      <c r="AC4" s="205">
        <f t="shared" si="0"/>
        <v>36.220102714600145</v>
      </c>
      <c r="AD4" s="205">
        <f t="shared" si="0"/>
        <v>44.03228173147469</v>
      </c>
      <c r="AE4" s="205">
        <f t="shared" si="0"/>
        <v>34.089508437270723</v>
      </c>
    </row>
    <row r="5" spans="1:52">
      <c r="A5" s="1">
        <v>2001</v>
      </c>
      <c r="B5" s="189">
        <f t="shared" si="4"/>
        <v>9680</v>
      </c>
      <c r="C5" s="189">
        <f t="shared" si="5"/>
        <v>13068</v>
      </c>
      <c r="D5" s="189">
        <f t="shared" si="5"/>
        <v>8470</v>
      </c>
      <c r="E5" s="189">
        <f t="shared" si="5"/>
        <v>8470</v>
      </c>
      <c r="F5" s="189">
        <f t="shared" si="5"/>
        <v>10164</v>
      </c>
      <c r="G5" s="189">
        <f t="shared" si="5"/>
        <v>7986</v>
      </c>
      <c r="H5" s="189">
        <f t="shared" si="5"/>
        <v>13552</v>
      </c>
      <c r="I5" s="189">
        <f t="shared" si="5"/>
        <v>19602</v>
      </c>
      <c r="J5" s="189">
        <f t="shared" si="5"/>
        <v>13310</v>
      </c>
      <c r="K5" s="189">
        <f t="shared" si="5"/>
        <v>8228</v>
      </c>
      <c r="L5" s="189">
        <f t="shared" si="5"/>
        <v>14036</v>
      </c>
      <c r="M5" s="189">
        <f t="shared" si="5"/>
        <v>13794</v>
      </c>
      <c r="N5" s="125">
        <f t="shared" si="6"/>
        <v>140360</v>
      </c>
      <c r="O5" s="123">
        <f t="shared" si="7"/>
        <v>411.91489361702128</v>
      </c>
      <c r="P5" s="125">
        <v>3109</v>
      </c>
      <c r="Q5" s="123">
        <f t="shared" si="8"/>
        <v>164.76595744680853</v>
      </c>
      <c r="R5" s="272">
        <f t="shared" si="1"/>
        <v>1243.6000000000001</v>
      </c>
      <c r="S5" s="323">
        <v>0.4</v>
      </c>
      <c r="T5" s="6">
        <f t="shared" si="2"/>
        <v>28.407923697725604</v>
      </c>
      <c r="U5" s="205">
        <f t="shared" si="3"/>
        <v>38.350696991929567</v>
      </c>
      <c r="V5" s="205">
        <f t="shared" si="3"/>
        <v>24.856933235509903</v>
      </c>
      <c r="W5" s="205">
        <f t="shared" si="3"/>
        <v>24.856933235509903</v>
      </c>
      <c r="X5" s="205">
        <f t="shared" si="3"/>
        <v>29.828319882611886</v>
      </c>
      <c r="Y5" s="205">
        <f t="shared" si="3"/>
        <v>23.436537050623624</v>
      </c>
      <c r="Z5" s="205">
        <f t="shared" si="3"/>
        <v>39.771093176815846</v>
      </c>
      <c r="AA5" s="205">
        <f t="shared" si="3"/>
        <v>57.526045487894351</v>
      </c>
      <c r="AB5" s="205">
        <f t="shared" si="3"/>
        <v>39.06089508437271</v>
      </c>
      <c r="AC5" s="205">
        <f t="shared" si="0"/>
        <v>24.146735143066763</v>
      </c>
      <c r="AD5" s="205">
        <f t="shared" si="0"/>
        <v>41.191489361702125</v>
      </c>
      <c r="AE5" s="205">
        <f t="shared" si="0"/>
        <v>40.481291269258989</v>
      </c>
    </row>
    <row r="6" spans="1:52">
      <c r="A6" s="1">
        <v>2002</v>
      </c>
      <c r="B6" s="4">
        <f t="shared" si="4"/>
        <v>17.765000000000001</v>
      </c>
      <c r="C6" s="4">
        <f t="shared" si="5"/>
        <v>24.870999999999999</v>
      </c>
      <c r="D6" s="4">
        <f t="shared" si="5"/>
        <v>41.214800000000004</v>
      </c>
      <c r="E6" s="4">
        <f t="shared" si="5"/>
        <v>42.636000000000003</v>
      </c>
      <c r="F6" s="4">
        <f t="shared" si="5"/>
        <v>31.266400000000001</v>
      </c>
      <c r="G6" s="4">
        <f t="shared" si="5"/>
        <v>20.607400000000002</v>
      </c>
      <c r="H6" s="4">
        <f t="shared" si="5"/>
        <v>57.558599999999998</v>
      </c>
      <c r="I6" s="4">
        <f t="shared" si="5"/>
        <v>56.847999999999992</v>
      </c>
      <c r="J6" s="4">
        <f t="shared" si="5"/>
        <v>41.214800000000004</v>
      </c>
      <c r="K6" s="4">
        <f t="shared" si="5"/>
        <v>51.873799999999996</v>
      </c>
      <c r="L6" s="4">
        <f t="shared" si="5"/>
        <v>39.793599999999998</v>
      </c>
      <c r="M6" s="4">
        <f t="shared" si="5"/>
        <v>37.661799999999999</v>
      </c>
      <c r="N6" s="130"/>
      <c r="O6" s="179">
        <f>SUM(B6:M6)</f>
        <v>463.31119999999999</v>
      </c>
      <c r="P6" s="270">
        <v>3112</v>
      </c>
      <c r="Q6" s="123">
        <f t="shared" si="8"/>
        <v>185.32447999999999</v>
      </c>
      <c r="R6" s="272">
        <f t="shared" si="1"/>
        <v>1244.8000000000002</v>
      </c>
      <c r="S6" s="323">
        <v>0.4</v>
      </c>
      <c r="T6" s="205"/>
    </row>
    <row r="7" spans="1:52">
      <c r="A7" s="1">
        <v>2003</v>
      </c>
      <c r="B7" s="179">
        <f t="shared" si="4"/>
        <v>31.977</v>
      </c>
      <c r="C7" s="179">
        <f t="shared" si="5"/>
        <v>32.687600000000003</v>
      </c>
      <c r="D7" s="179">
        <f t="shared" si="5"/>
        <v>44.057200000000002</v>
      </c>
      <c r="E7" s="179">
        <f t="shared" si="5"/>
        <v>39.082999999999998</v>
      </c>
      <c r="F7" s="179">
        <f t="shared" si="5"/>
        <v>52.584400000000002</v>
      </c>
      <c r="G7" s="179">
        <f t="shared" si="5"/>
        <v>53.295000000000002</v>
      </c>
      <c r="H7" s="179">
        <f t="shared" si="5"/>
        <v>68.21759999999999</v>
      </c>
      <c r="I7" s="179">
        <f t="shared" si="5"/>
        <v>83.140200000000007</v>
      </c>
      <c r="J7" s="179">
        <f t="shared" si="5"/>
        <v>89.535600000000002</v>
      </c>
      <c r="K7" s="179">
        <f t="shared" si="5"/>
        <v>81.718999999999994</v>
      </c>
      <c r="L7" s="179">
        <f t="shared" si="5"/>
        <v>61.111599999999996</v>
      </c>
      <c r="M7" s="179">
        <f t="shared" si="5"/>
        <v>53.295000000000002</v>
      </c>
      <c r="N7" s="130"/>
      <c r="O7" s="179">
        <f>SUM(B7:M7)</f>
        <v>690.70319999999992</v>
      </c>
      <c r="P7" s="270">
        <v>4163</v>
      </c>
      <c r="Q7" s="123">
        <f t="shared" si="8"/>
        <v>276.28127999999998</v>
      </c>
      <c r="R7" s="272">
        <f t="shared" si="1"/>
        <v>1665.2</v>
      </c>
      <c r="S7" s="322">
        <v>0.4</v>
      </c>
      <c r="T7" s="205"/>
    </row>
    <row r="8" spans="1:52">
      <c r="A8" s="1">
        <v>2004</v>
      </c>
      <c r="B8" s="179">
        <f t="shared" si="4"/>
        <v>29.134600000000002</v>
      </c>
      <c r="C8" s="179">
        <f t="shared" si="5"/>
        <v>54.716200000000001</v>
      </c>
      <c r="D8" s="179">
        <f t="shared" si="5"/>
        <v>58.269200000000005</v>
      </c>
      <c r="E8" s="179">
        <f t="shared" si="5"/>
        <v>54.716200000000001</v>
      </c>
      <c r="F8" s="179">
        <f t="shared" si="5"/>
        <v>59.690399999999997</v>
      </c>
      <c r="G8" s="179">
        <f t="shared" si="5"/>
        <v>36.9512</v>
      </c>
      <c r="H8" s="179">
        <f t="shared" si="5"/>
        <v>63.243399999999994</v>
      </c>
      <c r="I8" s="179">
        <f t="shared" si="5"/>
        <v>82.429600000000008</v>
      </c>
      <c r="J8" s="179">
        <f t="shared" si="5"/>
        <v>81.008399999999995</v>
      </c>
      <c r="K8" s="179">
        <f t="shared" si="5"/>
        <v>68.21759999999999</v>
      </c>
      <c r="L8" s="179">
        <f t="shared" si="5"/>
        <v>54.005600000000001</v>
      </c>
      <c r="M8" s="179">
        <f t="shared" si="5"/>
        <v>60.401000000000003</v>
      </c>
      <c r="N8" s="191"/>
      <c r="O8" s="179">
        <f t="shared" ref="O8:O25" si="9">SUM(B8:M8)</f>
        <v>702.78339999999992</v>
      </c>
      <c r="P8" s="270">
        <v>3835</v>
      </c>
      <c r="Q8" s="123">
        <f t="shared" si="8"/>
        <v>281.11336</v>
      </c>
      <c r="R8" s="272">
        <f t="shared" si="1"/>
        <v>1534</v>
      </c>
      <c r="S8" s="322">
        <v>0.4</v>
      </c>
    </row>
    <row r="9" spans="1:52">
      <c r="A9" s="1">
        <v>2005</v>
      </c>
      <c r="B9" s="335">
        <f t="shared" si="4"/>
        <v>31.266400000000001</v>
      </c>
      <c r="C9" s="335">
        <f t="shared" si="5"/>
        <v>22.7392</v>
      </c>
      <c r="D9" s="335">
        <f t="shared" si="5"/>
        <v>49.031399999999998</v>
      </c>
      <c r="E9" s="335">
        <f t="shared" si="5"/>
        <v>21.318000000000001</v>
      </c>
      <c r="F9" s="335">
        <f t="shared" si="5"/>
        <v>27.002800000000001</v>
      </c>
      <c r="G9" s="335">
        <f t="shared" si="5"/>
        <v>53.295000000000002</v>
      </c>
      <c r="H9" s="335">
        <f t="shared" si="5"/>
        <v>63.954000000000001</v>
      </c>
      <c r="I9" s="335">
        <f t="shared" si="5"/>
        <v>110.143</v>
      </c>
      <c r="J9" s="335">
        <f t="shared" si="5"/>
        <v>106.59</v>
      </c>
      <c r="K9" s="335">
        <f t="shared" si="5"/>
        <v>69.638800000000003</v>
      </c>
      <c r="L9" s="335">
        <f t="shared" si="5"/>
        <v>92.378</v>
      </c>
      <c r="M9" s="179">
        <f t="shared" si="5"/>
        <v>0</v>
      </c>
      <c r="N9" s="8"/>
      <c r="O9" s="179">
        <f t="shared" si="9"/>
        <v>647.35660000000018</v>
      </c>
      <c r="P9" s="270"/>
      <c r="Q9" s="123">
        <f t="shared" si="8"/>
        <v>258.9426400000001</v>
      </c>
      <c r="R9" s="272">
        <f t="shared" si="1"/>
        <v>0</v>
      </c>
      <c r="S9" s="322">
        <v>0.4</v>
      </c>
    </row>
    <row r="10" spans="1:52">
      <c r="A10" s="1">
        <v>2006</v>
      </c>
      <c r="B10" s="199">
        <v>40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>
        <v>454</v>
      </c>
      <c r="N10" s="8"/>
      <c r="O10" s="179">
        <f t="shared" si="9"/>
        <v>494</v>
      </c>
      <c r="P10" s="270">
        <v>2205</v>
      </c>
      <c r="Q10" s="123">
        <f t="shared" si="8"/>
        <v>197.60000000000002</v>
      </c>
      <c r="R10" s="272">
        <f t="shared" si="1"/>
        <v>882</v>
      </c>
      <c r="S10" s="322">
        <v>0.4</v>
      </c>
    </row>
    <row r="11" spans="1:52">
      <c r="A11" s="1">
        <v>2007</v>
      </c>
      <c r="B11" s="199">
        <v>50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>
        <v>424</v>
      </c>
      <c r="N11" s="8"/>
      <c r="O11" s="179">
        <f t="shared" si="9"/>
        <v>474</v>
      </c>
      <c r="P11" s="270">
        <v>1890</v>
      </c>
      <c r="Q11" s="123">
        <f t="shared" si="8"/>
        <v>189.60000000000002</v>
      </c>
      <c r="R11" s="272">
        <f t="shared" si="1"/>
        <v>756</v>
      </c>
      <c r="S11" s="322">
        <v>0.4</v>
      </c>
    </row>
    <row r="12" spans="1:52">
      <c r="A12" s="1">
        <v>2008</v>
      </c>
      <c r="B12" s="199">
        <v>39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>
        <v>439</v>
      </c>
      <c r="N12" s="8"/>
      <c r="O12" s="179">
        <f t="shared" si="9"/>
        <v>478</v>
      </c>
      <c r="P12" s="270">
        <v>1692</v>
      </c>
      <c r="Q12" s="123">
        <f t="shared" si="8"/>
        <v>191.20000000000002</v>
      </c>
      <c r="R12" s="272">
        <f t="shared" si="1"/>
        <v>676.80000000000007</v>
      </c>
      <c r="S12" s="322">
        <v>0.4</v>
      </c>
    </row>
    <row r="13" spans="1:52">
      <c r="A13" s="1">
        <v>2009</v>
      </c>
      <c r="B13" s="199">
        <v>28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>
        <v>372</v>
      </c>
      <c r="N13" s="8"/>
      <c r="O13" s="179">
        <f t="shared" si="9"/>
        <v>400</v>
      </c>
      <c r="P13" s="270">
        <v>1271</v>
      </c>
      <c r="Q13" s="123">
        <f t="shared" si="8"/>
        <v>140</v>
      </c>
      <c r="R13" s="272">
        <f t="shared" si="1"/>
        <v>444.84999999999997</v>
      </c>
      <c r="S13" s="322">
        <v>0.35</v>
      </c>
    </row>
    <row r="14" spans="1:52">
      <c r="A14" s="1">
        <v>2010</v>
      </c>
      <c r="B14" s="199">
        <v>17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>
        <v>334</v>
      </c>
      <c r="N14" s="8"/>
      <c r="O14" s="179">
        <f t="shared" si="9"/>
        <v>351</v>
      </c>
      <c r="P14" s="270">
        <v>1022</v>
      </c>
      <c r="Q14" s="123">
        <f t="shared" si="8"/>
        <v>157.95000000000002</v>
      </c>
      <c r="R14" s="272">
        <f t="shared" si="1"/>
        <v>459.90000000000003</v>
      </c>
      <c r="S14" s="322">
        <v>0.45</v>
      </c>
    </row>
    <row r="15" spans="1:52">
      <c r="A15" s="1">
        <v>2011</v>
      </c>
      <c r="B15" s="199">
        <v>16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>
        <v>271</v>
      </c>
      <c r="N15" s="8"/>
      <c r="O15" s="179">
        <f t="shared" si="9"/>
        <v>287</v>
      </c>
      <c r="P15" s="270">
        <v>766</v>
      </c>
      <c r="Q15" s="123">
        <f t="shared" si="8"/>
        <v>100.44999999999999</v>
      </c>
      <c r="R15" s="272">
        <f t="shared" si="1"/>
        <v>268.09999999999997</v>
      </c>
      <c r="S15" s="322">
        <v>0.35</v>
      </c>
    </row>
    <row r="16" spans="1:52">
      <c r="A16" s="1">
        <v>2012</v>
      </c>
      <c r="B16" s="199">
        <v>11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>
        <v>220</v>
      </c>
      <c r="N16" s="8"/>
      <c r="O16" s="179">
        <f t="shared" si="9"/>
        <v>231</v>
      </c>
      <c r="P16" s="270">
        <v>564</v>
      </c>
      <c r="Q16" s="123">
        <f t="shared" si="8"/>
        <v>41.58</v>
      </c>
      <c r="R16" s="272">
        <f t="shared" si="1"/>
        <v>101.52</v>
      </c>
      <c r="S16" s="322">
        <v>0.18</v>
      </c>
    </row>
    <row r="17" spans="1:29">
      <c r="A17" s="1">
        <v>2013</v>
      </c>
      <c r="B17" s="4">
        <v>17.5</v>
      </c>
      <c r="C17" s="200">
        <v>6</v>
      </c>
      <c r="D17" s="200">
        <v>32.82</v>
      </c>
      <c r="E17" s="200">
        <v>28</v>
      </c>
      <c r="F17" s="200">
        <v>18.5</v>
      </c>
      <c r="G17" s="200">
        <v>15.5</v>
      </c>
      <c r="H17" s="200">
        <v>20.5</v>
      </c>
      <c r="I17" s="200">
        <v>30</v>
      </c>
      <c r="J17" s="200">
        <v>33</v>
      </c>
      <c r="K17" s="200">
        <v>18</v>
      </c>
      <c r="L17" s="200">
        <v>24</v>
      </c>
      <c r="M17" s="200">
        <v>34</v>
      </c>
      <c r="N17" s="8"/>
      <c r="O17" s="179">
        <f t="shared" si="9"/>
        <v>277.82</v>
      </c>
      <c r="P17" s="270">
        <v>624</v>
      </c>
      <c r="Q17" s="123">
        <f t="shared" si="8"/>
        <v>72.233199999999997</v>
      </c>
      <c r="R17" s="272">
        <f t="shared" si="1"/>
        <v>162.24</v>
      </c>
      <c r="S17" s="322">
        <v>0.26</v>
      </c>
      <c r="T17" s="192" t="s">
        <v>148</v>
      </c>
    </row>
    <row r="18" spans="1:29">
      <c r="A18" s="1">
        <v>2014</v>
      </c>
      <c r="B18" s="4">
        <v>12</v>
      </c>
      <c r="C18" s="4">
        <v>42</v>
      </c>
      <c r="D18" s="4">
        <v>19</v>
      </c>
      <c r="E18" s="4">
        <v>14.5</v>
      </c>
      <c r="F18" s="4">
        <v>12</v>
      </c>
      <c r="G18" s="4">
        <v>27.5</v>
      </c>
      <c r="H18" s="4">
        <v>37</v>
      </c>
      <c r="I18" s="4">
        <v>25.5</v>
      </c>
      <c r="J18" s="4">
        <v>52</v>
      </c>
      <c r="K18" s="4">
        <v>31</v>
      </c>
      <c r="L18" s="4">
        <v>35</v>
      </c>
      <c r="M18" s="4">
        <v>42</v>
      </c>
      <c r="N18" s="8"/>
      <c r="O18" s="179">
        <f t="shared" si="9"/>
        <v>349.5</v>
      </c>
      <c r="P18" s="270">
        <v>725</v>
      </c>
      <c r="Q18" s="123">
        <f t="shared" si="8"/>
        <v>90.87</v>
      </c>
      <c r="R18" s="272">
        <f t="shared" si="1"/>
        <v>188.5</v>
      </c>
      <c r="S18" s="322">
        <v>0.26</v>
      </c>
    </row>
    <row r="19" spans="1:29">
      <c r="A19" s="1">
        <v>2015</v>
      </c>
      <c r="B19" s="4">
        <v>10</v>
      </c>
      <c r="C19" s="4">
        <v>30.5</v>
      </c>
      <c r="D19" s="4">
        <v>27</v>
      </c>
      <c r="E19" s="200">
        <v>30</v>
      </c>
      <c r="F19" s="200">
        <v>24.5</v>
      </c>
      <c r="G19" s="200">
        <v>31.5</v>
      </c>
      <c r="H19" s="200">
        <v>32</v>
      </c>
      <c r="I19" s="200">
        <v>22.5</v>
      </c>
      <c r="J19" s="200">
        <v>29.5</v>
      </c>
      <c r="K19" s="4">
        <v>34.5</v>
      </c>
      <c r="L19" s="200">
        <v>38</v>
      </c>
      <c r="M19" s="200">
        <v>44</v>
      </c>
      <c r="N19" s="8"/>
      <c r="O19" s="179">
        <f t="shared" si="9"/>
        <v>354</v>
      </c>
      <c r="P19" s="270">
        <v>683</v>
      </c>
      <c r="Q19" s="123">
        <f t="shared" si="8"/>
        <v>116.82000000000001</v>
      </c>
      <c r="R19" s="272">
        <f t="shared" si="1"/>
        <v>225.39000000000001</v>
      </c>
      <c r="S19" s="322">
        <v>0.33</v>
      </c>
      <c r="T19" s="192" t="s">
        <v>148</v>
      </c>
    </row>
    <row r="20" spans="1:29">
      <c r="A20" s="1">
        <v>2016</v>
      </c>
      <c r="B20" s="4">
        <v>8.5</v>
      </c>
      <c r="C20" s="200">
        <v>10.5</v>
      </c>
      <c r="D20" s="200">
        <v>12</v>
      </c>
      <c r="E20" s="200">
        <v>36.5</v>
      </c>
      <c r="F20" s="200">
        <v>26</v>
      </c>
      <c r="G20" s="200">
        <v>30</v>
      </c>
      <c r="H20" s="190"/>
      <c r="I20" s="190"/>
      <c r="J20" s="190"/>
      <c r="K20" s="190"/>
      <c r="L20" s="190"/>
      <c r="M20" s="190"/>
      <c r="N20" s="8"/>
      <c r="O20" s="179">
        <f t="shared" si="9"/>
        <v>123.5</v>
      </c>
      <c r="P20" s="270">
        <v>222</v>
      </c>
      <c r="Q20" s="123">
        <f t="shared" si="8"/>
        <v>55.575000000000003</v>
      </c>
      <c r="R20" s="272">
        <f t="shared" si="1"/>
        <v>99.9</v>
      </c>
      <c r="S20" s="322">
        <v>0.45</v>
      </c>
      <c r="T20" s="192" t="s">
        <v>148</v>
      </c>
    </row>
    <row r="21" spans="1:29">
      <c r="A21" s="1">
        <v>2017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8"/>
      <c r="O21" s="240">
        <f t="shared" si="9"/>
        <v>0</v>
      </c>
      <c r="P21" s="273"/>
      <c r="Q21" s="188">
        <f t="shared" ref="Q21:Q25" si="10">O21*30%</f>
        <v>0</v>
      </c>
      <c r="R21" s="274">
        <f t="shared" ref="R21:R25" si="11">P21*30%</f>
        <v>0</v>
      </c>
      <c r="S21" s="322"/>
      <c r="W21" s="6"/>
    </row>
    <row r="22" spans="1:29">
      <c r="A22" s="1">
        <v>2018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8"/>
      <c r="O22" s="240">
        <f t="shared" si="9"/>
        <v>0</v>
      </c>
      <c r="P22" s="273"/>
      <c r="Q22" s="188">
        <f t="shared" si="10"/>
        <v>0</v>
      </c>
      <c r="R22" s="274">
        <f t="shared" si="11"/>
        <v>0</v>
      </c>
      <c r="S22" s="322"/>
    </row>
    <row r="23" spans="1:29">
      <c r="A23" s="1">
        <v>2019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8"/>
      <c r="O23" s="240">
        <f t="shared" si="9"/>
        <v>0</v>
      </c>
      <c r="P23" s="273"/>
      <c r="Q23" s="188">
        <f t="shared" si="10"/>
        <v>0</v>
      </c>
      <c r="R23" s="274">
        <f t="shared" si="11"/>
        <v>0</v>
      </c>
      <c r="S23" s="322"/>
    </row>
    <row r="24" spans="1:29">
      <c r="A24" s="1">
        <v>2020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8"/>
      <c r="O24" s="240">
        <f t="shared" si="9"/>
        <v>0</v>
      </c>
      <c r="P24" s="273"/>
      <c r="Q24" s="188">
        <f t="shared" si="10"/>
        <v>0</v>
      </c>
      <c r="R24" s="274">
        <f t="shared" si="11"/>
        <v>0</v>
      </c>
      <c r="S24" s="322"/>
    </row>
    <row r="25" spans="1:29">
      <c r="A25" s="1">
        <v>2021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8"/>
      <c r="O25" s="240">
        <f t="shared" si="9"/>
        <v>0</v>
      </c>
      <c r="P25" s="273"/>
      <c r="Q25" s="188">
        <f t="shared" si="10"/>
        <v>0</v>
      </c>
      <c r="R25" s="274">
        <f t="shared" si="11"/>
        <v>0</v>
      </c>
      <c r="S25" s="322"/>
    </row>
    <row r="26" spans="1:29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">
        <f>SUM(O2:O25)</f>
        <v>7733.1805628760085</v>
      </c>
      <c r="P26" s="189">
        <f t="shared" ref="P26:R26" si="12">SUM(P2:P25)</f>
        <v>35909</v>
      </c>
      <c r="Q26" s="4">
        <f t="shared" si="12"/>
        <v>2921.4595491415989</v>
      </c>
      <c r="R26" s="189">
        <f t="shared" si="12"/>
        <v>13925.65</v>
      </c>
      <c r="S26" s="322"/>
    </row>
    <row r="27" spans="1:29">
      <c r="Q27" s="196">
        <v>299</v>
      </c>
      <c r="S27" s="263">
        <v>45673</v>
      </c>
    </row>
    <row r="28" spans="1:29">
      <c r="A28" s="586" t="s">
        <v>167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260" t="s">
        <v>182</v>
      </c>
      <c r="V28" s="6"/>
    </row>
    <row r="29" spans="1:29">
      <c r="V29" s="6"/>
    </row>
    <row r="30" spans="1:29">
      <c r="A30" s="586" t="s">
        <v>168</v>
      </c>
      <c r="B30" s="586"/>
      <c r="C30" s="586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207"/>
    </row>
    <row r="31" spans="1:29">
      <c r="F31" s="587" t="s">
        <v>163</v>
      </c>
      <c r="G31" s="587"/>
      <c r="H31" s="587"/>
      <c r="I31" s="587"/>
      <c r="J31" s="587"/>
      <c r="K31" s="587"/>
      <c r="L31" s="587"/>
      <c r="M31" s="587"/>
      <c r="N31" s="587"/>
      <c r="O31" s="587"/>
      <c r="P31" s="208"/>
    </row>
    <row r="32" spans="1:29" s="201" customFormat="1"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R32" s="202">
        <v>1</v>
      </c>
      <c r="S32" s="202">
        <v>2</v>
      </c>
      <c r="T32" s="202">
        <v>3</v>
      </c>
      <c r="U32" s="202">
        <v>4</v>
      </c>
      <c r="V32" s="202">
        <v>5</v>
      </c>
      <c r="W32" s="202">
        <v>6</v>
      </c>
      <c r="X32" s="202">
        <v>7</v>
      </c>
      <c r="Y32" s="202">
        <v>8</v>
      </c>
      <c r="Z32" s="202">
        <v>9</v>
      </c>
      <c r="AA32" s="202">
        <v>10</v>
      </c>
      <c r="AB32" s="202">
        <v>11</v>
      </c>
      <c r="AC32" s="202">
        <v>12</v>
      </c>
    </row>
    <row r="33" spans="1:29">
      <c r="A33" s="2">
        <v>1998</v>
      </c>
      <c r="B33" s="203"/>
      <c r="C33" s="203"/>
      <c r="D33" s="203"/>
      <c r="E33" s="203"/>
      <c r="F33" s="203"/>
      <c r="G33" s="203"/>
      <c r="H33" s="203"/>
      <c r="I33" s="169">
        <v>14</v>
      </c>
      <c r="J33" s="204">
        <v>50</v>
      </c>
      <c r="K33" s="204">
        <v>43</v>
      </c>
      <c r="L33" s="204">
        <v>40</v>
      </c>
      <c r="M33" s="204">
        <v>89</v>
      </c>
      <c r="N33" s="205">
        <f t="shared" ref="N33:N48" si="13">SUM(B33:M33)</f>
        <v>236</v>
      </c>
      <c r="O33" s="169">
        <v>1100</v>
      </c>
      <c r="R33" s="205">
        <f>B33*2*1100*11%</f>
        <v>0</v>
      </c>
      <c r="S33" s="205">
        <f t="shared" ref="S33:AC36" si="14">C33*2*1100*11%</f>
        <v>0</v>
      </c>
      <c r="T33" s="205">
        <f t="shared" si="14"/>
        <v>0</v>
      </c>
      <c r="U33" s="205">
        <f t="shared" si="14"/>
        <v>0</v>
      </c>
      <c r="V33" s="205">
        <f t="shared" si="14"/>
        <v>0</v>
      </c>
      <c r="W33" s="205">
        <f t="shared" si="14"/>
        <v>0</v>
      </c>
      <c r="X33" s="205">
        <f t="shared" si="14"/>
        <v>0</v>
      </c>
      <c r="Y33" s="205">
        <f t="shared" si="14"/>
        <v>3388</v>
      </c>
      <c r="Z33" s="205">
        <f t="shared" si="14"/>
        <v>12100</v>
      </c>
      <c r="AA33" s="205">
        <f t="shared" si="14"/>
        <v>10406</v>
      </c>
      <c r="AB33" s="205">
        <f t="shared" si="14"/>
        <v>9680</v>
      </c>
      <c r="AC33" s="205">
        <f t="shared" si="14"/>
        <v>21538</v>
      </c>
    </row>
    <row r="34" spans="1:29">
      <c r="A34" s="2">
        <v>1999</v>
      </c>
      <c r="B34" s="204">
        <v>18</v>
      </c>
      <c r="C34" s="204">
        <v>26</v>
      </c>
      <c r="D34" s="204">
        <v>49</v>
      </c>
      <c r="E34" s="204">
        <v>42</v>
      </c>
      <c r="F34" s="204">
        <v>35</v>
      </c>
      <c r="G34" s="204">
        <v>52</v>
      </c>
      <c r="H34" s="204">
        <v>52</v>
      </c>
      <c r="I34" s="204">
        <v>89</v>
      </c>
      <c r="J34" s="204">
        <v>72</v>
      </c>
      <c r="K34" s="204">
        <v>51</v>
      </c>
      <c r="L34" s="204">
        <v>34</v>
      </c>
      <c r="M34" s="204">
        <v>48</v>
      </c>
      <c r="N34" s="205">
        <f t="shared" si="13"/>
        <v>568</v>
      </c>
      <c r="O34" s="169">
        <v>1100</v>
      </c>
      <c r="R34" s="205">
        <f t="shared" ref="R34:R48" si="15">B34*2*1100*11%</f>
        <v>4356</v>
      </c>
      <c r="S34" s="205">
        <f t="shared" si="14"/>
        <v>6292</v>
      </c>
      <c r="T34" s="205">
        <f t="shared" si="14"/>
        <v>11858</v>
      </c>
      <c r="U34" s="205">
        <f t="shared" si="14"/>
        <v>10164</v>
      </c>
      <c r="V34" s="205">
        <f t="shared" si="14"/>
        <v>8470</v>
      </c>
      <c r="W34" s="205">
        <f t="shared" si="14"/>
        <v>12584</v>
      </c>
      <c r="X34" s="205">
        <f t="shared" si="14"/>
        <v>12584</v>
      </c>
      <c r="Y34" s="205">
        <f t="shared" si="14"/>
        <v>21538</v>
      </c>
      <c r="Z34" s="205">
        <f t="shared" si="14"/>
        <v>17424</v>
      </c>
      <c r="AA34" s="205">
        <f t="shared" si="14"/>
        <v>12342</v>
      </c>
      <c r="AB34" s="205">
        <f t="shared" si="14"/>
        <v>8228</v>
      </c>
      <c r="AC34" s="205">
        <f t="shared" si="14"/>
        <v>11616</v>
      </c>
    </row>
    <row r="35" spans="1:29">
      <c r="A35" s="2">
        <v>2000</v>
      </c>
      <c r="B35" s="204">
        <v>28</v>
      </c>
      <c r="C35" s="204">
        <v>36</v>
      </c>
      <c r="D35" s="204">
        <v>42</v>
      </c>
      <c r="E35" s="204">
        <v>33</v>
      </c>
      <c r="F35" s="204">
        <v>53</v>
      </c>
      <c r="G35" s="204">
        <v>41</v>
      </c>
      <c r="H35" s="204">
        <v>51</v>
      </c>
      <c r="I35" s="204">
        <v>87</v>
      </c>
      <c r="J35" s="204">
        <v>46</v>
      </c>
      <c r="K35" s="204">
        <v>51</v>
      </c>
      <c r="L35" s="204">
        <v>62</v>
      </c>
      <c r="M35" s="204">
        <v>48</v>
      </c>
      <c r="N35" s="205">
        <f t="shared" si="13"/>
        <v>578</v>
      </c>
      <c r="O35" s="169">
        <v>1100</v>
      </c>
      <c r="P35" s="2" t="s">
        <v>151</v>
      </c>
      <c r="R35" s="205">
        <f t="shared" si="15"/>
        <v>6776</v>
      </c>
      <c r="S35" s="205">
        <f t="shared" si="14"/>
        <v>8712</v>
      </c>
      <c r="T35" s="205">
        <f t="shared" si="14"/>
        <v>10164</v>
      </c>
      <c r="U35" s="205">
        <f t="shared" si="14"/>
        <v>7986</v>
      </c>
      <c r="V35" s="205">
        <f t="shared" si="14"/>
        <v>12826</v>
      </c>
      <c r="W35" s="205">
        <f t="shared" si="14"/>
        <v>9922</v>
      </c>
      <c r="X35" s="205">
        <f t="shared" si="14"/>
        <v>12342</v>
      </c>
      <c r="Y35" s="205">
        <f t="shared" si="14"/>
        <v>21054</v>
      </c>
      <c r="Z35" s="205">
        <f t="shared" si="14"/>
        <v>11132</v>
      </c>
      <c r="AA35" s="205">
        <f t="shared" si="14"/>
        <v>12342</v>
      </c>
      <c r="AB35" s="205">
        <f t="shared" si="14"/>
        <v>15004</v>
      </c>
      <c r="AC35" s="205">
        <f t="shared" si="14"/>
        <v>11616</v>
      </c>
    </row>
    <row r="36" spans="1:29">
      <c r="A36" s="2">
        <v>2001</v>
      </c>
      <c r="B36" s="169">
        <v>40</v>
      </c>
      <c r="C36" s="169">
        <v>54</v>
      </c>
      <c r="D36" s="204">
        <v>35</v>
      </c>
      <c r="E36" s="169">
        <v>35</v>
      </c>
      <c r="F36" s="169">
        <v>42</v>
      </c>
      <c r="G36" s="169">
        <v>33</v>
      </c>
      <c r="H36" s="169">
        <v>56</v>
      </c>
      <c r="I36" s="169">
        <v>81</v>
      </c>
      <c r="J36" s="169">
        <v>55</v>
      </c>
      <c r="K36" s="169">
        <v>34</v>
      </c>
      <c r="L36" s="169">
        <v>58</v>
      </c>
      <c r="M36" s="169">
        <v>57</v>
      </c>
      <c r="N36" s="205">
        <f t="shared" si="13"/>
        <v>580</v>
      </c>
      <c r="O36" s="169">
        <v>1100</v>
      </c>
      <c r="R36" s="205">
        <f t="shared" si="15"/>
        <v>9680</v>
      </c>
      <c r="S36" s="205">
        <f t="shared" si="14"/>
        <v>13068</v>
      </c>
      <c r="T36" s="205">
        <f t="shared" si="14"/>
        <v>8470</v>
      </c>
      <c r="U36" s="205">
        <f t="shared" si="14"/>
        <v>8470</v>
      </c>
      <c r="V36" s="205">
        <f t="shared" si="14"/>
        <v>10164</v>
      </c>
      <c r="W36" s="205">
        <f t="shared" si="14"/>
        <v>7986</v>
      </c>
      <c r="X36" s="205">
        <f t="shared" si="14"/>
        <v>13552</v>
      </c>
      <c r="Y36" s="205">
        <f t="shared" si="14"/>
        <v>19602</v>
      </c>
      <c r="Z36" s="205">
        <f t="shared" si="14"/>
        <v>13310</v>
      </c>
      <c r="AA36" s="205">
        <f t="shared" si="14"/>
        <v>8228</v>
      </c>
      <c r="AB36" s="205">
        <f t="shared" si="14"/>
        <v>14036</v>
      </c>
      <c r="AC36" s="205">
        <f t="shared" si="14"/>
        <v>13794</v>
      </c>
    </row>
    <row r="37" spans="1:29">
      <c r="A37" s="2">
        <v>2002</v>
      </c>
      <c r="B37" s="169">
        <v>25</v>
      </c>
      <c r="C37" s="169">
        <v>35</v>
      </c>
      <c r="D37" s="169">
        <v>58</v>
      </c>
      <c r="E37" s="169">
        <v>60</v>
      </c>
      <c r="F37" s="169">
        <v>44</v>
      </c>
      <c r="G37" s="169">
        <v>29</v>
      </c>
      <c r="H37" s="169">
        <v>81</v>
      </c>
      <c r="I37" s="169">
        <v>80</v>
      </c>
      <c r="J37" s="169">
        <v>58</v>
      </c>
      <c r="K37" s="169">
        <v>73</v>
      </c>
      <c r="L37" s="169">
        <v>56</v>
      </c>
      <c r="M37" s="169">
        <v>53</v>
      </c>
      <c r="N37" s="205">
        <f t="shared" si="13"/>
        <v>652</v>
      </c>
      <c r="O37" s="242">
        <v>3.23</v>
      </c>
      <c r="R37" s="6">
        <f>B37*2*3.23*11%</f>
        <v>17.765000000000001</v>
      </c>
      <c r="S37" s="6">
        <f t="shared" ref="S37:AC40" si="16">C37*2*3.23*11%</f>
        <v>24.870999999999999</v>
      </c>
      <c r="T37" s="6">
        <f t="shared" si="16"/>
        <v>41.214800000000004</v>
      </c>
      <c r="U37" s="6">
        <f t="shared" si="16"/>
        <v>42.636000000000003</v>
      </c>
      <c r="V37" s="6">
        <f t="shared" si="16"/>
        <v>31.266400000000001</v>
      </c>
      <c r="W37" s="6">
        <f t="shared" si="16"/>
        <v>20.607400000000002</v>
      </c>
      <c r="X37" s="6">
        <f t="shared" si="16"/>
        <v>57.558599999999998</v>
      </c>
      <c r="Y37" s="6">
        <f t="shared" si="16"/>
        <v>56.847999999999992</v>
      </c>
      <c r="Z37" s="6">
        <f t="shared" si="16"/>
        <v>41.214800000000004</v>
      </c>
      <c r="AA37" s="6">
        <f t="shared" si="16"/>
        <v>51.873799999999996</v>
      </c>
      <c r="AB37" s="6">
        <f t="shared" si="16"/>
        <v>39.793599999999998</v>
      </c>
      <c r="AC37" s="6">
        <f t="shared" si="16"/>
        <v>37.661799999999999</v>
      </c>
    </row>
    <row r="38" spans="1:29">
      <c r="A38" s="2">
        <v>2003</v>
      </c>
      <c r="B38" s="169">
        <v>45</v>
      </c>
      <c r="C38" s="169">
        <v>46</v>
      </c>
      <c r="D38" s="169">
        <v>62</v>
      </c>
      <c r="E38" s="169">
        <v>55</v>
      </c>
      <c r="F38" s="169">
        <v>74</v>
      </c>
      <c r="G38" s="169">
        <v>75</v>
      </c>
      <c r="H38" s="169">
        <v>96</v>
      </c>
      <c r="I38" s="169">
        <v>117</v>
      </c>
      <c r="J38" s="169">
        <v>126</v>
      </c>
      <c r="K38" s="169">
        <v>115</v>
      </c>
      <c r="L38" s="169">
        <v>86</v>
      </c>
      <c r="M38" s="169">
        <v>75</v>
      </c>
      <c r="N38" s="205">
        <f t="shared" si="13"/>
        <v>972</v>
      </c>
      <c r="O38" s="242">
        <v>3.23</v>
      </c>
      <c r="R38" s="6">
        <f>B38*2*3.23*11%</f>
        <v>31.977</v>
      </c>
      <c r="S38" s="6">
        <f t="shared" si="16"/>
        <v>32.687600000000003</v>
      </c>
      <c r="T38" s="6">
        <f t="shared" si="16"/>
        <v>44.057200000000002</v>
      </c>
      <c r="U38" s="6">
        <f t="shared" si="16"/>
        <v>39.082999999999998</v>
      </c>
      <c r="V38" s="6">
        <f t="shared" si="16"/>
        <v>52.584400000000002</v>
      </c>
      <c r="W38" s="6">
        <f t="shared" si="16"/>
        <v>53.295000000000002</v>
      </c>
      <c r="X38" s="6">
        <f t="shared" si="16"/>
        <v>68.21759999999999</v>
      </c>
      <c r="Y38" s="6">
        <f t="shared" si="16"/>
        <v>83.140200000000007</v>
      </c>
      <c r="Z38" s="6">
        <f t="shared" si="16"/>
        <v>89.535600000000002</v>
      </c>
      <c r="AA38" s="6">
        <f t="shared" si="16"/>
        <v>81.718999999999994</v>
      </c>
      <c r="AB38" s="6">
        <f t="shared" si="16"/>
        <v>61.111599999999996</v>
      </c>
      <c r="AC38" s="6">
        <f t="shared" si="16"/>
        <v>53.295000000000002</v>
      </c>
    </row>
    <row r="39" spans="1:29">
      <c r="A39" s="2">
        <v>2004</v>
      </c>
      <c r="B39" s="169">
        <v>41</v>
      </c>
      <c r="C39" s="169">
        <v>77</v>
      </c>
      <c r="D39" s="169">
        <v>82</v>
      </c>
      <c r="E39" s="169">
        <v>77</v>
      </c>
      <c r="F39" s="169">
        <v>84</v>
      </c>
      <c r="G39" s="169">
        <v>52</v>
      </c>
      <c r="H39" s="169">
        <v>89</v>
      </c>
      <c r="I39" s="169">
        <v>116</v>
      </c>
      <c r="J39" s="169">
        <v>114</v>
      </c>
      <c r="K39" s="169">
        <v>96</v>
      </c>
      <c r="L39" s="169">
        <v>76</v>
      </c>
      <c r="M39" s="169">
        <v>85</v>
      </c>
      <c r="N39" s="205">
        <f t="shared" si="13"/>
        <v>989</v>
      </c>
      <c r="O39" s="242">
        <v>3.23</v>
      </c>
      <c r="P39" s="206"/>
      <c r="R39" s="6">
        <f>B39*2*3.23*11%</f>
        <v>29.134600000000002</v>
      </c>
      <c r="S39" s="6">
        <f t="shared" si="16"/>
        <v>54.716200000000001</v>
      </c>
      <c r="T39" s="6">
        <f t="shared" si="16"/>
        <v>58.269200000000005</v>
      </c>
      <c r="U39" s="6">
        <f t="shared" si="16"/>
        <v>54.716200000000001</v>
      </c>
      <c r="V39" s="6">
        <f t="shared" si="16"/>
        <v>59.690399999999997</v>
      </c>
      <c r="W39" s="6">
        <f t="shared" si="16"/>
        <v>36.9512</v>
      </c>
      <c r="X39" s="6">
        <f t="shared" si="16"/>
        <v>63.243399999999994</v>
      </c>
      <c r="Y39" s="6">
        <f t="shared" si="16"/>
        <v>82.429600000000008</v>
      </c>
      <c r="Z39" s="6">
        <f t="shared" si="16"/>
        <v>81.008399999999995</v>
      </c>
      <c r="AA39" s="6">
        <f t="shared" si="16"/>
        <v>68.21759999999999</v>
      </c>
      <c r="AB39" s="6">
        <f t="shared" si="16"/>
        <v>54.005600000000001</v>
      </c>
      <c r="AC39" s="6">
        <f t="shared" si="16"/>
        <v>60.401000000000003</v>
      </c>
    </row>
    <row r="40" spans="1:29">
      <c r="A40" s="2">
        <v>2005</v>
      </c>
      <c r="B40" s="169">
        <v>44</v>
      </c>
      <c r="C40" s="169">
        <v>32</v>
      </c>
      <c r="D40" s="169">
        <v>69</v>
      </c>
      <c r="E40" s="169">
        <v>30</v>
      </c>
      <c r="F40" s="169">
        <v>38</v>
      </c>
      <c r="G40" s="169">
        <v>75</v>
      </c>
      <c r="H40" s="169">
        <v>90</v>
      </c>
      <c r="I40" s="169">
        <v>155</v>
      </c>
      <c r="J40" s="169">
        <v>150</v>
      </c>
      <c r="K40" s="169">
        <v>98</v>
      </c>
      <c r="L40" s="169">
        <v>130</v>
      </c>
      <c r="M40" s="169"/>
      <c r="N40" s="205">
        <f t="shared" si="13"/>
        <v>911</v>
      </c>
      <c r="O40" s="333">
        <v>3.23</v>
      </c>
      <c r="P40" s="206" t="s">
        <v>152</v>
      </c>
      <c r="R40" s="6">
        <f>B40*2*3.23*11%</f>
        <v>31.266400000000001</v>
      </c>
      <c r="S40" s="6">
        <f t="shared" si="16"/>
        <v>22.7392</v>
      </c>
      <c r="T40" s="6">
        <f t="shared" si="16"/>
        <v>49.031399999999998</v>
      </c>
      <c r="U40" s="6">
        <f t="shared" si="16"/>
        <v>21.318000000000001</v>
      </c>
      <c r="V40" s="6">
        <f t="shared" si="16"/>
        <v>27.002800000000001</v>
      </c>
      <c r="W40" s="6">
        <f t="shared" si="16"/>
        <v>53.295000000000002</v>
      </c>
      <c r="X40" s="6">
        <f t="shared" si="16"/>
        <v>63.954000000000001</v>
      </c>
      <c r="Y40" s="6">
        <f t="shared" si="16"/>
        <v>110.143</v>
      </c>
      <c r="Z40" s="6">
        <f t="shared" si="16"/>
        <v>106.59</v>
      </c>
      <c r="AA40" s="6">
        <f t="shared" si="16"/>
        <v>69.638800000000003</v>
      </c>
      <c r="AB40" s="6">
        <f t="shared" si="16"/>
        <v>92.378</v>
      </c>
      <c r="AC40" s="6">
        <f t="shared" si="16"/>
        <v>0</v>
      </c>
    </row>
    <row r="41" spans="1:29">
      <c r="A41" s="2">
        <v>2006</v>
      </c>
      <c r="B41" s="169">
        <v>64</v>
      </c>
      <c r="C41" s="169"/>
      <c r="D41" s="170">
        <v>908</v>
      </c>
      <c r="E41" s="169"/>
      <c r="F41" s="169"/>
      <c r="G41" s="169"/>
      <c r="H41" s="169"/>
      <c r="I41" s="169"/>
      <c r="J41" s="169"/>
      <c r="K41" s="169"/>
      <c r="L41" s="169"/>
      <c r="M41" s="169"/>
      <c r="N41" s="205">
        <f t="shared" si="13"/>
        <v>972</v>
      </c>
      <c r="O41" s="242">
        <v>3.23</v>
      </c>
      <c r="P41" s="206" t="s">
        <v>152</v>
      </c>
      <c r="R41" s="205">
        <f t="shared" si="15"/>
        <v>15488</v>
      </c>
    </row>
    <row r="42" spans="1:29">
      <c r="A42" s="2">
        <v>2007</v>
      </c>
      <c r="B42" s="169">
        <v>82</v>
      </c>
      <c r="C42" s="169"/>
      <c r="D42" s="170">
        <v>849</v>
      </c>
      <c r="E42" s="169"/>
      <c r="F42" s="169"/>
      <c r="G42" s="169"/>
      <c r="H42" s="169"/>
      <c r="I42" s="169"/>
      <c r="J42" s="169"/>
      <c r="K42" s="169"/>
      <c r="L42" s="169"/>
      <c r="M42" s="169"/>
      <c r="N42" s="205">
        <f t="shared" si="13"/>
        <v>931</v>
      </c>
      <c r="O42" s="242">
        <v>3.23</v>
      </c>
      <c r="P42" s="206" t="s">
        <v>152</v>
      </c>
      <c r="R42" s="205">
        <f t="shared" si="15"/>
        <v>19844</v>
      </c>
    </row>
    <row r="43" spans="1:29">
      <c r="A43" s="2">
        <v>2008</v>
      </c>
      <c r="B43" s="169">
        <v>78</v>
      </c>
      <c r="C43" s="169"/>
      <c r="D43" s="170">
        <v>879</v>
      </c>
      <c r="E43" s="169"/>
      <c r="F43" s="169"/>
      <c r="G43" s="169"/>
      <c r="H43" s="169"/>
      <c r="I43" s="169"/>
      <c r="J43" s="169"/>
      <c r="K43" s="169"/>
      <c r="L43" s="169"/>
      <c r="M43" s="169"/>
      <c r="N43" s="205">
        <f t="shared" si="13"/>
        <v>957</v>
      </c>
      <c r="O43" s="242">
        <v>3.23</v>
      </c>
      <c r="P43" s="206" t="s">
        <v>152</v>
      </c>
      <c r="R43" s="205">
        <f t="shared" si="15"/>
        <v>18876</v>
      </c>
    </row>
    <row r="44" spans="1:29">
      <c r="A44" s="2">
        <v>2009</v>
      </c>
      <c r="B44" s="169">
        <v>56</v>
      </c>
      <c r="C44" s="169"/>
      <c r="D44" s="170">
        <v>745</v>
      </c>
      <c r="E44" s="169"/>
      <c r="F44" s="169"/>
      <c r="G44" s="169"/>
      <c r="H44" s="169"/>
      <c r="I44" s="169"/>
      <c r="J44" s="169"/>
      <c r="K44" s="169"/>
      <c r="L44" s="169"/>
      <c r="M44" s="169"/>
      <c r="N44" s="205">
        <f t="shared" si="13"/>
        <v>801</v>
      </c>
      <c r="O44" s="242">
        <v>3.23</v>
      </c>
      <c r="P44" s="206" t="s">
        <v>152</v>
      </c>
      <c r="R44" s="205">
        <f t="shared" si="15"/>
        <v>13552</v>
      </c>
    </row>
    <row r="45" spans="1:29">
      <c r="A45" s="2">
        <v>2010</v>
      </c>
      <c r="B45" s="169">
        <v>34</v>
      </c>
      <c r="C45" s="169"/>
      <c r="D45" s="170">
        <v>668</v>
      </c>
      <c r="E45" s="169"/>
      <c r="F45" s="169"/>
      <c r="G45" s="169"/>
      <c r="H45" s="169"/>
      <c r="I45" s="169"/>
      <c r="J45" s="169"/>
      <c r="K45" s="169"/>
      <c r="L45" s="169"/>
      <c r="M45" s="169"/>
      <c r="N45" s="205">
        <f t="shared" si="13"/>
        <v>702</v>
      </c>
      <c r="O45" s="242">
        <v>3.23</v>
      </c>
      <c r="P45" s="206" t="s">
        <v>152</v>
      </c>
      <c r="R45" s="205">
        <f t="shared" si="15"/>
        <v>8228</v>
      </c>
    </row>
    <row r="46" spans="1:29">
      <c r="A46" s="2">
        <v>2011</v>
      </c>
      <c r="B46" s="169">
        <v>33</v>
      </c>
      <c r="C46" s="169"/>
      <c r="D46" s="170">
        <v>542</v>
      </c>
      <c r="E46" s="169"/>
      <c r="F46" s="169"/>
      <c r="G46" s="169"/>
      <c r="H46" s="169"/>
      <c r="I46" s="169"/>
      <c r="J46" s="169"/>
      <c r="K46" s="169"/>
      <c r="L46" s="169"/>
      <c r="M46" s="169"/>
      <c r="N46" s="205">
        <f t="shared" si="13"/>
        <v>575</v>
      </c>
      <c r="O46" s="242">
        <v>3.23</v>
      </c>
      <c r="P46" s="206" t="s">
        <v>152</v>
      </c>
      <c r="R46" s="205">
        <f t="shared" si="15"/>
        <v>7986</v>
      </c>
    </row>
    <row r="47" spans="1:29">
      <c r="A47" s="2">
        <v>2012</v>
      </c>
      <c r="B47" s="169">
        <v>21</v>
      </c>
      <c r="C47" s="169"/>
      <c r="D47" s="170">
        <v>442</v>
      </c>
      <c r="E47" s="169"/>
      <c r="F47" s="169"/>
      <c r="G47" s="169"/>
      <c r="H47" s="169"/>
      <c r="I47" s="169"/>
      <c r="J47" s="169"/>
      <c r="K47" s="169"/>
      <c r="L47" s="169"/>
      <c r="M47" s="169"/>
      <c r="N47" s="205">
        <f t="shared" si="13"/>
        <v>463</v>
      </c>
      <c r="O47" s="242">
        <v>3.23</v>
      </c>
      <c r="P47" s="206" t="s">
        <v>152</v>
      </c>
      <c r="R47" s="205">
        <f t="shared" si="15"/>
        <v>5082</v>
      </c>
    </row>
    <row r="48" spans="1:29">
      <c r="A48" s="2">
        <v>2013</v>
      </c>
      <c r="B48" s="169">
        <v>35</v>
      </c>
      <c r="C48" s="169">
        <v>32</v>
      </c>
      <c r="D48" s="169">
        <v>51</v>
      </c>
      <c r="E48" s="169">
        <v>54</v>
      </c>
      <c r="F48" s="169">
        <v>66</v>
      </c>
      <c r="G48" s="169">
        <v>37</v>
      </c>
      <c r="H48" s="169">
        <v>59</v>
      </c>
      <c r="I48" s="169">
        <v>77</v>
      </c>
      <c r="J48" s="169">
        <v>71</v>
      </c>
      <c r="K48" s="169">
        <v>36</v>
      </c>
      <c r="L48" s="169">
        <v>48</v>
      </c>
      <c r="M48" s="169">
        <v>66</v>
      </c>
      <c r="N48" s="205">
        <f t="shared" si="13"/>
        <v>632</v>
      </c>
      <c r="O48" s="242">
        <v>3.23</v>
      </c>
      <c r="P48" s="206" t="s">
        <v>152</v>
      </c>
      <c r="R48" s="205">
        <f t="shared" si="15"/>
        <v>8470</v>
      </c>
    </row>
    <row r="49" spans="1:18">
      <c r="A49" s="2">
        <v>2014</v>
      </c>
      <c r="B49" s="169">
        <v>26</v>
      </c>
      <c r="C49" s="169">
        <v>47</v>
      </c>
      <c r="D49" s="204">
        <v>37</v>
      </c>
      <c r="E49" s="169">
        <v>20</v>
      </c>
      <c r="F49" s="169">
        <v>31</v>
      </c>
      <c r="G49" s="169">
        <v>47</v>
      </c>
      <c r="H49" s="169">
        <v>55</v>
      </c>
      <c r="I49" s="169">
        <v>61</v>
      </c>
      <c r="J49" s="169">
        <v>86</v>
      </c>
      <c r="K49" s="169">
        <v>62</v>
      </c>
      <c r="L49" s="169">
        <v>59</v>
      </c>
      <c r="M49" s="169">
        <v>57</v>
      </c>
      <c r="N49" s="205">
        <f>SUM(B49:M49)</f>
        <v>588</v>
      </c>
      <c r="O49" s="242">
        <v>3.23</v>
      </c>
      <c r="P49" s="206" t="s">
        <v>152</v>
      </c>
    </row>
    <row r="50" spans="1:18">
      <c r="A50" s="2">
        <v>2015</v>
      </c>
      <c r="B50" s="169">
        <v>21</v>
      </c>
      <c r="C50" s="169">
        <v>60</v>
      </c>
      <c r="D50" s="169">
        <v>49</v>
      </c>
      <c r="E50" s="169">
        <v>53</v>
      </c>
      <c r="F50" s="169">
        <v>52</v>
      </c>
      <c r="G50" s="169">
        <v>53</v>
      </c>
      <c r="H50" s="169">
        <v>56</v>
      </c>
      <c r="I50" s="169">
        <v>72</v>
      </c>
      <c r="J50" s="169">
        <v>79</v>
      </c>
      <c r="K50" s="169">
        <v>64</v>
      </c>
      <c r="L50" s="169">
        <v>64</v>
      </c>
      <c r="M50" s="169">
        <v>75</v>
      </c>
      <c r="N50" s="205">
        <f>SUM(B50:M50)</f>
        <v>698</v>
      </c>
      <c r="O50" s="242">
        <v>3.23</v>
      </c>
      <c r="P50" s="206" t="s">
        <v>152</v>
      </c>
    </row>
    <row r="51" spans="1:18">
      <c r="A51" s="2">
        <v>2016</v>
      </c>
      <c r="B51" s="169">
        <v>16</v>
      </c>
      <c r="C51" s="169">
        <v>22</v>
      </c>
      <c r="D51" s="169">
        <v>39</v>
      </c>
      <c r="E51" s="169">
        <v>55</v>
      </c>
      <c r="F51" s="169">
        <v>53</v>
      </c>
      <c r="G51" s="169">
        <v>52</v>
      </c>
      <c r="H51" s="169">
        <v>52</v>
      </c>
      <c r="I51" s="169">
        <v>98</v>
      </c>
      <c r="J51" s="169">
        <v>85</v>
      </c>
      <c r="K51" s="169">
        <v>66</v>
      </c>
      <c r="L51" s="169">
        <v>54</v>
      </c>
      <c r="M51" s="169">
        <v>110</v>
      </c>
      <c r="N51" s="205">
        <f t="shared" ref="N51:N55" si="17">SUM(B51:M51)</f>
        <v>702</v>
      </c>
      <c r="O51" s="242">
        <v>3.23</v>
      </c>
      <c r="P51" s="206">
        <v>1</v>
      </c>
    </row>
    <row r="52" spans="1:18">
      <c r="A52" s="2">
        <v>2017</v>
      </c>
      <c r="B52" s="169">
        <v>35</v>
      </c>
      <c r="C52" s="169"/>
      <c r="D52" s="169"/>
      <c r="E52" s="169"/>
      <c r="F52" s="169"/>
      <c r="G52" s="169"/>
      <c r="H52" s="170">
        <v>656</v>
      </c>
      <c r="I52" s="169"/>
      <c r="J52" s="169"/>
      <c r="K52" s="169"/>
      <c r="L52" s="169"/>
      <c r="M52" s="169"/>
      <c r="N52" s="205">
        <f t="shared" si="17"/>
        <v>691</v>
      </c>
      <c r="O52" s="242"/>
      <c r="P52" s="2">
        <v>4</v>
      </c>
    </row>
    <row r="53" spans="1:18">
      <c r="A53" s="2">
        <v>2018</v>
      </c>
      <c r="B53" s="169">
        <v>34</v>
      </c>
      <c r="C53" s="169"/>
      <c r="D53" s="169"/>
      <c r="E53" s="169"/>
      <c r="F53" s="169"/>
      <c r="G53" s="169"/>
      <c r="H53" s="170">
        <v>572</v>
      </c>
      <c r="I53" s="169"/>
      <c r="J53" s="169"/>
      <c r="K53" s="169"/>
      <c r="L53" s="169"/>
      <c r="M53" s="169"/>
      <c r="N53" s="205">
        <f t="shared" si="17"/>
        <v>606</v>
      </c>
      <c r="O53" s="242"/>
      <c r="P53" s="206" t="s">
        <v>152</v>
      </c>
    </row>
    <row r="54" spans="1:18">
      <c r="A54" s="2">
        <v>2019</v>
      </c>
      <c r="B54" s="169">
        <v>18</v>
      </c>
      <c r="C54" s="169">
        <v>54</v>
      </c>
      <c r="D54" s="169">
        <v>66</v>
      </c>
      <c r="E54" s="169"/>
      <c r="F54" s="169"/>
      <c r="G54" s="169"/>
      <c r="H54" s="170">
        <v>653</v>
      </c>
      <c r="I54" s="169"/>
      <c r="J54" s="169"/>
      <c r="K54" s="169"/>
      <c r="L54" s="169"/>
      <c r="M54" s="169"/>
      <c r="N54" s="205">
        <f t="shared" si="17"/>
        <v>791</v>
      </c>
      <c r="O54" s="242"/>
      <c r="P54" s="206" t="s">
        <v>152</v>
      </c>
    </row>
    <row r="55" spans="1:18">
      <c r="A55" s="2">
        <v>2020</v>
      </c>
      <c r="B55" s="169">
        <v>23</v>
      </c>
      <c r="C55" s="169">
        <v>44</v>
      </c>
      <c r="D55" s="169">
        <v>21</v>
      </c>
      <c r="E55" s="169">
        <v>14</v>
      </c>
      <c r="F55" s="169">
        <v>29</v>
      </c>
      <c r="G55" s="169">
        <v>13</v>
      </c>
      <c r="H55" s="169">
        <v>60</v>
      </c>
      <c r="I55" s="169">
        <v>47</v>
      </c>
      <c r="J55" s="169">
        <v>57</v>
      </c>
      <c r="K55" s="169">
        <v>47</v>
      </c>
      <c r="L55" s="169">
        <v>29</v>
      </c>
      <c r="M55" s="169">
        <v>41</v>
      </c>
      <c r="N55" s="205">
        <f t="shared" si="17"/>
        <v>425</v>
      </c>
      <c r="O55" s="242"/>
      <c r="P55" s="206">
        <v>2</v>
      </c>
      <c r="Q55" s="206">
        <v>3</v>
      </c>
      <c r="R55" s="206"/>
    </row>
    <row r="56" spans="1:18">
      <c r="A56" s="2">
        <v>2021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</row>
    <row r="57" spans="1:18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</row>
    <row r="58" spans="1:18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</row>
    <row r="59" spans="1:18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</row>
    <row r="60" spans="1:18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</row>
    <row r="61" spans="1:18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</row>
  </sheetData>
  <mergeCells count="3">
    <mergeCell ref="F31:O31"/>
    <mergeCell ref="A30:Q30"/>
    <mergeCell ref="A28:R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63"/>
  <sheetViews>
    <sheetView workbookViewId="0">
      <pane ySplit="2" topLeftCell="A3" activePane="bottomLeft" state="frozen"/>
      <selection pane="bottomLeft" activeCell="C30" sqref="C30"/>
    </sheetView>
  </sheetViews>
  <sheetFormatPr defaultRowHeight="12.75"/>
  <cols>
    <col min="1" max="1" width="5" style="2" bestFit="1" customWidth="1"/>
    <col min="2" max="2" width="7" style="2" bestFit="1" customWidth="1"/>
    <col min="3" max="3" width="8" style="2" bestFit="1" customWidth="1"/>
    <col min="4" max="5" width="3.88671875" style="2" bestFit="1" customWidth="1"/>
    <col min="6" max="6" width="5.6640625" style="2" bestFit="1" customWidth="1"/>
    <col min="7" max="7" width="7" style="2" bestFit="1" customWidth="1"/>
    <col min="8" max="8" width="8.33203125" style="2" bestFit="1" customWidth="1"/>
    <col min="9" max="9" width="8" style="2" bestFit="1" customWidth="1"/>
    <col min="10" max="10" width="9" style="2" bestFit="1" customWidth="1"/>
    <col min="11" max="11" width="8" style="2" bestFit="1" customWidth="1"/>
    <col min="12" max="13" width="9" style="2" bestFit="1" customWidth="1"/>
    <col min="14" max="14" width="8.88671875" style="2"/>
    <col min="15" max="19" width="5.109375" style="2" customWidth="1"/>
    <col min="20" max="20" width="8.88671875" style="2"/>
    <col min="21" max="21" width="12.109375" style="2" bestFit="1" customWidth="1"/>
    <col min="22" max="16384" width="8.88671875" style="2"/>
  </cols>
  <sheetData>
    <row r="1" spans="1:22" ht="15">
      <c r="A1" s="490" t="s">
        <v>18</v>
      </c>
      <c r="B1" s="492" t="s">
        <v>4</v>
      </c>
      <c r="C1" s="414" t="s">
        <v>5</v>
      </c>
      <c r="D1" s="494" t="s">
        <v>6</v>
      </c>
      <c r="E1" s="414" t="s">
        <v>7</v>
      </c>
      <c r="F1" s="492" t="s">
        <v>2</v>
      </c>
      <c r="G1" s="414" t="s">
        <v>8</v>
      </c>
      <c r="H1" s="511" t="s">
        <v>9</v>
      </c>
      <c r="I1" s="414" t="s">
        <v>10</v>
      </c>
      <c r="J1" s="492" t="s">
        <v>11</v>
      </c>
      <c r="K1" s="414" t="s">
        <v>12</v>
      </c>
      <c r="L1" s="511" t="s">
        <v>13</v>
      </c>
      <c r="M1" s="513" t="s">
        <v>14</v>
      </c>
      <c r="N1" s="515" t="s">
        <v>16</v>
      </c>
      <c r="O1" s="515"/>
      <c r="P1" s="515"/>
      <c r="Q1" s="515"/>
      <c r="U1" s="410" t="s">
        <v>71</v>
      </c>
      <c r="V1" s="410"/>
    </row>
    <row r="2" spans="1:22" ht="15.75" customHeight="1" thickBot="1">
      <c r="A2" s="491"/>
      <c r="B2" s="493"/>
      <c r="C2" s="416"/>
      <c r="D2" s="495"/>
      <c r="E2" s="416"/>
      <c r="F2" s="493"/>
      <c r="G2" s="416"/>
      <c r="H2" s="512"/>
      <c r="I2" s="416"/>
      <c r="J2" s="493"/>
      <c r="K2" s="416"/>
      <c r="L2" s="512"/>
      <c r="M2" s="514"/>
      <c r="N2" s="87" t="s">
        <v>36</v>
      </c>
      <c r="O2" s="87" t="s">
        <v>27</v>
      </c>
      <c r="P2" s="87" t="s">
        <v>50</v>
      </c>
      <c r="Q2" s="88" t="s">
        <v>34</v>
      </c>
      <c r="U2" s="410"/>
      <c r="V2" s="410"/>
    </row>
    <row r="3" spans="1:22">
      <c r="A3" s="7">
        <v>1998</v>
      </c>
      <c r="B3" s="9"/>
      <c r="C3" s="9"/>
      <c r="D3" s="9"/>
      <c r="E3" s="9"/>
      <c r="F3" s="9"/>
      <c r="G3" s="9"/>
      <c r="H3" s="9"/>
      <c r="I3" s="123"/>
      <c r="J3" s="123"/>
      <c r="K3" s="123"/>
      <c r="L3" s="123">
        <v>15.26</v>
      </c>
      <c r="M3" s="123"/>
      <c r="N3" s="123">
        <f>SUM(B3:M3)</f>
        <v>15.26</v>
      </c>
      <c r="O3" s="123"/>
      <c r="P3" s="123"/>
      <c r="Q3" s="123"/>
      <c r="U3" s="77"/>
      <c r="V3" s="499" t="s">
        <v>37</v>
      </c>
    </row>
    <row r="4" spans="1:22">
      <c r="A4" s="1">
        <v>1999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9"/>
      <c r="O4" s="3"/>
      <c r="P4" s="3"/>
      <c r="Q4" s="3"/>
      <c r="U4" s="77">
        <v>25.36</v>
      </c>
      <c r="V4" s="499"/>
    </row>
    <row r="5" spans="1:22">
      <c r="A5" s="1">
        <v>2000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9"/>
      <c r="O5" s="3"/>
      <c r="P5" s="3"/>
      <c r="Q5" s="3"/>
      <c r="U5" s="77">
        <v>2.3199999999999998</v>
      </c>
      <c r="V5" s="499"/>
    </row>
    <row r="6" spans="1:22">
      <c r="A6" s="1">
        <v>2001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9"/>
      <c r="O6" s="3"/>
      <c r="P6" s="3"/>
      <c r="Q6" s="3"/>
      <c r="U6" s="77">
        <v>477.65</v>
      </c>
      <c r="V6" s="499"/>
    </row>
    <row r="7" spans="1:22">
      <c r="A7" s="1">
        <v>2002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9"/>
      <c r="O7" s="3"/>
      <c r="P7" s="3"/>
      <c r="Q7" s="3"/>
      <c r="U7" s="77">
        <v>4.7300000000000004</v>
      </c>
      <c r="V7" s="499"/>
    </row>
    <row r="8" spans="1:22">
      <c r="A8" s="1">
        <v>2003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59"/>
      <c r="O8" s="3"/>
      <c r="P8" s="3"/>
      <c r="Q8" s="3"/>
      <c r="U8" s="77">
        <v>655</v>
      </c>
      <c r="V8" s="499"/>
    </row>
    <row r="9" spans="1:22">
      <c r="A9" s="1">
        <v>2004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59"/>
      <c r="O9" s="3"/>
      <c r="P9" s="3"/>
      <c r="Q9" s="3"/>
      <c r="U9" s="77">
        <v>12.76</v>
      </c>
      <c r="V9" s="499"/>
    </row>
    <row r="10" spans="1:22">
      <c r="A10" s="1">
        <v>2005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9"/>
      <c r="O10" s="3"/>
      <c r="P10" s="3"/>
      <c r="Q10" s="3"/>
      <c r="U10" s="77">
        <v>147.56</v>
      </c>
      <c r="V10" s="499"/>
    </row>
    <row r="11" spans="1:22">
      <c r="A11" s="1">
        <v>2006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9"/>
      <c r="O11" s="3"/>
      <c r="P11" s="3"/>
      <c r="Q11" s="3"/>
      <c r="U11" s="77">
        <v>182.75</v>
      </c>
      <c r="V11" s="499"/>
    </row>
    <row r="12" spans="1:22">
      <c r="A12" s="1">
        <v>2007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9"/>
      <c r="O12" s="3"/>
      <c r="P12" s="3"/>
      <c r="Q12" s="3"/>
      <c r="U12" s="78">
        <v>134.6</v>
      </c>
      <c r="V12" s="499"/>
    </row>
    <row r="13" spans="1:22">
      <c r="A13" s="1">
        <v>2008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9"/>
      <c r="O13" s="3"/>
      <c r="P13" s="3"/>
      <c r="Q13" s="3"/>
      <c r="U13" s="78">
        <v>149.12</v>
      </c>
      <c r="V13" s="499"/>
    </row>
    <row r="14" spans="1:22">
      <c r="A14" s="1">
        <v>2009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9"/>
      <c r="O14" s="3"/>
      <c r="P14" s="3"/>
      <c r="Q14" s="3"/>
      <c r="U14" s="78">
        <v>18.77</v>
      </c>
      <c r="V14" s="499"/>
    </row>
    <row r="15" spans="1:22">
      <c r="A15" s="1">
        <v>2010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9"/>
      <c r="O15" s="3"/>
      <c r="P15" s="3"/>
      <c r="Q15" s="3"/>
      <c r="U15" s="78">
        <v>24.1</v>
      </c>
      <c r="V15" s="499"/>
    </row>
    <row r="16" spans="1:22">
      <c r="A16" s="1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9"/>
      <c r="O16" s="3"/>
      <c r="P16" s="3"/>
      <c r="Q16" s="3"/>
      <c r="U16" s="78">
        <v>2.2400000000000002</v>
      </c>
      <c r="V16" s="499"/>
    </row>
    <row r="17" spans="1:29">
      <c r="A17" s="1">
        <v>2012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9"/>
      <c r="O17" s="3"/>
      <c r="P17" s="3"/>
      <c r="Q17" s="3"/>
      <c r="U17" s="78"/>
    </row>
    <row r="18" spans="1:29">
      <c r="A18" s="1">
        <v>2013</v>
      </c>
      <c r="B18" s="3"/>
      <c r="C18" s="3"/>
      <c r="D18" s="3"/>
      <c r="E18" s="3"/>
      <c r="F18" s="3"/>
      <c r="G18" s="8"/>
      <c r="H18" s="8"/>
      <c r="I18" s="8"/>
      <c r="J18" s="8"/>
      <c r="K18" s="8"/>
      <c r="L18" s="8"/>
      <c r="M18" s="8"/>
      <c r="N18" s="59"/>
      <c r="O18" s="3"/>
      <c r="P18" s="163"/>
      <c r="Q18" s="163"/>
      <c r="R18" s="5"/>
      <c r="S18" s="5" t="s">
        <v>1</v>
      </c>
      <c r="T18" s="5" t="s">
        <v>2</v>
      </c>
    </row>
    <row r="19" spans="1:29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f>SUM(N3:N18)</f>
        <v>15.26</v>
      </c>
      <c r="O19" s="3">
        <f t="shared" ref="O19:Q19" si="0">SUM(O3:O18)</f>
        <v>0</v>
      </c>
      <c r="P19" s="3">
        <f t="shared" si="0"/>
        <v>0</v>
      </c>
      <c r="Q19" s="3">
        <f t="shared" si="0"/>
        <v>0</v>
      </c>
    </row>
    <row r="21" spans="1:29">
      <c r="N21" s="4">
        <v>1836.9599999999998</v>
      </c>
    </row>
    <row r="22" spans="1:29" s="10" customFormat="1" ht="15"/>
    <row r="23" spans="1:29" s="10" customFormat="1" ht="15.75" customHeight="1">
      <c r="A23" s="474" t="s">
        <v>33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60"/>
      <c r="S23" s="60"/>
      <c r="T23" s="60"/>
      <c r="U23" s="60"/>
      <c r="V23" s="60"/>
      <c r="W23" s="60"/>
      <c r="X23" s="60"/>
      <c r="Y23" s="60"/>
      <c r="Z23" s="2"/>
      <c r="AA23" s="2"/>
      <c r="AB23" s="2"/>
      <c r="AC23" s="2"/>
    </row>
    <row r="24" spans="1:29" s="10" customFormat="1" ht="15" customHeight="1">
      <c r="A24" s="474"/>
      <c r="B24" s="474"/>
      <c r="C24" s="474"/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474"/>
      <c r="Q24" s="474"/>
    </row>
    <row r="25" spans="1:29" s="10" customFormat="1" ht="15"/>
    <row r="26" spans="1:29" s="10" customFormat="1" ht="15"/>
    <row r="27" spans="1:29" s="10" customFormat="1" ht="15">
      <c r="A27" s="475" t="s">
        <v>18</v>
      </c>
      <c r="B27" s="477" t="s">
        <v>20</v>
      </c>
      <c r="C27" s="479" t="s">
        <v>22</v>
      </c>
      <c r="D27" s="481" t="s">
        <v>21</v>
      </c>
      <c r="E27" s="482"/>
      <c r="F27" s="482"/>
      <c r="G27" s="483"/>
      <c r="H27" s="489" t="s">
        <v>23</v>
      </c>
      <c r="I27" s="489"/>
      <c r="J27" s="500" t="s">
        <v>35</v>
      </c>
      <c r="K27" s="501"/>
      <c r="L27" s="501"/>
      <c r="M27" s="501"/>
      <c r="N27" s="502"/>
    </row>
    <row r="28" spans="1:29" s="10" customFormat="1" ht="15">
      <c r="A28" s="476"/>
      <c r="B28" s="478"/>
      <c r="C28" s="480"/>
      <c r="D28" s="484"/>
      <c r="E28" s="485"/>
      <c r="F28" s="485"/>
      <c r="G28" s="486"/>
      <c r="H28" s="49" t="s">
        <v>15</v>
      </c>
      <c r="I28" s="56" t="s">
        <v>34</v>
      </c>
      <c r="J28" s="49" t="s">
        <v>36</v>
      </c>
      <c r="K28" s="49" t="s">
        <v>27</v>
      </c>
      <c r="L28" s="49" t="s">
        <v>50</v>
      </c>
      <c r="M28" s="61" t="s">
        <v>34</v>
      </c>
      <c r="N28" s="89" t="s">
        <v>29</v>
      </c>
    </row>
    <row r="29" spans="1:29" s="10" customFormat="1" ht="15">
      <c r="A29" s="503">
        <v>1998</v>
      </c>
      <c r="B29" s="47" t="s">
        <v>12</v>
      </c>
      <c r="C29" s="346" t="s">
        <v>194</v>
      </c>
      <c r="D29" s="505" t="s">
        <v>123</v>
      </c>
      <c r="E29" s="506"/>
      <c r="F29" s="506"/>
      <c r="G29" s="507"/>
      <c r="H29" s="151"/>
      <c r="I29" s="150">
        <v>0</v>
      </c>
      <c r="J29" s="33"/>
      <c r="K29" s="33"/>
      <c r="L29" s="33"/>
      <c r="M29" s="33"/>
      <c r="N29" s="33">
        <f>SUM(J29:M29)</f>
        <v>0</v>
      </c>
      <c r="P29" t="s">
        <v>122</v>
      </c>
    </row>
    <row r="30" spans="1:29" s="10" customFormat="1" ht="15">
      <c r="A30" s="504"/>
      <c r="B30" s="47" t="s">
        <v>13</v>
      </c>
      <c r="C30" s="346" t="s">
        <v>194</v>
      </c>
      <c r="D30" s="508" t="s">
        <v>121</v>
      </c>
      <c r="E30" s="509"/>
      <c r="F30" s="509"/>
      <c r="G30" s="510"/>
      <c r="H30" s="151"/>
      <c r="I30" s="150">
        <v>0</v>
      </c>
      <c r="J30" s="33">
        <v>15.26</v>
      </c>
      <c r="K30" s="33"/>
      <c r="L30" s="33"/>
      <c r="M30" s="33"/>
      <c r="N30" s="33">
        <f>SUM(J30:M30)</f>
        <v>15.26</v>
      </c>
      <c r="P30" t="s">
        <v>122</v>
      </c>
    </row>
    <row r="31" spans="1:29" s="10" customFormat="1" ht="15">
      <c r="A31" s="13"/>
      <c r="B31" s="47"/>
      <c r="C31" s="54"/>
      <c r="D31" s="496"/>
      <c r="E31" s="497"/>
      <c r="F31" s="497"/>
      <c r="G31" s="498"/>
      <c r="H31" s="62"/>
      <c r="I31" s="62"/>
      <c r="J31" s="33"/>
      <c r="K31" s="33"/>
      <c r="L31" s="33"/>
      <c r="M31" s="33"/>
      <c r="N31" s="33">
        <f t="shared" ref="N31:N45" si="1">SUM(J31:M31)</f>
        <v>0</v>
      </c>
    </row>
    <row r="32" spans="1:29" s="10" customFormat="1" ht="15">
      <c r="A32" s="13"/>
      <c r="B32" s="47"/>
      <c r="C32" s="54"/>
      <c r="D32" s="496"/>
      <c r="E32" s="497"/>
      <c r="F32" s="497"/>
      <c r="G32" s="498"/>
      <c r="H32" s="62"/>
      <c r="I32" s="62"/>
      <c r="J32" s="33"/>
      <c r="K32" s="33"/>
      <c r="L32" s="33"/>
      <c r="M32" s="33"/>
      <c r="N32" s="33">
        <f t="shared" si="1"/>
        <v>0</v>
      </c>
    </row>
    <row r="33" spans="1:14" s="10" customFormat="1" ht="15">
      <c r="A33" s="13"/>
      <c r="B33" s="47"/>
      <c r="C33" s="54"/>
      <c r="D33" s="496"/>
      <c r="E33" s="497"/>
      <c r="F33" s="497"/>
      <c r="G33" s="498"/>
      <c r="H33" s="62"/>
      <c r="I33" s="62"/>
      <c r="J33" s="33"/>
      <c r="K33" s="33"/>
      <c r="L33" s="33"/>
      <c r="M33" s="33"/>
      <c r="N33" s="33">
        <f t="shared" si="1"/>
        <v>0</v>
      </c>
    </row>
    <row r="34" spans="1:14" s="10" customFormat="1" ht="15">
      <c r="A34" s="13"/>
      <c r="B34" s="47"/>
      <c r="C34" s="54"/>
      <c r="D34" s="496"/>
      <c r="E34" s="497"/>
      <c r="F34" s="497"/>
      <c r="G34" s="498"/>
      <c r="H34" s="62"/>
      <c r="I34" s="62"/>
      <c r="J34" s="33"/>
      <c r="K34" s="33"/>
      <c r="L34" s="33"/>
      <c r="M34" s="33"/>
      <c r="N34" s="33">
        <f t="shared" si="1"/>
        <v>0</v>
      </c>
    </row>
    <row r="35" spans="1:14" s="10" customFormat="1" ht="15">
      <c r="A35" s="13"/>
      <c r="B35" s="47"/>
      <c r="C35" s="52"/>
      <c r="D35" s="496"/>
      <c r="E35" s="497"/>
      <c r="F35" s="497"/>
      <c r="G35" s="498"/>
      <c r="H35" s="51"/>
      <c r="I35" s="51"/>
      <c r="J35" s="33"/>
      <c r="K35" s="33"/>
      <c r="L35" s="33"/>
      <c r="M35" s="33"/>
      <c r="N35" s="33">
        <f t="shared" si="1"/>
        <v>0</v>
      </c>
    </row>
    <row r="36" spans="1:14" s="10" customFormat="1" ht="15">
      <c r="A36" s="13"/>
      <c r="B36" s="47"/>
      <c r="C36" s="52"/>
      <c r="D36" s="496"/>
      <c r="E36" s="497"/>
      <c r="F36" s="497"/>
      <c r="G36" s="498"/>
      <c r="H36" s="51"/>
      <c r="I36" s="51"/>
      <c r="J36" s="33"/>
      <c r="K36" s="33"/>
      <c r="L36" s="33"/>
      <c r="M36" s="33"/>
      <c r="N36" s="33">
        <f t="shared" si="1"/>
        <v>0</v>
      </c>
    </row>
    <row r="37" spans="1:14" s="10" customFormat="1" ht="15">
      <c r="A37" s="13"/>
      <c r="B37" s="47"/>
      <c r="C37" s="52"/>
      <c r="D37" s="496"/>
      <c r="E37" s="497"/>
      <c r="F37" s="497"/>
      <c r="G37" s="498"/>
      <c r="H37" s="51"/>
      <c r="I37" s="51"/>
      <c r="J37" s="33"/>
      <c r="K37" s="33"/>
      <c r="L37" s="33"/>
      <c r="M37" s="33"/>
      <c r="N37" s="33">
        <f t="shared" si="1"/>
        <v>0</v>
      </c>
    </row>
    <row r="38" spans="1:14" s="10" customFormat="1" ht="15">
      <c r="A38" s="13"/>
      <c r="B38" s="47"/>
      <c r="C38" s="52"/>
      <c r="D38" s="496"/>
      <c r="E38" s="497"/>
      <c r="F38" s="497"/>
      <c r="G38" s="498"/>
      <c r="H38" s="51"/>
      <c r="I38" s="51"/>
      <c r="J38" s="33"/>
      <c r="K38" s="33"/>
      <c r="L38" s="33"/>
      <c r="M38" s="33"/>
      <c r="N38" s="33">
        <f t="shared" si="1"/>
        <v>0</v>
      </c>
    </row>
    <row r="39" spans="1:14" s="10" customFormat="1" ht="15">
      <c r="A39" s="13"/>
      <c r="B39" s="47"/>
      <c r="C39" s="52"/>
      <c r="D39" s="496"/>
      <c r="E39" s="497"/>
      <c r="F39" s="497"/>
      <c r="G39" s="498"/>
      <c r="H39" s="51"/>
      <c r="I39" s="51"/>
      <c r="J39" s="33"/>
      <c r="K39" s="33"/>
      <c r="L39" s="33"/>
      <c r="M39" s="33"/>
      <c r="N39" s="33">
        <f t="shared" si="1"/>
        <v>0</v>
      </c>
    </row>
    <row r="40" spans="1:14" s="10" customFormat="1" ht="15">
      <c r="A40" s="13"/>
      <c r="B40" s="47"/>
      <c r="C40" s="52"/>
      <c r="D40" s="496"/>
      <c r="E40" s="497"/>
      <c r="F40" s="497"/>
      <c r="G40" s="498"/>
      <c r="H40" s="51"/>
      <c r="I40" s="51"/>
      <c r="J40" s="33"/>
      <c r="K40" s="33"/>
      <c r="L40" s="33"/>
      <c r="M40" s="33"/>
      <c r="N40" s="33">
        <f t="shared" si="1"/>
        <v>0</v>
      </c>
    </row>
    <row r="41" spans="1:14" s="10" customFormat="1" ht="15">
      <c r="A41" s="13"/>
      <c r="B41" s="47"/>
      <c r="C41" s="52"/>
      <c r="D41" s="496"/>
      <c r="E41" s="497"/>
      <c r="F41" s="497"/>
      <c r="G41" s="498"/>
      <c r="H41" s="51"/>
      <c r="I41" s="51"/>
      <c r="J41" s="33"/>
      <c r="K41" s="33"/>
      <c r="L41" s="33"/>
      <c r="M41" s="33"/>
      <c r="N41" s="33">
        <f t="shared" si="1"/>
        <v>0</v>
      </c>
    </row>
    <row r="42" spans="1:14" s="10" customFormat="1" ht="15">
      <c r="A42" s="13"/>
      <c r="B42" s="47"/>
      <c r="C42" s="52"/>
      <c r="D42" s="496"/>
      <c r="E42" s="497"/>
      <c r="F42" s="497"/>
      <c r="G42" s="498"/>
      <c r="H42" s="51"/>
      <c r="I42" s="51"/>
      <c r="J42" s="33"/>
      <c r="K42" s="33"/>
      <c r="L42" s="33"/>
      <c r="M42" s="33"/>
      <c r="N42" s="33">
        <f t="shared" si="1"/>
        <v>0</v>
      </c>
    </row>
    <row r="43" spans="1:14" s="10" customFormat="1" ht="15">
      <c r="A43" s="13"/>
      <c r="B43" s="47"/>
      <c r="C43" s="52"/>
      <c r="D43" s="496"/>
      <c r="E43" s="497"/>
      <c r="F43" s="497"/>
      <c r="G43" s="498"/>
      <c r="H43" s="51"/>
      <c r="I43" s="51"/>
      <c r="J43" s="33"/>
      <c r="K43" s="33"/>
      <c r="L43" s="33"/>
      <c r="M43" s="33"/>
      <c r="N43" s="33">
        <f t="shared" si="1"/>
        <v>0</v>
      </c>
    </row>
    <row r="44" spans="1:14" s="10" customFormat="1" ht="15">
      <c r="A44" s="13"/>
      <c r="B44" s="47"/>
      <c r="C44" s="52"/>
      <c r="D44" s="496"/>
      <c r="E44" s="497"/>
      <c r="F44" s="497"/>
      <c r="G44" s="498"/>
      <c r="H44" s="51"/>
      <c r="I44" s="51"/>
      <c r="J44" s="33"/>
      <c r="K44" s="33"/>
      <c r="L44" s="33"/>
      <c r="M44" s="33"/>
      <c r="N44" s="33">
        <f t="shared" si="1"/>
        <v>0</v>
      </c>
    </row>
    <row r="45" spans="1:14" s="10" customFormat="1" ht="15">
      <c r="A45" s="13"/>
      <c r="B45" s="47"/>
      <c r="C45" s="53"/>
      <c r="D45" s="496"/>
      <c r="E45" s="497"/>
      <c r="F45" s="497"/>
      <c r="G45" s="498"/>
      <c r="H45" s="13"/>
      <c r="I45" s="13"/>
      <c r="J45" s="33"/>
      <c r="K45" s="33"/>
      <c r="L45" s="33"/>
      <c r="M45" s="33"/>
      <c r="N45" s="33">
        <f t="shared" si="1"/>
        <v>0</v>
      </c>
    </row>
    <row r="46" spans="1:14" s="10" customFormat="1" ht="15"/>
    <row r="47" spans="1:14" s="10" customFormat="1" ht="15"/>
    <row r="48" spans="1:14" s="10" customFormat="1" ht="15"/>
    <row r="49" s="10" customFormat="1" ht="15"/>
    <row r="50" s="10" customFormat="1" ht="15"/>
    <row r="51" s="10" customFormat="1" ht="15"/>
    <row r="52" s="10" customFormat="1" ht="15"/>
    <row r="53" s="10" customFormat="1" ht="15"/>
    <row r="54" s="10" customFormat="1" ht="15"/>
    <row r="55" s="10" customFormat="1" ht="15"/>
    <row r="56" s="10" customFormat="1" ht="15"/>
    <row r="57" s="10" customFormat="1" ht="15"/>
    <row r="58" s="10" customFormat="1" ht="15"/>
    <row r="59" s="10" customFormat="1" ht="15"/>
    <row r="60" s="10" customFormat="1" ht="15"/>
    <row r="61" s="10" customFormat="1" ht="15"/>
    <row r="62" s="10" customFormat="1" ht="15"/>
    <row r="63" s="10" customFormat="1" ht="15"/>
    <row r="64" s="10" customFormat="1" ht="15"/>
    <row r="65" s="10" customFormat="1" ht="15"/>
    <row r="66" s="10" customFormat="1" ht="15"/>
    <row r="67" s="10" customFormat="1" ht="15"/>
    <row r="68" s="10" customFormat="1" ht="15"/>
    <row r="69" s="10" customFormat="1" ht="15"/>
    <row r="70" s="10" customFormat="1" ht="15"/>
    <row r="71" s="10" customFormat="1" ht="15"/>
    <row r="72" s="10" customFormat="1" ht="15"/>
    <row r="73" s="10" customFormat="1" ht="15"/>
    <row r="74" s="10" customFormat="1" ht="15"/>
    <row r="75" s="10" customFormat="1" ht="15"/>
    <row r="76" s="10" customFormat="1" ht="15"/>
    <row r="77" s="10" customFormat="1" ht="15"/>
    <row r="78" s="10" customFormat="1" ht="15"/>
    <row r="79" s="10" customFormat="1" ht="15"/>
    <row r="80" s="10" customFormat="1" ht="15"/>
    <row r="81" s="10" customFormat="1" ht="15"/>
    <row r="82" s="10" customFormat="1" ht="15"/>
    <row r="83" s="10" customFormat="1" ht="15"/>
    <row r="84" s="10" customFormat="1" ht="15"/>
    <row r="85" s="10" customFormat="1" ht="15"/>
    <row r="86" s="10" customFormat="1" ht="15"/>
    <row r="87" s="10" customFormat="1" ht="15"/>
    <row r="88" s="10" customFormat="1" ht="15"/>
    <row r="89" s="10" customFormat="1" ht="15"/>
    <row r="90" s="10" customFormat="1" ht="15"/>
    <row r="91" s="10" customFormat="1" ht="15"/>
    <row r="92" s="10" customFormat="1" ht="15"/>
    <row r="93" s="10" customFormat="1" ht="15"/>
    <row r="94" s="10" customFormat="1" ht="15"/>
    <row r="95" s="10" customFormat="1" ht="15"/>
    <row r="96" s="10" customFormat="1" ht="15"/>
    <row r="97" s="10" customFormat="1" ht="15"/>
    <row r="98" s="10" customFormat="1" ht="15"/>
    <row r="99" s="10" customFormat="1" ht="15"/>
    <row r="100" s="10" customFormat="1" ht="15"/>
    <row r="101" s="10" customFormat="1" ht="15"/>
    <row r="102" s="10" customFormat="1" ht="15"/>
    <row r="103" s="10" customFormat="1" ht="15"/>
    <row r="104" s="10" customFormat="1" ht="15"/>
    <row r="105" s="10" customFormat="1" ht="15"/>
    <row r="106" s="10" customFormat="1" ht="15"/>
    <row r="107" s="10" customFormat="1" ht="15"/>
    <row r="108" s="10" customFormat="1" ht="15"/>
    <row r="109" s="10" customFormat="1" ht="15"/>
    <row r="110" s="10" customFormat="1" ht="15"/>
    <row r="111" s="10" customFormat="1" ht="15"/>
    <row r="112" s="10" customFormat="1" ht="15"/>
    <row r="113" s="10" customFormat="1" ht="15"/>
    <row r="114" s="10" customFormat="1" ht="15"/>
    <row r="115" s="10" customFormat="1" ht="15"/>
    <row r="116" s="10" customFormat="1" ht="15"/>
    <row r="117" s="10" customFormat="1" ht="15"/>
    <row r="118" s="10" customFormat="1" ht="15"/>
    <row r="119" s="10" customFormat="1" ht="15"/>
    <row r="120" s="10" customFormat="1" ht="15"/>
    <row r="121" s="10" customFormat="1" ht="15"/>
    <row r="122" s="10" customFormat="1" ht="15"/>
    <row r="123" s="10" customFormat="1" ht="15"/>
    <row r="124" s="10" customFormat="1" ht="15"/>
    <row r="125" s="10" customFormat="1" ht="15"/>
    <row r="126" s="10" customFormat="1" ht="15"/>
    <row r="127" s="10" customFormat="1" ht="15"/>
    <row r="128" s="10" customFormat="1" ht="15"/>
    <row r="129" s="10" customFormat="1" ht="15"/>
    <row r="130" s="10" customFormat="1" ht="15"/>
    <row r="131" s="10" customFormat="1" ht="15"/>
    <row r="132" s="10" customFormat="1" ht="15"/>
    <row r="133" s="10" customFormat="1" ht="15"/>
    <row r="134" s="10" customFormat="1" ht="15"/>
    <row r="135" s="10" customFormat="1" ht="15"/>
    <row r="136" s="10" customFormat="1" ht="15"/>
    <row r="137" s="10" customFormat="1" ht="15"/>
    <row r="138" s="10" customFormat="1" ht="15"/>
    <row r="139" s="10" customFormat="1" ht="15"/>
    <row r="140" s="10" customFormat="1" ht="15"/>
    <row r="141" s="10" customFormat="1" ht="15"/>
    <row r="142" s="10" customFormat="1" ht="15"/>
    <row r="143" s="10" customFormat="1" ht="15"/>
    <row r="144" s="10" customFormat="1" ht="15"/>
    <row r="145" s="10" customFormat="1" ht="15"/>
    <row r="146" s="10" customFormat="1" ht="15"/>
    <row r="147" s="10" customFormat="1" ht="15"/>
    <row r="148" s="10" customFormat="1" ht="15"/>
    <row r="149" s="10" customFormat="1" ht="15"/>
    <row r="150" s="10" customFormat="1" ht="15"/>
    <row r="151" s="10" customFormat="1" ht="15"/>
    <row r="152" s="10" customFormat="1" ht="15"/>
    <row r="153" s="10" customFormat="1" ht="15"/>
    <row r="154" s="10" customFormat="1" ht="15"/>
    <row r="155" s="10" customFormat="1" ht="15"/>
    <row r="156" s="10" customFormat="1" ht="15"/>
    <row r="157" s="10" customFormat="1" ht="15"/>
    <row r="158" s="10" customFormat="1" ht="15"/>
    <row r="159" s="10" customFormat="1" ht="15"/>
    <row r="160" s="10" customFormat="1" ht="15"/>
    <row r="161" s="10" customFormat="1" ht="15"/>
    <row r="162" s="10" customFormat="1" ht="15"/>
    <row r="163" s="10" customFormat="1" ht="15"/>
  </sheetData>
  <mergeCells count="41">
    <mergeCell ref="H27:I27"/>
    <mergeCell ref="U1:V2"/>
    <mergeCell ref="D29:G29"/>
    <mergeCell ref="D30:G30"/>
    <mergeCell ref="D31:G31"/>
    <mergeCell ref="K1:K2"/>
    <mergeCell ref="L1:L2"/>
    <mergeCell ref="M1:M2"/>
    <mergeCell ref="N1:Q1"/>
    <mergeCell ref="F1:F2"/>
    <mergeCell ref="G1:G2"/>
    <mergeCell ref="H1:H2"/>
    <mergeCell ref="I1:I2"/>
    <mergeCell ref="J1:J2"/>
    <mergeCell ref="A27:A28"/>
    <mergeCell ref="B27:B28"/>
    <mergeCell ref="C27:C28"/>
    <mergeCell ref="D27:G28"/>
    <mergeCell ref="D42:G42"/>
    <mergeCell ref="A29:A30"/>
    <mergeCell ref="D43:G43"/>
    <mergeCell ref="D44:G44"/>
    <mergeCell ref="D45:G45"/>
    <mergeCell ref="V3:V16"/>
    <mergeCell ref="J27:N27"/>
    <mergeCell ref="D37:G37"/>
    <mergeCell ref="D38:G38"/>
    <mergeCell ref="D39:G39"/>
    <mergeCell ref="D40:G40"/>
    <mergeCell ref="D41:G41"/>
    <mergeCell ref="D32:G32"/>
    <mergeCell ref="D33:G33"/>
    <mergeCell ref="D34:G34"/>
    <mergeCell ref="D35:G35"/>
    <mergeCell ref="D36:G36"/>
    <mergeCell ref="A23:Q24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pane ySplit="1" topLeftCell="A2" activePane="bottomLeft" state="frozen"/>
      <selection pane="bottomLeft" activeCell="P24" sqref="P24"/>
    </sheetView>
  </sheetViews>
  <sheetFormatPr defaultRowHeight="12.75"/>
  <cols>
    <col min="1" max="1" width="3.88671875" style="2" bestFit="1" customWidth="1"/>
    <col min="2" max="2" width="8.33203125" style="2" bestFit="1" customWidth="1"/>
    <col min="3" max="5" width="7.21875" style="2" bestFit="1" customWidth="1"/>
    <col min="6" max="7" width="6.44140625" style="2" bestFit="1" customWidth="1"/>
    <col min="8" max="11" width="7.21875" style="2" bestFit="1" customWidth="1"/>
    <col min="12" max="12" width="6.44140625" style="2" bestFit="1" customWidth="1"/>
    <col min="13" max="13" width="8.44140625" style="2" bestFit="1" customWidth="1"/>
    <col min="14" max="14" width="8" style="2" bestFit="1" customWidth="1"/>
    <col min="15" max="15" width="7.21875" style="2" bestFit="1" customWidth="1"/>
    <col min="16" max="16" width="7.44140625" style="2" bestFit="1" customWidth="1"/>
    <col min="17" max="17" width="6.44140625" style="2" bestFit="1" customWidth="1"/>
    <col min="18" max="18" width="7.44140625" style="2" bestFit="1" customWidth="1"/>
    <col min="19" max="19" width="8.109375" style="2" customWidth="1"/>
    <col min="20" max="20" width="5.109375" style="2" bestFit="1" customWidth="1"/>
    <col min="21" max="21" width="3.88671875" style="2" bestFit="1" customWidth="1"/>
    <col min="22" max="22" width="6.44140625" style="2" customWidth="1"/>
    <col min="23" max="23" width="2.5546875" style="2" customWidth="1"/>
    <col min="24" max="24" width="7.21875" style="2" bestFit="1" customWidth="1"/>
    <col min="25" max="25" width="4.5546875" style="2" customWidth="1"/>
    <col min="26" max="16384" width="8.88671875" style="2"/>
  </cols>
  <sheetData>
    <row r="1" spans="1:19" ht="13.5" thickBot="1">
      <c r="A1" s="166"/>
      <c r="B1" s="171" t="s">
        <v>4</v>
      </c>
      <c r="C1" s="173" t="s">
        <v>5</v>
      </c>
      <c r="D1" s="171" t="s">
        <v>6</v>
      </c>
      <c r="E1" s="172" t="s">
        <v>7</v>
      </c>
      <c r="F1" s="171" t="s">
        <v>2</v>
      </c>
      <c r="G1" s="173" t="s">
        <v>8</v>
      </c>
      <c r="H1" s="171" t="s">
        <v>9</v>
      </c>
      <c r="I1" s="172" t="s">
        <v>10</v>
      </c>
      <c r="J1" s="171" t="s">
        <v>11</v>
      </c>
      <c r="K1" s="173" t="s">
        <v>12</v>
      </c>
      <c r="L1" s="171" t="s">
        <v>13</v>
      </c>
      <c r="M1" s="172" t="s">
        <v>14</v>
      </c>
      <c r="N1" s="185" t="s">
        <v>29</v>
      </c>
      <c r="O1" s="186" t="s">
        <v>147</v>
      </c>
      <c r="P1" s="186" t="s">
        <v>139</v>
      </c>
      <c r="Q1" s="210" t="s">
        <v>177</v>
      </c>
      <c r="R1" s="186" t="s">
        <v>139</v>
      </c>
    </row>
    <row r="2" spans="1:19">
      <c r="A2" s="7">
        <v>1998</v>
      </c>
      <c r="B2" s="130"/>
      <c r="C2" s="130"/>
      <c r="D2" s="130"/>
      <c r="E2" s="130"/>
      <c r="F2" s="130"/>
      <c r="G2" s="130"/>
      <c r="H2" s="130"/>
      <c r="I2" s="187"/>
      <c r="J2" s="187"/>
      <c r="K2" s="187"/>
      <c r="L2" s="187"/>
      <c r="M2" s="187"/>
      <c r="N2" s="125">
        <f>SUM(I2:M2)</f>
        <v>0</v>
      </c>
      <c r="O2" s="123">
        <f>N2/340.75</f>
        <v>0</v>
      </c>
      <c r="P2" s="193"/>
      <c r="Q2" s="123">
        <f>O2*30%</f>
        <v>0</v>
      </c>
      <c r="R2" s="176">
        <f>P2*30%</f>
        <v>0</v>
      </c>
      <c r="S2" s="330">
        <v>0.3</v>
      </c>
    </row>
    <row r="3" spans="1:19">
      <c r="A3" s="1">
        <v>1999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25">
        <f>SUM(B3:M3)</f>
        <v>0</v>
      </c>
      <c r="O3" s="123">
        <f>N3/340.75</f>
        <v>0</v>
      </c>
      <c r="P3" s="193"/>
      <c r="Q3" s="123">
        <f t="shared" ref="Q3:R16" si="0">O3*30%</f>
        <v>0</v>
      </c>
      <c r="R3" s="176">
        <f t="shared" si="0"/>
        <v>0</v>
      </c>
      <c r="S3" s="332">
        <v>0.4</v>
      </c>
    </row>
    <row r="4" spans="1:19">
      <c r="A4" s="1">
        <v>2000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25">
        <f t="shared" ref="N4:N5" si="1">SUM(B4:M4)</f>
        <v>0</v>
      </c>
      <c r="O4" s="123">
        <f t="shared" ref="O4:O5" si="2">N4/340.75</f>
        <v>0</v>
      </c>
      <c r="P4" s="193"/>
      <c r="Q4" s="123">
        <f t="shared" si="0"/>
        <v>0</v>
      </c>
      <c r="R4" s="176">
        <f t="shared" si="0"/>
        <v>0</v>
      </c>
      <c r="S4" s="332">
        <v>0.45</v>
      </c>
    </row>
    <row r="5" spans="1:19">
      <c r="A5" s="1">
        <v>2001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25">
        <f t="shared" si="1"/>
        <v>0</v>
      </c>
      <c r="O5" s="123">
        <f t="shared" si="2"/>
        <v>0</v>
      </c>
      <c r="P5" s="193"/>
      <c r="Q5" s="123">
        <f t="shared" si="0"/>
        <v>0</v>
      </c>
      <c r="R5" s="176">
        <f t="shared" si="0"/>
        <v>0</v>
      </c>
      <c r="S5" s="332">
        <v>0.4</v>
      </c>
    </row>
    <row r="6" spans="1:19">
      <c r="A6" s="1">
        <v>2002</v>
      </c>
      <c r="B6" s="197"/>
      <c r="C6" s="197"/>
      <c r="D6" s="195"/>
      <c r="E6" s="197"/>
      <c r="F6" s="197"/>
      <c r="G6" s="197"/>
      <c r="H6" s="197"/>
      <c r="I6" s="197"/>
      <c r="J6" s="197"/>
      <c r="K6" s="197"/>
      <c r="L6" s="197"/>
      <c r="M6" s="195"/>
      <c r="N6" s="130"/>
      <c r="O6" s="179">
        <f>SUM(B6:M6)</f>
        <v>0</v>
      </c>
      <c r="P6" s="194"/>
      <c r="Q6" s="123">
        <f t="shared" si="0"/>
        <v>0</v>
      </c>
      <c r="R6" s="176">
        <f t="shared" si="0"/>
        <v>0</v>
      </c>
      <c r="S6" s="332">
        <v>0.4</v>
      </c>
    </row>
    <row r="7" spans="1:19">
      <c r="A7" s="1">
        <v>2003</v>
      </c>
      <c r="B7" s="198"/>
      <c r="C7" s="198"/>
      <c r="D7" s="195"/>
      <c r="E7" s="198"/>
      <c r="F7" s="198"/>
      <c r="G7" s="198"/>
      <c r="H7" s="198"/>
      <c r="I7" s="198"/>
      <c r="J7" s="198"/>
      <c r="K7" s="198"/>
      <c r="L7" s="198"/>
      <c r="M7" s="198"/>
      <c r="N7" s="130"/>
      <c r="O7" s="179">
        <f>SUM(B7:M7)</f>
        <v>0</v>
      </c>
      <c r="P7" s="194"/>
      <c r="Q7" s="123">
        <f t="shared" si="0"/>
        <v>0</v>
      </c>
      <c r="R7" s="176">
        <f t="shared" si="0"/>
        <v>0</v>
      </c>
      <c r="S7" s="330">
        <v>0.4</v>
      </c>
    </row>
    <row r="8" spans="1:19">
      <c r="A8" s="1">
        <v>2004</v>
      </c>
      <c r="B8" s="198"/>
      <c r="C8" s="198"/>
      <c r="D8" s="195"/>
      <c r="E8" s="198"/>
      <c r="F8" s="198"/>
      <c r="G8" s="198"/>
      <c r="H8" s="198"/>
      <c r="I8" s="198"/>
      <c r="J8" s="198"/>
      <c r="K8" s="198"/>
      <c r="L8" s="198"/>
      <c r="M8" s="198"/>
      <c r="N8" s="191"/>
      <c r="O8" s="179">
        <f t="shared" ref="O8:O27" si="3">SUM(B8:M8)</f>
        <v>0</v>
      </c>
      <c r="P8" s="194"/>
      <c r="Q8" s="123">
        <f t="shared" si="0"/>
        <v>0</v>
      </c>
      <c r="R8" s="176">
        <f t="shared" si="0"/>
        <v>0</v>
      </c>
      <c r="S8" s="330">
        <v>0.4</v>
      </c>
    </row>
    <row r="9" spans="1:19">
      <c r="A9" s="1">
        <v>2005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8"/>
      <c r="O9" s="179">
        <f t="shared" si="3"/>
        <v>0</v>
      </c>
      <c r="P9" s="194"/>
      <c r="Q9" s="123">
        <f t="shared" si="0"/>
        <v>0</v>
      </c>
      <c r="R9" s="176">
        <f t="shared" si="0"/>
        <v>0</v>
      </c>
      <c r="S9" s="330">
        <v>0.4</v>
      </c>
    </row>
    <row r="10" spans="1:19">
      <c r="A10" s="1">
        <v>2006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8"/>
      <c r="O10" s="179">
        <f t="shared" si="3"/>
        <v>0</v>
      </c>
      <c r="P10" s="194"/>
      <c r="Q10" s="123">
        <f t="shared" si="0"/>
        <v>0</v>
      </c>
      <c r="R10" s="176">
        <f t="shared" si="0"/>
        <v>0</v>
      </c>
      <c r="S10" s="330">
        <v>0.4</v>
      </c>
    </row>
    <row r="11" spans="1:19">
      <c r="A11" s="1">
        <v>2007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8"/>
      <c r="O11" s="179">
        <f t="shared" si="3"/>
        <v>0</v>
      </c>
      <c r="P11" s="194"/>
      <c r="Q11" s="123">
        <f t="shared" si="0"/>
        <v>0</v>
      </c>
      <c r="R11" s="176">
        <f t="shared" si="0"/>
        <v>0</v>
      </c>
      <c r="S11" s="330">
        <v>0.4</v>
      </c>
    </row>
    <row r="12" spans="1:19">
      <c r="A12" s="1">
        <v>2008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8"/>
      <c r="O12" s="179">
        <f t="shared" si="3"/>
        <v>0</v>
      </c>
      <c r="P12" s="194"/>
      <c r="Q12" s="123">
        <f t="shared" si="0"/>
        <v>0</v>
      </c>
      <c r="R12" s="176">
        <f t="shared" si="0"/>
        <v>0</v>
      </c>
      <c r="S12" s="330">
        <v>0.4</v>
      </c>
    </row>
    <row r="13" spans="1:19">
      <c r="A13" s="1">
        <v>2009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8"/>
      <c r="O13" s="179">
        <f t="shared" si="3"/>
        <v>0</v>
      </c>
      <c r="P13" s="194"/>
      <c r="Q13" s="123">
        <f t="shared" si="0"/>
        <v>0</v>
      </c>
      <c r="R13" s="176">
        <f t="shared" si="0"/>
        <v>0</v>
      </c>
      <c r="S13" s="330">
        <v>0.35</v>
      </c>
    </row>
    <row r="14" spans="1:19">
      <c r="A14" s="1">
        <v>2010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8"/>
      <c r="O14" s="179">
        <f t="shared" si="3"/>
        <v>0</v>
      </c>
      <c r="P14" s="194"/>
      <c r="Q14" s="123">
        <f t="shared" si="0"/>
        <v>0</v>
      </c>
      <c r="R14" s="176">
        <f t="shared" si="0"/>
        <v>0</v>
      </c>
      <c r="S14" s="330">
        <v>0.45</v>
      </c>
    </row>
    <row r="15" spans="1:19">
      <c r="A15" s="1">
        <v>2011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8"/>
      <c r="O15" s="179">
        <f t="shared" si="3"/>
        <v>0</v>
      </c>
      <c r="P15" s="194"/>
      <c r="Q15" s="123">
        <f t="shared" si="0"/>
        <v>0</v>
      </c>
      <c r="R15" s="176">
        <f t="shared" si="0"/>
        <v>0</v>
      </c>
      <c r="S15" s="330">
        <v>0.35</v>
      </c>
    </row>
    <row r="16" spans="1:19">
      <c r="A16" s="1">
        <v>2012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8"/>
      <c r="O16" s="179">
        <f t="shared" si="3"/>
        <v>0</v>
      </c>
      <c r="P16" s="194"/>
      <c r="Q16" s="123">
        <f t="shared" si="0"/>
        <v>0</v>
      </c>
      <c r="R16" s="176">
        <f t="shared" si="0"/>
        <v>0</v>
      </c>
      <c r="S16" s="330">
        <v>0.18</v>
      </c>
    </row>
    <row r="17" spans="1:22">
      <c r="A17" s="1">
        <v>2013</v>
      </c>
      <c r="B17" s="4"/>
      <c r="C17" s="4"/>
      <c r="D17" s="4">
        <v>2</v>
      </c>
      <c r="E17" s="4">
        <v>2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/>
      <c r="L17" s="4"/>
      <c r="M17" s="4">
        <v>1</v>
      </c>
      <c r="N17" s="8"/>
      <c r="O17" s="179">
        <f t="shared" si="3"/>
        <v>10</v>
      </c>
      <c r="P17" s="270">
        <v>22</v>
      </c>
      <c r="Q17" s="123">
        <f>O17*S17</f>
        <v>2.6</v>
      </c>
      <c r="R17" s="125">
        <f>P17*S17</f>
        <v>5.7200000000000006</v>
      </c>
      <c r="S17" s="330">
        <v>0.26</v>
      </c>
    </row>
    <row r="18" spans="1:22">
      <c r="A18" s="1">
        <v>2014</v>
      </c>
      <c r="B18" s="4">
        <v>1</v>
      </c>
      <c r="C18" s="4">
        <v>1</v>
      </c>
      <c r="D18" s="4">
        <v>1</v>
      </c>
      <c r="E18" s="4">
        <v>1</v>
      </c>
      <c r="F18" s="4"/>
      <c r="G18" s="4">
        <v>1</v>
      </c>
      <c r="H18" s="4">
        <v>1</v>
      </c>
      <c r="I18" s="4">
        <v>2</v>
      </c>
      <c r="J18" s="4">
        <v>1</v>
      </c>
      <c r="K18" s="4">
        <v>1</v>
      </c>
      <c r="L18" s="4">
        <v>1</v>
      </c>
      <c r="M18" s="4">
        <v>1</v>
      </c>
      <c r="N18" s="8"/>
      <c r="O18" s="179">
        <f t="shared" si="3"/>
        <v>12</v>
      </c>
      <c r="P18" s="270">
        <v>25</v>
      </c>
      <c r="Q18" s="123">
        <f t="shared" ref="Q18:Q27" si="4">O18*S18</f>
        <v>3.12</v>
      </c>
      <c r="R18" s="125">
        <f t="shared" ref="R18:R27" si="5">P18*S18</f>
        <v>6.5</v>
      </c>
      <c r="S18" s="330">
        <v>0.26</v>
      </c>
    </row>
    <row r="19" spans="1:22">
      <c r="A19" s="1">
        <v>2015</v>
      </c>
      <c r="B19" s="4">
        <v>1</v>
      </c>
      <c r="C19" s="4">
        <v>1</v>
      </c>
      <c r="D19" s="4">
        <v>0</v>
      </c>
      <c r="E19" s="4">
        <v>0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8"/>
      <c r="O19" s="179">
        <f t="shared" si="3"/>
        <v>10</v>
      </c>
      <c r="P19" s="270">
        <v>19</v>
      </c>
      <c r="Q19" s="123">
        <f t="shared" si="4"/>
        <v>3.3000000000000003</v>
      </c>
      <c r="R19" s="125">
        <f t="shared" si="5"/>
        <v>6.2700000000000005</v>
      </c>
      <c r="S19" s="330">
        <v>0.33</v>
      </c>
    </row>
    <row r="20" spans="1:22">
      <c r="A20" s="1">
        <v>2016</v>
      </c>
      <c r="B20" s="4">
        <v>1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4</v>
      </c>
      <c r="N20" s="8"/>
      <c r="O20" s="179">
        <f t="shared" si="3"/>
        <v>15</v>
      </c>
      <c r="P20" s="270">
        <v>27</v>
      </c>
      <c r="Q20" s="123">
        <f t="shared" si="4"/>
        <v>6.75</v>
      </c>
      <c r="R20" s="125">
        <f t="shared" si="5"/>
        <v>12.15</v>
      </c>
      <c r="S20" s="330">
        <v>0.45</v>
      </c>
    </row>
    <row r="21" spans="1:22">
      <c r="A21" s="1">
        <v>2017</v>
      </c>
      <c r="B21" s="4">
        <v>2</v>
      </c>
      <c r="C21" s="4">
        <v>1</v>
      </c>
      <c r="D21" s="4">
        <v>2</v>
      </c>
      <c r="E21" s="4">
        <v>3</v>
      </c>
      <c r="F21" s="4">
        <v>1</v>
      </c>
      <c r="G21" s="4">
        <v>3</v>
      </c>
      <c r="H21" s="4">
        <v>1</v>
      </c>
      <c r="I21" s="4">
        <v>1</v>
      </c>
      <c r="J21" s="4">
        <v>6</v>
      </c>
      <c r="K21" s="4">
        <v>1</v>
      </c>
      <c r="L21" s="4">
        <v>1</v>
      </c>
      <c r="M21" s="4">
        <v>2</v>
      </c>
      <c r="N21" s="8"/>
      <c r="O21" s="179">
        <f t="shared" si="3"/>
        <v>24</v>
      </c>
      <c r="P21" s="270">
        <v>40</v>
      </c>
      <c r="Q21" s="123">
        <f t="shared" si="4"/>
        <v>10.8</v>
      </c>
      <c r="R21" s="125">
        <f t="shared" si="5"/>
        <v>18</v>
      </c>
      <c r="S21" s="330">
        <v>0.45</v>
      </c>
    </row>
    <row r="22" spans="1:22">
      <c r="A22" s="1">
        <v>2018</v>
      </c>
      <c r="B22" s="4">
        <v>1</v>
      </c>
      <c r="C22" s="4">
        <v>1</v>
      </c>
      <c r="D22" s="4">
        <v>5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4</v>
      </c>
      <c r="L22" s="4">
        <v>1</v>
      </c>
      <c r="M22" s="4">
        <v>2</v>
      </c>
      <c r="N22" s="8"/>
      <c r="O22" s="179">
        <f t="shared" si="3"/>
        <v>20</v>
      </c>
      <c r="P22" s="270">
        <v>31</v>
      </c>
      <c r="Q22" s="123">
        <f t="shared" si="4"/>
        <v>9</v>
      </c>
      <c r="R22" s="125">
        <f t="shared" si="5"/>
        <v>13.950000000000001</v>
      </c>
      <c r="S22" s="330">
        <v>0.45</v>
      </c>
    </row>
    <row r="23" spans="1:22">
      <c r="A23" s="1">
        <v>2019</v>
      </c>
      <c r="B23" s="4">
        <v>0</v>
      </c>
      <c r="C23" s="4">
        <v>9</v>
      </c>
      <c r="D23" s="4">
        <v>2</v>
      </c>
      <c r="E23" s="4">
        <v>3</v>
      </c>
      <c r="F23" s="4">
        <v>3</v>
      </c>
      <c r="G23" s="4">
        <v>2</v>
      </c>
      <c r="H23" s="4">
        <v>2</v>
      </c>
      <c r="I23" s="4">
        <v>1</v>
      </c>
      <c r="J23" s="4">
        <v>2</v>
      </c>
      <c r="K23" s="4">
        <v>1</v>
      </c>
      <c r="L23" s="4">
        <v>1</v>
      </c>
      <c r="M23" s="4">
        <v>0</v>
      </c>
      <c r="N23" s="8"/>
      <c r="O23" s="179">
        <f t="shared" si="3"/>
        <v>26</v>
      </c>
      <c r="P23" s="270">
        <v>38</v>
      </c>
      <c r="Q23" s="123">
        <f t="shared" si="4"/>
        <v>11.700000000000001</v>
      </c>
      <c r="R23" s="125">
        <f t="shared" si="5"/>
        <v>17.100000000000001</v>
      </c>
      <c r="S23" s="330">
        <v>0.45</v>
      </c>
    </row>
    <row r="24" spans="1:22">
      <c r="A24" s="1">
        <v>2020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8"/>
      <c r="O24" s="179">
        <f t="shared" si="3"/>
        <v>0</v>
      </c>
      <c r="P24" s="273"/>
      <c r="Q24" s="123">
        <f t="shared" si="4"/>
        <v>0</v>
      </c>
      <c r="R24" s="125">
        <f t="shared" si="5"/>
        <v>0</v>
      </c>
      <c r="S24" s="330">
        <v>0.36</v>
      </c>
    </row>
    <row r="25" spans="1:22">
      <c r="A25" s="1">
        <v>2021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8"/>
      <c r="O25" s="179"/>
      <c r="P25" s="273"/>
      <c r="Q25" s="123">
        <f t="shared" si="4"/>
        <v>0</v>
      </c>
      <c r="R25" s="125">
        <f t="shared" si="5"/>
        <v>0</v>
      </c>
      <c r="S25" s="330">
        <v>0.44</v>
      </c>
    </row>
    <row r="26" spans="1:22">
      <c r="A26" s="1">
        <v>2022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8"/>
      <c r="O26" s="179"/>
      <c r="P26" s="273"/>
      <c r="Q26" s="123">
        <f t="shared" si="4"/>
        <v>0</v>
      </c>
      <c r="R26" s="125">
        <f t="shared" si="5"/>
        <v>0</v>
      </c>
      <c r="S26" s="330">
        <v>0.44</v>
      </c>
    </row>
    <row r="27" spans="1:22">
      <c r="A27" s="1">
        <v>2023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8"/>
      <c r="O27" s="179">
        <f t="shared" si="3"/>
        <v>0</v>
      </c>
      <c r="P27" s="273"/>
      <c r="Q27" s="123">
        <f t="shared" si="4"/>
        <v>0</v>
      </c>
      <c r="R27" s="125">
        <f t="shared" si="5"/>
        <v>0</v>
      </c>
    </row>
    <row r="28" spans="1:2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">
        <f>SUM(O2:O27)</f>
        <v>117</v>
      </c>
      <c r="P28" s="189">
        <f>SUM(P2:P27)</f>
        <v>202</v>
      </c>
      <c r="Q28" s="4">
        <f t="shared" ref="Q28:R28" si="6">SUM(Q2:Q27)</f>
        <v>47.27</v>
      </c>
      <c r="R28" s="189">
        <f t="shared" si="6"/>
        <v>79.69</v>
      </c>
    </row>
    <row r="29" spans="1:22">
      <c r="Q29" s="196">
        <v>299</v>
      </c>
      <c r="S29" s="263">
        <v>45673</v>
      </c>
    </row>
    <row r="30" spans="1:22">
      <c r="S30" s="260" t="s">
        <v>182</v>
      </c>
      <c r="V30" s="6"/>
    </row>
    <row r="31" spans="1:22"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</row>
    <row r="32" spans="1:22"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1:18">
      <c r="A33" s="586" t="s">
        <v>165</v>
      </c>
      <c r="B33" s="586"/>
      <c r="C33" s="586"/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</row>
    <row r="34" spans="1:18">
      <c r="R34" s="192" t="s">
        <v>148</v>
      </c>
    </row>
    <row r="35" spans="1:18">
      <c r="A35" s="586" t="s">
        <v>166</v>
      </c>
      <c r="B35" s="586"/>
      <c r="C35" s="586"/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</row>
  </sheetData>
  <mergeCells count="2">
    <mergeCell ref="A33:R33"/>
    <mergeCell ref="A35:R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4"/>
  <sheetViews>
    <sheetView workbookViewId="0">
      <selection activeCell="C29" sqref="C29"/>
    </sheetView>
  </sheetViews>
  <sheetFormatPr defaultRowHeight="15"/>
  <cols>
    <col min="1" max="1" width="5" style="10" bestFit="1" customWidth="1"/>
    <col min="2" max="2" width="7" style="10" bestFit="1" customWidth="1"/>
    <col min="3" max="3" width="6.5546875" style="10" bestFit="1" customWidth="1"/>
    <col min="4" max="6" width="3.88671875" style="10" bestFit="1" customWidth="1"/>
    <col min="7" max="7" width="7" style="10" bestFit="1" customWidth="1"/>
    <col min="8" max="8" width="8.33203125" style="10" bestFit="1" customWidth="1"/>
    <col min="9" max="9" width="8.5546875" style="10" bestFit="1" customWidth="1"/>
    <col min="10" max="10" width="10.44140625" style="10" bestFit="1" customWidth="1"/>
    <col min="11" max="11" width="9" style="10" bestFit="1" customWidth="1"/>
    <col min="12" max="12" width="10" style="10" customWidth="1"/>
    <col min="13" max="13" width="9" style="10" bestFit="1" customWidth="1"/>
    <col min="14" max="14" width="11.44140625" style="10" bestFit="1" customWidth="1"/>
    <col min="15" max="15" width="7.21875" style="10" bestFit="1" customWidth="1"/>
    <col min="16" max="16" width="3.21875" style="10" bestFit="1" customWidth="1"/>
    <col min="17" max="17" width="12.5546875" style="10" customWidth="1"/>
    <col min="18" max="18" width="9.5546875" style="10" customWidth="1"/>
    <col min="19" max="19" width="11.44140625" style="10" bestFit="1" customWidth="1"/>
    <col min="20" max="16384" width="8.88671875" style="10"/>
  </cols>
  <sheetData>
    <row r="1" spans="1:18" ht="12.75" customHeight="1">
      <c r="A1" s="66"/>
      <c r="B1" s="37" t="s">
        <v>4</v>
      </c>
      <c r="C1" s="36" t="s">
        <v>5</v>
      </c>
      <c r="D1" s="37" t="s">
        <v>6</v>
      </c>
      <c r="E1" s="35" t="s">
        <v>7</v>
      </c>
      <c r="F1" s="37" t="s">
        <v>2</v>
      </c>
      <c r="G1" s="36" t="s">
        <v>8</v>
      </c>
      <c r="H1" s="37" t="s">
        <v>9</v>
      </c>
      <c r="I1" s="35" t="s">
        <v>10</v>
      </c>
      <c r="J1" s="37" t="s">
        <v>11</v>
      </c>
      <c r="K1" s="36" t="s">
        <v>12</v>
      </c>
      <c r="L1" s="37" t="s">
        <v>13</v>
      </c>
      <c r="M1" s="35" t="s">
        <v>14</v>
      </c>
      <c r="N1" s="34" t="s">
        <v>3</v>
      </c>
      <c r="Q1" s="410" t="s">
        <v>71</v>
      </c>
      <c r="R1" s="410"/>
    </row>
    <row r="2" spans="1:18">
      <c r="A2" s="11">
        <v>1998</v>
      </c>
      <c r="B2" s="12"/>
      <c r="C2" s="12"/>
      <c r="D2" s="12"/>
      <c r="E2" s="12"/>
      <c r="F2" s="12"/>
      <c r="G2" s="12"/>
      <c r="H2" s="12"/>
      <c r="I2" s="38">
        <v>82.18</v>
      </c>
      <c r="J2" s="38"/>
      <c r="K2" s="38"/>
      <c r="L2" s="38">
        <v>15.26</v>
      </c>
      <c r="M2" s="38"/>
      <c r="N2" s="38">
        <f t="shared" ref="N2:N17" si="0">SUM(B2:M2)</f>
        <v>97.440000000000012</v>
      </c>
      <c r="Q2" s="77"/>
      <c r="R2" s="77"/>
    </row>
    <row r="3" spans="1:18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>
        <f t="shared" si="0"/>
        <v>0</v>
      </c>
      <c r="O3" s="16"/>
      <c r="Q3" s="77">
        <v>569.16999999999996</v>
      </c>
      <c r="R3" s="77"/>
    </row>
    <row r="4" spans="1:18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9">
        <f t="shared" si="0"/>
        <v>0</v>
      </c>
      <c r="O4" s="16"/>
      <c r="Q4" s="77">
        <v>2.3199999999999998</v>
      </c>
      <c r="R4" s="77"/>
    </row>
    <row r="5" spans="1:18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>
        <f t="shared" si="0"/>
        <v>0</v>
      </c>
      <c r="O5" s="16"/>
      <c r="Q5" s="77">
        <v>3.05</v>
      </c>
      <c r="R5" s="77">
        <v>303.17</v>
      </c>
    </row>
    <row r="6" spans="1:18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9">
        <f t="shared" si="0"/>
        <v>0</v>
      </c>
      <c r="O6" s="16"/>
      <c r="Q6" s="77">
        <v>175</v>
      </c>
      <c r="R6" s="77"/>
    </row>
    <row r="7" spans="1:18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>
        <f t="shared" si="0"/>
        <v>0</v>
      </c>
      <c r="O7" s="16"/>
      <c r="Q7" s="77">
        <v>988.62</v>
      </c>
      <c r="R7" s="77"/>
    </row>
    <row r="8" spans="1:18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>
        <f t="shared" si="0"/>
        <v>0</v>
      </c>
      <c r="O8" s="16"/>
      <c r="Q8" s="77">
        <v>820.34</v>
      </c>
      <c r="R8" s="77"/>
    </row>
    <row r="9" spans="1:18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9">
        <f t="shared" si="0"/>
        <v>0</v>
      </c>
      <c r="O9" s="16"/>
      <c r="Q9" s="77">
        <v>1132.03</v>
      </c>
      <c r="R9" s="77"/>
    </row>
    <row r="10" spans="1:18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9">
        <f t="shared" si="0"/>
        <v>0</v>
      </c>
      <c r="O10" s="16"/>
      <c r="Q10" s="77">
        <v>2330.94</v>
      </c>
      <c r="R10" s="77"/>
    </row>
    <row r="11" spans="1:18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>
        <f t="shared" si="0"/>
        <v>0</v>
      </c>
      <c r="O11" s="16"/>
      <c r="Q11" s="78">
        <v>1740.11</v>
      </c>
      <c r="R11" s="78"/>
    </row>
    <row r="12" spans="1:18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>
        <f t="shared" si="0"/>
        <v>0</v>
      </c>
      <c r="O12" s="16"/>
      <c r="Q12" s="78">
        <v>1743.05</v>
      </c>
      <c r="R12" s="78"/>
    </row>
    <row r="13" spans="1:18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>
        <f t="shared" si="0"/>
        <v>0</v>
      </c>
      <c r="O13" s="16"/>
      <c r="Q13" s="78">
        <v>230.27</v>
      </c>
      <c r="R13" s="78"/>
    </row>
    <row r="14" spans="1:18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>
        <f t="shared" si="0"/>
        <v>0</v>
      </c>
      <c r="O14" s="16"/>
      <c r="Q14" s="78">
        <v>195</v>
      </c>
      <c r="R14" s="78"/>
    </row>
    <row r="15" spans="1:18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>
        <f t="shared" si="0"/>
        <v>0</v>
      </c>
      <c r="O15" s="16"/>
      <c r="Q15" s="78">
        <v>520</v>
      </c>
      <c r="R15" s="78"/>
    </row>
    <row r="16" spans="1:18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9">
        <f t="shared" si="0"/>
        <v>0</v>
      </c>
      <c r="O16" s="16"/>
    </row>
    <row r="17" spans="1:19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/>
      <c r="N17" s="19">
        <f t="shared" si="0"/>
        <v>0</v>
      </c>
      <c r="O17" s="15" t="s">
        <v>1</v>
      </c>
      <c r="P17" s="15" t="s">
        <v>2</v>
      </c>
    </row>
    <row r="18" spans="1:19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>
        <f>SUM(N2:N17)</f>
        <v>97.440000000000012</v>
      </c>
    </row>
    <row r="19" spans="1:19">
      <c r="N19" s="16">
        <v>10753.07</v>
      </c>
    </row>
    <row r="21" spans="1:19" ht="15.75" customHeight="1">
      <c r="A21" s="474" t="s">
        <v>41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</row>
    <row r="22" spans="1:19">
      <c r="A22" s="474"/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Q22" s="20"/>
      <c r="R22" s="20"/>
      <c r="S22" s="20"/>
    </row>
    <row r="24" spans="1:19">
      <c r="A24"/>
    </row>
    <row r="25" spans="1:19">
      <c r="B25"/>
    </row>
    <row r="27" spans="1:19">
      <c r="A27" s="475" t="s">
        <v>18</v>
      </c>
      <c r="B27" s="477" t="s">
        <v>20</v>
      </c>
      <c r="C27" s="479" t="s">
        <v>22</v>
      </c>
      <c r="D27" s="481" t="s">
        <v>21</v>
      </c>
      <c r="E27" s="482"/>
      <c r="F27" s="482"/>
      <c r="G27" s="483"/>
      <c r="H27" s="473" t="s">
        <v>23</v>
      </c>
      <c r="I27" s="516" t="s">
        <v>39</v>
      </c>
      <c r="J27" s="517"/>
      <c r="K27" s="517"/>
      <c r="L27" s="518"/>
    </row>
    <row r="28" spans="1:19">
      <c r="A28" s="476"/>
      <c r="B28" s="478"/>
      <c r="C28" s="480"/>
      <c r="D28" s="484"/>
      <c r="E28" s="485"/>
      <c r="F28" s="485"/>
      <c r="G28" s="486"/>
      <c r="H28" s="473"/>
      <c r="I28" s="79">
        <v>1.2999999999999999E-2</v>
      </c>
      <c r="J28" s="72">
        <v>6.4999999999999997E-3</v>
      </c>
      <c r="K28" s="73">
        <v>1.25E-3</v>
      </c>
      <c r="L28" s="71" t="s">
        <v>29</v>
      </c>
      <c r="R28" s="55"/>
    </row>
    <row r="29" spans="1:19">
      <c r="A29" s="13">
        <v>1998</v>
      </c>
      <c r="B29" s="47">
        <v>44071</v>
      </c>
      <c r="C29" s="346" t="s">
        <v>194</v>
      </c>
      <c r="D29" s="470" t="s">
        <v>92</v>
      </c>
      <c r="E29" s="471"/>
      <c r="F29" s="471"/>
      <c r="G29" s="472"/>
      <c r="H29" s="58">
        <v>2250000</v>
      </c>
      <c r="I29" s="124"/>
      <c r="J29" s="65">
        <v>41.86</v>
      </c>
      <c r="K29" s="65">
        <v>8.26</v>
      </c>
      <c r="L29" s="65">
        <f>J29+K29</f>
        <v>50.12</v>
      </c>
      <c r="N29" s="20"/>
      <c r="R29" s="16"/>
    </row>
    <row r="30" spans="1:19">
      <c r="A30" s="13"/>
      <c r="B30" s="47"/>
      <c r="C30" s="64"/>
      <c r="D30" s="470"/>
      <c r="E30" s="471"/>
      <c r="F30" s="471"/>
      <c r="G30" s="472"/>
      <c r="H30" s="50"/>
      <c r="I30" s="21"/>
      <c r="J30" s="33"/>
      <c r="K30" s="33"/>
      <c r="L30" s="65">
        <f t="shared" ref="L30:L44" si="1">J30+K30</f>
        <v>0</v>
      </c>
    </row>
    <row r="31" spans="1:19">
      <c r="A31" s="13"/>
      <c r="B31" s="47"/>
      <c r="C31" s="64"/>
      <c r="D31" s="470"/>
      <c r="E31" s="471"/>
      <c r="F31" s="471"/>
      <c r="G31" s="472"/>
      <c r="H31" s="51"/>
      <c r="I31" s="21"/>
      <c r="J31" s="33"/>
      <c r="K31" s="33"/>
      <c r="L31" s="65">
        <f t="shared" si="1"/>
        <v>0</v>
      </c>
    </row>
    <row r="32" spans="1:19">
      <c r="A32" s="13"/>
      <c r="B32" s="47"/>
      <c r="C32" s="64"/>
      <c r="D32" s="470"/>
      <c r="E32" s="471"/>
      <c r="F32" s="471"/>
      <c r="G32" s="472"/>
      <c r="H32" s="51"/>
      <c r="I32" s="21"/>
      <c r="J32" s="33"/>
      <c r="K32" s="33"/>
      <c r="L32" s="65">
        <f t="shared" si="1"/>
        <v>0</v>
      </c>
    </row>
    <row r="33" spans="1:12">
      <c r="A33" s="13"/>
      <c r="B33" s="47"/>
      <c r="C33" s="64"/>
      <c r="D33" s="470"/>
      <c r="E33" s="471"/>
      <c r="F33" s="471"/>
      <c r="G33" s="472"/>
      <c r="H33" s="51"/>
      <c r="I33" s="21"/>
      <c r="J33" s="33"/>
      <c r="K33" s="33"/>
      <c r="L33" s="65">
        <f t="shared" si="1"/>
        <v>0</v>
      </c>
    </row>
    <row r="34" spans="1:12">
      <c r="A34" s="13"/>
      <c r="B34" s="47"/>
      <c r="C34" s="64"/>
      <c r="D34" s="470"/>
      <c r="E34" s="471"/>
      <c r="F34" s="471"/>
      <c r="G34" s="472"/>
      <c r="H34" s="51"/>
      <c r="I34" s="21"/>
      <c r="J34" s="33"/>
      <c r="K34" s="33"/>
      <c r="L34" s="65">
        <f t="shared" si="1"/>
        <v>0</v>
      </c>
    </row>
    <row r="35" spans="1:12">
      <c r="A35" s="13"/>
      <c r="B35" s="47"/>
      <c r="C35" s="64"/>
      <c r="D35" s="470"/>
      <c r="E35" s="471"/>
      <c r="F35" s="471"/>
      <c r="G35" s="472"/>
      <c r="H35" s="51"/>
      <c r="I35" s="21"/>
      <c r="J35" s="33"/>
      <c r="K35" s="33"/>
      <c r="L35" s="65">
        <f t="shared" si="1"/>
        <v>0</v>
      </c>
    </row>
    <row r="36" spans="1:12">
      <c r="A36" s="13"/>
      <c r="B36" s="47"/>
      <c r="C36" s="64"/>
      <c r="D36" s="470"/>
      <c r="E36" s="471"/>
      <c r="F36" s="471"/>
      <c r="G36" s="472"/>
      <c r="H36" s="51"/>
      <c r="I36" s="33"/>
      <c r="J36" s="33"/>
      <c r="K36" s="33"/>
      <c r="L36" s="65">
        <f t="shared" si="1"/>
        <v>0</v>
      </c>
    </row>
    <row r="37" spans="1:12">
      <c r="A37" s="13"/>
      <c r="B37" s="47"/>
      <c r="C37" s="64"/>
      <c r="D37" s="470"/>
      <c r="E37" s="471"/>
      <c r="F37" s="471"/>
      <c r="G37" s="472"/>
      <c r="H37" s="51"/>
      <c r="I37" s="33"/>
      <c r="J37" s="33"/>
      <c r="K37" s="33"/>
      <c r="L37" s="65">
        <f t="shared" si="1"/>
        <v>0</v>
      </c>
    </row>
    <row r="38" spans="1:12">
      <c r="A38" s="13"/>
      <c r="B38" s="47"/>
      <c r="C38" s="64"/>
      <c r="D38" s="470"/>
      <c r="E38" s="471"/>
      <c r="F38" s="471"/>
      <c r="G38" s="472"/>
      <c r="H38" s="51"/>
      <c r="I38" s="33"/>
      <c r="J38" s="33"/>
      <c r="K38" s="33"/>
      <c r="L38" s="65">
        <f t="shared" si="1"/>
        <v>0</v>
      </c>
    </row>
    <row r="39" spans="1:12">
      <c r="A39" s="13"/>
      <c r="B39" s="47"/>
      <c r="C39" s="64"/>
      <c r="D39" s="470"/>
      <c r="E39" s="471"/>
      <c r="F39" s="471"/>
      <c r="G39" s="472"/>
      <c r="H39" s="51"/>
      <c r="I39" s="33"/>
      <c r="J39" s="33"/>
      <c r="K39" s="33"/>
      <c r="L39" s="65">
        <f t="shared" si="1"/>
        <v>0</v>
      </c>
    </row>
    <row r="40" spans="1:12">
      <c r="A40" s="13"/>
      <c r="B40" s="47"/>
      <c r="C40" s="64"/>
      <c r="D40" s="470"/>
      <c r="E40" s="471"/>
      <c r="F40" s="471"/>
      <c r="G40" s="472"/>
      <c r="H40" s="51"/>
      <c r="I40" s="33"/>
      <c r="J40" s="33"/>
      <c r="K40" s="33"/>
      <c r="L40" s="65">
        <f t="shared" si="1"/>
        <v>0</v>
      </c>
    </row>
    <row r="41" spans="1:12">
      <c r="A41" s="13"/>
      <c r="B41" s="47"/>
      <c r="C41" s="64"/>
      <c r="D41" s="470"/>
      <c r="E41" s="471"/>
      <c r="F41" s="471"/>
      <c r="G41" s="472"/>
      <c r="H41" s="51"/>
      <c r="I41" s="33"/>
      <c r="J41" s="33"/>
      <c r="K41" s="33"/>
      <c r="L41" s="65">
        <f t="shared" si="1"/>
        <v>0</v>
      </c>
    </row>
    <row r="42" spans="1:12">
      <c r="A42" s="13"/>
      <c r="B42" s="47"/>
      <c r="C42" s="64"/>
      <c r="D42" s="470"/>
      <c r="E42" s="471"/>
      <c r="F42" s="471"/>
      <c r="G42" s="472"/>
      <c r="H42" s="51"/>
      <c r="I42" s="33"/>
      <c r="J42" s="33"/>
      <c r="K42" s="33"/>
      <c r="L42" s="65">
        <f t="shared" si="1"/>
        <v>0</v>
      </c>
    </row>
    <row r="43" spans="1:12">
      <c r="A43" s="13"/>
      <c r="B43" s="47"/>
      <c r="C43" s="64"/>
      <c r="D43" s="470"/>
      <c r="E43" s="471"/>
      <c r="F43" s="471"/>
      <c r="G43" s="472"/>
      <c r="H43" s="51"/>
      <c r="I43" s="33"/>
      <c r="J43" s="33"/>
      <c r="K43" s="33"/>
      <c r="L43" s="65">
        <f t="shared" si="1"/>
        <v>0</v>
      </c>
    </row>
    <row r="44" spans="1:12">
      <c r="A44" s="13"/>
      <c r="B44" s="47"/>
      <c r="C44" s="46"/>
      <c r="D44" s="470"/>
      <c r="E44" s="471"/>
      <c r="F44" s="471"/>
      <c r="G44" s="472"/>
      <c r="H44" s="13"/>
      <c r="I44" s="33"/>
      <c r="J44" s="33"/>
      <c r="K44" s="33"/>
      <c r="L44" s="65">
        <f t="shared" si="1"/>
        <v>0</v>
      </c>
    </row>
  </sheetData>
  <mergeCells count="24">
    <mergeCell ref="Q1:R1"/>
    <mergeCell ref="D35:G35"/>
    <mergeCell ref="D36:G36"/>
    <mergeCell ref="D37:G37"/>
    <mergeCell ref="D38:G38"/>
    <mergeCell ref="D29:G29"/>
    <mergeCell ref="D30:G30"/>
    <mergeCell ref="D31:G31"/>
    <mergeCell ref="D32:G32"/>
    <mergeCell ref="D33:G33"/>
    <mergeCell ref="D34:G34"/>
    <mergeCell ref="A21:N22"/>
    <mergeCell ref="A27:A28"/>
    <mergeCell ref="B27:B28"/>
    <mergeCell ref="C27:C28"/>
    <mergeCell ref="D27:G28"/>
    <mergeCell ref="D41:G41"/>
    <mergeCell ref="D42:G42"/>
    <mergeCell ref="D43:G43"/>
    <mergeCell ref="D44:G44"/>
    <mergeCell ref="I27:L27"/>
    <mergeCell ref="D39:G39"/>
    <mergeCell ref="D40:G40"/>
    <mergeCell ref="H27:H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143"/>
  <sheetViews>
    <sheetView workbookViewId="0">
      <selection activeCell="O31" sqref="O31"/>
    </sheetView>
  </sheetViews>
  <sheetFormatPr defaultRowHeight="12.75"/>
  <cols>
    <col min="1" max="1" width="5" style="2" bestFit="1" customWidth="1"/>
    <col min="2" max="2" width="7" style="2" bestFit="1" customWidth="1"/>
    <col min="3" max="3" width="8" style="2" bestFit="1" customWidth="1"/>
    <col min="4" max="5" width="3.88671875" style="2" bestFit="1" customWidth="1"/>
    <col min="6" max="7" width="8" style="2" bestFit="1" customWidth="1"/>
    <col min="8" max="10" width="9" style="2" bestFit="1" customWidth="1"/>
    <col min="11" max="11" width="8" style="2" bestFit="1" customWidth="1"/>
    <col min="12" max="13" width="9" style="2" bestFit="1" customWidth="1"/>
    <col min="14" max="14" width="8.88671875" style="2"/>
    <col min="15" max="15" width="6.44140625" style="2" bestFit="1" customWidth="1"/>
    <col min="16" max="16" width="7.21875" style="2" bestFit="1" customWidth="1"/>
    <col min="17" max="18" width="5.109375" style="2" customWidth="1"/>
    <col min="19" max="19" width="8.88671875" style="2"/>
    <col min="20" max="20" width="8.88671875" style="2" customWidth="1"/>
    <col min="21" max="21" width="5.21875" style="2" bestFit="1" customWidth="1"/>
    <col min="22" max="22" width="9.33203125" style="2" customWidth="1"/>
    <col min="23" max="23" width="5.44140625" style="2" bestFit="1" customWidth="1"/>
    <col min="24" max="24" width="10.88671875" style="2" customWidth="1"/>
    <col min="25" max="25" width="8.88671875" style="2"/>
    <col min="26" max="26" width="9" style="2" bestFit="1" customWidth="1"/>
    <col min="27" max="16384" width="8.88671875" style="2"/>
  </cols>
  <sheetData>
    <row r="1" spans="1:27" ht="15">
      <c r="A1" s="490" t="s">
        <v>18</v>
      </c>
      <c r="B1" s="492" t="s">
        <v>4</v>
      </c>
      <c r="C1" s="414" t="s">
        <v>5</v>
      </c>
      <c r="D1" s="494" t="s">
        <v>6</v>
      </c>
      <c r="E1" s="414" t="s">
        <v>7</v>
      </c>
      <c r="F1" s="492" t="s">
        <v>2</v>
      </c>
      <c r="G1" s="414" t="s">
        <v>8</v>
      </c>
      <c r="H1" s="511" t="s">
        <v>9</v>
      </c>
      <c r="I1" s="414" t="s">
        <v>10</v>
      </c>
      <c r="J1" s="492" t="s">
        <v>11</v>
      </c>
      <c r="K1" s="414" t="s">
        <v>12</v>
      </c>
      <c r="L1" s="511" t="s">
        <v>13</v>
      </c>
      <c r="M1" s="513" t="s">
        <v>14</v>
      </c>
      <c r="N1" s="515" t="s">
        <v>16</v>
      </c>
      <c r="O1" s="515"/>
      <c r="P1" s="515"/>
      <c r="T1" s="410" t="s">
        <v>71</v>
      </c>
      <c r="U1" s="410"/>
      <c r="V1" s="410"/>
      <c r="W1" s="410"/>
      <c r="X1" s="410"/>
      <c r="Y1" s="410"/>
      <c r="Z1" s="90"/>
      <c r="AA1" s="90"/>
    </row>
    <row r="2" spans="1:27" ht="15.75" customHeight="1" thickBot="1">
      <c r="A2" s="491"/>
      <c r="B2" s="493"/>
      <c r="C2" s="416"/>
      <c r="D2" s="495"/>
      <c r="E2" s="416"/>
      <c r="F2" s="493"/>
      <c r="G2" s="416"/>
      <c r="H2" s="512"/>
      <c r="I2" s="416"/>
      <c r="J2" s="493"/>
      <c r="K2" s="416"/>
      <c r="L2" s="512"/>
      <c r="M2" s="514"/>
      <c r="N2" s="87" t="s">
        <v>27</v>
      </c>
      <c r="O2" s="87" t="s">
        <v>50</v>
      </c>
      <c r="P2" s="88" t="s">
        <v>34</v>
      </c>
      <c r="T2" s="410"/>
      <c r="U2" s="410"/>
      <c r="V2" s="410"/>
      <c r="W2" s="410"/>
      <c r="X2" s="410"/>
      <c r="Y2" s="410"/>
      <c r="Z2" s="90"/>
      <c r="AA2" s="90"/>
    </row>
    <row r="3" spans="1:27" ht="12.75" customHeight="1">
      <c r="A3" s="7">
        <v>1998</v>
      </c>
      <c r="B3" s="9"/>
      <c r="C3" s="9"/>
      <c r="D3" s="9"/>
      <c r="E3" s="9"/>
      <c r="F3" s="9"/>
      <c r="G3" s="9"/>
      <c r="H3" s="9"/>
      <c r="I3" s="125">
        <v>5</v>
      </c>
      <c r="J3" s="125">
        <v>27</v>
      </c>
      <c r="K3" s="125">
        <v>23</v>
      </c>
      <c r="L3" s="125">
        <v>19</v>
      </c>
      <c r="M3" s="125">
        <v>56</v>
      </c>
      <c r="N3" s="123">
        <f>F28</f>
        <v>34.335899999999995</v>
      </c>
      <c r="O3" s="123">
        <f>G28</f>
        <v>22.890599999999999</v>
      </c>
      <c r="P3" s="123">
        <f>H28</f>
        <v>324.2835</v>
      </c>
      <c r="T3" s="77">
        <v>32.71</v>
      </c>
      <c r="U3" s="499" t="s">
        <v>44</v>
      </c>
      <c r="V3" s="6">
        <v>15.663</v>
      </c>
      <c r="W3" s="499" t="s">
        <v>61</v>
      </c>
      <c r="X3" s="4">
        <v>313.26</v>
      </c>
      <c r="Y3" s="499" t="s">
        <v>46</v>
      </c>
    </row>
    <row r="4" spans="1:27">
      <c r="A4" s="1">
        <v>1999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59">
        <f t="shared" ref="N4:P18" si="0">F29</f>
        <v>0</v>
      </c>
      <c r="O4" s="59">
        <f t="shared" si="0"/>
        <v>0</v>
      </c>
      <c r="P4" s="59">
        <f t="shared" si="0"/>
        <v>0</v>
      </c>
      <c r="T4" s="77">
        <v>82.62</v>
      </c>
      <c r="U4" s="499"/>
      <c r="V4" s="6">
        <v>39.5625</v>
      </c>
      <c r="W4" s="499"/>
      <c r="X4" s="4">
        <v>791.25</v>
      </c>
      <c r="Y4" s="499"/>
    </row>
    <row r="5" spans="1:27">
      <c r="A5" s="1">
        <v>2000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59">
        <f t="shared" si="0"/>
        <v>0</v>
      </c>
      <c r="O5" s="59">
        <f t="shared" si="0"/>
        <v>0</v>
      </c>
      <c r="P5" s="59">
        <f t="shared" si="0"/>
        <v>0</v>
      </c>
      <c r="T5" s="77">
        <v>65.12</v>
      </c>
      <c r="U5" s="499"/>
      <c r="V5" s="6">
        <v>31.182500000000001</v>
      </c>
      <c r="W5" s="499"/>
      <c r="X5" s="4">
        <v>623.65</v>
      </c>
      <c r="Y5" s="499"/>
    </row>
    <row r="6" spans="1:27">
      <c r="A6" s="1">
        <v>2001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59">
        <f t="shared" si="0"/>
        <v>0</v>
      </c>
      <c r="O6" s="59">
        <f t="shared" si="0"/>
        <v>0</v>
      </c>
      <c r="P6" s="59">
        <f t="shared" si="0"/>
        <v>0</v>
      </c>
      <c r="T6" s="77">
        <v>61.96</v>
      </c>
      <c r="U6" s="499"/>
      <c r="V6" s="6">
        <v>29.669499999999999</v>
      </c>
      <c r="W6" s="499"/>
      <c r="X6" s="4">
        <v>593.39</v>
      </c>
      <c r="Y6" s="499"/>
    </row>
    <row r="7" spans="1:27">
      <c r="A7" s="1">
        <v>2002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59">
        <f t="shared" si="0"/>
        <v>0</v>
      </c>
      <c r="O7" s="59">
        <f t="shared" si="0"/>
        <v>0</v>
      </c>
      <c r="P7" s="59">
        <f t="shared" si="0"/>
        <v>0</v>
      </c>
      <c r="T7" s="77">
        <v>21.61</v>
      </c>
      <c r="U7" s="499"/>
      <c r="V7" s="6">
        <v>10.348000000000001</v>
      </c>
      <c r="W7" s="499"/>
      <c r="X7" s="4">
        <v>206.96</v>
      </c>
      <c r="Y7" s="499"/>
    </row>
    <row r="8" spans="1:27">
      <c r="A8" s="1">
        <v>2003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59">
        <f t="shared" si="0"/>
        <v>0</v>
      </c>
      <c r="O8" s="59">
        <f t="shared" si="0"/>
        <v>0</v>
      </c>
      <c r="P8" s="59">
        <f t="shared" si="0"/>
        <v>0</v>
      </c>
      <c r="T8" s="519" t="s">
        <v>45</v>
      </c>
      <c r="U8" s="499"/>
      <c r="V8" s="519" t="s">
        <v>45</v>
      </c>
      <c r="W8" s="499"/>
      <c r="X8" s="519" t="s">
        <v>45</v>
      </c>
      <c r="Y8" s="499"/>
    </row>
    <row r="9" spans="1:27" ht="15" customHeight="1">
      <c r="A9" s="1">
        <v>2004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59">
        <f t="shared" si="0"/>
        <v>0</v>
      </c>
      <c r="O9" s="59">
        <f t="shared" si="0"/>
        <v>0</v>
      </c>
      <c r="P9" s="59">
        <f t="shared" si="0"/>
        <v>0</v>
      </c>
      <c r="T9" s="519"/>
      <c r="U9" s="499"/>
      <c r="V9" s="519"/>
      <c r="W9" s="499"/>
      <c r="X9" s="519"/>
      <c r="Y9" s="499"/>
    </row>
    <row r="10" spans="1:27" ht="15" customHeight="1">
      <c r="A10" s="1">
        <v>2005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59">
        <f t="shared" si="0"/>
        <v>0</v>
      </c>
      <c r="O10" s="59">
        <f t="shared" si="0"/>
        <v>0</v>
      </c>
      <c r="P10" s="59">
        <f t="shared" si="0"/>
        <v>0</v>
      </c>
      <c r="T10" s="519"/>
      <c r="U10" s="499"/>
      <c r="V10" s="519"/>
      <c r="W10" s="499"/>
      <c r="X10" s="519"/>
      <c r="Y10" s="499"/>
    </row>
    <row r="11" spans="1:27" ht="15" customHeight="1">
      <c r="A11" s="1">
        <v>2006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59">
        <f t="shared" si="0"/>
        <v>0</v>
      </c>
      <c r="O11" s="59">
        <f t="shared" si="0"/>
        <v>0</v>
      </c>
      <c r="P11" s="59">
        <f t="shared" si="0"/>
        <v>0</v>
      </c>
      <c r="T11" s="519"/>
      <c r="U11" s="499"/>
      <c r="V11" s="519"/>
      <c r="W11" s="499"/>
      <c r="X11" s="519"/>
      <c r="Y11" s="499"/>
    </row>
    <row r="12" spans="1:27">
      <c r="A12" s="1">
        <v>2007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59">
        <f t="shared" si="0"/>
        <v>0</v>
      </c>
      <c r="O12" s="59">
        <f t="shared" si="0"/>
        <v>0</v>
      </c>
      <c r="P12" s="59">
        <f t="shared" si="0"/>
        <v>0</v>
      </c>
      <c r="T12" s="78">
        <v>451.28</v>
      </c>
      <c r="U12" s="499"/>
      <c r="V12" s="6">
        <v>213.10450000000003</v>
      </c>
      <c r="W12" s="499"/>
      <c r="X12" s="4">
        <v>4262.09</v>
      </c>
      <c r="Y12" s="499"/>
    </row>
    <row r="13" spans="1:27">
      <c r="A13" s="1">
        <v>2008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59">
        <f t="shared" si="0"/>
        <v>0</v>
      </c>
      <c r="O13" s="59">
        <f t="shared" si="0"/>
        <v>0</v>
      </c>
      <c r="P13" s="59">
        <f t="shared" si="0"/>
        <v>0</v>
      </c>
      <c r="T13" s="78">
        <v>370.44</v>
      </c>
      <c r="U13" s="499"/>
      <c r="V13" s="6">
        <v>174.93</v>
      </c>
      <c r="W13" s="499"/>
      <c r="X13" s="48">
        <v>3498.6</v>
      </c>
      <c r="Y13" s="499"/>
    </row>
    <row r="14" spans="1:27">
      <c r="A14" s="1">
        <v>2009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59">
        <f t="shared" si="0"/>
        <v>0</v>
      </c>
      <c r="O14" s="59">
        <f t="shared" si="0"/>
        <v>0</v>
      </c>
      <c r="P14" s="59">
        <f t="shared" si="0"/>
        <v>0</v>
      </c>
      <c r="T14" s="78">
        <v>377.28</v>
      </c>
      <c r="U14" s="499"/>
      <c r="V14" s="6">
        <v>178.16</v>
      </c>
      <c r="W14" s="499"/>
      <c r="X14" s="48">
        <v>3563.2</v>
      </c>
      <c r="Y14" s="499"/>
    </row>
    <row r="15" spans="1:27">
      <c r="A15" s="1">
        <v>2010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59">
        <f t="shared" si="0"/>
        <v>0</v>
      </c>
      <c r="O15" s="59">
        <f t="shared" si="0"/>
        <v>0</v>
      </c>
      <c r="P15" s="59">
        <f t="shared" si="0"/>
        <v>0</v>
      </c>
      <c r="T15" s="78">
        <v>536.79999999999995</v>
      </c>
      <c r="U15" s="499"/>
      <c r="V15" s="6">
        <v>253.489</v>
      </c>
      <c r="W15" s="499"/>
      <c r="X15" s="48">
        <v>5069.78</v>
      </c>
      <c r="Y15" s="499"/>
    </row>
    <row r="16" spans="1:27">
      <c r="A16" s="1">
        <v>2011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59">
        <f t="shared" si="0"/>
        <v>0</v>
      </c>
      <c r="O16" s="59">
        <f t="shared" si="0"/>
        <v>0</v>
      </c>
      <c r="P16" s="59">
        <f t="shared" si="0"/>
        <v>0</v>
      </c>
      <c r="T16" s="78">
        <v>341.8</v>
      </c>
      <c r="U16" s="499"/>
      <c r="V16" s="6">
        <v>161.40550000000002</v>
      </c>
      <c r="W16" s="499"/>
      <c r="X16" s="48">
        <v>3228.11</v>
      </c>
      <c r="Y16" s="499"/>
    </row>
    <row r="17" spans="1:25">
      <c r="A17" s="1">
        <v>2012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59">
        <f t="shared" si="0"/>
        <v>0</v>
      </c>
      <c r="O17" s="59">
        <f t="shared" si="0"/>
        <v>0</v>
      </c>
      <c r="P17" s="59">
        <f t="shared" si="0"/>
        <v>0</v>
      </c>
      <c r="T17" s="78">
        <v>91.6</v>
      </c>
      <c r="U17" s="499"/>
      <c r="V17" s="6">
        <v>97.75</v>
      </c>
      <c r="W17" s="499"/>
      <c r="X17" s="48">
        <v>1955</v>
      </c>
      <c r="Y17" s="499"/>
    </row>
    <row r="18" spans="1:25">
      <c r="A18" s="1">
        <v>2013</v>
      </c>
      <c r="B18" s="182"/>
      <c r="C18" s="182"/>
      <c r="D18" s="182"/>
      <c r="E18" s="182"/>
      <c r="F18" s="182"/>
      <c r="G18" s="8"/>
      <c r="H18" s="8"/>
      <c r="I18" s="8"/>
      <c r="J18" s="8"/>
      <c r="K18" s="8"/>
      <c r="L18" s="8"/>
      <c r="M18" s="8"/>
      <c r="N18" s="59">
        <f t="shared" si="0"/>
        <v>0</v>
      </c>
      <c r="O18" s="59">
        <f t="shared" si="0"/>
        <v>0</v>
      </c>
      <c r="P18" s="59">
        <f t="shared" si="0"/>
        <v>0</v>
      </c>
      <c r="Q18" s="5"/>
      <c r="R18" s="5" t="s">
        <v>1</v>
      </c>
      <c r="S18" s="5" t="s">
        <v>2</v>
      </c>
      <c r="T18" s="77">
        <v>124.2</v>
      </c>
      <c r="U18" s="499"/>
      <c r="V18" s="6">
        <v>58.650000000000006</v>
      </c>
      <c r="W18" s="499"/>
      <c r="X18" s="184">
        <v>1173</v>
      </c>
      <c r="Y18" s="499"/>
    </row>
    <row r="19" spans="1: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f>SUM(N3:N18)</f>
        <v>34.335899999999995</v>
      </c>
      <c r="O19" s="3">
        <f t="shared" ref="O19:P19" si="1">SUM(O3:O18)</f>
        <v>22.890599999999999</v>
      </c>
      <c r="P19" s="3">
        <f t="shared" si="1"/>
        <v>324.2835</v>
      </c>
      <c r="T19" s="4">
        <f>SUM(T3:T18)</f>
        <v>2557.4199999999996</v>
      </c>
      <c r="V19" s="48">
        <f>SUM(V3:V18)</f>
        <v>1263.9145000000001</v>
      </c>
      <c r="X19" s="48">
        <f>SUM(X3:X18)</f>
        <v>25278.29</v>
      </c>
    </row>
    <row r="22" spans="1:25" s="10" customFormat="1" ht="15"/>
    <row r="23" spans="1:25" s="10" customFormat="1" ht="15.75">
      <c r="A23" s="474" t="s">
        <v>143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60"/>
      <c r="R23" s="60"/>
      <c r="S23" s="60"/>
      <c r="T23" s="60"/>
      <c r="U23" s="60"/>
      <c r="V23" s="60"/>
      <c r="W23" s="60"/>
    </row>
    <row r="24" spans="1:25" s="10" customFormat="1" ht="15">
      <c r="A24" s="474"/>
      <c r="B24" s="474"/>
      <c r="C24" s="474"/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474"/>
    </row>
    <row r="25" spans="1:25" s="10" customFormat="1" ht="15"/>
    <row r="26" spans="1:25" s="10" customFormat="1" ht="15">
      <c r="A26" s="475" t="s">
        <v>18</v>
      </c>
      <c r="B26" s="520" t="s">
        <v>144</v>
      </c>
      <c r="C26" s="521"/>
      <c r="D26" s="521"/>
      <c r="E26" s="522"/>
      <c r="F26" s="501"/>
      <c r="G26" s="501"/>
      <c r="H26" s="501"/>
      <c r="I26" s="502"/>
    </row>
    <row r="27" spans="1:25" s="10" customFormat="1" ht="15">
      <c r="A27" s="476"/>
      <c r="B27" s="523"/>
      <c r="C27" s="524"/>
      <c r="D27" s="524"/>
      <c r="E27" s="525"/>
      <c r="F27" s="49" t="s">
        <v>27</v>
      </c>
      <c r="G27" s="49" t="s">
        <v>50</v>
      </c>
      <c r="H27" s="61" t="s">
        <v>34</v>
      </c>
      <c r="I27" s="89" t="s">
        <v>29</v>
      </c>
    </row>
    <row r="28" spans="1:25" s="10" customFormat="1" ht="15">
      <c r="A28" s="13">
        <v>1998</v>
      </c>
      <c r="B28" s="470" t="s">
        <v>145</v>
      </c>
      <c r="C28" s="471"/>
      <c r="D28" s="471"/>
      <c r="E28" s="472"/>
      <c r="F28" s="65">
        <f>I28*9%</f>
        <v>34.335899999999995</v>
      </c>
      <c r="G28" s="65">
        <f>I28*6%</f>
        <v>22.890599999999999</v>
      </c>
      <c r="H28" s="65">
        <f>I28*85%</f>
        <v>324.2835</v>
      </c>
      <c r="I28" s="65">
        <v>381.51</v>
      </c>
      <c r="K28" s="10">
        <v>130000</v>
      </c>
      <c r="L28" s="16">
        <f>K28/340.75</f>
        <v>381.5113719735877</v>
      </c>
    </row>
    <row r="29" spans="1:25" s="10" customFormat="1" ht="15">
      <c r="A29" s="13">
        <v>1999</v>
      </c>
      <c r="B29" s="470"/>
      <c r="C29" s="471"/>
      <c r="D29" s="471"/>
      <c r="E29" s="472"/>
      <c r="F29" s="65"/>
      <c r="G29" s="65"/>
      <c r="H29" s="65"/>
      <c r="I29" s="65"/>
    </row>
    <row r="30" spans="1:25" s="10" customFormat="1" ht="15">
      <c r="A30" s="13">
        <v>2000</v>
      </c>
      <c r="B30" s="470"/>
      <c r="C30" s="471"/>
      <c r="D30" s="471"/>
      <c r="E30" s="472"/>
      <c r="F30" s="65"/>
      <c r="G30" s="65"/>
      <c r="H30" s="65"/>
      <c r="I30" s="65"/>
    </row>
    <row r="31" spans="1:25" s="10" customFormat="1" ht="15">
      <c r="A31" s="13">
        <v>2001</v>
      </c>
      <c r="B31" s="470"/>
      <c r="C31" s="471"/>
      <c r="D31" s="471"/>
      <c r="E31" s="472"/>
      <c r="F31" s="65"/>
      <c r="G31" s="65"/>
      <c r="H31" s="65"/>
      <c r="I31" s="65"/>
    </row>
    <row r="32" spans="1:25" s="10" customFormat="1" ht="15">
      <c r="A32" s="13">
        <v>2002</v>
      </c>
      <c r="B32" s="470"/>
      <c r="C32" s="471"/>
      <c r="D32" s="471"/>
      <c r="E32" s="472"/>
      <c r="F32" s="65"/>
      <c r="G32" s="65"/>
      <c r="H32" s="65"/>
      <c r="I32" s="65"/>
    </row>
    <row r="33" spans="1:9" s="10" customFormat="1" ht="15">
      <c r="A33" s="13">
        <v>2003</v>
      </c>
      <c r="B33" s="470"/>
      <c r="C33" s="471"/>
      <c r="D33" s="471"/>
      <c r="E33" s="472"/>
      <c r="F33" s="65"/>
      <c r="G33" s="65"/>
      <c r="H33" s="65"/>
      <c r="I33" s="65"/>
    </row>
    <row r="34" spans="1:9" s="10" customFormat="1" ht="15">
      <c r="A34" s="13">
        <v>2004</v>
      </c>
      <c r="B34" s="470"/>
      <c r="C34" s="471"/>
      <c r="D34" s="471"/>
      <c r="E34" s="472"/>
      <c r="F34" s="65"/>
      <c r="G34" s="65"/>
      <c r="H34" s="65"/>
      <c r="I34" s="65"/>
    </row>
    <row r="35" spans="1:9" s="10" customFormat="1" ht="15">
      <c r="A35" s="13">
        <v>2005</v>
      </c>
      <c r="B35" s="470"/>
      <c r="C35" s="471"/>
      <c r="D35" s="471"/>
      <c r="E35" s="472"/>
      <c r="F35" s="65"/>
      <c r="G35" s="65"/>
      <c r="H35" s="65"/>
      <c r="I35" s="65"/>
    </row>
    <row r="36" spans="1:9" s="10" customFormat="1" ht="15">
      <c r="A36" s="13">
        <v>2006</v>
      </c>
      <c r="B36" s="470"/>
      <c r="C36" s="471"/>
      <c r="D36" s="471"/>
      <c r="E36" s="472"/>
      <c r="F36" s="65"/>
      <c r="G36" s="65"/>
      <c r="H36" s="65"/>
      <c r="I36" s="65"/>
    </row>
    <row r="37" spans="1:9" s="10" customFormat="1" ht="15">
      <c r="A37" s="13">
        <v>2007</v>
      </c>
      <c r="B37" s="470"/>
      <c r="C37" s="471"/>
      <c r="D37" s="471"/>
      <c r="E37" s="472"/>
      <c r="F37" s="65"/>
      <c r="G37" s="65"/>
      <c r="H37" s="65"/>
      <c r="I37" s="65"/>
    </row>
    <row r="38" spans="1:9" s="10" customFormat="1" ht="15">
      <c r="A38" s="13">
        <v>2008</v>
      </c>
      <c r="B38" s="470"/>
      <c r="C38" s="471"/>
      <c r="D38" s="471"/>
      <c r="E38" s="472"/>
      <c r="F38" s="65"/>
      <c r="G38" s="65"/>
      <c r="H38" s="65"/>
      <c r="I38" s="65"/>
    </row>
    <row r="39" spans="1:9" s="10" customFormat="1" ht="15">
      <c r="A39" s="13">
        <v>2009</v>
      </c>
      <c r="B39" s="470"/>
      <c r="C39" s="471"/>
      <c r="D39" s="471"/>
      <c r="E39" s="472"/>
      <c r="F39" s="65"/>
      <c r="G39" s="65"/>
      <c r="H39" s="65"/>
      <c r="I39" s="65"/>
    </row>
    <row r="40" spans="1:9" s="10" customFormat="1" ht="15">
      <c r="A40" s="13">
        <v>2010</v>
      </c>
      <c r="B40" s="470"/>
      <c r="C40" s="471"/>
      <c r="D40" s="471"/>
      <c r="E40" s="472"/>
      <c r="F40" s="65"/>
      <c r="G40" s="65"/>
      <c r="H40" s="65"/>
      <c r="I40" s="65"/>
    </row>
    <row r="41" spans="1:9" s="10" customFormat="1" ht="15">
      <c r="A41" s="13">
        <v>2011</v>
      </c>
      <c r="B41" s="470"/>
      <c r="C41" s="471"/>
      <c r="D41" s="471"/>
      <c r="E41" s="472"/>
      <c r="F41" s="65"/>
      <c r="G41" s="65"/>
      <c r="H41" s="65"/>
      <c r="I41" s="65"/>
    </row>
    <row r="42" spans="1:9" s="10" customFormat="1" ht="15">
      <c r="A42" s="13">
        <v>2012</v>
      </c>
      <c r="B42" s="470"/>
      <c r="C42" s="471"/>
      <c r="D42" s="471"/>
      <c r="E42" s="472"/>
      <c r="F42" s="65"/>
      <c r="G42" s="65"/>
      <c r="H42" s="65"/>
      <c r="I42" s="65"/>
    </row>
    <row r="43" spans="1:9" s="10" customFormat="1" ht="15">
      <c r="A43" s="13">
        <v>2013</v>
      </c>
      <c r="B43" s="470"/>
      <c r="C43" s="471"/>
      <c r="D43" s="471"/>
      <c r="E43" s="472"/>
      <c r="F43" s="65"/>
      <c r="G43" s="65"/>
      <c r="H43" s="65"/>
      <c r="I43" s="65"/>
    </row>
    <row r="44" spans="1:9" s="10" customFormat="1" ht="15"/>
    <row r="45" spans="1:9" s="10" customFormat="1" ht="15"/>
    <row r="46" spans="1:9" s="10" customFormat="1" ht="15"/>
    <row r="47" spans="1:9" s="10" customFormat="1" ht="15"/>
    <row r="48" spans="1:9" s="10" customFormat="1" ht="15"/>
    <row r="49" s="10" customFormat="1" ht="15"/>
    <row r="50" s="10" customFormat="1" ht="15"/>
    <row r="51" s="10" customFormat="1" ht="15"/>
    <row r="52" s="10" customFormat="1" ht="15"/>
    <row r="53" s="10" customFormat="1" ht="15"/>
    <row r="54" s="10" customFormat="1" ht="15"/>
    <row r="55" s="10" customFormat="1" ht="15"/>
    <row r="56" s="10" customFormat="1" ht="15"/>
    <row r="57" s="10" customFormat="1" ht="15"/>
    <row r="58" s="10" customFormat="1" ht="15"/>
    <row r="59" s="10" customFormat="1" ht="15"/>
    <row r="60" s="10" customFormat="1" ht="15"/>
    <row r="61" s="10" customFormat="1" ht="15"/>
    <row r="62" s="10" customFormat="1" ht="15"/>
    <row r="63" s="10" customFormat="1" ht="15"/>
    <row r="64" s="10" customFormat="1" ht="15"/>
    <row r="65" s="10" customFormat="1" ht="15"/>
    <row r="66" s="10" customFormat="1" ht="15"/>
    <row r="67" s="10" customFormat="1" ht="15"/>
    <row r="68" s="10" customFormat="1" ht="15"/>
    <row r="69" s="10" customFormat="1" ht="15"/>
    <row r="70" s="10" customFormat="1" ht="15"/>
    <row r="71" s="10" customFormat="1" ht="15"/>
    <row r="72" s="10" customFormat="1" ht="15"/>
    <row r="73" s="10" customFormat="1" ht="15"/>
    <row r="74" s="10" customFormat="1" ht="15"/>
    <row r="75" s="10" customFormat="1" ht="15"/>
    <row r="76" s="10" customFormat="1" ht="15"/>
    <row r="77" s="10" customFormat="1" ht="15"/>
    <row r="78" s="10" customFormat="1" ht="15"/>
    <row r="79" s="10" customFormat="1" ht="15"/>
    <row r="80" s="10" customFormat="1" ht="15"/>
    <row r="81" s="10" customFormat="1" ht="15"/>
    <row r="82" s="10" customFormat="1" ht="15"/>
    <row r="83" s="10" customFormat="1" ht="15"/>
    <row r="84" s="10" customFormat="1" ht="15"/>
    <row r="85" s="10" customFormat="1" ht="15"/>
    <row r="86" s="10" customFormat="1" ht="15"/>
    <row r="87" s="10" customFormat="1" ht="15"/>
    <row r="88" s="10" customFormat="1" ht="15"/>
    <row r="89" s="10" customFormat="1" ht="15"/>
    <row r="90" s="10" customFormat="1" ht="15"/>
    <row r="91" s="10" customFormat="1" ht="15"/>
    <row r="92" s="10" customFormat="1" ht="15"/>
    <row r="93" s="10" customFormat="1" ht="15"/>
    <row r="94" s="10" customFormat="1" ht="15"/>
    <row r="95" s="10" customFormat="1" ht="15"/>
    <row r="96" s="10" customFormat="1" ht="15"/>
    <row r="97" s="10" customFormat="1" ht="15"/>
    <row r="98" s="10" customFormat="1" ht="15"/>
    <row r="99" s="10" customFormat="1" ht="15"/>
    <row r="100" s="10" customFormat="1" ht="15"/>
    <row r="101" s="10" customFormat="1" ht="15"/>
    <row r="102" s="10" customFormat="1" ht="15"/>
    <row r="103" s="10" customFormat="1" ht="15"/>
    <row r="104" s="10" customFormat="1" ht="15"/>
    <row r="105" s="10" customFormat="1" ht="15"/>
    <row r="106" s="10" customFormat="1" ht="15"/>
    <row r="107" s="10" customFormat="1" ht="15"/>
    <row r="108" s="10" customFormat="1" ht="15"/>
    <row r="109" s="10" customFormat="1" ht="15"/>
    <row r="110" s="10" customFormat="1" ht="15"/>
    <row r="111" s="10" customFormat="1" ht="15"/>
    <row r="112" s="10" customFormat="1" ht="15"/>
    <row r="113" s="10" customFormat="1" ht="15"/>
    <row r="114" s="10" customFormat="1" ht="15"/>
    <row r="115" s="10" customFormat="1" ht="15"/>
    <row r="116" s="10" customFormat="1" ht="15"/>
    <row r="117" s="10" customFormat="1" ht="15"/>
    <row r="118" s="10" customFormat="1" ht="15"/>
    <row r="119" s="10" customFormat="1" ht="15"/>
    <row r="120" s="10" customFormat="1" ht="15"/>
    <row r="121" s="10" customFormat="1" ht="15"/>
    <row r="122" s="10" customFormat="1" ht="15"/>
    <row r="123" s="10" customFormat="1" ht="15"/>
    <row r="124" s="10" customFormat="1" ht="15"/>
    <row r="125" s="10" customFormat="1" ht="15"/>
    <row r="126" s="10" customFormat="1" ht="15"/>
    <row r="127" s="10" customFormat="1" ht="15"/>
    <row r="128" s="10" customFormat="1" ht="15"/>
    <row r="129" s="10" customFormat="1" ht="15"/>
    <row r="130" s="10" customFormat="1" ht="15"/>
    <row r="131" s="10" customFormat="1" ht="15"/>
    <row r="132" s="10" customFormat="1" ht="15"/>
    <row r="133" s="10" customFormat="1" ht="15"/>
    <row r="134" s="10" customFormat="1" ht="15"/>
    <row r="135" s="10" customFormat="1" ht="15"/>
    <row r="136" s="10" customFormat="1" ht="15"/>
    <row r="137" s="10" customFormat="1" ht="15"/>
    <row r="138" s="10" customFormat="1" ht="15"/>
    <row r="139" s="10" customFormat="1" ht="15"/>
    <row r="140" s="10" customFormat="1" ht="15"/>
    <row r="141" s="10" customFormat="1" ht="15"/>
    <row r="142" s="10" customFormat="1" ht="15"/>
    <row r="143" s="10" customFormat="1" ht="15"/>
  </sheetData>
  <mergeCells count="41">
    <mergeCell ref="B42:E42"/>
    <mergeCell ref="B43:E43"/>
    <mergeCell ref="B36:E36"/>
    <mergeCell ref="B37:E37"/>
    <mergeCell ref="B38:E38"/>
    <mergeCell ref="B39:E39"/>
    <mergeCell ref="B40:E40"/>
    <mergeCell ref="B41:E41"/>
    <mergeCell ref="B35:E35"/>
    <mergeCell ref="A23:P24"/>
    <mergeCell ref="A26:A27"/>
    <mergeCell ref="B26:E27"/>
    <mergeCell ref="F26:I26"/>
    <mergeCell ref="B28:E28"/>
    <mergeCell ref="B29:E29"/>
    <mergeCell ref="B30:E30"/>
    <mergeCell ref="B31:E31"/>
    <mergeCell ref="B32:E32"/>
    <mergeCell ref="B33:E33"/>
    <mergeCell ref="B34:E34"/>
    <mergeCell ref="M1:M2"/>
    <mergeCell ref="N1:P1"/>
    <mergeCell ref="T1:Y2"/>
    <mergeCell ref="U3:U18"/>
    <mergeCell ref="W3:W18"/>
    <mergeCell ref="Y3:Y18"/>
    <mergeCell ref="T8:T11"/>
    <mergeCell ref="V8:V11"/>
    <mergeCell ref="X8:X11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R42"/>
  <sheetViews>
    <sheetView workbookViewId="0">
      <pane ySplit="1" topLeftCell="A2" activePane="bottomLeft" state="frozen"/>
      <selection pane="bottomLeft" activeCell="F43" sqref="F43"/>
    </sheetView>
  </sheetViews>
  <sheetFormatPr defaultRowHeight="12.75"/>
  <cols>
    <col min="1" max="1" width="5" style="2" bestFit="1" customWidth="1"/>
    <col min="2" max="3" width="7.21875" style="2" bestFit="1" customWidth="1"/>
    <col min="4" max="6" width="8" style="2" bestFit="1" customWidth="1"/>
    <col min="7" max="8" width="5.6640625" style="2" bestFit="1" customWidth="1"/>
    <col min="9" max="9" width="8.44140625" style="2" bestFit="1" customWidth="1"/>
    <col min="10" max="10" width="8" style="2" bestFit="1" customWidth="1"/>
    <col min="11" max="11" width="9" style="2" bestFit="1" customWidth="1"/>
    <col min="12" max="12" width="8.44140625" style="2" bestFit="1" customWidth="1"/>
    <col min="13" max="13" width="8" style="2" bestFit="1" customWidth="1"/>
    <col min="14" max="14" width="10.44140625" style="2" bestFit="1" customWidth="1"/>
    <col min="15" max="15" width="10.44140625" style="2" customWidth="1"/>
    <col min="16" max="16" width="5.33203125" style="2" customWidth="1"/>
    <col min="17" max="17" width="4.44140625" style="2" bestFit="1" customWidth="1"/>
    <col min="18" max="19" width="5.21875" style="2" bestFit="1" customWidth="1"/>
    <col min="20" max="22" width="4.44140625" style="2" bestFit="1" customWidth="1"/>
    <col min="23" max="23" width="5.21875" style="2" bestFit="1" customWidth="1"/>
    <col min="24" max="24" width="5.6640625" style="2" bestFit="1" customWidth="1"/>
    <col min="25" max="28" width="5.21875" style="2" bestFit="1" customWidth="1"/>
    <col min="29" max="29" width="6.44140625" style="2" bestFit="1" customWidth="1"/>
    <col min="30" max="16384" width="8.88671875" style="2"/>
  </cols>
  <sheetData>
    <row r="1" spans="1:44" ht="13.5" thickBot="1">
      <c r="A1" s="166"/>
      <c r="B1" s="167" t="s">
        <v>4</v>
      </c>
      <c r="C1" s="168" t="s">
        <v>5</v>
      </c>
      <c r="D1" s="171" t="s">
        <v>6</v>
      </c>
      <c r="E1" s="172" t="s">
        <v>7</v>
      </c>
      <c r="F1" s="171" t="s">
        <v>2</v>
      </c>
      <c r="G1" s="173" t="s">
        <v>8</v>
      </c>
      <c r="H1" s="171" t="s">
        <v>9</v>
      </c>
      <c r="I1" s="172" t="s">
        <v>10</v>
      </c>
      <c r="J1" s="171" t="s">
        <v>11</v>
      </c>
      <c r="K1" s="173" t="s">
        <v>12</v>
      </c>
      <c r="L1" s="171" t="s">
        <v>13</v>
      </c>
      <c r="M1" s="172" t="s">
        <v>14</v>
      </c>
      <c r="N1" s="174" t="s">
        <v>29</v>
      </c>
      <c r="O1" s="175" t="s">
        <v>139</v>
      </c>
    </row>
    <row r="2" spans="1:44">
      <c r="A2" s="7">
        <v>1998</v>
      </c>
      <c r="B2" s="9"/>
      <c r="C2" s="9"/>
      <c r="D2" s="9"/>
      <c r="E2" s="9"/>
      <c r="F2" s="9"/>
      <c r="G2" s="9"/>
      <c r="H2" s="9"/>
      <c r="I2" s="123">
        <v>1.32</v>
      </c>
      <c r="J2" s="123">
        <v>5.54</v>
      </c>
      <c r="K2" s="123">
        <v>6.07</v>
      </c>
      <c r="L2" s="123">
        <v>5.01</v>
      </c>
      <c r="M2" s="123">
        <v>14.77</v>
      </c>
      <c r="N2" s="176">
        <f>SUM(B2:M2)</f>
        <v>32.709999999999994</v>
      </c>
      <c r="O2" s="177">
        <v>692</v>
      </c>
      <c r="P2" s="169"/>
      <c r="Q2" s="169"/>
      <c r="R2" s="169"/>
      <c r="S2" s="169"/>
      <c r="T2" s="169"/>
      <c r="U2" s="169"/>
      <c r="V2" s="169"/>
      <c r="W2" s="169"/>
      <c r="X2" s="169">
        <v>29</v>
      </c>
      <c r="Y2" s="169">
        <v>121</v>
      </c>
      <c r="Z2" s="169">
        <v>130</v>
      </c>
      <c r="AA2" s="169">
        <v>106</v>
      </c>
      <c r="AB2" s="169">
        <v>306</v>
      </c>
      <c r="AC2" s="170">
        <f>SUM(X2:AB2)</f>
        <v>692</v>
      </c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</row>
    <row r="3" spans="1:44">
      <c r="A3" s="1">
        <v>1999</v>
      </c>
      <c r="B3" s="4">
        <v>1.85</v>
      </c>
      <c r="C3" s="4">
        <v>1.85</v>
      </c>
      <c r="D3" s="4">
        <v>6.49</v>
      </c>
      <c r="E3" s="4">
        <v>2.9</v>
      </c>
      <c r="F3" s="4">
        <v>3.69</v>
      </c>
      <c r="G3" s="4">
        <v>4.22</v>
      </c>
      <c r="H3" s="4">
        <v>6.59</v>
      </c>
      <c r="I3" s="4">
        <v>5.8</v>
      </c>
      <c r="J3" s="4">
        <v>13.45</v>
      </c>
      <c r="K3" s="4">
        <v>9.23</v>
      </c>
      <c r="L3" s="4">
        <v>6.33</v>
      </c>
      <c r="M3" s="4">
        <v>2.9</v>
      </c>
      <c r="N3" s="178">
        <f>SUM(B3:M3)</f>
        <v>65.300000000000011</v>
      </c>
      <c r="O3" s="48">
        <v>1184</v>
      </c>
      <c r="P3" s="169"/>
      <c r="Q3" s="169">
        <v>37</v>
      </c>
      <c r="R3" s="169">
        <v>37</v>
      </c>
      <c r="S3" s="169">
        <v>127</v>
      </c>
      <c r="T3" s="169">
        <v>56</v>
      </c>
      <c r="U3" s="169">
        <v>70</v>
      </c>
      <c r="V3" s="169">
        <v>78</v>
      </c>
      <c r="W3" s="169">
        <v>121</v>
      </c>
      <c r="X3" s="169">
        <v>104</v>
      </c>
      <c r="Y3" s="169">
        <v>238</v>
      </c>
      <c r="Z3" s="169">
        <v>160</v>
      </c>
      <c r="AA3" s="169">
        <v>108</v>
      </c>
      <c r="AB3" s="169">
        <v>48</v>
      </c>
      <c r="AC3" s="170">
        <f>SUM(Q3:AB3)</f>
        <v>1184</v>
      </c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</row>
    <row r="4" spans="1:44">
      <c r="A4" s="1">
        <v>2000</v>
      </c>
      <c r="B4" s="4">
        <v>2.37</v>
      </c>
      <c r="C4" s="4">
        <v>3.16</v>
      </c>
      <c r="D4" s="4">
        <v>5.01</v>
      </c>
      <c r="E4" s="4">
        <v>3.16</v>
      </c>
      <c r="F4" s="4">
        <v>6.33</v>
      </c>
      <c r="G4" s="4">
        <v>4.75</v>
      </c>
      <c r="H4" s="4">
        <v>4.75</v>
      </c>
      <c r="I4" s="4">
        <v>9.76</v>
      </c>
      <c r="J4" s="4">
        <v>4.4800000000000004</v>
      </c>
      <c r="K4" s="4">
        <v>5.8</v>
      </c>
      <c r="L4" s="4">
        <v>8.17</v>
      </c>
      <c r="M4" s="4">
        <v>7.38</v>
      </c>
      <c r="N4" s="178">
        <f>SUM(B4:M4)</f>
        <v>65.11999999999999</v>
      </c>
      <c r="O4" s="48">
        <v>985</v>
      </c>
      <c r="P4" s="169"/>
      <c r="Q4" s="169">
        <v>39</v>
      </c>
      <c r="R4" s="169">
        <v>51</v>
      </c>
      <c r="S4" s="169">
        <v>80</v>
      </c>
      <c r="T4" s="169">
        <v>50</v>
      </c>
      <c r="U4" s="169">
        <v>99</v>
      </c>
      <c r="V4" s="169">
        <v>73</v>
      </c>
      <c r="W4" s="169">
        <v>72</v>
      </c>
      <c r="X4" s="169">
        <v>147</v>
      </c>
      <c r="Y4" s="169">
        <v>66</v>
      </c>
      <c r="Z4" s="169">
        <v>85</v>
      </c>
      <c r="AA4" s="169">
        <v>118</v>
      </c>
      <c r="AB4" s="169">
        <v>105</v>
      </c>
      <c r="AC4" s="170">
        <f t="shared" ref="AC4:AC6" si="0">SUM(Q4:AB4)</f>
        <v>985</v>
      </c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</row>
    <row r="5" spans="1:44">
      <c r="A5" s="1">
        <v>2001</v>
      </c>
      <c r="B5" s="4">
        <v>4.4800000000000004</v>
      </c>
      <c r="C5" s="4">
        <v>9.23</v>
      </c>
      <c r="D5" s="4">
        <v>4.22</v>
      </c>
      <c r="E5" s="4">
        <v>3.43</v>
      </c>
      <c r="F5" s="4">
        <v>2.9</v>
      </c>
      <c r="G5" s="4">
        <v>5.01</v>
      </c>
      <c r="H5" s="4">
        <v>5.8</v>
      </c>
      <c r="I5" s="4">
        <v>7.65</v>
      </c>
      <c r="J5" s="4">
        <v>4.22</v>
      </c>
      <c r="K5" s="4">
        <v>2.37</v>
      </c>
      <c r="L5" s="4">
        <v>5.27</v>
      </c>
      <c r="M5" s="4">
        <v>7.38</v>
      </c>
      <c r="N5" s="178">
        <f t="shared" ref="N5:N17" si="1">SUM(I5:M5)</f>
        <v>26.89</v>
      </c>
      <c r="O5" s="48">
        <v>826</v>
      </c>
      <c r="P5" s="169"/>
      <c r="Q5" s="169">
        <v>63</v>
      </c>
      <c r="R5" s="169">
        <v>129</v>
      </c>
      <c r="S5" s="169">
        <v>58</v>
      </c>
      <c r="T5" s="169">
        <v>47</v>
      </c>
      <c r="U5" s="169">
        <v>39</v>
      </c>
      <c r="V5" s="169">
        <v>67</v>
      </c>
      <c r="W5" s="169">
        <v>77</v>
      </c>
      <c r="X5" s="169">
        <v>101</v>
      </c>
      <c r="Y5" s="169">
        <v>55</v>
      </c>
      <c r="Z5" s="169">
        <v>30</v>
      </c>
      <c r="AA5" s="169">
        <v>67</v>
      </c>
      <c r="AB5" s="169">
        <v>93</v>
      </c>
      <c r="AC5" s="170">
        <f t="shared" si="0"/>
        <v>826</v>
      </c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</row>
    <row r="6" spans="1:44">
      <c r="A6" s="1">
        <v>2002</v>
      </c>
      <c r="B6" s="4">
        <v>1.58</v>
      </c>
      <c r="C6" s="4">
        <v>3.16</v>
      </c>
      <c r="D6" s="4">
        <v>5.01</v>
      </c>
      <c r="E6" s="4"/>
      <c r="F6" s="4"/>
      <c r="G6" s="4"/>
      <c r="H6" s="4"/>
      <c r="I6" s="4"/>
      <c r="J6" s="4"/>
      <c r="K6" s="4"/>
      <c r="L6" s="4"/>
      <c r="M6" s="4"/>
      <c r="N6" s="178">
        <f t="shared" si="1"/>
        <v>0</v>
      </c>
      <c r="O6" s="48">
        <v>119</v>
      </c>
      <c r="P6" s="169"/>
      <c r="Q6" s="169">
        <v>19</v>
      </c>
      <c r="R6" s="169">
        <v>39</v>
      </c>
      <c r="S6" s="169">
        <v>61</v>
      </c>
      <c r="T6" s="169"/>
      <c r="U6" s="169"/>
      <c r="V6" s="169"/>
      <c r="W6" s="169"/>
      <c r="X6" s="169"/>
      <c r="Y6" s="169"/>
      <c r="Z6" s="169"/>
      <c r="AA6" s="169"/>
      <c r="AB6" s="169"/>
      <c r="AC6" s="170">
        <f t="shared" si="0"/>
        <v>119</v>
      </c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</row>
    <row r="7" spans="1:44">
      <c r="A7" s="1">
        <v>2003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8">
        <f t="shared" si="1"/>
        <v>0</v>
      </c>
      <c r="O7" s="48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</row>
    <row r="8" spans="1:44">
      <c r="A8" s="1">
        <v>2004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8">
        <f t="shared" si="1"/>
        <v>0</v>
      </c>
      <c r="O8" s="48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</row>
    <row r="9" spans="1:44">
      <c r="A9" s="1">
        <v>2005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78">
        <f t="shared" si="1"/>
        <v>0</v>
      </c>
      <c r="O9" s="48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</row>
    <row r="10" spans="1:44">
      <c r="A10" s="1">
        <v>2006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78">
        <f t="shared" si="1"/>
        <v>0</v>
      </c>
      <c r="O10" s="48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</row>
    <row r="11" spans="1:44">
      <c r="A11" s="1">
        <v>2007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78">
        <f t="shared" si="1"/>
        <v>0</v>
      </c>
      <c r="O11" s="48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</row>
    <row r="12" spans="1:44">
      <c r="A12" s="1">
        <v>2008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78">
        <f t="shared" si="1"/>
        <v>0</v>
      </c>
      <c r="O12" s="48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</row>
    <row r="13" spans="1:44">
      <c r="A13" s="1">
        <v>2009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78">
        <f t="shared" si="1"/>
        <v>0</v>
      </c>
      <c r="O13" s="48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</row>
    <row r="14" spans="1:44">
      <c r="A14" s="1">
        <v>2010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78">
        <f t="shared" si="1"/>
        <v>0</v>
      </c>
      <c r="O14" s="48"/>
    </row>
    <row r="15" spans="1:44">
      <c r="A15" s="1">
        <v>2011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78">
        <f t="shared" si="1"/>
        <v>0</v>
      </c>
      <c r="O15" s="48"/>
    </row>
    <row r="16" spans="1:44">
      <c r="A16" s="1">
        <v>2012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78">
        <f t="shared" si="1"/>
        <v>0</v>
      </c>
      <c r="O16" s="48"/>
    </row>
    <row r="17" spans="1:29">
      <c r="A17" s="1">
        <v>2013</v>
      </c>
      <c r="B17" s="4"/>
      <c r="C17" s="4"/>
      <c r="D17" s="4"/>
      <c r="E17" s="4"/>
      <c r="F17" s="4"/>
      <c r="G17" s="8"/>
      <c r="H17" s="8"/>
      <c r="I17" s="8"/>
      <c r="J17" s="8"/>
      <c r="K17" s="8"/>
      <c r="L17" s="8"/>
      <c r="M17" s="8"/>
      <c r="N17" s="178">
        <f t="shared" si="1"/>
        <v>0</v>
      </c>
      <c r="O17" s="180"/>
    </row>
    <row r="18" spans="1:29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4">
        <f>SUM(N2:N17)</f>
        <v>190.01999999999998</v>
      </c>
      <c r="O18" s="4">
        <f>SUM(O2:O17)</f>
        <v>3806</v>
      </c>
    </row>
    <row r="21" spans="1:29">
      <c r="A21" s="2" t="s">
        <v>140</v>
      </c>
    </row>
    <row r="22" spans="1:29">
      <c r="B22" s="5" t="s">
        <v>141</v>
      </c>
    </row>
    <row r="24" spans="1:29">
      <c r="B24" s="526" t="s">
        <v>142</v>
      </c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</row>
    <row r="26" spans="1:29">
      <c r="A26" s="1">
        <v>1998</v>
      </c>
      <c r="B26" s="8"/>
      <c r="C26" s="8"/>
      <c r="D26" s="8"/>
      <c r="E26" s="8"/>
      <c r="F26" s="8"/>
      <c r="G26" s="8"/>
      <c r="H26" s="8"/>
      <c r="I26" s="4">
        <f>I2*6/9</f>
        <v>0.88</v>
      </c>
      <c r="J26" s="4">
        <f t="shared" ref="J26:N26" si="2">J2*6/9</f>
        <v>3.6933333333333334</v>
      </c>
      <c r="K26" s="4">
        <f t="shared" si="2"/>
        <v>4.0466666666666669</v>
      </c>
      <c r="L26" s="4">
        <f t="shared" si="2"/>
        <v>3.34</v>
      </c>
      <c r="M26" s="4">
        <f t="shared" si="2"/>
        <v>9.8466666666666676</v>
      </c>
      <c r="N26" s="4">
        <f t="shared" si="2"/>
        <v>21.806666666666661</v>
      </c>
      <c r="O26" s="4">
        <v>461</v>
      </c>
      <c r="P26" s="169"/>
      <c r="Q26" s="169"/>
      <c r="R26" s="169"/>
      <c r="S26" s="169"/>
      <c r="T26" s="169"/>
      <c r="U26" s="169"/>
      <c r="V26" s="169"/>
      <c r="W26" s="169"/>
      <c r="X26" s="181">
        <f t="shared" ref="X26:AB26" si="3">X2*6/9</f>
        <v>19.333333333333332</v>
      </c>
      <c r="Y26" s="181">
        <f t="shared" si="3"/>
        <v>80.666666666666671</v>
      </c>
      <c r="Z26" s="181">
        <f t="shared" si="3"/>
        <v>86.666666666666671</v>
      </c>
      <c r="AA26" s="181">
        <f t="shared" si="3"/>
        <v>70.666666666666671</v>
      </c>
      <c r="AB26" s="181">
        <f t="shared" si="3"/>
        <v>204</v>
      </c>
      <c r="AC26" s="170">
        <f>SUM(X26:AB26)</f>
        <v>461.33333333333337</v>
      </c>
    </row>
    <row r="27" spans="1:29">
      <c r="A27" s="1">
        <v>1999</v>
      </c>
      <c r="B27" s="4">
        <f t="shared" ref="B27:N41" si="4">B3*6/9</f>
        <v>1.2333333333333334</v>
      </c>
      <c r="C27" s="4">
        <f t="shared" si="4"/>
        <v>1.2333333333333334</v>
      </c>
      <c r="D27" s="4">
        <f t="shared" si="4"/>
        <v>4.3266666666666662</v>
      </c>
      <c r="E27" s="4">
        <f t="shared" si="4"/>
        <v>1.9333333333333331</v>
      </c>
      <c r="F27" s="4">
        <f t="shared" si="4"/>
        <v>2.46</v>
      </c>
      <c r="G27" s="4">
        <f t="shared" si="4"/>
        <v>2.8133333333333335</v>
      </c>
      <c r="H27" s="4">
        <f t="shared" si="4"/>
        <v>4.3933333333333335</v>
      </c>
      <c r="I27" s="4">
        <f t="shared" si="4"/>
        <v>3.8666666666666663</v>
      </c>
      <c r="J27" s="4">
        <f t="shared" si="4"/>
        <v>8.966666666666665</v>
      </c>
      <c r="K27" s="4">
        <f t="shared" si="4"/>
        <v>6.1533333333333333</v>
      </c>
      <c r="L27" s="4">
        <f t="shared" si="4"/>
        <v>4.2200000000000006</v>
      </c>
      <c r="M27" s="4">
        <f t="shared" si="4"/>
        <v>1.9333333333333331</v>
      </c>
      <c r="N27" s="4">
        <f t="shared" si="4"/>
        <v>43.533333333333339</v>
      </c>
      <c r="O27" s="4">
        <v>789</v>
      </c>
      <c r="P27" s="169"/>
      <c r="Q27" s="181">
        <f t="shared" ref="Q27:AB27" si="5">Q3*6/9</f>
        <v>24.666666666666668</v>
      </c>
      <c r="R27" s="181">
        <f t="shared" si="5"/>
        <v>24.666666666666668</v>
      </c>
      <c r="S27" s="181">
        <f t="shared" si="5"/>
        <v>84.666666666666671</v>
      </c>
      <c r="T27" s="181">
        <f t="shared" si="5"/>
        <v>37.333333333333336</v>
      </c>
      <c r="U27" s="181">
        <f t="shared" si="5"/>
        <v>46.666666666666664</v>
      </c>
      <c r="V27" s="181">
        <f t="shared" si="5"/>
        <v>52</v>
      </c>
      <c r="W27" s="181">
        <f t="shared" si="5"/>
        <v>80.666666666666671</v>
      </c>
      <c r="X27" s="181">
        <f t="shared" si="5"/>
        <v>69.333333333333329</v>
      </c>
      <c r="Y27" s="181">
        <f t="shared" si="5"/>
        <v>158.66666666666666</v>
      </c>
      <c r="Z27" s="181">
        <f t="shared" si="5"/>
        <v>106.66666666666667</v>
      </c>
      <c r="AA27" s="181">
        <f t="shared" si="5"/>
        <v>72</v>
      </c>
      <c r="AB27" s="181">
        <f t="shared" si="5"/>
        <v>32</v>
      </c>
      <c r="AC27" s="170">
        <f>SUM(Q27:AB27)</f>
        <v>789.33333333333326</v>
      </c>
    </row>
    <row r="28" spans="1:29">
      <c r="A28" s="1">
        <v>2000</v>
      </c>
      <c r="B28" s="4">
        <f t="shared" si="4"/>
        <v>1.58</v>
      </c>
      <c r="C28" s="4">
        <f t="shared" si="4"/>
        <v>2.1066666666666669</v>
      </c>
      <c r="D28" s="4">
        <f t="shared" si="4"/>
        <v>3.34</v>
      </c>
      <c r="E28" s="4">
        <f t="shared" si="4"/>
        <v>2.1066666666666669</v>
      </c>
      <c r="F28" s="4">
        <f t="shared" si="4"/>
        <v>4.2200000000000006</v>
      </c>
      <c r="G28" s="4">
        <f t="shared" si="4"/>
        <v>3.1666666666666665</v>
      </c>
      <c r="H28" s="4">
        <f t="shared" si="4"/>
        <v>3.1666666666666665</v>
      </c>
      <c r="I28" s="4">
        <f t="shared" si="4"/>
        <v>6.5066666666666668</v>
      </c>
      <c r="J28" s="4">
        <f t="shared" si="4"/>
        <v>2.9866666666666668</v>
      </c>
      <c r="K28" s="4">
        <f t="shared" si="4"/>
        <v>3.8666666666666663</v>
      </c>
      <c r="L28" s="4">
        <f t="shared" si="4"/>
        <v>5.4466666666666663</v>
      </c>
      <c r="M28" s="4">
        <f t="shared" si="4"/>
        <v>4.92</v>
      </c>
      <c r="N28" s="4">
        <f t="shared" si="4"/>
        <v>43.413333333333327</v>
      </c>
      <c r="O28" s="4">
        <v>657</v>
      </c>
      <c r="P28" s="169"/>
      <c r="Q28" s="181">
        <f t="shared" ref="Q28:AB28" si="6">Q4*6/9</f>
        <v>26</v>
      </c>
      <c r="R28" s="181">
        <f t="shared" si="6"/>
        <v>34</v>
      </c>
      <c r="S28" s="181">
        <f t="shared" si="6"/>
        <v>53.333333333333336</v>
      </c>
      <c r="T28" s="181">
        <f t="shared" si="6"/>
        <v>33.333333333333336</v>
      </c>
      <c r="U28" s="181">
        <f t="shared" si="6"/>
        <v>66</v>
      </c>
      <c r="V28" s="181">
        <f t="shared" si="6"/>
        <v>48.666666666666664</v>
      </c>
      <c r="W28" s="181">
        <f t="shared" si="6"/>
        <v>48</v>
      </c>
      <c r="X28" s="181">
        <f t="shared" si="6"/>
        <v>98</v>
      </c>
      <c r="Y28" s="181">
        <f t="shared" si="6"/>
        <v>44</v>
      </c>
      <c r="Z28" s="181">
        <f t="shared" si="6"/>
        <v>56.666666666666664</v>
      </c>
      <c r="AA28" s="181">
        <f t="shared" si="6"/>
        <v>78.666666666666671</v>
      </c>
      <c r="AB28" s="181">
        <f t="shared" si="6"/>
        <v>70</v>
      </c>
      <c r="AC28" s="170">
        <f t="shared" ref="AC28:AC30" si="7">SUM(Q28:AB28)</f>
        <v>656.66666666666674</v>
      </c>
    </row>
    <row r="29" spans="1:29">
      <c r="A29" s="1">
        <v>2001</v>
      </c>
      <c r="B29" s="4">
        <f t="shared" si="4"/>
        <v>2.9866666666666668</v>
      </c>
      <c r="C29" s="4">
        <f t="shared" si="4"/>
        <v>6.1533333333333333</v>
      </c>
      <c r="D29" s="4">
        <f t="shared" si="4"/>
        <v>2.8133333333333335</v>
      </c>
      <c r="E29" s="4">
        <f t="shared" si="4"/>
        <v>2.2866666666666671</v>
      </c>
      <c r="F29" s="4">
        <f t="shared" si="4"/>
        <v>1.9333333333333331</v>
      </c>
      <c r="G29" s="4">
        <f t="shared" si="4"/>
        <v>3.34</v>
      </c>
      <c r="H29" s="4">
        <f t="shared" si="4"/>
        <v>3.8666666666666663</v>
      </c>
      <c r="I29" s="4">
        <f t="shared" si="4"/>
        <v>5.1000000000000005</v>
      </c>
      <c r="J29" s="4">
        <f t="shared" si="4"/>
        <v>2.8133333333333335</v>
      </c>
      <c r="K29" s="4">
        <f t="shared" si="4"/>
        <v>1.58</v>
      </c>
      <c r="L29" s="4">
        <f t="shared" si="4"/>
        <v>3.5133333333333332</v>
      </c>
      <c r="M29" s="4">
        <f t="shared" si="4"/>
        <v>4.92</v>
      </c>
      <c r="N29" s="4">
        <f t="shared" si="4"/>
        <v>17.926666666666666</v>
      </c>
      <c r="O29" s="4">
        <v>551</v>
      </c>
      <c r="P29" s="169"/>
      <c r="Q29" s="181">
        <f t="shared" ref="Q29:AB29" si="8">Q5*6/9</f>
        <v>42</v>
      </c>
      <c r="R29" s="181">
        <f t="shared" si="8"/>
        <v>86</v>
      </c>
      <c r="S29" s="181">
        <f t="shared" si="8"/>
        <v>38.666666666666664</v>
      </c>
      <c r="T29" s="181">
        <f t="shared" si="8"/>
        <v>31.333333333333332</v>
      </c>
      <c r="U29" s="181">
        <f t="shared" si="8"/>
        <v>26</v>
      </c>
      <c r="V29" s="181">
        <f t="shared" si="8"/>
        <v>44.666666666666664</v>
      </c>
      <c r="W29" s="181">
        <f t="shared" si="8"/>
        <v>51.333333333333336</v>
      </c>
      <c r="X29" s="181">
        <f t="shared" si="8"/>
        <v>67.333333333333329</v>
      </c>
      <c r="Y29" s="181">
        <f t="shared" si="8"/>
        <v>36.666666666666664</v>
      </c>
      <c r="Z29" s="181">
        <f t="shared" si="8"/>
        <v>20</v>
      </c>
      <c r="AA29" s="181">
        <f t="shared" si="8"/>
        <v>44.666666666666664</v>
      </c>
      <c r="AB29" s="181">
        <f t="shared" si="8"/>
        <v>62</v>
      </c>
      <c r="AC29" s="170">
        <f t="shared" si="7"/>
        <v>550.66666666666674</v>
      </c>
    </row>
    <row r="30" spans="1:29">
      <c r="A30" s="1">
        <v>2002</v>
      </c>
      <c r="B30" s="4">
        <f t="shared" si="4"/>
        <v>1.0533333333333335</v>
      </c>
      <c r="C30" s="4">
        <f t="shared" si="4"/>
        <v>2.1066666666666669</v>
      </c>
      <c r="D30" s="4">
        <f t="shared" si="4"/>
        <v>3.34</v>
      </c>
      <c r="E30" s="4">
        <f t="shared" si="4"/>
        <v>0</v>
      </c>
      <c r="F30" s="4">
        <f t="shared" si="4"/>
        <v>0</v>
      </c>
      <c r="G30" s="4">
        <f t="shared" si="4"/>
        <v>0</v>
      </c>
      <c r="H30" s="4">
        <f t="shared" si="4"/>
        <v>0</v>
      </c>
      <c r="I30" s="4">
        <f t="shared" si="4"/>
        <v>0</v>
      </c>
      <c r="J30" s="4">
        <f t="shared" si="4"/>
        <v>0</v>
      </c>
      <c r="K30" s="4">
        <f t="shared" si="4"/>
        <v>0</v>
      </c>
      <c r="L30" s="4">
        <f t="shared" si="4"/>
        <v>0</v>
      </c>
      <c r="M30" s="4">
        <f t="shared" si="4"/>
        <v>0</v>
      </c>
      <c r="N30" s="4">
        <f t="shared" si="4"/>
        <v>0</v>
      </c>
      <c r="O30" s="4">
        <v>79</v>
      </c>
      <c r="P30" s="169"/>
      <c r="Q30" s="181">
        <f t="shared" ref="Q30:AB30" si="9">Q6*6/9</f>
        <v>12.666666666666666</v>
      </c>
      <c r="R30" s="181">
        <f t="shared" si="9"/>
        <v>26</v>
      </c>
      <c r="S30" s="181">
        <f t="shared" si="9"/>
        <v>40.666666666666664</v>
      </c>
      <c r="T30" s="181"/>
      <c r="U30" s="181"/>
      <c r="V30" s="181"/>
      <c r="W30" s="181">
        <f t="shared" si="9"/>
        <v>0</v>
      </c>
      <c r="X30" s="181">
        <f t="shared" si="9"/>
        <v>0</v>
      </c>
      <c r="Y30" s="181">
        <f t="shared" si="9"/>
        <v>0</v>
      </c>
      <c r="Z30" s="181">
        <f t="shared" si="9"/>
        <v>0</v>
      </c>
      <c r="AA30" s="181">
        <f t="shared" si="9"/>
        <v>0</v>
      </c>
      <c r="AB30" s="181">
        <f t="shared" si="9"/>
        <v>0</v>
      </c>
      <c r="AC30" s="170">
        <f t="shared" si="7"/>
        <v>79.333333333333329</v>
      </c>
    </row>
    <row r="31" spans="1:29">
      <c r="A31" s="1">
        <v>2003</v>
      </c>
      <c r="B31" s="4">
        <f t="shared" si="4"/>
        <v>0</v>
      </c>
      <c r="C31" s="4">
        <f t="shared" si="4"/>
        <v>0</v>
      </c>
      <c r="D31" s="4">
        <f t="shared" si="4"/>
        <v>0</v>
      </c>
      <c r="E31" s="4">
        <f t="shared" si="4"/>
        <v>0</v>
      </c>
      <c r="F31" s="4">
        <f t="shared" si="4"/>
        <v>0</v>
      </c>
      <c r="G31" s="4">
        <f t="shared" si="4"/>
        <v>0</v>
      </c>
      <c r="H31" s="4">
        <f t="shared" si="4"/>
        <v>0</v>
      </c>
      <c r="I31" s="4">
        <f t="shared" si="4"/>
        <v>0</v>
      </c>
      <c r="J31" s="4">
        <f t="shared" si="4"/>
        <v>0</v>
      </c>
      <c r="K31" s="4">
        <f t="shared" si="4"/>
        <v>0</v>
      </c>
      <c r="L31" s="4">
        <f t="shared" si="4"/>
        <v>0</v>
      </c>
      <c r="M31" s="4">
        <f t="shared" si="4"/>
        <v>0</v>
      </c>
      <c r="N31" s="4">
        <f t="shared" si="4"/>
        <v>0</v>
      </c>
      <c r="O31" s="4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</row>
    <row r="32" spans="1:29">
      <c r="A32" s="1">
        <v>2004</v>
      </c>
      <c r="B32" s="4">
        <f t="shared" si="4"/>
        <v>0</v>
      </c>
      <c r="C32" s="4">
        <f t="shared" si="4"/>
        <v>0</v>
      </c>
      <c r="D32" s="4">
        <f t="shared" si="4"/>
        <v>0</v>
      </c>
      <c r="E32" s="4">
        <f t="shared" si="4"/>
        <v>0</v>
      </c>
      <c r="F32" s="4">
        <f t="shared" si="4"/>
        <v>0</v>
      </c>
      <c r="G32" s="4">
        <f t="shared" si="4"/>
        <v>0</v>
      </c>
      <c r="H32" s="4">
        <f t="shared" si="4"/>
        <v>0</v>
      </c>
      <c r="I32" s="4">
        <f t="shared" si="4"/>
        <v>0</v>
      </c>
      <c r="J32" s="4">
        <f t="shared" si="4"/>
        <v>0</v>
      </c>
      <c r="K32" s="4">
        <f t="shared" si="4"/>
        <v>0</v>
      </c>
      <c r="L32" s="4">
        <f t="shared" si="4"/>
        <v>0</v>
      </c>
      <c r="M32" s="4">
        <f t="shared" si="4"/>
        <v>0</v>
      </c>
      <c r="N32" s="4">
        <f t="shared" si="4"/>
        <v>0</v>
      </c>
      <c r="O32" s="4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</row>
    <row r="33" spans="1:29">
      <c r="A33" s="1">
        <v>2005</v>
      </c>
      <c r="B33" s="4">
        <f t="shared" si="4"/>
        <v>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78"/>
      <c r="O33" s="48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</row>
    <row r="34" spans="1:29">
      <c r="A34" s="1">
        <v>2006</v>
      </c>
      <c r="B34" s="4">
        <f t="shared" si="4"/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178"/>
      <c r="O34" s="48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</row>
    <row r="35" spans="1:29">
      <c r="A35" s="1">
        <v>2007</v>
      </c>
      <c r="B35" s="4">
        <f t="shared" si="4"/>
        <v>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178"/>
      <c r="O35" s="48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</row>
    <row r="36" spans="1:29">
      <c r="A36" s="1">
        <v>2008</v>
      </c>
      <c r="B36" s="4">
        <f t="shared" si="4"/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78"/>
      <c r="O36" s="48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</row>
    <row r="37" spans="1:29">
      <c r="A37" s="1">
        <v>2009</v>
      </c>
      <c r="B37" s="4">
        <f t="shared" si="4"/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78"/>
      <c r="O37" s="48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</row>
    <row r="38" spans="1:29">
      <c r="A38" s="1">
        <v>2010</v>
      </c>
      <c r="B38" s="4">
        <f t="shared" si="4"/>
        <v>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8"/>
      <c r="O38" s="48"/>
    </row>
    <row r="39" spans="1:29">
      <c r="A39" s="1">
        <v>2011</v>
      </c>
      <c r="B39" s="4">
        <f t="shared" si="4"/>
        <v>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8"/>
      <c r="O39" s="48"/>
    </row>
    <row r="40" spans="1:29">
      <c r="A40" s="1">
        <v>2012</v>
      </c>
      <c r="B40" s="4">
        <f t="shared" si="4"/>
        <v>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78"/>
      <c r="O40" s="48"/>
    </row>
    <row r="41" spans="1:29">
      <c r="A41" s="1">
        <v>2013</v>
      </c>
      <c r="B41" s="4">
        <f t="shared" si="4"/>
        <v>0</v>
      </c>
      <c r="C41" s="4"/>
      <c r="D41" s="4"/>
      <c r="E41" s="4"/>
      <c r="F41" s="4"/>
      <c r="G41" s="8"/>
      <c r="H41" s="8"/>
      <c r="I41" s="8"/>
      <c r="J41" s="8"/>
      <c r="K41" s="8"/>
      <c r="L41" s="8"/>
      <c r="M41" s="8"/>
      <c r="N41" s="178"/>
      <c r="O41" s="180"/>
    </row>
    <row r="42" spans="1:29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>SUM(N26:N41)</f>
        <v>126.67999999999999</v>
      </c>
      <c r="O42" s="4">
        <f>SUM(O26:O41)</f>
        <v>2537</v>
      </c>
    </row>
  </sheetData>
  <mergeCells count="1">
    <mergeCell ref="B24:P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00"/>
  <sheetViews>
    <sheetView workbookViewId="0">
      <selection activeCell="J11" sqref="J11"/>
    </sheetView>
  </sheetViews>
  <sheetFormatPr defaultRowHeight="12.75"/>
  <cols>
    <col min="1" max="1" width="5" style="2" bestFit="1" customWidth="1"/>
    <col min="2" max="2" width="7" style="2" bestFit="1" customWidth="1"/>
    <col min="3" max="3" width="8" style="2" bestFit="1" customWidth="1"/>
    <col min="4" max="5" width="3.88671875" style="2" bestFit="1" customWidth="1"/>
    <col min="6" max="6" width="5.6640625" style="2" bestFit="1" customWidth="1"/>
    <col min="7" max="7" width="7" style="2" bestFit="1" customWidth="1"/>
    <col min="8" max="8" width="8.33203125" style="2" bestFit="1" customWidth="1"/>
    <col min="9" max="9" width="8" style="2" bestFit="1" customWidth="1"/>
    <col min="10" max="10" width="9" style="2" bestFit="1" customWidth="1"/>
    <col min="11" max="11" width="8" style="2" bestFit="1" customWidth="1"/>
    <col min="12" max="13" width="9" style="2" bestFit="1" customWidth="1"/>
    <col min="14" max="14" width="8.88671875" style="2"/>
    <col min="15" max="15" width="6" style="2" bestFit="1" customWidth="1"/>
    <col min="16" max="18" width="5.109375" style="2" customWidth="1"/>
    <col min="19" max="19" width="8.88671875" style="2"/>
    <col min="20" max="20" width="10.44140625" style="2" customWidth="1"/>
    <col min="21" max="21" width="5.21875" style="2" bestFit="1" customWidth="1"/>
    <col min="22" max="22" width="9.33203125" style="2" customWidth="1"/>
    <col min="23" max="23" width="5.44140625" style="2" bestFit="1" customWidth="1"/>
    <col min="24" max="24" width="10.88671875" style="2" customWidth="1"/>
    <col min="25" max="25" width="7.44140625" style="2" customWidth="1"/>
    <col min="26" max="26" width="10.44140625" style="2" bestFit="1" customWidth="1"/>
    <col min="27" max="27" width="5" style="2" bestFit="1" customWidth="1"/>
    <col min="28" max="28" width="7" style="2" bestFit="1" customWidth="1"/>
    <col min="29" max="29" width="8" style="2" bestFit="1" customWidth="1"/>
    <col min="30" max="31" width="3.88671875" style="2" bestFit="1" customWidth="1"/>
    <col min="32" max="32" width="5.6640625" style="2" bestFit="1" customWidth="1"/>
    <col min="33" max="33" width="7" style="2" bestFit="1" customWidth="1"/>
    <col min="34" max="34" width="8.33203125" style="2" bestFit="1" customWidth="1"/>
    <col min="35" max="35" width="8.33203125" style="2" customWidth="1"/>
    <col min="36" max="36" width="8" style="2" bestFit="1" customWidth="1"/>
    <col min="37" max="39" width="9" style="2" bestFit="1" customWidth="1"/>
    <col min="40" max="16384" width="8.88671875" style="2"/>
  </cols>
  <sheetData>
    <row r="1" spans="1:27" ht="15">
      <c r="A1" s="490" t="s">
        <v>18</v>
      </c>
      <c r="B1" s="492" t="s">
        <v>4</v>
      </c>
      <c r="C1" s="414" t="s">
        <v>5</v>
      </c>
      <c r="D1" s="494" t="s">
        <v>6</v>
      </c>
      <c r="E1" s="414" t="s">
        <v>7</v>
      </c>
      <c r="F1" s="492" t="s">
        <v>2</v>
      </c>
      <c r="G1" s="414" t="s">
        <v>8</v>
      </c>
      <c r="H1" s="511" t="s">
        <v>9</v>
      </c>
      <c r="I1" s="414" t="s">
        <v>10</v>
      </c>
      <c r="J1" s="492" t="s">
        <v>11</v>
      </c>
      <c r="K1" s="414" t="s">
        <v>12</v>
      </c>
      <c r="L1" s="511" t="s">
        <v>13</v>
      </c>
      <c r="M1" s="513" t="s">
        <v>14</v>
      </c>
      <c r="N1" s="515" t="s">
        <v>16</v>
      </c>
      <c r="O1" s="515"/>
      <c r="P1" s="515"/>
      <c r="T1" s="410" t="s">
        <v>71</v>
      </c>
      <c r="U1" s="410"/>
      <c r="V1" s="410"/>
      <c r="W1" s="410"/>
      <c r="X1" s="410"/>
      <c r="Y1" s="410"/>
      <c r="Z1" s="90"/>
      <c r="AA1" s="90"/>
    </row>
    <row r="2" spans="1:27" ht="15.75" customHeight="1" thickBot="1">
      <c r="A2" s="491"/>
      <c r="B2" s="493"/>
      <c r="C2" s="416"/>
      <c r="D2" s="495"/>
      <c r="E2" s="416"/>
      <c r="F2" s="493"/>
      <c r="G2" s="416"/>
      <c r="H2" s="512"/>
      <c r="I2" s="416"/>
      <c r="J2" s="493"/>
      <c r="K2" s="416"/>
      <c r="L2" s="512"/>
      <c r="M2" s="514"/>
      <c r="N2" s="87" t="s">
        <v>27</v>
      </c>
      <c r="O2" s="87" t="s">
        <v>50</v>
      </c>
      <c r="P2" s="88" t="s">
        <v>34</v>
      </c>
      <c r="T2" s="410"/>
      <c r="U2" s="410"/>
      <c r="V2" s="410"/>
      <c r="W2" s="410"/>
      <c r="X2" s="410"/>
      <c r="Y2" s="410"/>
      <c r="Z2" s="90"/>
      <c r="AA2" s="90"/>
    </row>
    <row r="3" spans="1:27" ht="12.75" customHeight="1">
      <c r="A3" s="7">
        <v>1998</v>
      </c>
      <c r="B3" s="9"/>
      <c r="C3" s="9"/>
      <c r="D3" s="9"/>
      <c r="E3" s="9"/>
      <c r="F3" s="9"/>
      <c r="G3" s="9"/>
      <c r="H3" s="9"/>
      <c r="I3" s="123"/>
      <c r="J3" s="125"/>
      <c r="K3" s="76"/>
      <c r="L3" s="76"/>
      <c r="M3" s="59"/>
      <c r="N3" s="59">
        <f>K27</f>
        <v>0</v>
      </c>
      <c r="O3" s="59">
        <f t="shared" ref="O3:P18" si="0">L27</f>
        <v>0</v>
      </c>
      <c r="P3" s="59">
        <f t="shared" si="0"/>
        <v>0</v>
      </c>
      <c r="T3" s="530" t="s">
        <v>45</v>
      </c>
      <c r="U3" s="527" t="s">
        <v>44</v>
      </c>
      <c r="V3" s="530" t="s">
        <v>45</v>
      </c>
      <c r="W3" s="499" t="s">
        <v>61</v>
      </c>
      <c r="X3" s="530" t="s">
        <v>45</v>
      </c>
      <c r="Y3" s="499" t="s">
        <v>46</v>
      </c>
    </row>
    <row r="4" spans="1:27">
      <c r="A4" s="1">
        <v>1999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9">
        <f t="shared" ref="N4:N18" si="1">K28</f>
        <v>0</v>
      </c>
      <c r="O4" s="59">
        <f t="shared" si="0"/>
        <v>0</v>
      </c>
      <c r="P4" s="59">
        <f t="shared" si="0"/>
        <v>0</v>
      </c>
      <c r="T4" s="530"/>
      <c r="U4" s="527"/>
      <c r="V4" s="530"/>
      <c r="W4" s="499"/>
      <c r="X4" s="530"/>
      <c r="Y4" s="499"/>
    </row>
    <row r="5" spans="1:27">
      <c r="A5" s="1">
        <v>2000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59">
        <f t="shared" si="1"/>
        <v>0</v>
      </c>
      <c r="O5" s="59">
        <f t="shared" si="0"/>
        <v>0</v>
      </c>
      <c r="P5" s="59">
        <f t="shared" si="0"/>
        <v>0</v>
      </c>
      <c r="T5" s="530"/>
      <c r="U5" s="527"/>
      <c r="V5" s="530"/>
      <c r="W5" s="499"/>
      <c r="X5" s="530"/>
      <c r="Y5" s="499"/>
    </row>
    <row r="6" spans="1:27">
      <c r="A6" s="1">
        <v>2001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59">
        <f t="shared" si="1"/>
        <v>0</v>
      </c>
      <c r="O6" s="59">
        <f t="shared" si="0"/>
        <v>0</v>
      </c>
      <c r="P6" s="59">
        <f t="shared" si="0"/>
        <v>0</v>
      </c>
      <c r="T6" s="530"/>
      <c r="U6" s="527"/>
      <c r="V6" s="530"/>
      <c r="W6" s="499"/>
      <c r="X6" s="530"/>
      <c r="Y6" s="499"/>
    </row>
    <row r="7" spans="1:27">
      <c r="A7" s="1">
        <v>2002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9">
        <f t="shared" si="1"/>
        <v>0</v>
      </c>
      <c r="O7" s="59">
        <f t="shared" si="0"/>
        <v>0</v>
      </c>
      <c r="P7" s="59">
        <f t="shared" si="0"/>
        <v>0</v>
      </c>
      <c r="T7" s="530"/>
      <c r="U7" s="527"/>
      <c r="V7" s="530"/>
      <c r="W7" s="499"/>
      <c r="X7" s="530"/>
      <c r="Y7" s="499"/>
    </row>
    <row r="8" spans="1:27">
      <c r="A8" s="1">
        <v>2003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59">
        <f t="shared" si="1"/>
        <v>0</v>
      </c>
      <c r="O8" s="59">
        <f t="shared" si="0"/>
        <v>0</v>
      </c>
      <c r="P8" s="59">
        <f t="shared" si="0"/>
        <v>0</v>
      </c>
      <c r="T8" s="530"/>
      <c r="U8" s="527"/>
      <c r="V8" s="530"/>
      <c r="W8" s="499"/>
      <c r="X8" s="530"/>
      <c r="Y8" s="499"/>
    </row>
    <row r="9" spans="1:27" ht="15" customHeight="1">
      <c r="A9" s="1">
        <v>2004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59">
        <f t="shared" si="1"/>
        <v>0</v>
      </c>
      <c r="O9" s="59">
        <f t="shared" si="0"/>
        <v>0</v>
      </c>
      <c r="P9" s="59">
        <f t="shared" si="0"/>
        <v>0</v>
      </c>
      <c r="T9" s="530"/>
      <c r="U9" s="527"/>
      <c r="V9" s="530"/>
      <c r="W9" s="499"/>
      <c r="X9" s="530"/>
      <c r="Y9" s="499"/>
    </row>
    <row r="10" spans="1:27" ht="15" customHeight="1">
      <c r="A10" s="1">
        <v>2005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9">
        <f t="shared" si="1"/>
        <v>0</v>
      </c>
      <c r="O10" s="59">
        <f t="shared" si="0"/>
        <v>0</v>
      </c>
      <c r="P10" s="59">
        <f t="shared" si="0"/>
        <v>0</v>
      </c>
      <c r="T10" s="530"/>
      <c r="U10" s="527"/>
      <c r="V10" s="530"/>
      <c r="W10" s="499"/>
      <c r="X10" s="530"/>
      <c r="Y10" s="499"/>
    </row>
    <row r="11" spans="1:27" ht="15" customHeight="1">
      <c r="A11" s="1">
        <v>2006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9">
        <f t="shared" si="1"/>
        <v>0</v>
      </c>
      <c r="O11" s="59">
        <f t="shared" si="0"/>
        <v>0</v>
      </c>
      <c r="P11" s="59">
        <f t="shared" si="0"/>
        <v>0</v>
      </c>
      <c r="T11" s="530"/>
      <c r="U11" s="527"/>
      <c r="V11" s="530"/>
      <c r="W11" s="499"/>
      <c r="X11" s="530"/>
      <c r="Y11" s="499"/>
    </row>
    <row r="12" spans="1:27">
      <c r="A12" s="1">
        <v>2007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9">
        <f t="shared" si="1"/>
        <v>0</v>
      </c>
      <c r="O12" s="59">
        <f t="shared" si="0"/>
        <v>0</v>
      </c>
      <c r="P12" s="59">
        <f t="shared" si="0"/>
        <v>0</v>
      </c>
      <c r="T12" s="77">
        <v>192.36</v>
      </c>
      <c r="U12" s="527"/>
      <c r="V12" s="77">
        <v>128.24</v>
      </c>
      <c r="W12" s="499"/>
      <c r="X12" s="77">
        <v>1816.7304999999999</v>
      </c>
      <c r="Y12" s="499"/>
    </row>
    <row r="13" spans="1:27">
      <c r="A13" s="1">
        <v>2008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9">
        <f t="shared" si="1"/>
        <v>0</v>
      </c>
      <c r="O13" s="59">
        <f t="shared" si="0"/>
        <v>0</v>
      </c>
      <c r="P13" s="59">
        <f t="shared" si="0"/>
        <v>0</v>
      </c>
      <c r="T13" s="77">
        <v>322.8</v>
      </c>
      <c r="U13" s="527"/>
      <c r="V13" s="77">
        <v>217.52</v>
      </c>
      <c r="W13" s="499"/>
      <c r="X13" s="77">
        <v>3279.4445000000001</v>
      </c>
      <c r="Y13" s="499"/>
    </row>
    <row r="14" spans="1:27">
      <c r="A14" s="1">
        <v>2009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9">
        <f t="shared" si="1"/>
        <v>0</v>
      </c>
      <c r="O14" s="59">
        <f t="shared" si="0"/>
        <v>0</v>
      </c>
      <c r="P14" s="59">
        <f t="shared" si="0"/>
        <v>0</v>
      </c>
      <c r="T14" s="77">
        <v>89.12</v>
      </c>
      <c r="U14" s="527"/>
      <c r="V14" s="77">
        <v>59.41</v>
      </c>
      <c r="W14" s="499"/>
      <c r="X14" s="77">
        <v>841.68700000000001</v>
      </c>
      <c r="Y14" s="499"/>
    </row>
    <row r="15" spans="1:27">
      <c r="A15" s="1">
        <v>2010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9">
        <f t="shared" si="1"/>
        <v>0</v>
      </c>
      <c r="O15" s="59">
        <f t="shared" si="0"/>
        <v>0</v>
      </c>
      <c r="P15" s="59">
        <f t="shared" si="0"/>
        <v>0</v>
      </c>
      <c r="T15" s="77">
        <v>103.55</v>
      </c>
      <c r="U15" s="527"/>
      <c r="V15" s="77">
        <v>69.03</v>
      </c>
      <c r="W15" s="499"/>
      <c r="X15" s="77">
        <v>977.97599999999989</v>
      </c>
      <c r="Y15" s="499"/>
    </row>
    <row r="16" spans="1:27">
      <c r="A16" s="1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9">
        <f t="shared" si="1"/>
        <v>0</v>
      </c>
      <c r="O16" s="59">
        <f t="shared" si="0"/>
        <v>0</v>
      </c>
      <c r="P16" s="59">
        <f t="shared" si="0"/>
        <v>0</v>
      </c>
      <c r="T16" s="528" t="s">
        <v>45</v>
      </c>
      <c r="U16" s="527"/>
      <c r="V16" s="528" t="s">
        <v>45</v>
      </c>
      <c r="W16" s="499"/>
      <c r="X16" s="528" t="s">
        <v>45</v>
      </c>
      <c r="Y16" s="499"/>
    </row>
    <row r="17" spans="1:26">
      <c r="A17" s="1">
        <v>2012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9">
        <f t="shared" si="1"/>
        <v>0</v>
      </c>
      <c r="O17" s="59">
        <f t="shared" si="0"/>
        <v>0</v>
      </c>
      <c r="P17" s="59">
        <f t="shared" si="0"/>
        <v>0</v>
      </c>
      <c r="T17" s="528"/>
      <c r="U17" s="527"/>
      <c r="V17" s="528"/>
      <c r="W17" s="499"/>
      <c r="X17" s="528"/>
      <c r="Y17" s="499"/>
    </row>
    <row r="18" spans="1:26">
      <c r="A18" s="1">
        <v>2013</v>
      </c>
      <c r="B18" s="3"/>
      <c r="C18" s="3"/>
      <c r="D18" s="3"/>
      <c r="E18" s="3"/>
      <c r="F18" s="3"/>
      <c r="G18" s="8"/>
      <c r="H18" s="8"/>
      <c r="I18" s="8"/>
      <c r="J18" s="8"/>
      <c r="K18" s="8"/>
      <c r="L18" s="8"/>
      <c r="M18" s="8"/>
      <c r="N18" s="59">
        <f t="shared" si="1"/>
        <v>0</v>
      </c>
      <c r="O18" s="59">
        <f t="shared" si="0"/>
        <v>0</v>
      </c>
      <c r="P18" s="59">
        <f t="shared" si="0"/>
        <v>0</v>
      </c>
      <c r="Q18" s="5"/>
      <c r="R18" s="5" t="s">
        <v>1</v>
      </c>
      <c r="S18" s="5" t="s">
        <v>2</v>
      </c>
      <c r="T18" s="529"/>
      <c r="U18" s="527"/>
      <c r="V18" s="529"/>
      <c r="W18" s="499"/>
      <c r="X18" s="529"/>
      <c r="Y18" s="499"/>
    </row>
    <row r="19" spans="1:26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3">
        <f>SUM(N3:N18)</f>
        <v>0</v>
      </c>
      <c r="O19" s="3">
        <f t="shared" ref="O19:P19" si="2">SUM(O3:O18)</f>
        <v>0</v>
      </c>
      <c r="P19" s="3">
        <f t="shared" si="2"/>
        <v>0</v>
      </c>
      <c r="T19" s="4">
        <f>SUM(T3:T18)</f>
        <v>707.83</v>
      </c>
      <c r="V19" s="48">
        <f>SUM(V3:V18)</f>
        <v>474.19999999999993</v>
      </c>
      <c r="X19" s="48">
        <f>SUM(X3:X18)</f>
        <v>6915.8379999999997</v>
      </c>
    </row>
    <row r="22" spans="1:26" s="10" customFormat="1" ht="15">
      <c r="Z22" s="2"/>
    </row>
    <row r="23" spans="1:26" s="10" customFormat="1" ht="15.75" customHeight="1">
      <c r="A23" s="474" t="s">
        <v>48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60"/>
      <c r="R23" s="60"/>
      <c r="S23" s="60"/>
      <c r="T23" s="121"/>
      <c r="U23" s="60"/>
      <c r="V23" s="60"/>
      <c r="W23" s="60"/>
      <c r="Z23" s="2"/>
    </row>
    <row r="24" spans="1:26" s="10" customFormat="1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Z24" s="2"/>
    </row>
    <row r="25" spans="1:26" s="10" customFormat="1" ht="15">
      <c r="A25" s="475" t="s">
        <v>18</v>
      </c>
      <c r="B25" s="477" t="s">
        <v>20</v>
      </c>
      <c r="C25" s="479" t="s">
        <v>22</v>
      </c>
      <c r="D25" s="481" t="s">
        <v>21</v>
      </c>
      <c r="E25" s="482"/>
      <c r="F25" s="482"/>
      <c r="G25" s="483"/>
      <c r="H25" s="531" t="s">
        <v>23</v>
      </c>
      <c r="I25" s="531"/>
      <c r="J25" s="531"/>
      <c r="K25" s="500" t="s">
        <v>35</v>
      </c>
      <c r="L25" s="501"/>
      <c r="M25" s="501"/>
      <c r="Z25" s="2"/>
    </row>
    <row r="26" spans="1:26" s="10" customFormat="1" ht="15">
      <c r="A26" s="476"/>
      <c r="B26" s="478"/>
      <c r="C26" s="480"/>
      <c r="D26" s="484"/>
      <c r="E26" s="485"/>
      <c r="F26" s="485"/>
      <c r="G26" s="486"/>
      <c r="H26" s="49" t="s">
        <v>49</v>
      </c>
      <c r="I26" s="49" t="s">
        <v>34</v>
      </c>
      <c r="J26" s="93" t="s">
        <v>19</v>
      </c>
      <c r="K26" s="49" t="s">
        <v>27</v>
      </c>
      <c r="L26" s="49" t="s">
        <v>50</v>
      </c>
      <c r="M26" s="57" t="s">
        <v>34</v>
      </c>
      <c r="Z26" s="2"/>
    </row>
    <row r="27" spans="1:26" s="10" customFormat="1" ht="15">
      <c r="A27" s="13"/>
      <c r="B27" s="47"/>
      <c r="C27" s="54"/>
      <c r="D27" s="496"/>
      <c r="E27" s="497"/>
      <c r="F27" s="497"/>
      <c r="G27" s="498"/>
      <c r="H27" s="58"/>
      <c r="I27" s="58"/>
      <c r="J27" s="58">
        <f>H27-I27</f>
        <v>0</v>
      </c>
      <c r="K27" s="33">
        <f>J27*9%</f>
        <v>0</v>
      </c>
      <c r="L27" s="33">
        <f>J27*6%</f>
        <v>0</v>
      </c>
      <c r="M27" s="33">
        <f>J27-K27-L27</f>
        <v>0</v>
      </c>
      <c r="Z27" s="2"/>
    </row>
    <row r="28" spans="1:26" s="10" customFormat="1" ht="15">
      <c r="A28" s="13"/>
      <c r="B28" s="47"/>
      <c r="C28" s="54"/>
      <c r="D28" s="496"/>
      <c r="E28" s="497"/>
      <c r="F28" s="497"/>
      <c r="G28" s="498"/>
      <c r="H28" s="58"/>
      <c r="I28" s="58"/>
      <c r="J28" s="58">
        <f t="shared" ref="J28:J43" si="3">H28-I28</f>
        <v>0</v>
      </c>
      <c r="K28" s="33">
        <f t="shared" ref="K28:K43" si="4">J28*9%</f>
        <v>0</v>
      </c>
      <c r="L28" s="33">
        <f t="shared" ref="L28:L43" si="5">J28*6%</f>
        <v>0</v>
      </c>
      <c r="M28" s="33">
        <f t="shared" ref="M28:M43" si="6">J28-K28-L28</f>
        <v>0</v>
      </c>
      <c r="Z28" s="2"/>
    </row>
    <row r="29" spans="1:26" s="10" customFormat="1" ht="15">
      <c r="A29" s="13"/>
      <c r="B29" s="47"/>
      <c r="C29" s="54"/>
      <c r="D29" s="496"/>
      <c r="E29" s="497"/>
      <c r="F29" s="497"/>
      <c r="G29" s="498"/>
      <c r="H29" s="62"/>
      <c r="I29" s="62"/>
      <c r="J29" s="58">
        <f t="shared" si="3"/>
        <v>0</v>
      </c>
      <c r="K29" s="33">
        <f t="shared" si="4"/>
        <v>0</v>
      </c>
      <c r="L29" s="33">
        <f t="shared" si="5"/>
        <v>0</v>
      </c>
      <c r="M29" s="33">
        <f t="shared" si="6"/>
        <v>0</v>
      </c>
      <c r="Z29" s="2"/>
    </row>
    <row r="30" spans="1:26" s="10" customFormat="1" ht="15">
      <c r="A30" s="13"/>
      <c r="B30" s="47"/>
      <c r="C30" s="54"/>
      <c r="D30" s="496"/>
      <c r="E30" s="497"/>
      <c r="F30" s="497"/>
      <c r="G30" s="498"/>
      <c r="H30" s="62"/>
      <c r="I30" s="62"/>
      <c r="J30" s="58">
        <f t="shared" si="3"/>
        <v>0</v>
      </c>
      <c r="K30" s="33">
        <f t="shared" si="4"/>
        <v>0</v>
      </c>
      <c r="L30" s="33">
        <f t="shared" si="5"/>
        <v>0</v>
      </c>
      <c r="M30" s="33">
        <f t="shared" si="6"/>
        <v>0</v>
      </c>
      <c r="Z30" s="2"/>
    </row>
    <row r="31" spans="1:26" s="10" customFormat="1" ht="15">
      <c r="A31" s="13"/>
      <c r="B31" s="47"/>
      <c r="C31" s="54"/>
      <c r="D31" s="496"/>
      <c r="E31" s="497"/>
      <c r="F31" s="497"/>
      <c r="G31" s="498"/>
      <c r="H31" s="62"/>
      <c r="I31" s="62"/>
      <c r="J31" s="58">
        <f t="shared" si="3"/>
        <v>0</v>
      </c>
      <c r="K31" s="33">
        <f t="shared" si="4"/>
        <v>0</v>
      </c>
      <c r="L31" s="33">
        <f t="shared" si="5"/>
        <v>0</v>
      </c>
      <c r="M31" s="33">
        <f t="shared" si="6"/>
        <v>0</v>
      </c>
      <c r="Z31" s="2"/>
    </row>
    <row r="32" spans="1:26" s="10" customFormat="1" ht="15">
      <c r="A32" s="13"/>
      <c r="B32" s="47"/>
      <c r="C32" s="54"/>
      <c r="D32" s="496"/>
      <c r="E32" s="497"/>
      <c r="F32" s="497"/>
      <c r="G32" s="498"/>
      <c r="H32" s="62"/>
      <c r="I32" s="62"/>
      <c r="J32" s="58">
        <f t="shared" si="3"/>
        <v>0</v>
      </c>
      <c r="K32" s="33">
        <f t="shared" si="4"/>
        <v>0</v>
      </c>
      <c r="L32" s="33">
        <f t="shared" si="5"/>
        <v>0</v>
      </c>
      <c r="M32" s="33">
        <f t="shared" si="6"/>
        <v>0</v>
      </c>
      <c r="Z32" s="2"/>
    </row>
    <row r="33" spans="1:13" s="10" customFormat="1" ht="15">
      <c r="A33" s="13"/>
      <c r="B33" s="47"/>
      <c r="C33" s="52"/>
      <c r="D33" s="496"/>
      <c r="E33" s="497"/>
      <c r="F33" s="497"/>
      <c r="G33" s="498"/>
      <c r="H33" s="51"/>
      <c r="I33" s="51"/>
      <c r="J33" s="58">
        <f t="shared" si="3"/>
        <v>0</v>
      </c>
      <c r="K33" s="33">
        <f t="shared" si="4"/>
        <v>0</v>
      </c>
      <c r="L33" s="33">
        <f t="shared" si="5"/>
        <v>0</v>
      </c>
      <c r="M33" s="33">
        <f t="shared" si="6"/>
        <v>0</v>
      </c>
    </row>
    <row r="34" spans="1:13" s="10" customFormat="1" ht="15">
      <c r="A34" s="13"/>
      <c r="B34" s="47"/>
      <c r="C34" s="52"/>
      <c r="D34" s="496"/>
      <c r="E34" s="497"/>
      <c r="F34" s="497"/>
      <c r="G34" s="498"/>
      <c r="H34" s="51"/>
      <c r="I34" s="51"/>
      <c r="J34" s="58">
        <f t="shared" si="3"/>
        <v>0</v>
      </c>
      <c r="K34" s="33">
        <f t="shared" si="4"/>
        <v>0</v>
      </c>
      <c r="L34" s="33">
        <f t="shared" si="5"/>
        <v>0</v>
      </c>
      <c r="M34" s="33">
        <f t="shared" si="6"/>
        <v>0</v>
      </c>
    </row>
    <row r="35" spans="1:13" s="10" customFormat="1" ht="15">
      <c r="A35" s="13"/>
      <c r="B35" s="47"/>
      <c r="C35" s="52"/>
      <c r="D35" s="496"/>
      <c r="E35" s="497"/>
      <c r="F35" s="497"/>
      <c r="G35" s="498"/>
      <c r="H35" s="51"/>
      <c r="I35" s="51"/>
      <c r="J35" s="58">
        <f t="shared" si="3"/>
        <v>0</v>
      </c>
      <c r="K35" s="33">
        <f t="shared" si="4"/>
        <v>0</v>
      </c>
      <c r="L35" s="33">
        <f t="shared" si="5"/>
        <v>0</v>
      </c>
      <c r="M35" s="33">
        <f t="shared" si="6"/>
        <v>0</v>
      </c>
    </row>
    <row r="36" spans="1:13" s="10" customFormat="1" ht="15">
      <c r="A36" s="13"/>
      <c r="B36" s="47"/>
      <c r="C36" s="52"/>
      <c r="D36" s="496"/>
      <c r="E36" s="497"/>
      <c r="F36" s="497"/>
      <c r="G36" s="498"/>
      <c r="H36" s="51"/>
      <c r="I36" s="51"/>
      <c r="J36" s="58">
        <f t="shared" si="3"/>
        <v>0</v>
      </c>
      <c r="K36" s="33">
        <f t="shared" si="4"/>
        <v>0</v>
      </c>
      <c r="L36" s="33">
        <f t="shared" si="5"/>
        <v>0</v>
      </c>
      <c r="M36" s="33">
        <f t="shared" si="6"/>
        <v>0</v>
      </c>
    </row>
    <row r="37" spans="1:13" s="10" customFormat="1" ht="15">
      <c r="A37" s="13"/>
      <c r="B37" s="47"/>
      <c r="C37" s="52"/>
      <c r="D37" s="496"/>
      <c r="E37" s="497"/>
      <c r="F37" s="497"/>
      <c r="G37" s="498"/>
      <c r="H37" s="51"/>
      <c r="I37" s="51"/>
      <c r="J37" s="58">
        <f t="shared" si="3"/>
        <v>0</v>
      </c>
      <c r="K37" s="33">
        <f t="shared" si="4"/>
        <v>0</v>
      </c>
      <c r="L37" s="33">
        <f t="shared" si="5"/>
        <v>0</v>
      </c>
      <c r="M37" s="33">
        <f t="shared" si="6"/>
        <v>0</v>
      </c>
    </row>
    <row r="38" spans="1:13" s="10" customFormat="1" ht="15">
      <c r="A38" s="13"/>
      <c r="B38" s="47"/>
      <c r="C38" s="52"/>
      <c r="D38" s="496"/>
      <c r="E38" s="497"/>
      <c r="F38" s="497"/>
      <c r="G38" s="498"/>
      <c r="H38" s="51"/>
      <c r="I38" s="51"/>
      <c r="J38" s="58">
        <f t="shared" si="3"/>
        <v>0</v>
      </c>
      <c r="K38" s="33">
        <f t="shared" si="4"/>
        <v>0</v>
      </c>
      <c r="L38" s="33">
        <f t="shared" si="5"/>
        <v>0</v>
      </c>
      <c r="M38" s="33">
        <f t="shared" si="6"/>
        <v>0</v>
      </c>
    </row>
    <row r="39" spans="1:13" s="10" customFormat="1" ht="15">
      <c r="A39" s="13"/>
      <c r="B39" s="47"/>
      <c r="C39" s="52"/>
      <c r="D39" s="496"/>
      <c r="E39" s="497"/>
      <c r="F39" s="497"/>
      <c r="G39" s="498"/>
      <c r="H39" s="51"/>
      <c r="I39" s="51"/>
      <c r="J39" s="58">
        <f t="shared" si="3"/>
        <v>0</v>
      </c>
      <c r="K39" s="33">
        <f t="shared" si="4"/>
        <v>0</v>
      </c>
      <c r="L39" s="33">
        <f t="shared" si="5"/>
        <v>0</v>
      </c>
      <c r="M39" s="33">
        <f t="shared" si="6"/>
        <v>0</v>
      </c>
    </row>
    <row r="40" spans="1:13" s="10" customFormat="1" ht="15">
      <c r="A40" s="13"/>
      <c r="B40" s="47"/>
      <c r="C40" s="52"/>
      <c r="D40" s="496"/>
      <c r="E40" s="497"/>
      <c r="F40" s="497"/>
      <c r="G40" s="498"/>
      <c r="H40" s="51"/>
      <c r="I40" s="51"/>
      <c r="J40" s="58">
        <f t="shared" si="3"/>
        <v>0</v>
      </c>
      <c r="K40" s="33">
        <f t="shared" si="4"/>
        <v>0</v>
      </c>
      <c r="L40" s="33">
        <f t="shared" si="5"/>
        <v>0</v>
      </c>
      <c r="M40" s="33">
        <f t="shared" si="6"/>
        <v>0</v>
      </c>
    </row>
    <row r="41" spans="1:13" s="10" customFormat="1" ht="15">
      <c r="A41" s="13"/>
      <c r="B41" s="47"/>
      <c r="C41" s="52"/>
      <c r="D41" s="496"/>
      <c r="E41" s="497"/>
      <c r="F41" s="497"/>
      <c r="G41" s="498"/>
      <c r="H41" s="51"/>
      <c r="I41" s="51"/>
      <c r="J41" s="58">
        <f t="shared" si="3"/>
        <v>0</v>
      </c>
      <c r="K41" s="33">
        <f t="shared" si="4"/>
        <v>0</v>
      </c>
      <c r="L41" s="33">
        <f t="shared" si="5"/>
        <v>0</v>
      </c>
      <c r="M41" s="33">
        <f t="shared" si="6"/>
        <v>0</v>
      </c>
    </row>
    <row r="42" spans="1:13" s="10" customFormat="1" ht="15">
      <c r="A42" s="13"/>
      <c r="B42" s="47"/>
      <c r="C42" s="52"/>
      <c r="D42" s="496"/>
      <c r="E42" s="497"/>
      <c r="F42" s="497"/>
      <c r="G42" s="498"/>
      <c r="H42" s="51"/>
      <c r="I42" s="51"/>
      <c r="J42" s="58">
        <f t="shared" si="3"/>
        <v>0</v>
      </c>
      <c r="K42" s="33">
        <f t="shared" si="4"/>
        <v>0</v>
      </c>
      <c r="L42" s="33">
        <f t="shared" si="5"/>
        <v>0</v>
      </c>
      <c r="M42" s="33">
        <f t="shared" si="6"/>
        <v>0</v>
      </c>
    </row>
    <row r="43" spans="1:13" s="10" customFormat="1" ht="15">
      <c r="A43" s="13"/>
      <c r="B43" s="47"/>
      <c r="C43" s="53"/>
      <c r="D43" s="496"/>
      <c r="E43" s="497"/>
      <c r="F43" s="497"/>
      <c r="G43" s="498"/>
      <c r="H43" s="13"/>
      <c r="I43" s="13"/>
      <c r="J43" s="58">
        <f t="shared" si="3"/>
        <v>0</v>
      </c>
      <c r="K43" s="33">
        <f t="shared" si="4"/>
        <v>0</v>
      </c>
      <c r="L43" s="33">
        <f t="shared" si="5"/>
        <v>0</v>
      </c>
      <c r="M43" s="33">
        <f t="shared" si="6"/>
        <v>0</v>
      </c>
    </row>
    <row r="44" spans="1:13" s="10" customFormat="1" ht="15"/>
    <row r="45" spans="1:13" s="10" customFormat="1" ht="15"/>
    <row r="46" spans="1:13" s="10" customFormat="1" ht="15"/>
    <row r="47" spans="1:13" s="10" customFormat="1" ht="15"/>
    <row r="48" spans="1:13" s="10" customFormat="1" ht="15"/>
    <row r="49" s="10" customFormat="1" ht="15"/>
    <row r="50" s="10" customFormat="1" ht="15"/>
    <row r="51" s="10" customFormat="1" ht="15"/>
    <row r="52" s="10" customFormat="1" ht="15"/>
    <row r="53" s="10" customFormat="1" ht="15"/>
    <row r="54" s="10" customFormat="1" ht="15"/>
    <row r="55" s="10" customFormat="1" ht="15"/>
    <row r="56" s="10" customFormat="1" ht="15"/>
    <row r="57" s="10" customFormat="1" ht="15"/>
    <row r="58" s="10" customFormat="1" ht="15"/>
    <row r="59" s="10" customFormat="1" ht="15"/>
    <row r="60" s="10" customFormat="1" ht="15"/>
    <row r="61" s="10" customFormat="1" ht="15"/>
    <row r="62" s="10" customFormat="1" ht="15"/>
    <row r="63" s="10" customFormat="1" ht="15"/>
    <row r="64" s="10" customFormat="1" ht="15"/>
    <row r="65" s="10" customFormat="1" ht="15"/>
    <row r="66" s="10" customFormat="1" ht="15"/>
    <row r="67" s="10" customFormat="1" ht="15"/>
    <row r="68" s="10" customFormat="1" ht="15"/>
    <row r="69" s="10" customFormat="1" ht="15"/>
    <row r="70" s="10" customFormat="1" ht="15"/>
    <row r="71" s="10" customFormat="1" ht="15"/>
    <row r="72" s="10" customFormat="1" ht="15"/>
    <row r="73" s="10" customFormat="1" ht="15"/>
    <row r="74" s="10" customFormat="1" ht="15"/>
    <row r="75" s="10" customFormat="1" ht="15"/>
    <row r="76" s="10" customFormat="1" ht="15"/>
    <row r="77" s="10" customFormat="1" ht="15"/>
    <row r="78" s="10" customFormat="1" ht="15"/>
    <row r="79" s="10" customFormat="1" ht="15"/>
    <row r="80" s="10" customFormat="1" ht="15"/>
    <row r="81" s="10" customFormat="1" ht="15"/>
    <row r="82" s="10" customFormat="1" ht="15"/>
    <row r="83" s="10" customFormat="1" ht="15"/>
    <row r="84" s="10" customFormat="1" ht="15"/>
    <row r="85" s="10" customFormat="1" ht="15"/>
    <row r="86" s="10" customFormat="1" ht="15"/>
    <row r="87" s="10" customFormat="1" ht="15"/>
    <row r="88" s="10" customFormat="1" ht="15"/>
    <row r="89" s="10" customFormat="1" ht="15"/>
    <row r="90" s="10" customFormat="1" ht="15"/>
    <row r="91" s="10" customFormat="1" ht="15"/>
    <row r="92" s="10" customFormat="1" ht="15"/>
    <row r="93" s="10" customFormat="1" ht="15"/>
    <row r="94" s="10" customFormat="1" ht="15"/>
    <row r="95" s="10" customFormat="1" ht="15"/>
    <row r="96" s="10" customFormat="1" ht="15"/>
    <row r="97" s="10" customFormat="1" ht="15"/>
    <row r="98" s="10" customFormat="1" ht="15"/>
    <row r="99" s="10" customFormat="1" ht="15"/>
    <row r="100" s="10" customFormat="1" ht="15"/>
  </sheetData>
  <mergeCells count="48">
    <mergeCell ref="D39:G39"/>
    <mergeCell ref="D32:G32"/>
    <mergeCell ref="K25:M25"/>
    <mergeCell ref="A23:P23"/>
    <mergeCell ref="D40:G40"/>
    <mergeCell ref="A25:A26"/>
    <mergeCell ref="B25:B26"/>
    <mergeCell ref="C25:C26"/>
    <mergeCell ref="H25:J25"/>
    <mergeCell ref="D41:G41"/>
    <mergeCell ref="D42:G42"/>
    <mergeCell ref="D43:G43"/>
    <mergeCell ref="T16:T18"/>
    <mergeCell ref="D33:G33"/>
    <mergeCell ref="D34:G34"/>
    <mergeCell ref="D35:G35"/>
    <mergeCell ref="D36:G36"/>
    <mergeCell ref="D37:G37"/>
    <mergeCell ref="D38:G38"/>
    <mergeCell ref="D27:G27"/>
    <mergeCell ref="D28:G28"/>
    <mergeCell ref="D29:G29"/>
    <mergeCell ref="D30:G30"/>
    <mergeCell ref="D31:G31"/>
    <mergeCell ref="D25:G26"/>
    <mergeCell ref="M1:M2"/>
    <mergeCell ref="N1:P1"/>
    <mergeCell ref="T1:Y2"/>
    <mergeCell ref="U3:U18"/>
    <mergeCell ref="W3:W18"/>
    <mergeCell ref="Y3:Y18"/>
    <mergeCell ref="X16:X18"/>
    <mergeCell ref="V16:V18"/>
    <mergeCell ref="T3:T11"/>
    <mergeCell ref="V3:V11"/>
    <mergeCell ref="X3:X11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2"/>
  <sheetViews>
    <sheetView workbookViewId="0">
      <selection activeCell="M33" sqref="M33"/>
    </sheetView>
  </sheetViews>
  <sheetFormatPr defaultRowHeight="15"/>
  <cols>
    <col min="1" max="1" width="5" style="10" bestFit="1" customWidth="1"/>
    <col min="2" max="2" width="7" style="10" bestFit="1" customWidth="1"/>
    <col min="3" max="3" width="3.88671875" style="10" bestFit="1" customWidth="1"/>
    <col min="4" max="4" width="7" style="10" bestFit="1" customWidth="1"/>
    <col min="5" max="6" width="3.88671875" style="10" bestFit="1" customWidth="1"/>
    <col min="7" max="10" width="7" style="10" bestFit="1" customWidth="1"/>
    <col min="11" max="11" width="9" style="10" bestFit="1" customWidth="1"/>
    <col min="12" max="12" width="7" style="10" bestFit="1" customWidth="1"/>
    <col min="13" max="13" width="8" style="10" bestFit="1" customWidth="1"/>
    <col min="14" max="14" width="9" style="10" bestFit="1" customWidth="1"/>
    <col min="15" max="15" width="4.33203125" style="10" bestFit="1" customWidth="1"/>
    <col min="16" max="16" width="4" style="10" bestFit="1" customWidth="1"/>
    <col min="17" max="17" width="8.88671875" style="10"/>
    <col min="18" max="18" width="21.33203125" style="10" bestFit="1" customWidth="1"/>
    <col min="19" max="19" width="8.88671875" style="10"/>
    <col min="20" max="20" width="10.44140625" style="10" bestFit="1" customWidth="1"/>
    <col min="21" max="16384" width="8.88671875" style="10"/>
  </cols>
  <sheetData>
    <row r="1" spans="1:18" ht="12.75" customHeight="1">
      <c r="A1" s="22"/>
      <c r="B1" s="37" t="s">
        <v>4</v>
      </c>
      <c r="C1" s="36" t="s">
        <v>5</v>
      </c>
      <c r="D1" s="37" t="s">
        <v>6</v>
      </c>
      <c r="E1" s="35" t="s">
        <v>7</v>
      </c>
      <c r="F1" s="37" t="s">
        <v>2</v>
      </c>
      <c r="G1" s="36" t="s">
        <v>8</v>
      </c>
      <c r="H1" s="37" t="s">
        <v>9</v>
      </c>
      <c r="I1" s="35" t="s">
        <v>10</v>
      </c>
      <c r="J1" s="37" t="s">
        <v>11</v>
      </c>
      <c r="K1" s="36" t="s">
        <v>12</v>
      </c>
      <c r="L1" s="37" t="s">
        <v>13</v>
      </c>
      <c r="M1" s="35" t="s">
        <v>14</v>
      </c>
      <c r="N1" s="34" t="s">
        <v>3</v>
      </c>
      <c r="R1" s="70" t="s">
        <v>71</v>
      </c>
    </row>
    <row r="2" spans="1:18">
      <c r="A2" s="11">
        <v>1998</v>
      </c>
      <c r="B2" s="12"/>
      <c r="C2" s="12"/>
      <c r="D2" s="12"/>
      <c r="E2" s="12"/>
      <c r="F2" s="12"/>
      <c r="G2" s="12"/>
      <c r="H2" s="12"/>
      <c r="I2" s="38">
        <v>0.28999999999999998</v>
      </c>
      <c r="J2" s="38">
        <v>1.91</v>
      </c>
      <c r="K2" s="38">
        <v>401.71</v>
      </c>
      <c r="L2" s="38">
        <v>6.42</v>
      </c>
      <c r="M2" s="38">
        <v>3.94</v>
      </c>
      <c r="N2" s="38">
        <f t="shared" ref="N2:N17" si="0">SUM(B2:M2)</f>
        <v>414.27</v>
      </c>
      <c r="R2" s="77">
        <v>5.0999999999999996</v>
      </c>
    </row>
    <row r="3" spans="1:18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>
        <f t="shared" si="0"/>
        <v>0</v>
      </c>
      <c r="O3" s="16"/>
      <c r="R3" s="77">
        <v>2.2599999999999998</v>
      </c>
    </row>
    <row r="4" spans="1:18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9">
        <f t="shared" si="0"/>
        <v>0</v>
      </c>
      <c r="O4" s="16"/>
      <c r="R4" s="533" t="s">
        <v>45</v>
      </c>
    </row>
    <row r="5" spans="1:18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>
        <f t="shared" si="0"/>
        <v>0</v>
      </c>
      <c r="O5" s="16"/>
      <c r="R5" s="533"/>
    </row>
    <row r="6" spans="1:18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9">
        <f t="shared" si="0"/>
        <v>0</v>
      </c>
      <c r="O6" s="16"/>
      <c r="R6" s="533"/>
    </row>
    <row r="7" spans="1:18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>
        <f t="shared" si="0"/>
        <v>0</v>
      </c>
      <c r="O7" s="16"/>
      <c r="R7" s="532" t="s">
        <v>53</v>
      </c>
    </row>
    <row r="8" spans="1:18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>
        <f t="shared" si="0"/>
        <v>0</v>
      </c>
      <c r="O8" s="16"/>
      <c r="R8" s="532"/>
    </row>
    <row r="9" spans="1:18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9">
        <f t="shared" si="0"/>
        <v>0</v>
      </c>
      <c r="O9" s="16"/>
      <c r="R9" s="532"/>
    </row>
    <row r="10" spans="1:18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9">
        <f t="shared" si="0"/>
        <v>0</v>
      </c>
      <c r="O10" s="16"/>
      <c r="R10" s="532"/>
    </row>
    <row r="11" spans="1:18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>
        <f t="shared" si="0"/>
        <v>0</v>
      </c>
      <c r="O11" s="16"/>
      <c r="R11" s="77">
        <v>54.09</v>
      </c>
    </row>
    <row r="12" spans="1:18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>
        <f t="shared" si="0"/>
        <v>0</v>
      </c>
      <c r="O12" s="16"/>
      <c r="R12" s="77">
        <v>1317.86</v>
      </c>
    </row>
    <row r="13" spans="1:18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>
        <f t="shared" si="0"/>
        <v>0</v>
      </c>
      <c r="O13" s="16"/>
      <c r="R13" s="77">
        <v>1389.31</v>
      </c>
    </row>
    <row r="14" spans="1:18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>
        <f t="shared" si="0"/>
        <v>0</v>
      </c>
      <c r="O14" s="16"/>
      <c r="R14" s="77">
        <v>497.02</v>
      </c>
    </row>
    <row r="15" spans="1:18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>
        <f t="shared" si="0"/>
        <v>0</v>
      </c>
      <c r="O15" s="16"/>
      <c r="R15" s="77">
        <v>281.37</v>
      </c>
    </row>
    <row r="16" spans="1:18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9">
        <f t="shared" si="0"/>
        <v>0</v>
      </c>
      <c r="O16" s="16"/>
      <c r="R16" s="77">
        <v>9.3699999999999992</v>
      </c>
    </row>
    <row r="17" spans="1:20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/>
      <c r="N17" s="19">
        <f t="shared" si="0"/>
        <v>0</v>
      </c>
      <c r="O17" s="15" t="s">
        <v>1</v>
      </c>
      <c r="P17" s="15" t="s">
        <v>2</v>
      </c>
      <c r="R17" s="77">
        <v>69.8</v>
      </c>
    </row>
    <row r="18" spans="1:20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>
        <f>SUM(N2:N17)</f>
        <v>414.27</v>
      </c>
      <c r="T18" s="20"/>
    </row>
    <row r="19" spans="1:20">
      <c r="R19" s="20"/>
    </row>
    <row r="20" spans="1:20">
      <c r="N20" s="45">
        <v>3626.18</v>
      </c>
      <c r="T20" s="20"/>
    </row>
    <row r="22" spans="1:20" ht="15.75" customHeight="1">
      <c r="A22" s="474" t="s">
        <v>51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</row>
    <row r="23" spans="1:20">
      <c r="A23" s="474"/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</row>
    <row r="25" spans="1:20">
      <c r="A25" s="10">
        <v>1998</v>
      </c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</row>
    <row r="26" spans="1:20">
      <c r="N26" s="16"/>
    </row>
    <row r="27" spans="1:20">
      <c r="N27" s="16"/>
    </row>
    <row r="28" spans="1:20">
      <c r="N28" s="16"/>
    </row>
    <row r="29" spans="1:20">
      <c r="N29" s="16"/>
    </row>
    <row r="30" spans="1:20">
      <c r="N30" s="16"/>
    </row>
    <row r="31" spans="1:20">
      <c r="N31" s="16"/>
    </row>
    <row r="32" spans="1:20">
      <c r="N32" s="16"/>
    </row>
  </sheetData>
  <mergeCells count="4">
    <mergeCell ref="R7:R10"/>
    <mergeCell ref="R4:R6"/>
    <mergeCell ref="A22:N23"/>
    <mergeCell ref="B25:N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T3" sqref="T3:V12"/>
    </sheetView>
  </sheetViews>
  <sheetFormatPr defaultRowHeight="15"/>
  <cols>
    <col min="1" max="1" width="5" style="10" bestFit="1" customWidth="1"/>
    <col min="2" max="2" width="7" style="10" bestFit="1" customWidth="1"/>
    <col min="3" max="3" width="3.88671875" style="10" bestFit="1" customWidth="1"/>
    <col min="4" max="4" width="7" style="10" bestFit="1" customWidth="1"/>
    <col min="5" max="6" width="3.88671875" style="10" bestFit="1" customWidth="1"/>
    <col min="7" max="8" width="7" style="10" bestFit="1" customWidth="1"/>
    <col min="9" max="10" width="3.88671875" style="10" bestFit="1" customWidth="1"/>
    <col min="11" max="11" width="10.44140625" style="10" bestFit="1" customWidth="1"/>
    <col min="12" max="12" width="7" style="10" bestFit="1" customWidth="1"/>
    <col min="13" max="13" width="9" style="10" bestFit="1" customWidth="1"/>
    <col min="14" max="14" width="10.44140625" style="10" bestFit="1" customWidth="1"/>
    <col min="15" max="15" width="4.33203125" style="10" bestFit="1" customWidth="1"/>
    <col min="16" max="16" width="4" style="10" bestFit="1" customWidth="1"/>
    <col min="17" max="17" width="8.88671875" style="10"/>
    <col min="18" max="18" width="21.33203125" style="10" bestFit="1" customWidth="1"/>
    <col min="19" max="16384" width="8.88671875" style="10"/>
  </cols>
  <sheetData>
    <row r="1" spans="1:18" ht="12.75" customHeight="1">
      <c r="A1" s="68"/>
      <c r="B1" s="37" t="s">
        <v>4</v>
      </c>
      <c r="C1" s="36" t="s">
        <v>5</v>
      </c>
      <c r="D1" s="37" t="s">
        <v>6</v>
      </c>
      <c r="E1" s="35" t="s">
        <v>7</v>
      </c>
      <c r="F1" s="37" t="s">
        <v>2</v>
      </c>
      <c r="G1" s="36" t="s">
        <v>8</v>
      </c>
      <c r="H1" s="37" t="s">
        <v>9</v>
      </c>
      <c r="I1" s="35" t="s">
        <v>10</v>
      </c>
      <c r="J1" s="37" t="s">
        <v>11</v>
      </c>
      <c r="K1" s="36" t="s">
        <v>12</v>
      </c>
      <c r="L1" s="37" t="s">
        <v>13</v>
      </c>
      <c r="M1" s="35" t="s">
        <v>14</v>
      </c>
      <c r="N1" s="34" t="s">
        <v>3</v>
      </c>
      <c r="R1" s="70" t="s">
        <v>71</v>
      </c>
    </row>
    <row r="2" spans="1:18">
      <c r="A2" s="11">
        <v>1998</v>
      </c>
      <c r="B2" s="12"/>
      <c r="C2" s="12"/>
      <c r="D2" s="12"/>
      <c r="E2" s="12"/>
      <c r="F2" s="12"/>
      <c r="G2" s="12"/>
      <c r="H2" s="12"/>
      <c r="I2" s="38"/>
      <c r="J2" s="38"/>
      <c r="K2" s="38">
        <v>1963.51</v>
      </c>
      <c r="L2" s="38">
        <v>6.34</v>
      </c>
      <c r="M2" s="38">
        <v>399.42</v>
      </c>
      <c r="N2" s="38">
        <f t="shared" ref="N2:N17" si="0">SUM(B2:M2)</f>
        <v>2369.27</v>
      </c>
      <c r="R2" s="77">
        <v>2310.73</v>
      </c>
    </row>
    <row r="3" spans="1:18">
      <c r="A3" s="13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>
        <f t="shared" si="0"/>
        <v>0</v>
      </c>
      <c r="O3" s="16"/>
      <c r="R3" s="77">
        <v>141.27000000000001</v>
      </c>
    </row>
    <row r="4" spans="1:18">
      <c r="A4" s="13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9">
        <f t="shared" si="0"/>
        <v>0</v>
      </c>
      <c r="O4" s="16"/>
      <c r="R4" s="535" t="s">
        <v>45</v>
      </c>
    </row>
    <row r="5" spans="1:18">
      <c r="A5" s="13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9">
        <f t="shared" si="0"/>
        <v>0</v>
      </c>
      <c r="O5" s="16"/>
      <c r="R5" s="535"/>
    </row>
    <row r="6" spans="1:18">
      <c r="A6" s="13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9">
        <f t="shared" si="0"/>
        <v>0</v>
      </c>
      <c r="O6" s="16"/>
      <c r="R6" s="535"/>
    </row>
    <row r="7" spans="1:18">
      <c r="A7" s="13">
        <v>2003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>
        <f t="shared" si="0"/>
        <v>0</v>
      </c>
      <c r="O7" s="16"/>
      <c r="R7" s="536" t="s">
        <v>53</v>
      </c>
    </row>
    <row r="8" spans="1:18">
      <c r="A8" s="13">
        <v>2004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>
        <f t="shared" si="0"/>
        <v>0</v>
      </c>
      <c r="O8" s="16"/>
      <c r="R8" s="536"/>
    </row>
    <row r="9" spans="1:18">
      <c r="A9" s="13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9">
        <f t="shared" si="0"/>
        <v>0</v>
      </c>
      <c r="O9" s="16"/>
      <c r="R9" s="536"/>
    </row>
    <row r="10" spans="1:18">
      <c r="A10" s="13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9">
        <f t="shared" si="0"/>
        <v>0</v>
      </c>
      <c r="O10" s="16"/>
      <c r="R10" s="536"/>
    </row>
    <row r="11" spans="1:18">
      <c r="A11" s="13">
        <v>2007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9">
        <f t="shared" si="0"/>
        <v>0</v>
      </c>
      <c r="O11" s="16"/>
      <c r="R11" s="77">
        <v>0</v>
      </c>
    </row>
    <row r="12" spans="1:18">
      <c r="A12" s="13">
        <v>2008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>
        <f t="shared" si="0"/>
        <v>0</v>
      </c>
      <c r="O12" s="16"/>
      <c r="R12" s="77">
        <v>0</v>
      </c>
    </row>
    <row r="13" spans="1:18">
      <c r="A13" s="13">
        <v>2009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>
        <f t="shared" si="0"/>
        <v>0</v>
      </c>
      <c r="O13" s="16"/>
      <c r="R13" s="77">
        <v>0</v>
      </c>
    </row>
    <row r="14" spans="1:18">
      <c r="A14" s="13">
        <v>2010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>
        <f t="shared" si="0"/>
        <v>0</v>
      </c>
      <c r="O14" s="16"/>
      <c r="R14" s="77">
        <v>0</v>
      </c>
    </row>
    <row r="15" spans="1:18">
      <c r="A15" s="13">
        <v>2011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>
        <f t="shared" si="0"/>
        <v>0</v>
      </c>
      <c r="O15" s="16"/>
      <c r="R15" s="77">
        <v>0</v>
      </c>
    </row>
    <row r="16" spans="1:18">
      <c r="A16" s="13">
        <v>2012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9">
        <f t="shared" si="0"/>
        <v>0</v>
      </c>
      <c r="O16" s="16"/>
      <c r="R16" s="77">
        <v>0</v>
      </c>
    </row>
    <row r="17" spans="1:18" ht="15.75">
      <c r="A17" s="13">
        <v>2013</v>
      </c>
      <c r="B17" s="17"/>
      <c r="C17" s="17"/>
      <c r="D17" s="17"/>
      <c r="E17" s="17"/>
      <c r="F17" s="17"/>
      <c r="G17" s="14"/>
      <c r="H17" s="14"/>
      <c r="I17" s="14"/>
      <c r="J17" s="14"/>
      <c r="K17" s="14"/>
      <c r="L17" s="14"/>
      <c r="M17" s="14"/>
      <c r="N17" s="19">
        <f t="shared" si="0"/>
        <v>0</v>
      </c>
      <c r="O17" s="15" t="s">
        <v>1</v>
      </c>
      <c r="P17" s="15" t="s">
        <v>2</v>
      </c>
      <c r="R17" s="77">
        <v>98.03</v>
      </c>
    </row>
    <row r="18" spans="1:18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>
        <f>SUM(N2:N17)</f>
        <v>2369.27</v>
      </c>
    </row>
    <row r="19" spans="1:18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R19" s="20"/>
    </row>
    <row r="20" spans="1:18">
      <c r="N20" s="94">
        <v>2550.0300000000002</v>
      </c>
    </row>
    <row r="21" spans="1:18">
      <c r="R21" s="20"/>
    </row>
    <row r="22" spans="1:18" ht="15.75" customHeight="1">
      <c r="A22" s="474" t="s">
        <v>114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</row>
    <row r="23" spans="1:18">
      <c r="A23" s="474"/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</row>
    <row r="25" spans="1:18">
      <c r="A25" s="10">
        <v>1998</v>
      </c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</row>
    <row r="26" spans="1:18">
      <c r="N26" s="16"/>
    </row>
    <row r="27" spans="1:18">
      <c r="N27" s="16"/>
    </row>
    <row r="28" spans="1:18">
      <c r="N28" s="16"/>
    </row>
    <row r="29" spans="1:18">
      <c r="N29" s="16"/>
    </row>
    <row r="30" spans="1:18">
      <c r="N30" s="16"/>
    </row>
    <row r="31" spans="1:18">
      <c r="N31" s="16"/>
    </row>
  </sheetData>
  <mergeCells count="4">
    <mergeCell ref="R4:R6"/>
    <mergeCell ref="R7:R10"/>
    <mergeCell ref="A22:N23"/>
    <mergeCell ref="B25:N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30</vt:i4>
      </vt:variant>
    </vt:vector>
  </HeadingPairs>
  <TitlesOfParts>
    <vt:vector size="30" baseType="lpstr">
      <vt:lpstr>λάθηΑΓΑΠΕ</vt:lpstr>
      <vt:lpstr>283α21</vt:lpstr>
      <vt:lpstr>283α23</vt:lpstr>
      <vt:lpstr>283α24-25</vt:lpstr>
      <vt:lpstr>283β</vt:lpstr>
      <vt:lpstr>283β-11</vt:lpstr>
      <vt:lpstr>283γ</vt:lpstr>
      <vt:lpstr>283δ</vt:lpstr>
      <vt:lpstr>283ε</vt:lpstr>
      <vt:lpstr>283ζ</vt:lpstr>
      <vt:lpstr>283η</vt:lpstr>
      <vt:lpstr>283θ</vt:lpstr>
      <vt:lpstr>283ι</vt:lpstr>
      <vt:lpstr>283κ</vt:lpstr>
      <vt:lpstr>283λ</vt:lpstr>
      <vt:lpstr>283μ</vt:lpstr>
      <vt:lpstr>283ν</vt:lpstr>
      <vt:lpstr>283ξ</vt:lpstr>
      <vt:lpstr>283ο</vt:lpstr>
      <vt:lpstr>283π</vt:lpstr>
      <vt:lpstr>283ρ</vt:lpstr>
      <vt:lpstr>283σ(11-12)β</vt:lpstr>
      <vt:lpstr>283σ(11-12)γ</vt:lpstr>
      <vt:lpstr>283σ(11-12)δ</vt:lpstr>
      <vt:lpstr>283σ(11-12)ζ</vt:lpstr>
      <vt:lpstr>283τ1</vt:lpstr>
      <vt:lpstr>283τ2</vt:lpstr>
      <vt:lpstr>283τ(3-4)</vt:lpstr>
      <vt:lpstr>283τ(5-6)</vt:lpstr>
      <vt:lpstr>283τ(7-8)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2019-08-29T15:23:37Z</dcterms:created>
  <dcterms:modified xsi:type="dcterms:W3CDTF">2026-02-23T10:36:36Z</dcterms:modified>
</cp:coreProperties>
</file>