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 tabRatio="946" activeTab="24"/>
  </bookViews>
  <sheets>
    <sheet name="λάθηΑΓΑΠΕ" sheetId="4" r:id="rId1"/>
    <sheet name="283α21" sheetId="46" r:id="rId2"/>
    <sheet name="283α23" sheetId="51" r:id="rId3"/>
    <sheet name="283α24-25" sheetId="54" r:id="rId4"/>
    <sheet name="283β" sheetId="80" r:id="rId5"/>
    <sheet name="283β-11" sheetId="55" r:id="rId6"/>
    <sheet name="283γ" sheetId="57" r:id="rId7"/>
    <sheet name="283δ" sheetId="48" r:id="rId8"/>
    <sheet name="283ε" sheetId="58" r:id="rId9"/>
    <sheet name="283ζ" sheetId="59" r:id="rId10"/>
    <sheet name="283η" sheetId="60" r:id="rId11"/>
    <sheet name="283θ" sheetId="61" r:id="rId12"/>
    <sheet name="283ι" sheetId="62" r:id="rId13"/>
    <sheet name="283κ" sheetId="63" r:id="rId14"/>
    <sheet name="283λ" sheetId="65" r:id="rId15"/>
    <sheet name="283μ" sheetId="66" r:id="rId16"/>
    <sheet name="283ν" sheetId="64" r:id="rId17"/>
    <sheet name="283ξ" sheetId="67" r:id="rId18"/>
    <sheet name="283ο" sheetId="68" r:id="rId19"/>
    <sheet name="283π" sheetId="69" r:id="rId20"/>
    <sheet name="283ρ" sheetId="70" r:id="rId21"/>
    <sheet name="283σ(11-12)β" sheetId="89" r:id="rId22"/>
    <sheet name="283σ(11-12)γ" sheetId="88" r:id="rId23"/>
    <sheet name="283σ(11-12)δ" sheetId="87" r:id="rId24"/>
    <sheet name="283σ(11-12)ζ" sheetId="86" r:id="rId25"/>
    <sheet name="283τ1" sheetId="85" r:id="rId26"/>
    <sheet name="283τ2" sheetId="84" r:id="rId27"/>
    <sheet name="283τ(3-4)" sheetId="83" r:id="rId28"/>
    <sheet name="283τ(5-6)" sheetId="82" r:id="rId29"/>
    <sheet name="283τ(7-8)" sheetId="81" r:id="rId30"/>
  </sheets>
  <calcPr calcId="125725"/>
</workbook>
</file>

<file path=xl/calcChain.xml><?xml version="1.0" encoding="utf-8"?>
<calcChain xmlns="http://schemas.openxmlformats.org/spreadsheetml/2006/main">
  <c r="AC39" i="85"/>
  <c r="AN45" i="87"/>
  <c r="AN46"/>
  <c r="AN35"/>
  <c r="AN17"/>
  <c r="AN18"/>
  <c r="AN7"/>
  <c r="AN17" i="89"/>
  <c r="AC36" i="82"/>
  <c r="M5" s="1"/>
  <c r="B5"/>
  <c r="S36"/>
  <c r="C5" s="1"/>
  <c r="T36"/>
  <c r="D5" s="1"/>
  <c r="U36"/>
  <c r="E5" s="1"/>
  <c r="V36"/>
  <c r="F5" s="1"/>
  <c r="W36"/>
  <c r="G5" s="1"/>
  <c r="X36"/>
  <c r="H5" s="1"/>
  <c r="Y36"/>
  <c r="I5" s="1"/>
  <c r="Z36"/>
  <c r="J5" s="1"/>
  <c r="AA36"/>
  <c r="K5" s="1"/>
  <c r="AB36"/>
  <c r="L5" s="1"/>
  <c r="B5" i="83"/>
  <c r="S42"/>
  <c r="C5" s="1"/>
  <c r="T42"/>
  <c r="D5" s="1"/>
  <c r="U42"/>
  <c r="E5" s="1"/>
  <c r="V42"/>
  <c r="F5" s="1"/>
  <c r="W42"/>
  <c r="G5" s="1"/>
  <c r="X42"/>
  <c r="H5" s="1"/>
  <c r="Y42"/>
  <c r="I5" s="1"/>
  <c r="Z42"/>
  <c r="J5" s="1"/>
  <c r="AA42"/>
  <c r="K5" s="1"/>
  <c r="AB42"/>
  <c r="L5" s="1"/>
  <c r="AC42"/>
  <c r="M5" s="1"/>
  <c r="S39" i="85"/>
  <c r="T39"/>
  <c r="U39"/>
  <c r="V39"/>
  <c r="W39"/>
  <c r="X39"/>
  <c r="Y39"/>
  <c r="Z39"/>
  <c r="AA39"/>
  <c r="AB39"/>
  <c r="D5" i="84"/>
  <c r="E5"/>
  <c r="I5"/>
  <c r="S37"/>
  <c r="C5" s="1"/>
  <c r="T37"/>
  <c r="U37"/>
  <c r="V37"/>
  <c r="F5" s="1"/>
  <c r="W37"/>
  <c r="G5" s="1"/>
  <c r="X37"/>
  <c r="H5" s="1"/>
  <c r="Y37"/>
  <c r="Z37"/>
  <c r="J5" s="1"/>
  <c r="AA37"/>
  <c r="K5" s="1"/>
  <c r="AB37"/>
  <c r="L5" s="1"/>
  <c r="AC37"/>
  <c r="M5" s="1"/>
  <c r="B5"/>
  <c r="AU123" i="61"/>
  <c r="AV123"/>
  <c r="AT123"/>
  <c r="AU122"/>
  <c r="AU124" s="1"/>
  <c r="AU6" s="1"/>
  <c r="AU121"/>
  <c r="AV121"/>
  <c r="AV122" s="1"/>
  <c r="AV124" s="1"/>
  <c r="AV6" s="1"/>
  <c r="AT121"/>
  <c r="AT122" s="1"/>
  <c r="AT124" s="1"/>
  <c r="AT6" s="1"/>
  <c r="AP6"/>
  <c r="AQ118"/>
  <c r="AQ6" s="1"/>
  <c r="AR118"/>
  <c r="AR6" s="1"/>
  <c r="AP118"/>
  <c r="W6"/>
  <c r="W118"/>
  <c r="X118"/>
  <c r="X6" s="1"/>
  <c r="V118"/>
  <c r="V6" s="1"/>
  <c r="O6"/>
  <c r="P6"/>
  <c r="N6"/>
  <c r="H127"/>
  <c r="H128" s="1"/>
  <c r="H6" s="1"/>
  <c r="G126"/>
  <c r="G127" s="1"/>
  <c r="G128" s="1"/>
  <c r="G6" s="1"/>
  <c r="H126"/>
  <c r="J120"/>
  <c r="J121" s="1"/>
  <c r="J6" s="1"/>
  <c r="K119"/>
  <c r="K120" s="1"/>
  <c r="K121" s="1"/>
  <c r="K6" s="1"/>
  <c r="L119"/>
  <c r="L120" s="1"/>
  <c r="L121" s="1"/>
  <c r="L6" s="1"/>
  <c r="J119"/>
  <c r="F126"/>
  <c r="F127" s="1"/>
  <c r="F128" s="1"/>
  <c r="F6" s="1"/>
  <c r="C6"/>
  <c r="D6"/>
  <c r="E6"/>
  <c r="B6"/>
  <c r="BC3"/>
  <c r="O25" i="83" l="1"/>
  <c r="AB30" i="87"/>
  <c r="AB41" s="1"/>
  <c r="K32"/>
  <c r="L32"/>
  <c r="M32"/>
  <c r="G32"/>
  <c r="G43" s="1"/>
  <c r="H32"/>
  <c r="I32"/>
  <c r="J32"/>
  <c r="J43" s="1"/>
  <c r="C32"/>
  <c r="D32"/>
  <c r="E32"/>
  <c r="F32"/>
  <c r="B32"/>
  <c r="AF31"/>
  <c r="AG31"/>
  <c r="AH31"/>
  <c r="AH42" s="1"/>
  <c r="AD31"/>
  <c r="AE31"/>
  <c r="AE42" s="1"/>
  <c r="AC31"/>
  <c r="L31"/>
  <c r="M31"/>
  <c r="M42" s="1"/>
  <c r="N31"/>
  <c r="O31"/>
  <c r="P31"/>
  <c r="P42" s="1"/>
  <c r="K31"/>
  <c r="F31"/>
  <c r="G31"/>
  <c r="G42" s="1"/>
  <c r="E31"/>
  <c r="AI30"/>
  <c r="AJ30"/>
  <c r="AK30"/>
  <c r="AK41" s="1"/>
  <c r="AF30"/>
  <c r="AG30"/>
  <c r="AH30"/>
  <c r="AH41" s="1"/>
  <c r="AC30"/>
  <c r="AD30"/>
  <c r="AE30"/>
  <c r="AE41" s="1"/>
  <c r="AA30"/>
  <c r="Z30"/>
  <c r="Z41" s="1"/>
  <c r="AA41" s="1"/>
  <c r="AC5" i="82"/>
  <c r="AD5"/>
  <c r="AE5"/>
  <c r="AC4"/>
  <c r="AD4"/>
  <c r="AE4"/>
  <c r="AC3"/>
  <c r="AD3"/>
  <c r="AE3"/>
  <c r="AQ108" i="61"/>
  <c r="AQ109" s="1"/>
  <c r="AR108"/>
  <c r="AR109" s="1"/>
  <c r="AS108"/>
  <c r="AS109" s="1"/>
  <c r="AP108"/>
  <c r="AP109" s="1"/>
  <c r="AM104"/>
  <c r="AN104"/>
  <c r="AO104"/>
  <c r="AL104"/>
  <c r="AG111"/>
  <c r="AG112" s="1"/>
  <c r="AF111"/>
  <c r="AF112" s="1"/>
  <c r="AE111"/>
  <c r="AE112" s="1"/>
  <c r="AD111"/>
  <c r="AD112" s="1"/>
  <c r="AC106"/>
  <c r="AC107" s="1"/>
  <c r="AB106"/>
  <c r="AB107" s="1"/>
  <c r="AA106"/>
  <c r="AA107" s="1"/>
  <c r="Z106"/>
  <c r="Z107" s="1"/>
  <c r="S105"/>
  <c r="S5" s="1"/>
  <c r="T105"/>
  <c r="T5" s="1"/>
  <c r="U105"/>
  <c r="U5" s="1"/>
  <c r="R105"/>
  <c r="R5" s="1"/>
  <c r="C4" i="84"/>
  <c r="D4"/>
  <c r="V4" s="1"/>
  <c r="K4"/>
  <c r="AC4" s="1"/>
  <c r="L4"/>
  <c r="AD4" s="1"/>
  <c r="B4"/>
  <c r="C4" i="83"/>
  <c r="W4" s="1"/>
  <c r="D4"/>
  <c r="X4" s="1"/>
  <c r="E4"/>
  <c r="F4"/>
  <c r="Z4" s="1"/>
  <c r="G4"/>
  <c r="AA4" s="1"/>
  <c r="H4"/>
  <c r="AB4" s="1"/>
  <c r="I4"/>
  <c r="AC4" s="1"/>
  <c r="K4"/>
  <c r="AE4" s="1"/>
  <c r="B4"/>
  <c r="C4" i="82"/>
  <c r="E4"/>
  <c r="W4" s="1"/>
  <c r="F4"/>
  <c r="G4"/>
  <c r="Y4" s="1"/>
  <c r="H4"/>
  <c r="Z4" s="1"/>
  <c r="I4"/>
  <c r="AA4" s="1"/>
  <c r="L4"/>
  <c r="S41" i="83"/>
  <c r="T41"/>
  <c r="U41"/>
  <c r="V41"/>
  <c r="W41"/>
  <c r="X41"/>
  <c r="Y41"/>
  <c r="Z41"/>
  <c r="J4" s="1"/>
  <c r="AD4" s="1"/>
  <c r="AA41"/>
  <c r="AB41"/>
  <c r="L4" s="1"/>
  <c r="AF4" s="1"/>
  <c r="AC41"/>
  <c r="M4" s="1"/>
  <c r="AG4" s="1"/>
  <c r="T36" i="84"/>
  <c r="U36"/>
  <c r="E4" s="1"/>
  <c r="W4" s="1"/>
  <c r="V36"/>
  <c r="F4" s="1"/>
  <c r="X4" s="1"/>
  <c r="W36"/>
  <c r="G4" s="1"/>
  <c r="Y4" s="1"/>
  <c r="X36"/>
  <c r="H4" s="1"/>
  <c r="Z4" s="1"/>
  <c r="Y36"/>
  <c r="I4" s="1"/>
  <c r="AA4" s="1"/>
  <c r="Z36"/>
  <c r="J4" s="1"/>
  <c r="AB4" s="1"/>
  <c r="AA36"/>
  <c r="AB36"/>
  <c r="AC36"/>
  <c r="M4" s="1"/>
  <c r="AE4" s="1"/>
  <c r="S35" i="82"/>
  <c r="T35"/>
  <c r="D4" s="1"/>
  <c r="V4" s="1"/>
  <c r="U35"/>
  <c r="V35"/>
  <c r="W35"/>
  <c r="X35"/>
  <c r="Y35"/>
  <c r="Z35"/>
  <c r="J4" s="1"/>
  <c r="AB4" s="1"/>
  <c r="AA35"/>
  <c r="K4" s="1"/>
  <c r="AB35"/>
  <c r="AC35"/>
  <c r="M4" s="1"/>
  <c r="AS3" i="85"/>
  <c r="AS4"/>
  <c r="AS5"/>
  <c r="AS6"/>
  <c r="AS7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"/>
  <c r="U6"/>
  <c r="T6"/>
  <c r="U5"/>
  <c r="V5"/>
  <c r="W5"/>
  <c r="X5"/>
  <c r="Y5"/>
  <c r="Z5"/>
  <c r="AA5"/>
  <c r="AB5"/>
  <c r="AC5"/>
  <c r="AD5"/>
  <c r="AE5"/>
  <c r="U4"/>
  <c r="V4"/>
  <c r="W4"/>
  <c r="X4"/>
  <c r="Y4"/>
  <c r="Z4"/>
  <c r="AA4"/>
  <c r="AB4"/>
  <c r="AC4"/>
  <c r="AD4"/>
  <c r="AE4"/>
  <c r="U3"/>
  <c r="V3"/>
  <c r="W3"/>
  <c r="X3"/>
  <c r="Y3"/>
  <c r="Z3"/>
  <c r="AA3"/>
  <c r="AB3"/>
  <c r="AC3"/>
  <c r="AD3"/>
  <c r="AE3"/>
  <c r="T3"/>
  <c r="T4"/>
  <c r="T5"/>
  <c r="U2"/>
  <c r="V2"/>
  <c r="W2"/>
  <c r="X2"/>
  <c r="Y2"/>
  <c r="Z2"/>
  <c r="AA2"/>
  <c r="AB2"/>
  <c r="AC2"/>
  <c r="AD2"/>
  <c r="AE2"/>
  <c r="T2"/>
  <c r="BF4" i="61"/>
  <c r="BF5"/>
  <c r="BF6"/>
  <c r="BF7"/>
  <c r="BF8"/>
  <c r="BF9"/>
  <c r="BF10"/>
  <c r="BF11"/>
  <c r="BF12"/>
  <c r="BF13"/>
  <c r="BF14"/>
  <c r="BF15"/>
  <c r="BF16"/>
  <c r="BF17"/>
  <c r="BF18"/>
  <c r="BE7"/>
  <c r="BE8"/>
  <c r="BE9"/>
  <c r="BF3"/>
  <c r="BE10"/>
  <c r="BE11"/>
  <c r="BE12"/>
  <c r="BE13"/>
  <c r="BE14"/>
  <c r="BE15"/>
  <c r="BE16"/>
  <c r="BE17"/>
  <c r="BE18"/>
  <c r="BD19"/>
  <c r="AU37"/>
  <c r="AV37"/>
  <c r="AW37"/>
  <c r="AT37"/>
  <c r="AQ29"/>
  <c r="AR29"/>
  <c r="AS29"/>
  <c r="AP29"/>
  <c r="AQ99"/>
  <c r="AR99"/>
  <c r="AS99"/>
  <c r="AP99"/>
  <c r="AI91"/>
  <c r="AJ91"/>
  <c r="AK91"/>
  <c r="AH91"/>
  <c r="AE83"/>
  <c r="AF83"/>
  <c r="AG83"/>
  <c r="AD83"/>
  <c r="W66"/>
  <c r="X66"/>
  <c r="Y66"/>
  <c r="V66"/>
  <c r="O56"/>
  <c r="P56"/>
  <c r="Q56"/>
  <c r="N56"/>
  <c r="AE54"/>
  <c r="I52"/>
  <c r="H52"/>
  <c r="G52"/>
  <c r="F52"/>
  <c r="S34" i="82"/>
  <c r="T34"/>
  <c r="U34"/>
  <c r="V34"/>
  <c r="W34"/>
  <c r="X34"/>
  <c r="Y34"/>
  <c r="Z34"/>
  <c r="AA34"/>
  <c r="AB34"/>
  <c r="AC34"/>
  <c r="R34"/>
  <c r="R35"/>
  <c r="B4" s="1"/>
  <c r="T4" s="1"/>
  <c r="R36"/>
  <c r="R37"/>
  <c r="R38"/>
  <c r="R39"/>
  <c r="R40"/>
  <c r="R41"/>
  <c r="R42"/>
  <c r="R43"/>
  <c r="R44"/>
  <c r="R45"/>
  <c r="R46"/>
  <c r="R47"/>
  <c r="R48"/>
  <c r="R41" i="83"/>
  <c r="R42"/>
  <c r="R43"/>
  <c r="R44"/>
  <c r="R45"/>
  <c r="R46"/>
  <c r="R47"/>
  <c r="R48"/>
  <c r="R49"/>
  <c r="S40"/>
  <c r="T40"/>
  <c r="U40"/>
  <c r="V40"/>
  <c r="W40"/>
  <c r="X40"/>
  <c r="Y40"/>
  <c r="Z40"/>
  <c r="AA40"/>
  <c r="AB40"/>
  <c r="AC40"/>
  <c r="S35" i="84"/>
  <c r="T35"/>
  <c r="U35"/>
  <c r="V35"/>
  <c r="W35"/>
  <c r="X35"/>
  <c r="Y35"/>
  <c r="Z35"/>
  <c r="AA35"/>
  <c r="AB35"/>
  <c r="AC35"/>
  <c r="R36"/>
  <c r="R37"/>
  <c r="R38"/>
  <c r="R39"/>
  <c r="R40"/>
  <c r="R41"/>
  <c r="R42"/>
  <c r="R43"/>
  <c r="R44"/>
  <c r="R45"/>
  <c r="R46"/>
  <c r="R47"/>
  <c r="R48"/>
  <c r="R49"/>
  <c r="R35"/>
  <c r="C3" i="87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Y45"/>
  <c r="O45"/>
  <c r="M45"/>
  <c r="L45"/>
  <c r="J45"/>
  <c r="I45"/>
  <c r="G45"/>
  <c r="E45"/>
  <c r="F45" s="1"/>
  <c r="D45"/>
  <c r="C45"/>
  <c r="B45"/>
  <c r="AK44"/>
  <c r="AI44"/>
  <c r="AJ44" s="1"/>
  <c r="AH44"/>
  <c r="AF44"/>
  <c r="AG44" s="1"/>
  <c r="AE44"/>
  <c r="AD44"/>
  <c r="AC44"/>
  <c r="AB44"/>
  <c r="Z44"/>
  <c r="AA44" s="1"/>
  <c r="Y44"/>
  <c r="W44"/>
  <c r="X44" s="1"/>
  <c r="V44"/>
  <c r="T44"/>
  <c r="U44" s="1"/>
  <c r="S44"/>
  <c r="Q44"/>
  <c r="R44" s="1"/>
  <c r="P44"/>
  <c r="N44"/>
  <c r="O44" s="1"/>
  <c r="M44"/>
  <c r="K44"/>
  <c r="L44" s="1"/>
  <c r="J44"/>
  <c r="H44"/>
  <c r="I44" s="1"/>
  <c r="G44"/>
  <c r="E44"/>
  <c r="F44" s="1"/>
  <c r="D44"/>
  <c r="B44"/>
  <c r="C44" s="1"/>
  <c r="AK43"/>
  <c r="AI43"/>
  <c r="AJ43" s="1"/>
  <c r="AH43"/>
  <c r="AF43"/>
  <c r="AG43" s="1"/>
  <c r="AE43"/>
  <c r="AD43"/>
  <c r="AC43"/>
  <c r="AB43"/>
  <c r="AA43"/>
  <c r="Z43"/>
  <c r="Y43"/>
  <c r="W43"/>
  <c r="X43" s="1"/>
  <c r="V43"/>
  <c r="U43"/>
  <c r="T43"/>
  <c r="S43"/>
  <c r="Q43"/>
  <c r="R43" s="1"/>
  <c r="P43"/>
  <c r="N43"/>
  <c r="O43" s="1"/>
  <c r="M43"/>
  <c r="K43"/>
  <c r="L43" s="1"/>
  <c r="H43"/>
  <c r="I43" s="1"/>
  <c r="E43"/>
  <c r="F43" s="1"/>
  <c r="D43"/>
  <c r="AK42"/>
  <c r="AJ42"/>
  <c r="AI42"/>
  <c r="AF42"/>
  <c r="AG42" s="1"/>
  <c r="AC42"/>
  <c r="AD42" s="1"/>
  <c r="AB42"/>
  <c r="Z42"/>
  <c r="AA42" s="1"/>
  <c r="Y42"/>
  <c r="W42"/>
  <c r="X42" s="1"/>
  <c r="V42"/>
  <c r="T42"/>
  <c r="U42" s="1"/>
  <c r="S42"/>
  <c r="Q42"/>
  <c r="R42" s="1"/>
  <c r="N42"/>
  <c r="O42" s="1"/>
  <c r="L42"/>
  <c r="K42"/>
  <c r="J42"/>
  <c r="H42"/>
  <c r="I42" s="1"/>
  <c r="D42"/>
  <c r="B42"/>
  <c r="C42" s="1"/>
  <c r="AI41"/>
  <c r="AJ41" s="1"/>
  <c r="AF41"/>
  <c r="AG41" s="1"/>
  <c r="AC41"/>
  <c r="AD41" s="1"/>
  <c r="Y41"/>
  <c r="W41"/>
  <c r="X41" s="1"/>
  <c r="AM35"/>
  <c r="AN34"/>
  <c r="AL34"/>
  <c r="F34"/>
  <c r="C34"/>
  <c r="AM34" s="1"/>
  <c r="AN33"/>
  <c r="AL33"/>
  <c r="AJ33"/>
  <c r="AG33"/>
  <c r="AD33"/>
  <c r="AA33"/>
  <c r="X33"/>
  <c r="U33"/>
  <c r="R33"/>
  <c r="O33"/>
  <c r="L33"/>
  <c r="I33"/>
  <c r="F33"/>
  <c r="C33"/>
  <c r="AN32"/>
  <c r="AJ32"/>
  <c r="AG32"/>
  <c r="AD32"/>
  <c r="AA32"/>
  <c r="X32"/>
  <c r="U32"/>
  <c r="R32"/>
  <c r="O32"/>
  <c r="AJ31"/>
  <c r="AA31"/>
  <c r="X31"/>
  <c r="U31"/>
  <c r="R31"/>
  <c r="AL30"/>
  <c r="X30"/>
  <c r="U2" i="82"/>
  <c r="V2"/>
  <c r="W2"/>
  <c r="X2"/>
  <c r="Y2"/>
  <c r="Z2"/>
  <c r="AA2"/>
  <c r="AB2"/>
  <c r="AC2"/>
  <c r="AD2"/>
  <c r="AE2"/>
  <c r="T3"/>
  <c r="T5"/>
  <c r="AC33"/>
  <c r="R39" i="83"/>
  <c r="Z39"/>
  <c r="AA39"/>
  <c r="AB39"/>
  <c r="AC39"/>
  <c r="R40"/>
  <c r="Y39"/>
  <c r="X39"/>
  <c r="W39"/>
  <c r="V39"/>
  <c r="U39"/>
  <c r="T39"/>
  <c r="S39"/>
  <c r="S36" i="84"/>
  <c r="AC34"/>
  <c r="T34"/>
  <c r="U34"/>
  <c r="V34"/>
  <c r="W34"/>
  <c r="X34"/>
  <c r="Y34"/>
  <c r="Z34"/>
  <c r="AA34"/>
  <c r="AB34"/>
  <c r="S34"/>
  <c r="S38" i="85"/>
  <c r="T38"/>
  <c r="U38"/>
  <c r="V38"/>
  <c r="W38"/>
  <c r="X38"/>
  <c r="Y38"/>
  <c r="Z38"/>
  <c r="AA38"/>
  <c r="AB38"/>
  <c r="AC38"/>
  <c r="S37"/>
  <c r="T37"/>
  <c r="U37"/>
  <c r="V37"/>
  <c r="W37"/>
  <c r="X37"/>
  <c r="Y37"/>
  <c r="Z37"/>
  <c r="AA37"/>
  <c r="AB37"/>
  <c r="AC37"/>
  <c r="R39"/>
  <c r="AB36"/>
  <c r="AC36"/>
  <c r="R37"/>
  <c r="R38"/>
  <c r="S36"/>
  <c r="T36"/>
  <c r="U36"/>
  <c r="V36"/>
  <c r="W36"/>
  <c r="X36"/>
  <c r="Y36"/>
  <c r="Z36"/>
  <c r="AA36"/>
  <c r="R36"/>
  <c r="S33" i="82"/>
  <c r="T33"/>
  <c r="U33"/>
  <c r="V33"/>
  <c r="W33"/>
  <c r="X33"/>
  <c r="Y33"/>
  <c r="Z33"/>
  <c r="AA33"/>
  <c r="AB33"/>
  <c r="R33"/>
  <c r="U5"/>
  <c r="V5"/>
  <c r="W5"/>
  <c r="X5"/>
  <c r="Y5"/>
  <c r="Z5"/>
  <c r="AA5"/>
  <c r="AB5"/>
  <c r="U4"/>
  <c r="X4"/>
  <c r="U3"/>
  <c r="V3"/>
  <c r="W3"/>
  <c r="X3"/>
  <c r="Y3"/>
  <c r="Z3"/>
  <c r="AA3"/>
  <c r="AB3"/>
  <c r="T2"/>
  <c r="AC5" i="84"/>
  <c r="AD5"/>
  <c r="AE5"/>
  <c r="AC3"/>
  <c r="AD3"/>
  <c r="AE3"/>
  <c r="U6"/>
  <c r="U5"/>
  <c r="V5"/>
  <c r="W5"/>
  <c r="X5"/>
  <c r="Y5"/>
  <c r="Z5"/>
  <c r="AA5"/>
  <c r="AB5"/>
  <c r="U3"/>
  <c r="V3"/>
  <c r="W3"/>
  <c r="X3"/>
  <c r="Y3"/>
  <c r="Z3"/>
  <c r="AA3"/>
  <c r="AB3"/>
  <c r="U2"/>
  <c r="V2"/>
  <c r="W2"/>
  <c r="X2"/>
  <c r="Y2"/>
  <c r="Z2"/>
  <c r="AA2"/>
  <c r="AB2"/>
  <c r="AC2"/>
  <c r="AD2"/>
  <c r="AE2"/>
  <c r="T3"/>
  <c r="T4"/>
  <c r="T5"/>
  <c r="T6"/>
  <c r="T2"/>
  <c r="W6" i="83"/>
  <c r="X6"/>
  <c r="Y6"/>
  <c r="Z6"/>
  <c r="AA6"/>
  <c r="AB6"/>
  <c r="AC6"/>
  <c r="AD6"/>
  <c r="AE6"/>
  <c r="AF6"/>
  <c r="AG6"/>
  <c r="W5"/>
  <c r="X5"/>
  <c r="Y5"/>
  <c r="Z5"/>
  <c r="AA5"/>
  <c r="AB5"/>
  <c r="AC5"/>
  <c r="AD5"/>
  <c r="AE5"/>
  <c r="AF5"/>
  <c r="AG5"/>
  <c r="Y4"/>
  <c r="W3"/>
  <c r="X3"/>
  <c r="Y3"/>
  <c r="Z3"/>
  <c r="AA3"/>
  <c r="AB3"/>
  <c r="AC3"/>
  <c r="AD3"/>
  <c r="AE3"/>
  <c r="AF3"/>
  <c r="AG3"/>
  <c r="V3"/>
  <c r="V4"/>
  <c r="V5"/>
  <c r="V6"/>
  <c r="AG2"/>
  <c r="AD2"/>
  <c r="AE2"/>
  <c r="AF2"/>
  <c r="AB2"/>
  <c r="AC2"/>
  <c r="W2"/>
  <c r="X2"/>
  <c r="Y2"/>
  <c r="Z2"/>
  <c r="AA2"/>
  <c r="V2"/>
  <c r="AS28" i="4"/>
  <c r="AS47" s="1"/>
  <c r="AQ40"/>
  <c r="AQ44"/>
  <c r="O25" i="85"/>
  <c r="AR44" i="4"/>
  <c r="AR45"/>
  <c r="AR46"/>
  <c r="AM47"/>
  <c r="AN47"/>
  <c r="AO47"/>
  <c r="AP47"/>
  <c r="AS53"/>
  <c r="AS52"/>
  <c r="AS51"/>
  <c r="AR40"/>
  <c r="AR41"/>
  <c r="AR6"/>
  <c r="AR9"/>
  <c r="AR13"/>
  <c r="AR17"/>
  <c r="AQ9"/>
  <c r="AQ12"/>
  <c r="AQ15"/>
  <c r="AQ20"/>
  <c r="AM18" i="89"/>
  <c r="AM17"/>
  <c r="AL17"/>
  <c r="Y17"/>
  <c r="M17"/>
  <c r="L17"/>
  <c r="J17"/>
  <c r="I17"/>
  <c r="G17"/>
  <c r="F17"/>
  <c r="E17"/>
  <c r="D17"/>
  <c r="B17"/>
  <c r="C17" s="1"/>
  <c r="AK16"/>
  <c r="AI16"/>
  <c r="AJ16" s="1"/>
  <c r="AH16"/>
  <c r="AF16"/>
  <c r="AG16" s="1"/>
  <c r="AE16"/>
  <c r="AC16"/>
  <c r="AD16" s="1"/>
  <c r="AB16"/>
  <c r="AA16"/>
  <c r="Z16"/>
  <c r="Y16"/>
  <c r="W16"/>
  <c r="X16" s="1"/>
  <c r="V16"/>
  <c r="T16"/>
  <c r="U16" s="1"/>
  <c r="S16"/>
  <c r="Q16"/>
  <c r="R16" s="1"/>
  <c r="P16"/>
  <c r="N16"/>
  <c r="O16" s="1"/>
  <c r="M16"/>
  <c r="K16"/>
  <c r="L16" s="1"/>
  <c r="J16"/>
  <c r="H16"/>
  <c r="I16" s="1"/>
  <c r="G16"/>
  <c r="F16"/>
  <c r="E16"/>
  <c r="D16"/>
  <c r="C16"/>
  <c r="B16"/>
  <c r="AK15"/>
  <c r="AI15"/>
  <c r="AJ15" s="1"/>
  <c r="AH15"/>
  <c r="AF15"/>
  <c r="AG15" s="1"/>
  <c r="AE15"/>
  <c r="AD15"/>
  <c r="AC15"/>
  <c r="AB15"/>
  <c r="Z15"/>
  <c r="AA15" s="1"/>
  <c r="Y15"/>
  <c r="X15"/>
  <c r="W15"/>
  <c r="V15"/>
  <c r="U15"/>
  <c r="T15"/>
  <c r="S15"/>
  <c r="R15"/>
  <c r="Q15"/>
  <c r="P15"/>
  <c r="N15"/>
  <c r="O15" s="1"/>
  <c r="M15"/>
  <c r="L15"/>
  <c r="K15"/>
  <c r="J15"/>
  <c r="I15"/>
  <c r="H15"/>
  <c r="G15"/>
  <c r="E15"/>
  <c r="F15" s="1"/>
  <c r="D15"/>
  <c r="B15"/>
  <c r="C15" s="1"/>
  <c r="AK14"/>
  <c r="AI14"/>
  <c r="AJ14" s="1"/>
  <c r="AH14"/>
  <c r="AF14"/>
  <c r="AG14" s="1"/>
  <c r="AE14"/>
  <c r="AC14"/>
  <c r="AD14" s="1"/>
  <c r="AB14"/>
  <c r="AA14"/>
  <c r="Z14"/>
  <c r="Y14"/>
  <c r="W14"/>
  <c r="X14" s="1"/>
  <c r="V14"/>
  <c r="T14"/>
  <c r="U14" s="1"/>
  <c r="S14"/>
  <c r="Q14"/>
  <c r="R14" s="1"/>
  <c r="P14"/>
  <c r="N14"/>
  <c r="O14" s="1"/>
  <c r="M14"/>
  <c r="L14"/>
  <c r="K14"/>
  <c r="J14"/>
  <c r="H14"/>
  <c r="I14" s="1"/>
  <c r="G14"/>
  <c r="E14"/>
  <c r="F14" s="1"/>
  <c r="D14"/>
  <c r="C14"/>
  <c r="B14"/>
  <c r="AK13"/>
  <c r="AJ13"/>
  <c r="AI13"/>
  <c r="AH13"/>
  <c r="AF13"/>
  <c r="AG13" s="1"/>
  <c r="AE13"/>
  <c r="AD13"/>
  <c r="AC13"/>
  <c r="AB13"/>
  <c r="AA13"/>
  <c r="Z13"/>
  <c r="Y13"/>
  <c r="X13"/>
  <c r="AM13" s="1"/>
  <c r="W13"/>
  <c r="AM7"/>
  <c r="AN6"/>
  <c r="AL6"/>
  <c r="L6"/>
  <c r="F6"/>
  <c r="C6"/>
  <c r="AN5"/>
  <c r="AL5"/>
  <c r="AJ5"/>
  <c r="AG5"/>
  <c r="AD5"/>
  <c r="AA5"/>
  <c r="X5"/>
  <c r="U5"/>
  <c r="R5"/>
  <c r="O5"/>
  <c r="L5"/>
  <c r="I5"/>
  <c r="F5"/>
  <c r="C5"/>
  <c r="AN4"/>
  <c r="AL4"/>
  <c r="AJ4"/>
  <c r="AG4"/>
  <c r="AD4"/>
  <c r="AA4"/>
  <c r="X4"/>
  <c r="U4"/>
  <c r="R4"/>
  <c r="O4"/>
  <c r="L4"/>
  <c r="I4"/>
  <c r="F4"/>
  <c r="C4"/>
  <c r="AN3"/>
  <c r="AL3"/>
  <c r="AJ3"/>
  <c r="AG3"/>
  <c r="AD3"/>
  <c r="AA3"/>
  <c r="X3"/>
  <c r="U3"/>
  <c r="R3"/>
  <c r="O3"/>
  <c r="L3"/>
  <c r="I3"/>
  <c r="F3"/>
  <c r="C3"/>
  <c r="AN2"/>
  <c r="AL2"/>
  <c r="AJ2"/>
  <c r="AG2"/>
  <c r="AD2"/>
  <c r="AA2"/>
  <c r="X2"/>
  <c r="AM2" s="1"/>
  <c r="AM18" i="88"/>
  <c r="AM17"/>
  <c r="AL17"/>
  <c r="Y17"/>
  <c r="M17"/>
  <c r="L17"/>
  <c r="J17"/>
  <c r="I17"/>
  <c r="G17"/>
  <c r="E17"/>
  <c r="F17" s="1"/>
  <c r="D17"/>
  <c r="B17"/>
  <c r="C17" s="1"/>
  <c r="AK16"/>
  <c r="AJ16"/>
  <c r="AI16"/>
  <c r="AH16"/>
  <c r="AF16"/>
  <c r="AG16" s="1"/>
  <c r="AE16"/>
  <c r="AC16"/>
  <c r="AD16" s="1"/>
  <c r="AB16"/>
  <c r="Z16"/>
  <c r="AA16" s="1"/>
  <c r="Y16"/>
  <c r="X16"/>
  <c r="W16"/>
  <c r="V16"/>
  <c r="T16"/>
  <c r="U16" s="1"/>
  <c r="S16"/>
  <c r="Q16"/>
  <c r="R16" s="1"/>
  <c r="P16"/>
  <c r="O16"/>
  <c r="N16"/>
  <c r="M16"/>
  <c r="L16"/>
  <c r="K16"/>
  <c r="J16"/>
  <c r="H16"/>
  <c r="I16" s="1"/>
  <c r="G16"/>
  <c r="E16"/>
  <c r="F16" s="1"/>
  <c r="D16"/>
  <c r="B16"/>
  <c r="AK15"/>
  <c r="AI15"/>
  <c r="AJ15" s="1"/>
  <c r="AH15"/>
  <c r="AF15"/>
  <c r="AG15" s="1"/>
  <c r="AE15"/>
  <c r="AD15"/>
  <c r="AC15"/>
  <c r="AB15"/>
  <c r="AA15"/>
  <c r="Z15"/>
  <c r="Y15"/>
  <c r="W15"/>
  <c r="X15" s="1"/>
  <c r="V15"/>
  <c r="T15"/>
  <c r="U15" s="1"/>
  <c r="S15"/>
  <c r="R15"/>
  <c r="Q15"/>
  <c r="P15"/>
  <c r="N15"/>
  <c r="O15" s="1"/>
  <c r="M15"/>
  <c r="K15"/>
  <c r="L15" s="1"/>
  <c r="J15"/>
  <c r="H15"/>
  <c r="I15" s="1"/>
  <c r="G15"/>
  <c r="F15"/>
  <c r="E15"/>
  <c r="D15"/>
  <c r="C15"/>
  <c r="B15"/>
  <c r="AK14"/>
  <c r="AI14"/>
  <c r="AJ14" s="1"/>
  <c r="AH14"/>
  <c r="AF14"/>
  <c r="AG14" s="1"/>
  <c r="AE14"/>
  <c r="AD14"/>
  <c r="AC14"/>
  <c r="AB14"/>
  <c r="Z14"/>
  <c r="AA14" s="1"/>
  <c r="Y14"/>
  <c r="W14"/>
  <c r="X14" s="1"/>
  <c r="V14"/>
  <c r="U14"/>
  <c r="T14"/>
  <c r="S14"/>
  <c r="Q14"/>
  <c r="R14" s="1"/>
  <c r="P14"/>
  <c r="N14"/>
  <c r="O14" s="1"/>
  <c r="M14"/>
  <c r="K14"/>
  <c r="L14" s="1"/>
  <c r="J14"/>
  <c r="I14"/>
  <c r="H14"/>
  <c r="G14"/>
  <c r="F14"/>
  <c r="E14"/>
  <c r="D14"/>
  <c r="B14"/>
  <c r="AK13"/>
  <c r="AJ13"/>
  <c r="AI13"/>
  <c r="AH13"/>
  <c r="AG13"/>
  <c r="AF13"/>
  <c r="AE13"/>
  <c r="AC13"/>
  <c r="AD13" s="1"/>
  <c r="AB13"/>
  <c r="Z13"/>
  <c r="AA13" s="1"/>
  <c r="Y13"/>
  <c r="X13"/>
  <c r="AM13" s="1"/>
  <c r="W13"/>
  <c r="AM7"/>
  <c r="AN6"/>
  <c r="AL6"/>
  <c r="L6"/>
  <c r="F6"/>
  <c r="C6"/>
  <c r="AN5"/>
  <c r="AL5"/>
  <c r="AJ5"/>
  <c r="AG5"/>
  <c r="AD5"/>
  <c r="AA5"/>
  <c r="X5"/>
  <c r="U5"/>
  <c r="R5"/>
  <c r="O5"/>
  <c r="L5"/>
  <c r="I5"/>
  <c r="F5"/>
  <c r="C5"/>
  <c r="AN4"/>
  <c r="AL4"/>
  <c r="AJ4"/>
  <c r="AG4"/>
  <c r="AD4"/>
  <c r="AA4"/>
  <c r="X4"/>
  <c r="U4"/>
  <c r="R4"/>
  <c r="O4"/>
  <c r="L4"/>
  <c r="I4"/>
  <c r="F4"/>
  <c r="C4"/>
  <c r="AN3"/>
  <c r="AL3"/>
  <c r="AJ3"/>
  <c r="AG3"/>
  <c r="AD3"/>
  <c r="AA3"/>
  <c r="X3"/>
  <c r="U3"/>
  <c r="R3"/>
  <c r="O3"/>
  <c r="L3"/>
  <c r="I3"/>
  <c r="F3"/>
  <c r="C3"/>
  <c r="AN2"/>
  <c r="AL2"/>
  <c r="AJ2"/>
  <c r="AG2"/>
  <c r="AD2"/>
  <c r="AA2"/>
  <c r="X2"/>
  <c r="AM2" s="1"/>
  <c r="AK18" i="87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L17" s="1"/>
  <c r="Y17"/>
  <c r="O17"/>
  <c r="M17"/>
  <c r="L17"/>
  <c r="J17"/>
  <c r="I17"/>
  <c r="G17"/>
  <c r="E17"/>
  <c r="F17" s="1"/>
  <c r="D17"/>
  <c r="B17"/>
  <c r="C17" s="1"/>
  <c r="AK16"/>
  <c r="AJ16"/>
  <c r="AI16"/>
  <c r="AH16"/>
  <c r="AF16"/>
  <c r="AG16" s="1"/>
  <c r="AE16"/>
  <c r="AC16"/>
  <c r="AD16" s="1"/>
  <c r="AB16"/>
  <c r="Z16"/>
  <c r="AA16" s="1"/>
  <c r="Y16"/>
  <c r="X16"/>
  <c r="W16"/>
  <c r="V16"/>
  <c r="T16"/>
  <c r="U16" s="1"/>
  <c r="S16"/>
  <c r="Q16"/>
  <c r="R16" s="1"/>
  <c r="P16"/>
  <c r="O16"/>
  <c r="N16"/>
  <c r="M16"/>
  <c r="K16"/>
  <c r="L16" s="1"/>
  <c r="J16"/>
  <c r="H16"/>
  <c r="I16" s="1"/>
  <c r="G16"/>
  <c r="E16"/>
  <c r="F16" s="1"/>
  <c r="D16"/>
  <c r="B16"/>
  <c r="AK15"/>
  <c r="AI15"/>
  <c r="AJ15" s="1"/>
  <c r="AH15"/>
  <c r="AF15"/>
  <c r="AG15" s="1"/>
  <c r="AE15"/>
  <c r="AC15"/>
  <c r="AD15" s="1"/>
  <c r="AB15"/>
  <c r="Z15"/>
  <c r="AA15" s="1"/>
  <c r="Y15"/>
  <c r="W15"/>
  <c r="X15" s="1"/>
  <c r="V15"/>
  <c r="T15"/>
  <c r="U15" s="1"/>
  <c r="S15"/>
  <c r="Q15"/>
  <c r="R15" s="1"/>
  <c r="P15"/>
  <c r="N15"/>
  <c r="O15" s="1"/>
  <c r="M15"/>
  <c r="K15"/>
  <c r="L15" s="1"/>
  <c r="J15"/>
  <c r="H15"/>
  <c r="I15" s="1"/>
  <c r="G15"/>
  <c r="E15"/>
  <c r="F15" s="1"/>
  <c r="D15"/>
  <c r="B15"/>
  <c r="C15" s="1"/>
  <c r="AK14"/>
  <c r="AI14"/>
  <c r="AJ14" s="1"/>
  <c r="AH14"/>
  <c r="AF14"/>
  <c r="AG14" s="1"/>
  <c r="AE14"/>
  <c r="AC14"/>
  <c r="AD14" s="1"/>
  <c r="AB14"/>
  <c r="Z14"/>
  <c r="AA14" s="1"/>
  <c r="Y14"/>
  <c r="W14"/>
  <c r="X14" s="1"/>
  <c r="V14"/>
  <c r="T14"/>
  <c r="U14" s="1"/>
  <c r="S14"/>
  <c r="R14"/>
  <c r="Q14"/>
  <c r="P14"/>
  <c r="N14"/>
  <c r="O14" s="1"/>
  <c r="M14"/>
  <c r="K14"/>
  <c r="L14" s="1"/>
  <c r="J14"/>
  <c r="I14"/>
  <c r="H14"/>
  <c r="G14"/>
  <c r="E14"/>
  <c r="F14" s="1"/>
  <c r="D14"/>
  <c r="B14"/>
  <c r="C14" s="1"/>
  <c r="AK13"/>
  <c r="AI13"/>
  <c r="AJ13" s="1"/>
  <c r="AH13"/>
  <c r="AF13"/>
  <c r="AG13" s="1"/>
  <c r="AE13"/>
  <c r="AC13"/>
  <c r="AD13" s="1"/>
  <c r="AB13"/>
  <c r="Z13"/>
  <c r="AA13" s="1"/>
  <c r="Y13"/>
  <c r="W13"/>
  <c r="AM7"/>
  <c r="AN6"/>
  <c r="AM6"/>
  <c r="F6"/>
  <c r="C6"/>
  <c r="AN5"/>
  <c r="AL5"/>
  <c r="AJ5"/>
  <c r="AG5"/>
  <c r="AD5"/>
  <c r="AA5"/>
  <c r="X5"/>
  <c r="U5"/>
  <c r="R5"/>
  <c r="O5"/>
  <c r="L5"/>
  <c r="I5"/>
  <c r="F5"/>
  <c r="C5"/>
  <c r="AN4"/>
  <c r="AL4"/>
  <c r="AJ4"/>
  <c r="AG4"/>
  <c r="AD4"/>
  <c r="AA4"/>
  <c r="X4"/>
  <c r="U4"/>
  <c r="R4"/>
  <c r="O4"/>
  <c r="L4"/>
  <c r="I4"/>
  <c r="F4"/>
  <c r="C4"/>
  <c r="AN3"/>
  <c r="AL3"/>
  <c r="AJ3"/>
  <c r="AG3"/>
  <c r="AD3"/>
  <c r="AA3"/>
  <c r="X3"/>
  <c r="U3"/>
  <c r="R3"/>
  <c r="O3"/>
  <c r="L3"/>
  <c r="I3"/>
  <c r="F3"/>
  <c r="AN2"/>
  <c r="AL2"/>
  <c r="AJ2"/>
  <c r="AG2"/>
  <c r="AD2"/>
  <c r="AA2"/>
  <c r="X2"/>
  <c r="AK18" i="86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L17"/>
  <c r="Y17"/>
  <c r="O17"/>
  <c r="M17"/>
  <c r="L17"/>
  <c r="J17"/>
  <c r="I17"/>
  <c r="G17"/>
  <c r="F17"/>
  <c r="E17"/>
  <c r="D17"/>
  <c r="B17"/>
  <c r="C17" s="1"/>
  <c r="AK16"/>
  <c r="AJ16"/>
  <c r="AI16"/>
  <c r="AH16"/>
  <c r="AF16"/>
  <c r="AG16" s="1"/>
  <c r="AE16"/>
  <c r="AC16"/>
  <c r="AD16" s="1"/>
  <c r="AB16"/>
  <c r="AA16"/>
  <c r="Z16"/>
  <c r="Y16"/>
  <c r="W16"/>
  <c r="X16" s="1"/>
  <c r="V16"/>
  <c r="T16"/>
  <c r="U16" s="1"/>
  <c r="S16"/>
  <c r="Q16"/>
  <c r="R16" s="1"/>
  <c r="P16"/>
  <c r="O16"/>
  <c r="N16"/>
  <c r="M16"/>
  <c r="K16"/>
  <c r="L16" s="1"/>
  <c r="J16"/>
  <c r="I16"/>
  <c r="H16"/>
  <c r="G16"/>
  <c r="E16"/>
  <c r="F16" s="1"/>
  <c r="D16"/>
  <c r="B16"/>
  <c r="AK15"/>
  <c r="AJ15"/>
  <c r="AI15"/>
  <c r="AH15"/>
  <c r="AF15"/>
  <c r="AG15" s="1"/>
  <c r="AE15"/>
  <c r="AC15"/>
  <c r="AD15" s="1"/>
  <c r="AB15"/>
  <c r="AA15"/>
  <c r="Z15"/>
  <c r="Y15"/>
  <c r="W15"/>
  <c r="X15" s="1"/>
  <c r="V15"/>
  <c r="T15"/>
  <c r="U15" s="1"/>
  <c r="S15"/>
  <c r="Q15"/>
  <c r="R15" s="1"/>
  <c r="P15"/>
  <c r="O15"/>
  <c r="N15"/>
  <c r="M15"/>
  <c r="L15"/>
  <c r="K15"/>
  <c r="J15"/>
  <c r="H15"/>
  <c r="I15" s="1"/>
  <c r="G15"/>
  <c r="F15"/>
  <c r="E15"/>
  <c r="D15"/>
  <c r="C15"/>
  <c r="B15"/>
  <c r="AK14"/>
  <c r="AI14"/>
  <c r="AJ14" s="1"/>
  <c r="AH14"/>
  <c r="AG14"/>
  <c r="AF14"/>
  <c r="AE14"/>
  <c r="AD14"/>
  <c r="AC14"/>
  <c r="AB14"/>
  <c r="Z14"/>
  <c r="AA14" s="1"/>
  <c r="Y14"/>
  <c r="W14"/>
  <c r="X14" s="1"/>
  <c r="V14"/>
  <c r="U14"/>
  <c r="T14"/>
  <c r="S14"/>
  <c r="Q14"/>
  <c r="R14" s="1"/>
  <c r="P14"/>
  <c r="O14"/>
  <c r="N14"/>
  <c r="M14"/>
  <c r="K14"/>
  <c r="L14" s="1"/>
  <c r="J14"/>
  <c r="H14"/>
  <c r="I14" s="1"/>
  <c r="G14"/>
  <c r="F14"/>
  <c r="E14"/>
  <c r="D14"/>
  <c r="C14"/>
  <c r="B14"/>
  <c r="AK13"/>
  <c r="AJ13"/>
  <c r="AI13"/>
  <c r="AH13"/>
  <c r="AF13"/>
  <c r="AG13" s="1"/>
  <c r="AE13"/>
  <c r="AD13"/>
  <c r="AC13"/>
  <c r="AB13"/>
  <c r="Z13"/>
  <c r="Y13"/>
  <c r="W13"/>
  <c r="X13" s="1"/>
  <c r="AM7"/>
  <c r="AN6"/>
  <c r="AL6"/>
  <c r="F6"/>
  <c r="C6"/>
  <c r="AN5"/>
  <c r="AL5"/>
  <c r="AJ5"/>
  <c r="AG5"/>
  <c r="AD5"/>
  <c r="AA5"/>
  <c r="X5"/>
  <c r="U5"/>
  <c r="R5"/>
  <c r="O5"/>
  <c r="L5"/>
  <c r="I5"/>
  <c r="F5"/>
  <c r="C5"/>
  <c r="AN4"/>
  <c r="AL4"/>
  <c r="AJ4"/>
  <c r="AG4"/>
  <c r="AD4"/>
  <c r="AA4"/>
  <c r="X4"/>
  <c r="U4"/>
  <c r="R4"/>
  <c r="O4"/>
  <c r="L4"/>
  <c r="I4"/>
  <c r="F4"/>
  <c r="C4"/>
  <c r="AN3"/>
  <c r="AL3"/>
  <c r="AJ3"/>
  <c r="AG3"/>
  <c r="AD3"/>
  <c r="AA3"/>
  <c r="X3"/>
  <c r="U3"/>
  <c r="R3"/>
  <c r="O3"/>
  <c r="L3"/>
  <c r="I3"/>
  <c r="F3"/>
  <c r="C3"/>
  <c r="AN2"/>
  <c r="AL2"/>
  <c r="AJ2"/>
  <c r="AG2"/>
  <c r="AD2"/>
  <c r="AA2"/>
  <c r="X2"/>
  <c r="R3" i="85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7"/>
  <c r="R2"/>
  <c r="Q7"/>
  <c r="Q9"/>
  <c r="Q12"/>
  <c r="Q15"/>
  <c r="Q17"/>
  <c r="Q19"/>
  <c r="Q21"/>
  <c r="Q23"/>
  <c r="P28"/>
  <c r="N6"/>
  <c r="O6" s="1"/>
  <c r="Q6" s="1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O27"/>
  <c r="Q27" s="1"/>
  <c r="O24"/>
  <c r="Q24" s="1"/>
  <c r="O23"/>
  <c r="O22"/>
  <c r="Q22" s="1"/>
  <c r="O21"/>
  <c r="O20"/>
  <c r="Q20" s="1"/>
  <c r="O19"/>
  <c r="AQ38" i="4" s="1"/>
  <c r="O18" i="85"/>
  <c r="AQ37" i="4" s="1"/>
  <c r="O17" i="85"/>
  <c r="O16"/>
  <c r="Q16" s="1"/>
  <c r="D16"/>
  <c r="D15"/>
  <c r="O15" s="1"/>
  <c r="AQ18" i="4" s="1"/>
  <c r="D14" i="85"/>
  <c r="O14" s="1"/>
  <c r="D13"/>
  <c r="O13" s="1"/>
  <c r="Q13" s="1"/>
  <c r="O12"/>
  <c r="D12"/>
  <c r="D11"/>
  <c r="O11" s="1"/>
  <c r="AQ14" i="4" s="1"/>
  <c r="O10" i="85"/>
  <c r="Q10" s="1"/>
  <c r="D10"/>
  <c r="D9"/>
  <c r="O9" s="1"/>
  <c r="O8"/>
  <c r="Q8" s="1"/>
  <c r="D8"/>
  <c r="O7"/>
  <c r="AQ10" i="4" s="1"/>
  <c r="N5" i="85"/>
  <c r="O5" s="1"/>
  <c r="Q5" s="1"/>
  <c r="N4"/>
  <c r="O4" s="1"/>
  <c r="Q4" s="1"/>
  <c r="N3"/>
  <c r="O3" s="1"/>
  <c r="Q3" s="1"/>
  <c r="N2"/>
  <c r="O2" s="1"/>
  <c r="Q2" s="1"/>
  <c r="R3" i="81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7"/>
  <c r="R2"/>
  <c r="R3" i="82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"/>
  <c r="R3" i="8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7"/>
  <c r="R2"/>
  <c r="Q6" i="84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7"/>
  <c r="P28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7"/>
  <c r="R2"/>
  <c r="N56"/>
  <c r="N55"/>
  <c r="N54"/>
  <c r="N53"/>
  <c r="N52"/>
  <c r="N51"/>
  <c r="N50"/>
  <c r="N49"/>
  <c r="O24"/>
  <c r="O23"/>
  <c r="O22"/>
  <c r="O21"/>
  <c r="O20"/>
  <c r="O19"/>
  <c r="O18"/>
  <c r="O17"/>
  <c r="D16"/>
  <c r="O16" s="1"/>
  <c r="O15"/>
  <c r="D15"/>
  <c r="D14"/>
  <c r="O14" s="1"/>
  <c r="O13"/>
  <c r="D13"/>
  <c r="D12"/>
  <c r="O12" s="1"/>
  <c r="O11"/>
  <c r="D11"/>
  <c r="D10"/>
  <c r="O10" s="1"/>
  <c r="O9"/>
  <c r="D9"/>
  <c r="D8"/>
  <c r="O8" s="1"/>
  <c r="O7"/>
  <c r="D7"/>
  <c r="N6"/>
  <c r="O6" s="1"/>
  <c r="N5"/>
  <c r="O5" s="1"/>
  <c r="N3"/>
  <c r="O3" s="1"/>
  <c r="Q3" s="1"/>
  <c r="N2"/>
  <c r="O2" s="1"/>
  <c r="Q2" s="1"/>
  <c r="P28" i="83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7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O27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N5"/>
  <c r="O5" s="1"/>
  <c r="Q5" s="1"/>
  <c r="N3"/>
  <c r="O3" s="1"/>
  <c r="Q3" s="1"/>
  <c r="N2"/>
  <c r="O2" s="1"/>
  <c r="Q6" i="82"/>
  <c r="Q7"/>
  <c r="Q8"/>
  <c r="Q9"/>
  <c r="Q10"/>
  <c r="Q11"/>
  <c r="Q12"/>
  <c r="Q13"/>
  <c r="Q14"/>
  <c r="Q15"/>
  <c r="Q16"/>
  <c r="Q17"/>
  <c r="Q18"/>
  <c r="Q19"/>
  <c r="Q22"/>
  <c r="Q23"/>
  <c r="Q25"/>
  <c r="P2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O25"/>
  <c r="O24"/>
  <c r="Q24" s="1"/>
  <c r="O23"/>
  <c r="O22"/>
  <c r="O21"/>
  <c r="Q21" s="1"/>
  <c r="O20"/>
  <c r="Q20" s="1"/>
  <c r="O19"/>
  <c r="O18"/>
  <c r="O17"/>
  <c r="O16"/>
  <c r="O15"/>
  <c r="O14"/>
  <c r="O13"/>
  <c r="O12"/>
  <c r="O11"/>
  <c r="O10"/>
  <c r="O9"/>
  <c r="O8"/>
  <c r="O7"/>
  <c r="O6"/>
  <c r="N5"/>
  <c r="O5" s="1"/>
  <c r="Q5" s="1"/>
  <c r="N3"/>
  <c r="O3" s="1"/>
  <c r="Q3" s="1"/>
  <c r="N2"/>
  <c r="O2" s="1"/>
  <c r="P28" i="81"/>
  <c r="Q4"/>
  <c r="Q9"/>
  <c r="Q13"/>
  <c r="Q17"/>
  <c r="Q21"/>
  <c r="Q27"/>
  <c r="O27"/>
  <c r="O24"/>
  <c r="AR43" i="4" s="1"/>
  <c r="O23" i="81"/>
  <c r="AR42" i="4" s="1"/>
  <c r="O22" i="81"/>
  <c r="Q22" s="1"/>
  <c r="O21"/>
  <c r="O20"/>
  <c r="Q20" s="1"/>
  <c r="O19"/>
  <c r="AR38" i="4" s="1"/>
  <c r="O18" i="81"/>
  <c r="AR37" i="4" s="1"/>
  <c r="O17" i="81"/>
  <c r="AR20" i="4" s="1"/>
  <c r="O16" i="81"/>
  <c r="AR19" i="4" s="1"/>
  <c r="O15" i="81"/>
  <c r="Q15" s="1"/>
  <c r="O14"/>
  <c r="Q14" s="1"/>
  <c r="O13"/>
  <c r="AR16" i="4" s="1"/>
  <c r="O12" i="81"/>
  <c r="AR15" i="4" s="1"/>
  <c r="O11" i="81"/>
  <c r="Q11" s="1"/>
  <c r="O10"/>
  <c r="Q10" s="1"/>
  <c r="O9"/>
  <c r="AR12" i="4" s="1"/>
  <c r="O8" i="81"/>
  <c r="AR11" i="4" s="1"/>
  <c r="O7" i="81"/>
  <c r="Q7" s="1"/>
  <c r="O6"/>
  <c r="Q6" s="1"/>
  <c r="N5"/>
  <c r="O5" s="1"/>
  <c r="N4"/>
  <c r="O4" s="1"/>
  <c r="AR7" i="4" s="1"/>
  <c r="O3" i="81"/>
  <c r="Q3" s="1"/>
  <c r="N3"/>
  <c r="N2"/>
  <c r="O2" s="1"/>
  <c r="J15" i="4"/>
  <c r="J16"/>
  <c r="J17"/>
  <c r="J18"/>
  <c r="J19"/>
  <c r="J20"/>
  <c r="J14"/>
  <c r="J6"/>
  <c r="J7"/>
  <c r="J8"/>
  <c r="J9"/>
  <c r="J5"/>
  <c r="I15"/>
  <c r="I16"/>
  <c r="I17"/>
  <c r="I18"/>
  <c r="I19"/>
  <c r="I20"/>
  <c r="I14"/>
  <c r="I6"/>
  <c r="I7"/>
  <c r="I8"/>
  <c r="I9"/>
  <c r="I5"/>
  <c r="H15"/>
  <c r="H16"/>
  <c r="H17"/>
  <c r="H18"/>
  <c r="H19"/>
  <c r="H20"/>
  <c r="H14"/>
  <c r="H6"/>
  <c r="H7"/>
  <c r="H8"/>
  <c r="H9"/>
  <c r="H5"/>
  <c r="L28" i="80"/>
  <c r="H28"/>
  <c r="P3" s="1"/>
  <c r="P19" s="1"/>
  <c r="G28"/>
  <c r="F28"/>
  <c r="X19"/>
  <c r="V19"/>
  <c r="T19"/>
  <c r="P18"/>
  <c r="O18"/>
  <c r="N18"/>
  <c r="P17"/>
  <c r="O17"/>
  <c r="N17"/>
  <c r="P16"/>
  <c r="O16"/>
  <c r="N16"/>
  <c r="P15"/>
  <c r="O15"/>
  <c r="N15"/>
  <c r="P14"/>
  <c r="O14"/>
  <c r="N14"/>
  <c r="P13"/>
  <c r="O13"/>
  <c r="N13"/>
  <c r="P12"/>
  <c r="O12"/>
  <c r="N12"/>
  <c r="P11"/>
  <c r="O11"/>
  <c r="N11"/>
  <c r="P10"/>
  <c r="O10"/>
  <c r="N10"/>
  <c r="P9"/>
  <c r="O9"/>
  <c r="N9"/>
  <c r="P8"/>
  <c r="O8"/>
  <c r="N8"/>
  <c r="P7"/>
  <c r="O7"/>
  <c r="N7"/>
  <c r="P6"/>
  <c r="O6"/>
  <c r="N6"/>
  <c r="P5"/>
  <c r="O5"/>
  <c r="N5"/>
  <c r="P4"/>
  <c r="O4"/>
  <c r="N4"/>
  <c r="O3"/>
  <c r="O19" s="1"/>
  <c r="N3"/>
  <c r="N19" s="1"/>
  <c r="W30" i="55"/>
  <c r="X30"/>
  <c r="Y30"/>
  <c r="Z30"/>
  <c r="AA30"/>
  <c r="AB30"/>
  <c r="R30"/>
  <c r="S30"/>
  <c r="R29"/>
  <c r="S29"/>
  <c r="T29"/>
  <c r="U29"/>
  <c r="V29"/>
  <c r="W29"/>
  <c r="X29"/>
  <c r="Y29"/>
  <c r="Z29"/>
  <c r="AA29"/>
  <c r="AB29"/>
  <c r="R28"/>
  <c r="S28"/>
  <c r="T28"/>
  <c r="U28"/>
  <c r="V28"/>
  <c r="W28"/>
  <c r="X28"/>
  <c r="Y28"/>
  <c r="Z28"/>
  <c r="AA28"/>
  <c r="AB28"/>
  <c r="R27"/>
  <c r="S27"/>
  <c r="T27"/>
  <c r="U27"/>
  <c r="V27"/>
  <c r="W27"/>
  <c r="X27"/>
  <c r="Y27"/>
  <c r="Z27"/>
  <c r="AA27"/>
  <c r="AB27"/>
  <c r="Q30"/>
  <c r="AC30" s="1"/>
  <c r="Q29"/>
  <c r="Q28"/>
  <c r="Q27"/>
  <c r="Y26"/>
  <c r="Z26"/>
  <c r="AA26"/>
  <c r="AB26"/>
  <c r="X26"/>
  <c r="C32"/>
  <c r="D32"/>
  <c r="E32"/>
  <c r="F32"/>
  <c r="G32"/>
  <c r="H32"/>
  <c r="I32"/>
  <c r="J32"/>
  <c r="K32"/>
  <c r="L32"/>
  <c r="M32"/>
  <c r="N32"/>
  <c r="C31"/>
  <c r="D31"/>
  <c r="E31"/>
  <c r="F31"/>
  <c r="G31"/>
  <c r="H31"/>
  <c r="I31"/>
  <c r="J31"/>
  <c r="K31"/>
  <c r="L31"/>
  <c r="M31"/>
  <c r="N31"/>
  <c r="C30"/>
  <c r="D30"/>
  <c r="E30"/>
  <c r="F30"/>
  <c r="G30"/>
  <c r="H30"/>
  <c r="I30"/>
  <c r="J30"/>
  <c r="K30"/>
  <c r="L30"/>
  <c r="M30"/>
  <c r="N30"/>
  <c r="C29"/>
  <c r="D29"/>
  <c r="E29"/>
  <c r="F29"/>
  <c r="G29"/>
  <c r="H29"/>
  <c r="I29"/>
  <c r="J29"/>
  <c r="K29"/>
  <c r="L29"/>
  <c r="M29"/>
  <c r="N29"/>
  <c r="C28"/>
  <c r="D28"/>
  <c r="E28"/>
  <c r="F28"/>
  <c r="G28"/>
  <c r="H28"/>
  <c r="I28"/>
  <c r="J28"/>
  <c r="K28"/>
  <c r="L28"/>
  <c r="M28"/>
  <c r="N28"/>
  <c r="C27"/>
  <c r="D27"/>
  <c r="E27"/>
  <c r="F27"/>
  <c r="G27"/>
  <c r="H27"/>
  <c r="I27"/>
  <c r="J27"/>
  <c r="K27"/>
  <c r="L27"/>
  <c r="M27"/>
  <c r="N27"/>
  <c r="B41"/>
  <c r="B40"/>
  <c r="B39"/>
  <c r="B38"/>
  <c r="B37"/>
  <c r="B36"/>
  <c r="B35"/>
  <c r="B34"/>
  <c r="B33"/>
  <c r="B32"/>
  <c r="B31"/>
  <c r="B30"/>
  <c r="B29"/>
  <c r="B28"/>
  <c r="B27"/>
  <c r="J26"/>
  <c r="K26"/>
  <c r="L26"/>
  <c r="M26"/>
  <c r="N26"/>
  <c r="I26"/>
  <c r="AC28"/>
  <c r="AC26"/>
  <c r="O18"/>
  <c r="N17"/>
  <c r="N16"/>
  <c r="N15"/>
  <c r="N14"/>
  <c r="N13"/>
  <c r="N12"/>
  <c r="N11"/>
  <c r="N10"/>
  <c r="N9"/>
  <c r="N8"/>
  <c r="N7"/>
  <c r="AC6"/>
  <c r="N6"/>
  <c r="AC5"/>
  <c r="N5"/>
  <c r="AC4"/>
  <c r="N4"/>
  <c r="AC3"/>
  <c r="N3"/>
  <c r="AC2"/>
  <c r="N2"/>
  <c r="AL16" i="86" l="1"/>
  <c r="AM5" i="89"/>
  <c r="AL16" i="88"/>
  <c r="AQ8" i="4"/>
  <c r="Q5" i="84"/>
  <c r="AL32" i="87"/>
  <c r="B43"/>
  <c r="C43" s="1"/>
  <c r="AM43" s="1"/>
  <c r="AM32"/>
  <c r="AL31"/>
  <c r="AL36" s="1"/>
  <c r="AN31"/>
  <c r="E42"/>
  <c r="F42" s="1"/>
  <c r="AM42" s="1"/>
  <c r="AN30"/>
  <c r="AN15" i="88"/>
  <c r="AM3" i="87"/>
  <c r="N4" i="83"/>
  <c r="O4" s="1"/>
  <c r="Q4" s="1"/>
  <c r="N4" i="84"/>
  <c r="O4" s="1"/>
  <c r="Q4" s="1"/>
  <c r="U4"/>
  <c r="AM4" i="86"/>
  <c r="N4" i="82"/>
  <c r="O4" s="1"/>
  <c r="Q4" s="1"/>
  <c r="Q26" s="1"/>
  <c r="AL16" i="87"/>
  <c r="AL13"/>
  <c r="AM30"/>
  <c r="AM33"/>
  <c r="AN44"/>
  <c r="AL41"/>
  <c r="AN43"/>
  <c r="AM45"/>
  <c r="AL44"/>
  <c r="AL45"/>
  <c r="R26" i="82"/>
  <c r="AQ42" i="4"/>
  <c r="AQ39"/>
  <c r="R28" i="83"/>
  <c r="R28" i="84"/>
  <c r="Q14" i="85"/>
  <c r="AQ17" i="4"/>
  <c r="AQ43"/>
  <c r="AQ41"/>
  <c r="Q11" i="85"/>
  <c r="AQ19" i="4"/>
  <c r="AQ11"/>
  <c r="AQ16"/>
  <c r="AQ13"/>
  <c r="Q18" i="85"/>
  <c r="AN14" i="86"/>
  <c r="AN42" i="87"/>
  <c r="AN41"/>
  <c r="AN8" i="88"/>
  <c r="AN13" i="89"/>
  <c r="AM3" i="88"/>
  <c r="AL14"/>
  <c r="AM31" i="87"/>
  <c r="BF19" i="61"/>
  <c r="AL8" i="86"/>
  <c r="AL8" i="87"/>
  <c r="AQ6" i="4"/>
  <c r="AM41" i="87"/>
  <c r="AM44"/>
  <c r="AM46"/>
  <c r="AN8"/>
  <c r="AR8" i="4"/>
  <c r="Q5" i="81"/>
  <c r="O28"/>
  <c r="Q16"/>
  <c r="AR5" i="4"/>
  <c r="AR21" s="1"/>
  <c r="AR18"/>
  <c r="AR14"/>
  <c r="AR10"/>
  <c r="Q2" i="81"/>
  <c r="Q28" s="1"/>
  <c r="Q18"/>
  <c r="Q23"/>
  <c r="Q19"/>
  <c r="AR39" i="4"/>
  <c r="AR47" s="1"/>
  <c r="Q24" i="81"/>
  <c r="Q12"/>
  <c r="Q8"/>
  <c r="Q2" i="83"/>
  <c r="AQ5" i="4"/>
  <c r="Q2" i="82"/>
  <c r="AM15" i="86"/>
  <c r="AM6"/>
  <c r="AL13"/>
  <c r="AM14"/>
  <c r="AL15"/>
  <c r="AP10" i="4"/>
  <c r="AM2" i="86"/>
  <c r="AN13"/>
  <c r="AN15"/>
  <c r="C16"/>
  <c r="AM16" s="1"/>
  <c r="AM18"/>
  <c r="AN8"/>
  <c r="AM3"/>
  <c r="AM5"/>
  <c r="AL14"/>
  <c r="AN16"/>
  <c r="AM17"/>
  <c r="AM4" i="87"/>
  <c r="AN14"/>
  <c r="AL15"/>
  <c r="AN13"/>
  <c r="AM14"/>
  <c r="AN16"/>
  <c r="AM2"/>
  <c r="AM5"/>
  <c r="X13"/>
  <c r="AM13" s="1"/>
  <c r="AN15"/>
  <c r="C16"/>
  <c r="AM16" s="1"/>
  <c r="AM17"/>
  <c r="AM5" i="88"/>
  <c r="AM4"/>
  <c r="AL15"/>
  <c r="AN16"/>
  <c r="AL8"/>
  <c r="AM6"/>
  <c r="AN13"/>
  <c r="AN14"/>
  <c r="C16"/>
  <c r="AM16" s="1"/>
  <c r="Q28" i="85"/>
  <c r="AM16" i="89"/>
  <c r="AM3"/>
  <c r="AL8"/>
  <c r="AL13"/>
  <c r="AN14"/>
  <c r="AN15"/>
  <c r="AL16"/>
  <c r="AM6"/>
  <c r="AL14"/>
  <c r="AN16"/>
  <c r="AN8"/>
  <c r="AM4"/>
  <c r="AM14"/>
  <c r="AM15"/>
  <c r="AL15"/>
  <c r="AM15" i="88"/>
  <c r="AL13"/>
  <c r="AL19" s="1"/>
  <c r="C14"/>
  <c r="AM14" s="1"/>
  <c r="AM15" i="87"/>
  <c r="AM18"/>
  <c r="AL14"/>
  <c r="AA13" i="86"/>
  <c r="AM13" s="1"/>
  <c r="R28" i="85"/>
  <c r="O28"/>
  <c r="R28" i="81"/>
  <c r="AC29" i="55"/>
  <c r="AC27"/>
  <c r="O42"/>
  <c r="N42"/>
  <c r="N18"/>
  <c r="Q28" i="84" l="1"/>
  <c r="AM8" i="86"/>
  <c r="AP8" i="4"/>
  <c r="AN36" i="87"/>
  <c r="AL43"/>
  <c r="AL42"/>
  <c r="O26" i="82"/>
  <c r="O28" i="83"/>
  <c r="Q28"/>
  <c r="O28" i="84"/>
  <c r="AQ7" i="4"/>
  <c r="AM36" i="87"/>
  <c r="AN47"/>
  <c r="AQ47" i="4"/>
  <c r="AN19" i="86"/>
  <c r="AN19" i="87"/>
  <c r="AN19" i="89"/>
  <c r="AM8" i="88"/>
  <c r="AL19" i="86"/>
  <c r="AM47" i="87"/>
  <c r="AP5" i="4"/>
  <c r="AM19" i="86"/>
  <c r="AM8" i="87"/>
  <c r="AL19"/>
  <c r="AM19" i="88"/>
  <c r="AP7" i="4"/>
  <c r="AP9"/>
  <c r="AN19" i="88"/>
  <c r="AM8" i="89"/>
  <c r="AP6" i="4"/>
  <c r="AL19" i="89"/>
  <c r="AM19"/>
  <c r="AM19" i="87"/>
  <c r="Q16" i="59"/>
  <c r="Q17"/>
  <c r="Q18"/>
  <c r="S16"/>
  <c r="S17"/>
  <c r="S18"/>
  <c r="Q15"/>
  <c r="S15"/>
  <c r="Q12"/>
  <c r="Q13"/>
  <c r="Q14"/>
  <c r="Q11"/>
  <c r="S12"/>
  <c r="S13"/>
  <c r="S14"/>
  <c r="S11"/>
  <c r="AL47" i="87" l="1"/>
  <c r="V18" i="59"/>
  <c r="V17"/>
  <c r="V16"/>
  <c r="V15"/>
  <c r="V14"/>
  <c r="V13"/>
  <c r="V12"/>
  <c r="V11"/>
  <c r="V10"/>
  <c r="V9"/>
  <c r="V8"/>
  <c r="V7"/>
  <c r="V6"/>
  <c r="V5"/>
  <c r="V4"/>
  <c r="AG6" i="4"/>
  <c r="AG7"/>
  <c r="AG8"/>
  <c r="AG9"/>
  <c r="AG10"/>
  <c r="AG11"/>
  <c r="AG12"/>
  <c r="AG13"/>
  <c r="AG14"/>
  <c r="AG15"/>
  <c r="AG16"/>
  <c r="AG17"/>
  <c r="AG18"/>
  <c r="AG19"/>
  <c r="AG20"/>
  <c r="AG5"/>
  <c r="AF6"/>
  <c r="AF7"/>
  <c r="AF8"/>
  <c r="AF9"/>
  <c r="AF10"/>
  <c r="AF11"/>
  <c r="AF12"/>
  <c r="AF13"/>
  <c r="AF14"/>
  <c r="AF15"/>
  <c r="AF16"/>
  <c r="AF17"/>
  <c r="AF18"/>
  <c r="AF19"/>
  <c r="AF20"/>
  <c r="AF5"/>
  <c r="AO6"/>
  <c r="AO7"/>
  <c r="AO8"/>
  <c r="AO9"/>
  <c r="AO10"/>
  <c r="AO11"/>
  <c r="AO12"/>
  <c r="AO13"/>
  <c r="AO14"/>
  <c r="AO15"/>
  <c r="AO16"/>
  <c r="AO17"/>
  <c r="AO18"/>
  <c r="AO19"/>
  <c r="AO20"/>
  <c r="AO5"/>
  <c r="AN6"/>
  <c r="AN7"/>
  <c r="AN8"/>
  <c r="AN9"/>
  <c r="AN10"/>
  <c r="AN11"/>
  <c r="AN12"/>
  <c r="AN13"/>
  <c r="AN14"/>
  <c r="AN15"/>
  <c r="AN16"/>
  <c r="AN17"/>
  <c r="AN18"/>
  <c r="AN19"/>
  <c r="AN20"/>
  <c r="AN5"/>
  <c r="N3" i="51"/>
  <c r="Q3" i="63"/>
  <c r="AN21" i="4" l="1"/>
  <c r="AQ21"/>
  <c r="AO21"/>
  <c r="S17" i="70"/>
  <c r="S16"/>
  <c r="S15"/>
  <c r="T14"/>
  <c r="S14"/>
  <c r="O14"/>
  <c r="S13"/>
  <c r="S12"/>
  <c r="T11"/>
  <c r="S11"/>
  <c r="T10"/>
  <c r="S10"/>
  <c r="O10"/>
  <c r="S9"/>
  <c r="S8"/>
  <c r="S7"/>
  <c r="S6"/>
  <c r="S5"/>
  <c r="S4"/>
  <c r="S3"/>
  <c r="N2"/>
  <c r="T2" s="1"/>
  <c r="T3" s="1"/>
  <c r="S17" i="69"/>
  <c r="S16"/>
  <c r="S15"/>
  <c r="T14"/>
  <c r="S14"/>
  <c r="O14"/>
  <c r="S13"/>
  <c r="S12"/>
  <c r="T11"/>
  <c r="S11"/>
  <c r="T10"/>
  <c r="S10"/>
  <c r="O10"/>
  <c r="S9"/>
  <c r="S8"/>
  <c r="S7"/>
  <c r="S6"/>
  <c r="S5"/>
  <c r="S4"/>
  <c r="S3"/>
  <c r="N2"/>
  <c r="T2" s="1"/>
  <c r="T3" s="1"/>
  <c r="T14" i="68"/>
  <c r="T11"/>
  <c r="T10"/>
  <c r="M15"/>
  <c r="M16"/>
  <c r="M17"/>
  <c r="M14"/>
  <c r="M11"/>
  <c r="M12"/>
  <c r="M13"/>
  <c r="M10"/>
  <c r="S17"/>
  <c r="Q17" s="1"/>
  <c r="P17" s="1"/>
  <c r="Q15"/>
  <c r="Q14"/>
  <c r="Q13"/>
  <c r="P13" s="1"/>
  <c r="Q12"/>
  <c r="P12" s="1"/>
  <c r="Q11"/>
  <c r="P11" s="1"/>
  <c r="P14"/>
  <c r="P10"/>
  <c r="O14"/>
  <c r="O10"/>
  <c r="Q10"/>
  <c r="Q9"/>
  <c r="Q8"/>
  <c r="M8" s="1"/>
  <c r="Q7"/>
  <c r="M7" s="1"/>
  <c r="M4"/>
  <c r="M5"/>
  <c r="M6"/>
  <c r="M9"/>
  <c r="M3"/>
  <c r="Q6"/>
  <c r="Q5"/>
  <c r="Q4"/>
  <c r="Q3"/>
  <c r="S8"/>
  <c r="S9"/>
  <c r="S10"/>
  <c r="S11"/>
  <c r="S12"/>
  <c r="S13"/>
  <c r="S14"/>
  <c r="S15"/>
  <c r="S16"/>
  <c r="Q16" s="1"/>
  <c r="P16" s="1"/>
  <c r="S4"/>
  <c r="S5"/>
  <c r="S6"/>
  <c r="S7"/>
  <c r="S3"/>
  <c r="Q2" i="70" l="1"/>
  <c r="Q17" s="1"/>
  <c r="P17" s="1"/>
  <c r="M17" s="1"/>
  <c r="N17" s="1"/>
  <c r="Q2" i="69"/>
  <c r="Q9" s="1"/>
  <c r="M9" s="1"/>
  <c r="N9" s="1"/>
  <c r="Q6"/>
  <c r="M6" s="1"/>
  <c r="N6" s="1"/>
  <c r="Q8"/>
  <c r="M8" s="1"/>
  <c r="N8" s="1"/>
  <c r="Q11"/>
  <c r="P11" s="1"/>
  <c r="M11" s="1"/>
  <c r="N11" s="1"/>
  <c r="Q13"/>
  <c r="P13" s="1"/>
  <c r="M13" s="1"/>
  <c r="N13" s="1"/>
  <c r="Q12"/>
  <c r="P12" s="1"/>
  <c r="M12" s="1"/>
  <c r="N12" s="1"/>
  <c r="Q17"/>
  <c r="P17" s="1"/>
  <c r="M17" s="1"/>
  <c r="N17" s="1"/>
  <c r="N17" i="68"/>
  <c r="AM20" i="4" s="1"/>
  <c r="N16" i="68"/>
  <c r="AM19" i="4" s="1"/>
  <c r="P15" i="68"/>
  <c r="N13"/>
  <c r="AM16" i="4" s="1"/>
  <c r="N12" i="68"/>
  <c r="AM15" i="4" s="1"/>
  <c r="N30" i="51"/>
  <c r="N15" i="68"/>
  <c r="AM18" i="4" s="1"/>
  <c r="N14" i="68"/>
  <c r="AM17" i="4" s="1"/>
  <c r="N11" i="68"/>
  <c r="AM14" i="4" s="1"/>
  <c r="N10" i="68"/>
  <c r="AM13" i="4" s="1"/>
  <c r="N9" i="68"/>
  <c r="AM12" i="4" s="1"/>
  <c r="N8" i="68"/>
  <c r="AM11" i="4" s="1"/>
  <c r="N7" i="68"/>
  <c r="AM10" i="4" s="1"/>
  <c r="N6" i="68"/>
  <c r="AM9" i="4" s="1"/>
  <c r="N5" i="68"/>
  <c r="AM8" i="4" s="1"/>
  <c r="N4" i="68"/>
  <c r="AM7" i="4" s="1"/>
  <c r="N3" i="68"/>
  <c r="AM6" i="4" s="1"/>
  <c r="N2" i="68"/>
  <c r="AE6" i="4"/>
  <c r="AE7"/>
  <c r="AE8"/>
  <c r="AE9"/>
  <c r="AE10"/>
  <c r="AE11"/>
  <c r="AE12"/>
  <c r="AE13"/>
  <c r="AE14"/>
  <c r="AE15"/>
  <c r="AE16"/>
  <c r="AE17"/>
  <c r="AE18"/>
  <c r="AE19"/>
  <c r="AE20"/>
  <c r="AD6"/>
  <c r="AD7"/>
  <c r="AD8"/>
  <c r="AD9"/>
  <c r="AD10"/>
  <c r="AD11"/>
  <c r="AD12"/>
  <c r="AD13"/>
  <c r="AD14"/>
  <c r="AD15"/>
  <c r="AD16"/>
  <c r="AD17"/>
  <c r="AD18"/>
  <c r="AD19"/>
  <c r="AD20"/>
  <c r="AC6"/>
  <c r="AC7"/>
  <c r="AC8"/>
  <c r="AC9"/>
  <c r="AC10"/>
  <c r="AC11"/>
  <c r="AC12"/>
  <c r="AC13"/>
  <c r="AC14"/>
  <c r="AC15"/>
  <c r="AC16"/>
  <c r="AC17"/>
  <c r="AC18"/>
  <c r="AC19"/>
  <c r="AC20"/>
  <c r="O3" i="63"/>
  <c r="AD5" i="4" s="1"/>
  <c r="S42" i="63"/>
  <c r="Z29"/>
  <c r="Z30" s="1"/>
  <c r="O45"/>
  <c r="Q45" s="1"/>
  <c r="O46"/>
  <c r="P46" s="1"/>
  <c r="O48"/>
  <c r="P48" s="1"/>
  <c r="O49"/>
  <c r="Q49" s="1"/>
  <c r="O50"/>
  <c r="Q50" s="1"/>
  <c r="O51"/>
  <c r="P51" s="1"/>
  <c r="O52"/>
  <c r="P52" s="1"/>
  <c r="O53"/>
  <c r="Q53" s="1"/>
  <c r="O54"/>
  <c r="Q54" s="1"/>
  <c r="Q52"/>
  <c r="V28"/>
  <c r="U29" i="62"/>
  <c r="M26" i="59"/>
  <c r="AP21" i="4" l="1"/>
  <c r="Q11" i="70"/>
  <c r="P11" s="1"/>
  <c r="M11" s="1"/>
  <c r="N11" s="1"/>
  <c r="Q16"/>
  <c r="P16" s="1"/>
  <c r="M16" s="1"/>
  <c r="N16" s="1"/>
  <c r="Q6"/>
  <c r="M6" s="1"/>
  <c r="N6" s="1"/>
  <c r="Q9"/>
  <c r="M9" s="1"/>
  <c r="N9" s="1"/>
  <c r="Q7"/>
  <c r="M7" s="1"/>
  <c r="N7" s="1"/>
  <c r="Q5"/>
  <c r="M5" s="1"/>
  <c r="N5" s="1"/>
  <c r="Q8"/>
  <c r="M8" s="1"/>
  <c r="N8" s="1"/>
  <c r="Q4"/>
  <c r="M4" s="1"/>
  <c r="N4" s="1"/>
  <c r="Q3"/>
  <c r="M3" s="1"/>
  <c r="N3" s="1"/>
  <c r="Q10"/>
  <c r="P10" s="1"/>
  <c r="M10" s="1"/>
  <c r="N10" s="1"/>
  <c r="Q13"/>
  <c r="P13" s="1"/>
  <c r="M13" s="1"/>
  <c r="N13" s="1"/>
  <c r="Q14"/>
  <c r="P14" s="1"/>
  <c r="M14" s="1"/>
  <c r="N14" s="1"/>
  <c r="Q15"/>
  <c r="P15" s="1"/>
  <c r="M15" s="1"/>
  <c r="N15" s="1"/>
  <c r="Q12"/>
  <c r="P12" s="1"/>
  <c r="M12" s="1"/>
  <c r="N12" s="1"/>
  <c r="Q14" i="69"/>
  <c r="P14" s="1"/>
  <c r="M14" s="1"/>
  <c r="N14" s="1"/>
  <c r="Q5"/>
  <c r="M5" s="1"/>
  <c r="N5" s="1"/>
  <c r="Q16"/>
  <c r="P16" s="1"/>
  <c r="M16" s="1"/>
  <c r="N16" s="1"/>
  <c r="Q10"/>
  <c r="P10" s="1"/>
  <c r="M10" s="1"/>
  <c r="N10" s="1"/>
  <c r="Q15"/>
  <c r="P15" s="1"/>
  <c r="M15" s="1"/>
  <c r="N15" s="1"/>
  <c r="Q7"/>
  <c r="M7" s="1"/>
  <c r="N7" s="1"/>
  <c r="Q3"/>
  <c r="M3" s="1"/>
  <c r="N3" s="1"/>
  <c r="Q4"/>
  <c r="M4" s="1"/>
  <c r="N4" s="1"/>
  <c r="N18" s="1"/>
  <c r="AM5" i="4"/>
  <c r="AM21" s="1"/>
  <c r="Q2" i="68"/>
  <c r="T2"/>
  <c r="R48" i="63"/>
  <c r="R52"/>
  <c r="Q48"/>
  <c r="P49"/>
  <c r="P54"/>
  <c r="R54" s="1"/>
  <c r="Q51"/>
  <c r="P53"/>
  <c r="R53" s="1"/>
  <c r="P50"/>
  <c r="P45"/>
  <c r="R45" s="1"/>
  <c r="P3"/>
  <c r="AE5" i="4" s="1"/>
  <c r="N3" i="63"/>
  <c r="AC5" i="4" s="1"/>
  <c r="Q46" i="63"/>
  <c r="R46" s="1"/>
  <c r="N18" i="68"/>
  <c r="R49" i="63"/>
  <c r="R50"/>
  <c r="R51"/>
  <c r="AB43" i="4"/>
  <c r="U43"/>
  <c r="R43"/>
  <c r="J43"/>
  <c r="O37"/>
  <c r="N37"/>
  <c r="M37"/>
  <c r="L37"/>
  <c r="K37"/>
  <c r="G37"/>
  <c r="F37"/>
  <c r="E37"/>
  <c r="D37"/>
  <c r="C37"/>
  <c r="B37"/>
  <c r="AS37" l="1"/>
  <c r="N18" i="70"/>
  <c r="T3" i="68"/>
  <c r="AB47" i="4"/>
  <c r="AA47"/>
  <c r="Z47"/>
  <c r="U47"/>
  <c r="T47"/>
  <c r="AL43"/>
  <c r="AK43"/>
  <c r="AJ43"/>
  <c r="AL42"/>
  <c r="AK42"/>
  <c r="AJ42"/>
  <c r="AL41"/>
  <c r="AK41"/>
  <c r="AJ41"/>
  <c r="AL40"/>
  <c r="AK40"/>
  <c r="AJ40"/>
  <c r="AL39"/>
  <c r="AK39"/>
  <c r="AJ39"/>
  <c r="AI39"/>
  <c r="AH39"/>
  <c r="AL38"/>
  <c r="AK38"/>
  <c r="AJ38"/>
  <c r="AI38"/>
  <c r="AH38"/>
  <c r="AL36"/>
  <c r="AK36"/>
  <c r="AJ36"/>
  <c r="AI36"/>
  <c r="AH36"/>
  <c r="AG43"/>
  <c r="AF43"/>
  <c r="AE43"/>
  <c r="AG42"/>
  <c r="AF42"/>
  <c r="AE42"/>
  <c r="AG41"/>
  <c r="AF41"/>
  <c r="AE41"/>
  <c r="AG40"/>
  <c r="AF40"/>
  <c r="AE40"/>
  <c r="AG39"/>
  <c r="AF39"/>
  <c r="AE39"/>
  <c r="AD39"/>
  <c r="AG38"/>
  <c r="AF38"/>
  <c r="AE38"/>
  <c r="AD38"/>
  <c r="AG36"/>
  <c r="AF36"/>
  <c r="AE36"/>
  <c r="AD36"/>
  <c r="AD47" s="1"/>
  <c r="Y43"/>
  <c r="Y42"/>
  <c r="Y41"/>
  <c r="Y40"/>
  <c r="AC39"/>
  <c r="Y39"/>
  <c r="AC38"/>
  <c r="Y38"/>
  <c r="AC36"/>
  <c r="Y36"/>
  <c r="X43"/>
  <c r="W43"/>
  <c r="V43"/>
  <c r="X42"/>
  <c r="W42"/>
  <c r="V42"/>
  <c r="X41"/>
  <c r="W41"/>
  <c r="V41"/>
  <c r="X40"/>
  <c r="W40"/>
  <c r="V40"/>
  <c r="X39"/>
  <c r="W39"/>
  <c r="V39"/>
  <c r="X38"/>
  <c r="W38"/>
  <c r="V38"/>
  <c r="X36"/>
  <c r="W36"/>
  <c r="V36"/>
  <c r="S47"/>
  <c r="R47"/>
  <c r="Q47"/>
  <c r="P47"/>
  <c r="O43"/>
  <c r="N43"/>
  <c r="O42"/>
  <c r="N42"/>
  <c r="O41"/>
  <c r="N41"/>
  <c r="O40"/>
  <c r="N40"/>
  <c r="O39"/>
  <c r="N39"/>
  <c r="O38"/>
  <c r="N38"/>
  <c r="O36"/>
  <c r="N36"/>
  <c r="M43"/>
  <c r="M42"/>
  <c r="M41"/>
  <c r="M40"/>
  <c r="M39"/>
  <c r="L39"/>
  <c r="K39"/>
  <c r="M38"/>
  <c r="L38"/>
  <c r="K38"/>
  <c r="M36"/>
  <c r="L36"/>
  <c r="K36"/>
  <c r="J41"/>
  <c r="J40"/>
  <c r="G39"/>
  <c r="F39"/>
  <c r="E39"/>
  <c r="D39"/>
  <c r="C39"/>
  <c r="B39"/>
  <c r="G38"/>
  <c r="F38"/>
  <c r="E38"/>
  <c r="D38"/>
  <c r="C38"/>
  <c r="B38"/>
  <c r="G36"/>
  <c r="F36"/>
  <c r="E36"/>
  <c r="D36"/>
  <c r="C36"/>
  <c r="B36"/>
  <c r="AS27"/>
  <c r="N17" i="67"/>
  <c r="N16"/>
  <c r="N15"/>
  <c r="N14"/>
  <c r="N13"/>
  <c r="N12"/>
  <c r="N11"/>
  <c r="N10"/>
  <c r="N9"/>
  <c r="N8"/>
  <c r="N7"/>
  <c r="N6"/>
  <c r="N5"/>
  <c r="N4"/>
  <c r="N3"/>
  <c r="N2"/>
  <c r="N18" s="1"/>
  <c r="N17" i="66"/>
  <c r="N16"/>
  <c r="N15"/>
  <c r="N14"/>
  <c r="N13"/>
  <c r="N12"/>
  <c r="N11"/>
  <c r="N10"/>
  <c r="N9"/>
  <c r="N8"/>
  <c r="N7"/>
  <c r="N6"/>
  <c r="N5"/>
  <c r="N4"/>
  <c r="N3"/>
  <c r="N2"/>
  <c r="N18" s="1"/>
  <c r="N17" i="65"/>
  <c r="N16"/>
  <c r="N15"/>
  <c r="N14"/>
  <c r="N13"/>
  <c r="N12"/>
  <c r="N11"/>
  <c r="N10"/>
  <c r="N9"/>
  <c r="N8"/>
  <c r="N7"/>
  <c r="N6"/>
  <c r="N5"/>
  <c r="N4"/>
  <c r="N3"/>
  <c r="N2"/>
  <c r="BJ19" i="64"/>
  <c r="BH19"/>
  <c r="BF19"/>
  <c r="BD19"/>
  <c r="BA18"/>
  <c r="AZ18"/>
  <c r="AY18"/>
  <c r="AX18"/>
  <c r="BA17"/>
  <c r="AZ17"/>
  <c r="AY17"/>
  <c r="AX17"/>
  <c r="BA16"/>
  <c r="AZ16"/>
  <c r="AY16"/>
  <c r="AX16"/>
  <c r="BA15"/>
  <c r="AZ15"/>
  <c r="AY15"/>
  <c r="AX15"/>
  <c r="BA14"/>
  <c r="AZ14"/>
  <c r="AY14"/>
  <c r="AX14"/>
  <c r="BA13"/>
  <c r="AZ13"/>
  <c r="AY13"/>
  <c r="AX13"/>
  <c r="BA12"/>
  <c r="AZ12"/>
  <c r="AY12"/>
  <c r="AX12"/>
  <c r="BA11"/>
  <c r="AZ11"/>
  <c r="AY11"/>
  <c r="AX11"/>
  <c r="BA10"/>
  <c r="AZ10"/>
  <c r="AY10"/>
  <c r="AX10"/>
  <c r="BA9"/>
  <c r="AZ9"/>
  <c r="AY9"/>
  <c r="AX9"/>
  <c r="BA8"/>
  <c r="AZ8"/>
  <c r="AY8"/>
  <c r="AX8"/>
  <c r="BA7"/>
  <c r="AZ7"/>
  <c r="AY7"/>
  <c r="AX7"/>
  <c r="BA6"/>
  <c r="AZ6"/>
  <c r="AY6"/>
  <c r="AX6"/>
  <c r="BA5"/>
  <c r="AZ5"/>
  <c r="AY5"/>
  <c r="AX5"/>
  <c r="BA4"/>
  <c r="AZ4"/>
  <c r="AY4"/>
  <c r="AX4"/>
  <c r="BA3"/>
  <c r="BA19" s="1"/>
  <c r="AZ3"/>
  <c r="AZ19" s="1"/>
  <c r="AY3"/>
  <c r="AY19" s="1"/>
  <c r="AX3"/>
  <c r="AX19" s="1"/>
  <c r="AI21" i="4"/>
  <c r="AJ21"/>
  <c r="AK21"/>
  <c r="AL21"/>
  <c r="O29" i="63"/>
  <c r="O30"/>
  <c r="P30" s="1"/>
  <c r="O31"/>
  <c r="P31" s="1"/>
  <c r="O32"/>
  <c r="P32" s="1"/>
  <c r="O33"/>
  <c r="O34"/>
  <c r="O35"/>
  <c r="O36"/>
  <c r="O37"/>
  <c r="O38"/>
  <c r="P38" s="1"/>
  <c r="O40"/>
  <c r="P40" s="1"/>
  <c r="O41"/>
  <c r="P41" s="1"/>
  <c r="O42"/>
  <c r="O43"/>
  <c r="O55"/>
  <c r="O56"/>
  <c r="P56" s="1"/>
  <c r="O28"/>
  <c r="Z18"/>
  <c r="X18"/>
  <c r="V18"/>
  <c r="Z17"/>
  <c r="X17"/>
  <c r="V17"/>
  <c r="Z16"/>
  <c r="X16"/>
  <c r="V16"/>
  <c r="Z15"/>
  <c r="X15"/>
  <c r="V15"/>
  <c r="Z14"/>
  <c r="X14"/>
  <c r="V14"/>
  <c r="Z13"/>
  <c r="X13"/>
  <c r="V13"/>
  <c r="Z12"/>
  <c r="X12"/>
  <c r="V12"/>
  <c r="Z11"/>
  <c r="X11"/>
  <c r="V11"/>
  <c r="Z10"/>
  <c r="X10"/>
  <c r="V10"/>
  <c r="Z9"/>
  <c r="X9"/>
  <c r="V9"/>
  <c r="Z8"/>
  <c r="X8"/>
  <c r="V8"/>
  <c r="Z7"/>
  <c r="X7"/>
  <c r="V7"/>
  <c r="Z6"/>
  <c r="X6"/>
  <c r="V6"/>
  <c r="Z5"/>
  <c r="X5"/>
  <c r="V5"/>
  <c r="Z4"/>
  <c r="X4"/>
  <c r="V4"/>
  <c r="Z3"/>
  <c r="X3"/>
  <c r="V3"/>
  <c r="Q18" i="62"/>
  <c r="O18" s="1"/>
  <c r="AA20" i="4" s="1"/>
  <c r="Q17" i="62"/>
  <c r="P17" s="1"/>
  <c r="AB19" i="4" s="1"/>
  <c r="Q16" i="62"/>
  <c r="N16" s="1"/>
  <c r="Z18" i="4" s="1"/>
  <c r="Q15" i="62"/>
  <c r="P15" s="1"/>
  <c r="AB17" i="4" s="1"/>
  <c r="Q14" i="62"/>
  <c r="P14" s="1"/>
  <c r="AB16" i="4" s="1"/>
  <c r="Q13" i="62"/>
  <c r="N13" s="1"/>
  <c r="Z15" i="4" s="1"/>
  <c r="Q12" i="62"/>
  <c r="O12" s="1"/>
  <c r="AA14" i="4" s="1"/>
  <c r="Q11" i="62"/>
  <c r="P11" s="1"/>
  <c r="AB13" i="4" s="1"/>
  <c r="Q10" i="62"/>
  <c r="O10" s="1"/>
  <c r="AA12" i="4" s="1"/>
  <c r="Q9" i="62"/>
  <c r="N9" s="1"/>
  <c r="Z11" i="4" s="1"/>
  <c r="Q8" i="62"/>
  <c r="N8" s="1"/>
  <c r="Z10" i="4" s="1"/>
  <c r="Q7" i="62"/>
  <c r="P7" s="1"/>
  <c r="AB9" i="4" s="1"/>
  <c r="Q6" i="62"/>
  <c r="O6" s="1"/>
  <c r="AA8" i="4" s="1"/>
  <c r="Q5" i="62"/>
  <c r="N5" s="1"/>
  <c r="Z7" i="4" s="1"/>
  <c r="Q4" i="62"/>
  <c r="O4" s="1"/>
  <c r="AA6" i="4" s="1"/>
  <c r="Q3" i="62"/>
  <c r="P3" s="1"/>
  <c r="AB5" i="4" s="1"/>
  <c r="AC47" l="1"/>
  <c r="AS41"/>
  <c r="AS42"/>
  <c r="AS43"/>
  <c r="AE47"/>
  <c r="AG47"/>
  <c r="Q28" i="63"/>
  <c r="S31"/>
  <c r="P28"/>
  <c r="Q42"/>
  <c r="P42"/>
  <c r="R42" s="1"/>
  <c r="Q37"/>
  <c r="P37"/>
  <c r="Q33"/>
  <c r="P33"/>
  <c r="R33" s="1"/>
  <c r="Q29"/>
  <c r="R29" s="1"/>
  <c r="P29"/>
  <c r="Q34"/>
  <c r="P34"/>
  <c r="R34" s="1"/>
  <c r="Q55"/>
  <c r="P55"/>
  <c r="Q35"/>
  <c r="P35"/>
  <c r="R37"/>
  <c r="Q31"/>
  <c r="R31"/>
  <c r="Q40"/>
  <c r="R40" s="1"/>
  <c r="P36"/>
  <c r="R36" s="1"/>
  <c r="S37"/>
  <c r="Q43"/>
  <c r="P43"/>
  <c r="S48"/>
  <c r="AS38" i="4"/>
  <c r="AS40"/>
  <c r="AS39"/>
  <c r="AF47"/>
  <c r="Q38" i="63"/>
  <c r="R38" s="1"/>
  <c r="Q30"/>
  <c r="R30" s="1"/>
  <c r="R28"/>
  <c r="C47" i="4"/>
  <c r="G47"/>
  <c r="E47"/>
  <c r="K47"/>
  <c r="L47"/>
  <c r="O47"/>
  <c r="W47"/>
  <c r="AJ47"/>
  <c r="AH47"/>
  <c r="AL47"/>
  <c r="Y47"/>
  <c r="AK47"/>
  <c r="AS36"/>
  <c r="V47"/>
  <c r="AI47"/>
  <c r="M47"/>
  <c r="N47"/>
  <c r="X47"/>
  <c r="D47"/>
  <c r="B47"/>
  <c r="F47"/>
  <c r="N18" i="65"/>
  <c r="V19" i="63"/>
  <c r="Q56"/>
  <c r="R56" s="1"/>
  <c r="Q41"/>
  <c r="Q36"/>
  <c r="Q32"/>
  <c r="R32" s="1"/>
  <c r="R41"/>
  <c r="Q19"/>
  <c r="Z19"/>
  <c r="X19"/>
  <c r="N4" i="62"/>
  <c r="Z6" i="4" s="1"/>
  <c r="O8" i="62"/>
  <c r="AA10" i="4" s="1"/>
  <c r="N6" i="62"/>
  <c r="Z8" i="4" s="1"/>
  <c r="O15" i="62"/>
  <c r="AA17" i="4" s="1"/>
  <c r="P16" i="62"/>
  <c r="AB18" i="4" s="1"/>
  <c r="O7" i="62"/>
  <c r="AA9" i="4" s="1"/>
  <c r="N12" i="62"/>
  <c r="Z14" i="4" s="1"/>
  <c r="N15" i="62"/>
  <c r="Z17" i="4" s="1"/>
  <c r="O16" i="62"/>
  <c r="AA18" i="4" s="1"/>
  <c r="N7" i="62"/>
  <c r="Z9" i="4" s="1"/>
  <c r="P8" i="62"/>
  <c r="AB10" i="4" s="1"/>
  <c r="N18" i="62"/>
  <c r="Z20" i="4" s="1"/>
  <c r="O3" i="62"/>
  <c r="AA5" i="4" s="1"/>
  <c r="P4" i="62"/>
  <c r="AB6" i="4" s="1"/>
  <c r="O11" i="62"/>
  <c r="AA13" i="4" s="1"/>
  <c r="P12" i="62"/>
  <c r="AB14" i="4" s="1"/>
  <c r="N10" i="62"/>
  <c r="Z12" i="4" s="1"/>
  <c r="N3" i="62"/>
  <c r="Z5" i="4" s="1"/>
  <c r="N11" i="62"/>
  <c r="Z13" i="4" s="1"/>
  <c r="N14" i="62"/>
  <c r="Z16" i="4" s="1"/>
  <c r="P5" i="62"/>
  <c r="AB7" i="4" s="1"/>
  <c r="P9" i="62"/>
  <c r="AB11" i="4" s="1"/>
  <c r="P13" i="62"/>
  <c r="AB15" i="4" s="1"/>
  <c r="O5" i="62"/>
  <c r="AA7" i="4" s="1"/>
  <c r="P6" i="62"/>
  <c r="AB8" i="4" s="1"/>
  <c r="O9" i="62"/>
  <c r="AA11" i="4" s="1"/>
  <c r="P10" i="62"/>
  <c r="AB12" i="4" s="1"/>
  <c r="O13" i="62"/>
  <c r="AA15" i="4" s="1"/>
  <c r="O17" i="62"/>
  <c r="AA19" i="4" s="1"/>
  <c r="P18" i="62"/>
  <c r="AB20" i="4" s="1"/>
  <c r="Q19" i="62"/>
  <c r="O14"/>
  <c r="AA16" i="4" s="1"/>
  <c r="N17" i="62"/>
  <c r="Z19" i="4" s="1"/>
  <c r="R43" i="63" l="1"/>
  <c r="R35"/>
  <c r="R55"/>
  <c r="N19"/>
  <c r="O19" i="62"/>
  <c r="N19"/>
  <c r="P19"/>
  <c r="O19" i="63"/>
  <c r="P19"/>
  <c r="U16" i="4" l="1"/>
  <c r="U17"/>
  <c r="U18"/>
  <c r="U19"/>
  <c r="U20"/>
  <c r="T16"/>
  <c r="T17"/>
  <c r="T18"/>
  <c r="T19"/>
  <c r="T20"/>
  <c r="S16"/>
  <c r="S17"/>
  <c r="S18"/>
  <c r="S19"/>
  <c r="S20"/>
  <c r="BA4" i="61"/>
  <c r="Y6" i="4" s="1"/>
  <c r="BA5" i="61"/>
  <c r="Y7" i="4" s="1"/>
  <c r="BA6" i="61"/>
  <c r="Y8" i="4" s="1"/>
  <c r="BA7" i="61"/>
  <c r="Y9" i="4" s="1"/>
  <c r="BA8" i="61"/>
  <c r="Y10" i="4" s="1"/>
  <c r="BA9" i="61"/>
  <c r="Y11" i="4" s="1"/>
  <c r="BA10" i="61"/>
  <c r="Y12" i="4" s="1"/>
  <c r="BA11" i="61"/>
  <c r="Y13" i="4" s="1"/>
  <c r="BA12" i="61"/>
  <c r="Y14" i="4" s="1"/>
  <c r="BA13" i="61"/>
  <c r="Y15" i="4" s="1"/>
  <c r="BA14" i="61"/>
  <c r="Y16" i="4" s="1"/>
  <c r="BA15" i="61"/>
  <c r="Y17" i="4" s="1"/>
  <c r="BA16" i="61"/>
  <c r="Y18" i="4" s="1"/>
  <c r="BA17" i="61"/>
  <c r="Y19" i="4" s="1"/>
  <c r="BA18" i="61"/>
  <c r="Y20" i="4" s="1"/>
  <c r="AZ4" i="61"/>
  <c r="X6" i="4" s="1"/>
  <c r="AZ5" i="61"/>
  <c r="X7" i="4" s="1"/>
  <c r="AZ6" i="61"/>
  <c r="X8" i="4" s="1"/>
  <c r="AZ7" i="61"/>
  <c r="X9" i="4" s="1"/>
  <c r="AZ8" i="61"/>
  <c r="X10" i="4" s="1"/>
  <c r="AZ9" i="61"/>
  <c r="X11" i="4" s="1"/>
  <c r="AZ10" i="61"/>
  <c r="X12" i="4" s="1"/>
  <c r="AZ11" i="61"/>
  <c r="X13" i="4" s="1"/>
  <c r="AZ12" i="61"/>
  <c r="X14" i="4" s="1"/>
  <c r="AZ13" i="61"/>
  <c r="X15" i="4" s="1"/>
  <c r="AZ14" i="61"/>
  <c r="X16" i="4" s="1"/>
  <c r="AZ15" i="61"/>
  <c r="X17" i="4" s="1"/>
  <c r="AZ16" i="61"/>
  <c r="X18" i="4" s="1"/>
  <c r="AZ17" i="61"/>
  <c r="X19" i="4" s="1"/>
  <c r="AZ18" i="61"/>
  <c r="X20" i="4" s="1"/>
  <c r="AY4" i="61"/>
  <c r="W6" i="4" s="1"/>
  <c r="AY5" i="61"/>
  <c r="W7" i="4" s="1"/>
  <c r="AY6" i="61"/>
  <c r="W8" i="4" s="1"/>
  <c r="AY7" i="61"/>
  <c r="W9" i="4" s="1"/>
  <c r="AY8" i="61"/>
  <c r="W10" i="4" s="1"/>
  <c r="AY9" i="61"/>
  <c r="W11" i="4" s="1"/>
  <c r="AY10" i="61"/>
  <c r="W12" i="4" s="1"/>
  <c r="AY11" i="61"/>
  <c r="W13" i="4" s="1"/>
  <c r="AY12" i="61"/>
  <c r="W14" i="4" s="1"/>
  <c r="AY13" i="61"/>
  <c r="W15" i="4" s="1"/>
  <c r="AY14" i="61"/>
  <c r="W16" i="4" s="1"/>
  <c r="AY15" i="61"/>
  <c r="W17" i="4" s="1"/>
  <c r="AY16" i="61"/>
  <c r="W18" i="4" s="1"/>
  <c r="AY17" i="61"/>
  <c r="W19" i="4" s="1"/>
  <c r="AY18" i="61"/>
  <c r="W20" i="4" s="1"/>
  <c r="AY3" i="61"/>
  <c r="W5" i="4" s="1"/>
  <c r="AZ3" i="61"/>
  <c r="X5" i="4" s="1"/>
  <c r="BA3" i="61"/>
  <c r="Y5" i="4" s="1"/>
  <c r="AX4" i="61"/>
  <c r="AX5"/>
  <c r="AX6"/>
  <c r="AX7"/>
  <c r="V9" i="4" s="1"/>
  <c r="AX8" i="61"/>
  <c r="V10" i="4" s="1"/>
  <c r="AX9" i="61"/>
  <c r="V11" i="4" s="1"/>
  <c r="AX10" i="61"/>
  <c r="V12" i="4" s="1"/>
  <c r="AX11" i="61"/>
  <c r="V13" i="4" s="1"/>
  <c r="AX12" i="61"/>
  <c r="V14" i="4" s="1"/>
  <c r="AX13" i="61"/>
  <c r="V15" i="4" s="1"/>
  <c r="AX14" i="61"/>
  <c r="V16" i="4" s="1"/>
  <c r="AX15" i="61"/>
  <c r="V17" i="4" s="1"/>
  <c r="AX16" i="61"/>
  <c r="V18" i="4" s="1"/>
  <c r="AX17" i="61"/>
  <c r="V19" i="4" s="1"/>
  <c r="AX18" i="61"/>
  <c r="V20" i="4" s="1"/>
  <c r="AX3" i="61"/>
  <c r="AB21" i="4"/>
  <c r="AC21"/>
  <c r="AD21"/>
  <c r="AE21"/>
  <c r="AF21"/>
  <c r="AG21"/>
  <c r="AA4" i="60"/>
  <c r="AA5"/>
  <c r="AA6"/>
  <c r="AA7"/>
  <c r="AA8"/>
  <c r="AA9"/>
  <c r="AA10"/>
  <c r="AA11"/>
  <c r="AA12"/>
  <c r="AA13"/>
  <c r="AA14"/>
  <c r="AA15"/>
  <c r="AA16"/>
  <c r="AA17"/>
  <c r="AA18"/>
  <c r="AA3"/>
  <c r="AA19" s="1"/>
  <c r="Y4"/>
  <c r="Y19" s="1"/>
  <c r="Y5"/>
  <c r="Y6"/>
  <c r="Y7"/>
  <c r="Y8"/>
  <c r="Y9"/>
  <c r="Y10"/>
  <c r="Y11"/>
  <c r="Y12"/>
  <c r="Y13"/>
  <c r="Y14"/>
  <c r="Y15"/>
  <c r="Y16"/>
  <c r="Y17"/>
  <c r="Y18"/>
  <c r="Y3"/>
  <c r="W4"/>
  <c r="W5"/>
  <c r="W19" s="1"/>
  <c r="W6"/>
  <c r="W7"/>
  <c r="W8"/>
  <c r="W9"/>
  <c r="W10"/>
  <c r="W11"/>
  <c r="W12"/>
  <c r="W13"/>
  <c r="W14"/>
  <c r="W15"/>
  <c r="W16"/>
  <c r="W17"/>
  <c r="W18"/>
  <c r="W3"/>
  <c r="Q18"/>
  <c r="O18" s="1"/>
  <c r="Q17"/>
  <c r="O17" s="1"/>
  <c r="Q16"/>
  <c r="O16" s="1"/>
  <c r="Q15"/>
  <c r="O15" s="1"/>
  <c r="Q14"/>
  <c r="O14" s="1"/>
  <c r="Z21" i="4"/>
  <c r="AA21"/>
  <c r="Q3" i="59"/>
  <c r="V8" i="4" l="1"/>
  <c r="BC6" i="61"/>
  <c r="BE6" s="1"/>
  <c r="V7" i="4"/>
  <c r="BC5" i="61"/>
  <c r="BE5" s="1"/>
  <c r="V6" i="4"/>
  <c r="BC4" i="61"/>
  <c r="BE4" s="1"/>
  <c r="V5" i="4"/>
  <c r="BE3" i="61"/>
  <c r="P3" i="59"/>
  <c r="T3"/>
  <c r="BA19" i="61"/>
  <c r="N3" i="59"/>
  <c r="P5" i="4" s="1"/>
  <c r="O3" i="59"/>
  <c r="Q5" i="4" s="1"/>
  <c r="U21"/>
  <c r="Y21"/>
  <c r="X21"/>
  <c r="W21"/>
  <c r="AY19" i="61"/>
  <c r="N14" i="60"/>
  <c r="N16"/>
  <c r="N18"/>
  <c r="N15"/>
  <c r="N17"/>
  <c r="O19"/>
  <c r="P14"/>
  <c r="P16"/>
  <c r="P18"/>
  <c r="Q19"/>
  <c r="P15"/>
  <c r="P17"/>
  <c r="X19" i="59"/>
  <c r="Z19"/>
  <c r="AB19"/>
  <c r="S21" i="4"/>
  <c r="T21"/>
  <c r="AH21"/>
  <c r="O6"/>
  <c r="O14"/>
  <c r="O15"/>
  <c r="O16"/>
  <c r="O17"/>
  <c r="O18"/>
  <c r="O19"/>
  <c r="O20"/>
  <c r="N17" i="58"/>
  <c r="N16"/>
  <c r="N15"/>
  <c r="N14"/>
  <c r="N13"/>
  <c r="N12"/>
  <c r="N11"/>
  <c r="N10"/>
  <c r="N9"/>
  <c r="N8"/>
  <c r="N7"/>
  <c r="N6"/>
  <c r="N5"/>
  <c r="N4"/>
  <c r="N3"/>
  <c r="N2"/>
  <c r="O5" i="4" s="1"/>
  <c r="B6"/>
  <c r="B7"/>
  <c r="B8"/>
  <c r="B9"/>
  <c r="B10"/>
  <c r="B11"/>
  <c r="B12"/>
  <c r="B13"/>
  <c r="B14"/>
  <c r="B15"/>
  <c r="B16"/>
  <c r="B17"/>
  <c r="B18"/>
  <c r="B19"/>
  <c r="B20"/>
  <c r="B5"/>
  <c r="M14"/>
  <c r="M15"/>
  <c r="M16"/>
  <c r="M17"/>
  <c r="L14"/>
  <c r="L15"/>
  <c r="L16"/>
  <c r="L17"/>
  <c r="K14"/>
  <c r="K15"/>
  <c r="K16"/>
  <c r="K17"/>
  <c r="P4" i="57"/>
  <c r="P5"/>
  <c r="P6"/>
  <c r="P7"/>
  <c r="P8"/>
  <c r="P9"/>
  <c r="P10"/>
  <c r="P11"/>
  <c r="P12"/>
  <c r="P13"/>
  <c r="P14"/>
  <c r="P15"/>
  <c r="P16"/>
  <c r="P17"/>
  <c r="P18"/>
  <c r="O4"/>
  <c r="O5"/>
  <c r="O19" s="1"/>
  <c r="O6"/>
  <c r="O7"/>
  <c r="O8"/>
  <c r="O9"/>
  <c r="O10"/>
  <c r="O11"/>
  <c r="O12"/>
  <c r="O13"/>
  <c r="O14"/>
  <c r="O15"/>
  <c r="O16"/>
  <c r="O17"/>
  <c r="O18"/>
  <c r="O3"/>
  <c r="P3"/>
  <c r="N4"/>
  <c r="N5"/>
  <c r="N6"/>
  <c r="N7"/>
  <c r="N8"/>
  <c r="N9"/>
  <c r="N10"/>
  <c r="N11"/>
  <c r="N12"/>
  <c r="N13"/>
  <c r="N14"/>
  <c r="N15"/>
  <c r="N16"/>
  <c r="N17"/>
  <c r="N18"/>
  <c r="N3"/>
  <c r="K43"/>
  <c r="J43"/>
  <c r="J42"/>
  <c r="L41"/>
  <c r="K41"/>
  <c r="J41"/>
  <c r="K40"/>
  <c r="J40"/>
  <c r="L40" s="1"/>
  <c r="K39"/>
  <c r="J39"/>
  <c r="J38"/>
  <c r="L37"/>
  <c r="K37"/>
  <c r="J37"/>
  <c r="L36"/>
  <c r="K36"/>
  <c r="J36"/>
  <c r="J35"/>
  <c r="K35" s="1"/>
  <c r="J34"/>
  <c r="J33"/>
  <c r="K33" s="1"/>
  <c r="L32"/>
  <c r="K32"/>
  <c r="J32"/>
  <c r="K31"/>
  <c r="J31"/>
  <c r="J30"/>
  <c r="K29"/>
  <c r="J29"/>
  <c r="L29" s="1"/>
  <c r="J28"/>
  <c r="K28" s="1"/>
  <c r="K27"/>
  <c r="J27"/>
  <c r="X19"/>
  <c r="V19"/>
  <c r="T19"/>
  <c r="BE19" i="61" l="1"/>
  <c r="BC19"/>
  <c r="V21" i="4"/>
  <c r="AS23" s="1"/>
  <c r="T17" i="59"/>
  <c r="T9"/>
  <c r="Q9" s="1"/>
  <c r="T13"/>
  <c r="T5"/>
  <c r="Q5" s="1"/>
  <c r="T12"/>
  <c r="T15"/>
  <c r="T18"/>
  <c r="T8"/>
  <c r="Q8" s="1"/>
  <c r="T11"/>
  <c r="T14"/>
  <c r="T4"/>
  <c r="Q4" s="1"/>
  <c r="T7"/>
  <c r="Q7" s="1"/>
  <c r="T10"/>
  <c r="Q10" s="1"/>
  <c r="T16"/>
  <c r="T6"/>
  <c r="Q6" s="1"/>
  <c r="R5" i="4"/>
  <c r="AX19" i="61"/>
  <c r="AZ19"/>
  <c r="N19" i="60"/>
  <c r="P19"/>
  <c r="Q19" i="59"/>
  <c r="O21" i="4"/>
  <c r="L21"/>
  <c r="M21"/>
  <c r="N18" i="58"/>
  <c r="K21" i="4"/>
  <c r="P19" i="57"/>
  <c r="N19"/>
  <c r="L28"/>
  <c r="L33"/>
  <c r="M28"/>
  <c r="L30"/>
  <c r="M30" s="1"/>
  <c r="M32"/>
  <c r="L34"/>
  <c r="M36"/>
  <c r="L38"/>
  <c r="M40"/>
  <c r="L42"/>
  <c r="L27"/>
  <c r="M27" s="1"/>
  <c r="M29"/>
  <c r="K30"/>
  <c r="L31"/>
  <c r="M31" s="1"/>
  <c r="M33"/>
  <c r="K34"/>
  <c r="L35"/>
  <c r="M35" s="1"/>
  <c r="M37"/>
  <c r="K38"/>
  <c r="M38" s="1"/>
  <c r="L39"/>
  <c r="M39" s="1"/>
  <c r="M41"/>
  <c r="K42"/>
  <c r="M42" s="1"/>
  <c r="L43"/>
  <c r="M43" s="1"/>
  <c r="N7" i="59" l="1"/>
  <c r="P9" i="4" s="1"/>
  <c r="P7" i="59"/>
  <c r="R9" i="4" s="1"/>
  <c r="O7" i="59"/>
  <c r="Q9" i="4" s="1"/>
  <c r="O5" i="59"/>
  <c r="Q7" i="4" s="1"/>
  <c r="N5" i="59"/>
  <c r="P7" i="4" s="1"/>
  <c r="P5" i="59"/>
  <c r="R7" i="4" s="1"/>
  <c r="N11" i="59"/>
  <c r="P13" i="4" s="1"/>
  <c r="P11" i="59"/>
  <c r="R13" i="4" s="1"/>
  <c r="O11" i="59"/>
  <c r="Q13" i="4" s="1"/>
  <c r="N14" i="59"/>
  <c r="P16" i="4" s="1"/>
  <c r="P14" i="59"/>
  <c r="R16" i="4" s="1"/>
  <c r="O14" i="59"/>
  <c r="Q16" i="4" s="1"/>
  <c r="O9" i="59"/>
  <c r="Q11" i="4" s="1"/>
  <c r="N9" i="59"/>
  <c r="P11" i="4" s="1"/>
  <c r="P9" i="59"/>
  <c r="R11" i="4" s="1"/>
  <c r="N8" i="59"/>
  <c r="P10" i="4" s="1"/>
  <c r="P8" i="59"/>
  <c r="R10" i="4" s="1"/>
  <c r="O8" i="59"/>
  <c r="Q10" i="4" s="1"/>
  <c r="N10" i="59"/>
  <c r="P12" i="4" s="1"/>
  <c r="P10" i="59"/>
  <c r="R12" i="4" s="1"/>
  <c r="O10" i="59"/>
  <c r="Q12" i="4" s="1"/>
  <c r="P12" i="59"/>
  <c r="R14" i="4" s="1"/>
  <c r="O12" i="59"/>
  <c r="Q14" i="4" s="1"/>
  <c r="N12" i="59"/>
  <c r="P14" i="4" s="1"/>
  <c r="O17" i="59"/>
  <c r="Q19" i="4" s="1"/>
  <c r="N17" i="59"/>
  <c r="P19" i="4" s="1"/>
  <c r="P17" i="59"/>
  <c r="R19" i="4" s="1"/>
  <c r="P16" i="59"/>
  <c r="R18" i="4" s="1"/>
  <c r="O16" i="59"/>
  <c r="Q18" i="4" s="1"/>
  <c r="N16" i="59"/>
  <c r="P18" i="4" s="1"/>
  <c r="N15" i="59"/>
  <c r="P17" i="4" s="1"/>
  <c r="P15" i="59"/>
  <c r="R17" i="4" s="1"/>
  <c r="O15" i="59"/>
  <c r="Q17" i="4" s="1"/>
  <c r="N6" i="59"/>
  <c r="P8" i="4" s="1"/>
  <c r="P6" i="59"/>
  <c r="R8" i="4" s="1"/>
  <c r="O6" i="59"/>
  <c r="Q8" i="4" s="1"/>
  <c r="P4" i="59"/>
  <c r="O4"/>
  <c r="N4"/>
  <c r="O18"/>
  <c r="Q20" i="4" s="1"/>
  <c r="N18" i="59"/>
  <c r="P20" i="4" s="1"/>
  <c r="P18" i="59"/>
  <c r="R20" i="4" s="1"/>
  <c r="O13" i="59"/>
  <c r="Q15" i="4" s="1"/>
  <c r="N13" i="59"/>
  <c r="P15" i="4" s="1"/>
  <c r="P13" i="59"/>
  <c r="R15" i="4" s="1"/>
  <c r="M34" i="57"/>
  <c r="R6" i="4" l="1"/>
  <c r="R21" s="1"/>
  <c r="P19" i="59"/>
  <c r="Q6" i="4"/>
  <c r="Q21" s="1"/>
  <c r="O19" i="59"/>
  <c r="P6" i="4"/>
  <c r="N19" i="59"/>
  <c r="J21" i="4"/>
  <c r="I21"/>
  <c r="P21" l="1"/>
  <c r="G6"/>
  <c r="G7"/>
  <c r="G8"/>
  <c r="G9"/>
  <c r="G10"/>
  <c r="G11"/>
  <c r="G12"/>
  <c r="G13"/>
  <c r="G14"/>
  <c r="G15"/>
  <c r="G16"/>
  <c r="G17"/>
  <c r="G18"/>
  <c r="G19"/>
  <c r="G20"/>
  <c r="F6"/>
  <c r="F7"/>
  <c r="F8"/>
  <c r="F9"/>
  <c r="F10"/>
  <c r="F11"/>
  <c r="F12"/>
  <c r="F13"/>
  <c r="F14"/>
  <c r="F15"/>
  <c r="F16"/>
  <c r="F17"/>
  <c r="F18"/>
  <c r="F19"/>
  <c r="F20"/>
  <c r="E6"/>
  <c r="E7"/>
  <c r="E8"/>
  <c r="E9"/>
  <c r="E10"/>
  <c r="E11"/>
  <c r="E12"/>
  <c r="E13"/>
  <c r="E14"/>
  <c r="E15"/>
  <c r="E16"/>
  <c r="E17"/>
  <c r="E18"/>
  <c r="E19"/>
  <c r="E20"/>
  <c r="D6"/>
  <c r="D7"/>
  <c r="D8"/>
  <c r="D9"/>
  <c r="D10"/>
  <c r="D11"/>
  <c r="D12"/>
  <c r="D13"/>
  <c r="D14"/>
  <c r="D15"/>
  <c r="D16"/>
  <c r="D17"/>
  <c r="D18"/>
  <c r="D19"/>
  <c r="D20"/>
  <c r="C6"/>
  <c r="C7"/>
  <c r="C8"/>
  <c r="C9"/>
  <c r="C10"/>
  <c r="C11"/>
  <c r="C12"/>
  <c r="C13"/>
  <c r="C14"/>
  <c r="C15"/>
  <c r="C16"/>
  <c r="C17"/>
  <c r="C18"/>
  <c r="C19"/>
  <c r="C20"/>
  <c r="D5"/>
  <c r="E5"/>
  <c r="F5"/>
  <c r="C5"/>
  <c r="O19" i="51"/>
  <c r="P19"/>
  <c r="Q19"/>
  <c r="L44" i="54"/>
  <c r="L43"/>
  <c r="L42"/>
  <c r="L41"/>
  <c r="L40"/>
  <c r="L39"/>
  <c r="L38"/>
  <c r="L37"/>
  <c r="L36"/>
  <c r="L35"/>
  <c r="L34"/>
  <c r="L33"/>
  <c r="L32"/>
  <c r="L31"/>
  <c r="L30"/>
  <c r="L29"/>
  <c r="N17"/>
  <c r="N16"/>
  <c r="N15"/>
  <c r="N14"/>
  <c r="N13"/>
  <c r="N12"/>
  <c r="N11"/>
  <c r="N10"/>
  <c r="N9"/>
  <c r="N8"/>
  <c r="N7"/>
  <c r="N6"/>
  <c r="N5"/>
  <c r="N4"/>
  <c r="N3"/>
  <c r="N2"/>
  <c r="N18" s="1"/>
  <c r="H21" i="4"/>
  <c r="N31" i="51"/>
  <c r="N32"/>
  <c r="N33"/>
  <c r="N34"/>
  <c r="N35"/>
  <c r="N36"/>
  <c r="N37"/>
  <c r="N38"/>
  <c r="N39"/>
  <c r="N40"/>
  <c r="N41"/>
  <c r="N42"/>
  <c r="N43"/>
  <c r="N44"/>
  <c r="N45"/>
  <c r="N29"/>
  <c r="L29" i="46"/>
  <c r="L30"/>
  <c r="L31"/>
  <c r="L32"/>
  <c r="L33"/>
  <c r="L34"/>
  <c r="L35"/>
  <c r="L36"/>
  <c r="L37"/>
  <c r="L38"/>
  <c r="L39"/>
  <c r="L40"/>
  <c r="L41"/>
  <c r="L42"/>
  <c r="L43"/>
  <c r="L28"/>
  <c r="R28"/>
  <c r="AS12" i="4" l="1"/>
  <c r="AS8"/>
  <c r="AS13"/>
  <c r="AS9"/>
  <c r="AS10"/>
  <c r="AS11"/>
  <c r="AS7"/>
  <c r="G5"/>
  <c r="G21" s="1"/>
  <c r="C21"/>
  <c r="D21"/>
  <c r="F21"/>
  <c r="E21"/>
  <c r="N19" i="51"/>
  <c r="N17" i="48" l="1"/>
  <c r="N20" i="4" s="1"/>
  <c r="AS20" s="1"/>
  <c r="N16" i="48"/>
  <c r="N19" i="4" s="1"/>
  <c r="AS19" s="1"/>
  <c r="N15" i="48"/>
  <c r="N18" i="4" s="1"/>
  <c r="AS18" s="1"/>
  <c r="N14" i="48"/>
  <c r="N17" i="4" s="1"/>
  <c r="AS17" s="1"/>
  <c r="N13" i="48"/>
  <c r="N16" i="4" s="1"/>
  <c r="AS16" s="1"/>
  <c r="N12" i="48"/>
  <c r="N15" i="4" s="1"/>
  <c r="AS15" s="1"/>
  <c r="N11" i="48"/>
  <c r="N14" i="4" s="1"/>
  <c r="AS14" s="1"/>
  <c r="N10" i="48"/>
  <c r="N9"/>
  <c r="N8"/>
  <c r="N7"/>
  <c r="N6"/>
  <c r="N5"/>
  <c r="N4"/>
  <c r="N3"/>
  <c r="N6" i="4" s="1"/>
  <c r="AS6" s="1"/>
  <c r="N2" i="48"/>
  <c r="N5" i="4" s="1"/>
  <c r="AS5" s="1"/>
  <c r="N17" i="46"/>
  <c r="N16"/>
  <c r="N15"/>
  <c r="N14"/>
  <c r="N13"/>
  <c r="N12"/>
  <c r="N11"/>
  <c r="N10"/>
  <c r="N9"/>
  <c r="N8"/>
  <c r="N7"/>
  <c r="N6"/>
  <c r="N5"/>
  <c r="N4"/>
  <c r="N3"/>
  <c r="N2"/>
  <c r="N21" i="4" l="1"/>
  <c r="N18" i="46"/>
  <c r="N18" i="48"/>
  <c r="B21" i="4" l="1"/>
  <c r="AS22" s="1"/>
  <c r="AS26" l="1"/>
  <c r="AS21"/>
  <c r="W19" i="62"/>
  <c r="Y19" l="1"/>
  <c r="AA19"/>
</calcChain>
</file>

<file path=xl/sharedStrings.xml><?xml version="1.0" encoding="utf-8"?>
<sst xmlns="http://schemas.openxmlformats.org/spreadsheetml/2006/main" count="1196" uniqueCount="185">
  <si>
    <t>ετος</t>
  </si>
  <si>
    <t>έως</t>
  </si>
  <si>
    <t>5ος</t>
  </si>
  <si>
    <t>ΣΥΝΟΛΑ</t>
  </si>
  <si>
    <t>1ος</t>
  </si>
  <si>
    <t>2ος</t>
  </si>
  <si>
    <t>3ος</t>
  </si>
  <si>
    <t>4ος</t>
  </si>
  <si>
    <t>6ος</t>
  </si>
  <si>
    <t>7ος</t>
  </si>
  <si>
    <t>8ος</t>
  </si>
  <si>
    <t>9ος</t>
  </si>
  <si>
    <t>10ος</t>
  </si>
  <si>
    <t>11ος</t>
  </si>
  <si>
    <t>12ος</t>
  </si>
  <si>
    <t>έλεγχος</t>
  </si>
  <si>
    <t>σύνολα</t>
  </si>
  <si>
    <t>από πίνακα XLs ''δίκη''  = τελευταία καταγραφή 2018-08ος</t>
  </si>
  <si>
    <t>έτος</t>
  </si>
  <si>
    <t>διαφορά</t>
  </si>
  <si>
    <t>ημερομηνία</t>
  </si>
  <si>
    <t>πράξη</t>
  </si>
  <si>
    <t>συμβόλαιο</t>
  </si>
  <si>
    <t>ποσό πράξης</t>
  </si>
  <si>
    <t xml:space="preserve">έως 2018-8ος αναζήτηση = καταγραφή </t>
  </si>
  <si>
    <t>η εν 2020 αναψηλάφηση των δεδομένων του 2018-8ος</t>
  </si>
  <si>
    <t>λάθη ΑΓΑΠΕ που θα μπορούσαν να ΠΑΝΕ στα κ-15-17</t>
  </si>
  <si>
    <t>ΤΑΝ-9%</t>
  </si>
  <si>
    <t>από 2018-8ος</t>
  </si>
  <si>
    <t>σύνολο</t>
  </si>
  <si>
    <t>283α-21</t>
  </si>
  <si>
    <t xml:space="preserve">283α-21 = ΛΑΘΟΣ ΑΓΑΠΕ =  επαγγελματικά σε κ-15-17 = χρέωσε 0,65% + 0,125% αντί 1,3% , το οποίο ζητάει ο έλεγχος ΤΑΝ … κωδικός ''δίκη'' = 21 </t>
  </si>
  <si>
    <t>ποσό χρέωσης που ΔΕΝ έλαβε υπ' όψιν ο έλεγχος</t>
  </si>
  <si>
    <t xml:space="preserve">283α-23 = ΛΑΘΟΣ ΑΓΑΠΕ =  επαγγελματικά σε κ-15-17 = χρέωσε την πράξη ως πάγια ΑΝΤΙ αναλογική …………  τα επακόλουθα σε κ-15-17 ΚΑΙ ταμεία , ζητάει ο έλεγχος ΤΑΝ … κωδικός ''δίκη'' = 23 </t>
  </si>
  <si>
    <t>ΑΓΑΠΕ</t>
  </si>
  <si>
    <t>ποσά διαφυγόντα</t>
  </si>
  <si>
    <t>κ-15-17</t>
  </si>
  <si>
    <t>σε κ-15-17</t>
  </si>
  <si>
    <t>283α-23</t>
  </si>
  <si>
    <t>ποσά χρέωσης ανά πόρο</t>
  </si>
  <si>
    <t>283α-24-25</t>
  </si>
  <si>
    <t xml:space="preserve">283α-24-25 = ΛΑΘΟΣ ΑΓΑΠΕ =  επαγγελματικά σε κ-15-17 = ΔΕΝ  χρέωσε 1,3% ή 0,65% &amp; 0,125% , τα οποία ζητάει ο έλεγχος ΤΑΝ … κωδικοί ''δίκη'' = 24-25 </t>
  </si>
  <si>
    <t>283α ΛΑΘΟΣ ΑΓΑΠΕ =  επαγγελματικά σε κ-15-17</t>
  </si>
  <si>
    <t>283β = ΛΑΘΟΣ ΑΓΑΠΕ =  ΟΧΙ χρέωση παγίου στις αναλογικές</t>
  </si>
  <si>
    <t>σε ΤΑΝ 9%</t>
  </si>
  <si>
    <t>ανεξερεύνητο</t>
  </si>
  <si>
    <t>χαμένα από ΑΓΑΠΕ</t>
  </si>
  <si>
    <t>283γ = ΛΑΘΟΣ ΑΓΑΠΕ = έπαιρνε λιγότερα δικαιώματα</t>
  </si>
  <si>
    <t>283γ = ΛΑΘΟΣ ΑΓΑΠΕ = έπαιρνε λιγότερα δικαιώματα … κωδικός ''δίκη'' = 16</t>
  </si>
  <si>
    <t>κανονικό</t>
  </si>
  <si>
    <t>ΤΑΣ-6%</t>
  </si>
  <si>
    <t>283δ = ΛΑΘΟΣ ΑΓΑΠΕ = αθροιστικό σφάλμα στην κατάσταση = πλήρωσε λιγότερα στο κ-18 = κωδικός ''δίκη'' - 14</t>
  </si>
  <si>
    <t xml:space="preserve">283δ  </t>
  </si>
  <si>
    <t>δεν υπάρχουν πληρωμές</t>
  </si>
  <si>
    <t>283ε</t>
  </si>
  <si>
    <t>ΤΑΝ-5%</t>
  </si>
  <si>
    <t>ΤΑΣ</t>
  </si>
  <si>
    <t>283ζ = ΛΑΘΟΣ ΑΓΑΠΕ =  ΟΧΙ χρέωση 2ου - κλπ φύλλων</t>
  </si>
  <si>
    <t xml:space="preserve"> …  τιμή στατιστική από 2019-7ος = 665€</t>
  </si>
  <si>
    <t>σε σύνολο</t>
  </si>
  <si>
    <t>σε ΤΑΝ 5%</t>
  </si>
  <si>
    <t>σε ΤΑΣ 6%</t>
  </si>
  <si>
    <t>283θ = αιτήσεις προς μεταγραφή στο αρχείο με χαρτόσημα</t>
  </si>
  <si>
    <t>ΤΑΝ</t>
  </si>
  <si>
    <t>διάφορα</t>
  </si>
  <si>
    <t>ΤΑΧΔΙΚ</t>
  </si>
  <si>
    <t xml:space="preserve"> …  τιμή στατιστική από ????</t>
  </si>
  <si>
    <t>σε ΤΑΝ</t>
  </si>
  <si>
    <t>σε ΤΑΣ</t>
  </si>
  <si>
    <t>σε ΤΑΧΔΙΚ</t>
  </si>
  <si>
    <t>σε διάφορα</t>
  </si>
  <si>
    <t>από 2018-8ος XLs  ''δίκη''</t>
  </si>
  <si>
    <t xml:space="preserve"> τιμή στατιστική από 2019-7ος = 665€</t>
  </si>
  <si>
    <t xml:space="preserve"> …  τιμή στατιστική από 2019-7ος = </t>
  </si>
  <si>
    <t xml:space="preserve"> τιμή στατιστική από 2019-7ος = ???</t>
  </si>
  <si>
    <t>283η = χαμηλότερη χρέωση , λόγω διαφοροποίηση τιμής αντιγράφου</t>
  </si>
  <si>
    <t xml:space="preserve">283ζ = ΛΑΘΟΣ ΑΓΑΠΕ = όχι χρέωση 2'-κλπ φύλλα </t>
  </si>
  <si>
    <t>283ι = ΛΑΘΟΣ ΑΓΑΠΕ = όχι χρέωση πολλυπρόσωπων πράξεων</t>
  </si>
  <si>
    <t>283κ = ΛΑΘΟΣ ΑΓΑΠΕ = όχι χρέωση πολλαπλών συμβάσεων</t>
  </si>
  <si>
    <t>283ι = ΛΑΘΟΣ ΑΓΑΠΕ = όχι χρέωση πολυπρόσωπων πράξεων</t>
  </si>
  <si>
    <t>κανονική</t>
  </si>
  <si>
    <t>δικαιώματα πολυπρόσωπων</t>
  </si>
  <si>
    <t>κανονικά</t>
  </si>
  <si>
    <t>283λ = προς Δ.Ο.Υ. δήλωση φόρου</t>
  </si>
  <si>
    <t>283μ = εκτός έδρας</t>
  </si>
  <si>
    <t>283λ = ΛΑΘΟΣ ΑΓΑΠΕ = προς Δ.Ο.Υ. δήλωση φόρου</t>
  </si>
  <si>
    <t>283μ = ΛΑΘΟΣ ΑΓΑΠΕ = εκτός έδρας</t>
  </si>
  <si>
    <t>283ν = ΛΑΘΟΣ ΑΓΑΠΕ = αιτήσεις προς Δ.Ο.Υ. στο αρχείο με χαρτόσημα</t>
  </si>
  <si>
    <t>283ξ = μεταγραφή</t>
  </si>
  <si>
    <t>283ξ = ΛΑΘΟΣ ΑΓΑΠΕ = επί μεταγραφών</t>
  </si>
  <si>
    <t>καταργηθήκανε τα κ-15-17</t>
  </si>
  <si>
    <t>καταργήθηκαν</t>
  </si>
  <si>
    <t>γονική</t>
  </si>
  <si>
    <t>σύσταση</t>
  </si>
  <si>
    <t>σύσταση &amp; γονική</t>
  </si>
  <si>
    <t>σύσταση και διανομή</t>
  </si>
  <si>
    <t>διανομή</t>
  </si>
  <si>
    <t>δωρεά</t>
  </si>
  <si>
    <t>δικαιωμ</t>
  </si>
  <si>
    <t>φυλλα</t>
  </si>
  <si>
    <t>δεν υπάρχει διαφοροποίηση</t>
  </si>
  <si>
    <t>283η = ΛΑΘΟΣ ΑΓΑΠΕ =  στην διαφοροποίηση της τιμής του αντιγράφου</t>
  </si>
  <si>
    <t xml:space="preserve">πράξεις = 8ος-6 </t>
  </si>
  <si>
    <t xml:space="preserve">πράξεις =από αρχείο καθυστερημένων μεταγραφών =9ος-(2ιπλή=1 ,τριπλή=3 ,τετραπλή=1) ,10ος-(2ιπλή=1 ,τριπλή=1) ,11ος-(2ιπλή=1 , τριπλή=1) ,12ος-(2ιπλή=4 , τριπλή=1 ,τετραπλή=1) </t>
  </si>
  <si>
    <t>283ο = έγγραφα αρχείου</t>
  </si>
  <si>
    <t>μήνας</t>
  </si>
  <si>
    <t>συμβολαίου</t>
  </si>
  <si>
    <t>τοπογραφικού</t>
  </si>
  <si>
    <t>διαθήκης</t>
  </si>
  <si>
    <t>οικΑδεια</t>
  </si>
  <si>
    <t>μεταγραφή</t>
  </si>
  <si>
    <t>τίτλο</t>
  </si>
  <si>
    <t>.οΤ.</t>
  </si>
  <si>
    <t>283ο = ΛΑΘΟΣ ΑΓΑΠΕ = κατά την πράξη ,  ΌΧΙ χρέωση φωτοτυπίας συμβολαίου , μεταγραφής , τοπογραφικού , διαθήκης , ΚΛΠ  συνημμένου από αρχείο</t>
  </si>
  <si>
    <t>283ε = ΛΑΘΟΣ ΑΓΑΠΕ = αθροιστικό σφάλμα στην κατάσταση = πλήρωσε λιγότερα στο κ-15-17 = κωδικός ''δίκη'' - 14</t>
  </si>
  <si>
    <t>γονική αγροτεμαχίου &amp; κτισμάτων =15.800.000</t>
  </si>
  <si>
    <t>γονική οικοπέδου =3.600.000</t>
  </si>
  <si>
    <t>οριζόντιος σύσταση</t>
  </si>
  <si>
    <t xml:space="preserve">γονική διαμερίσματος = 3.973.657 </t>
  </si>
  <si>
    <t>γονική αέρινης στήλης = 498.432</t>
  </si>
  <si>
    <t>κάθετος σύσταση</t>
  </si>
  <si>
    <t xml:space="preserve">μίσθωση αγροτεμαχίων για αγροτικά ( 40.000 ετησίως -10έτη = 400.000 ) </t>
  </si>
  <si>
    <t>είναι σε σούμα</t>
  </si>
  <si>
    <t>εξοφληση δανειου 1.200.000 &amp; υποθήκη εξάλειψη</t>
  </si>
  <si>
    <t>Μ.0 αριθμός συμβολαίων</t>
  </si>
  <si>
    <t>Μ.Ο. μηνιαία έσοδα</t>
  </si>
  <si>
    <t>πλήθος</t>
  </si>
  <si>
    <t>1996 = 500δρχ = 1,47</t>
  </si>
  <si>
    <t>2005-5ος = 4€</t>
  </si>
  <si>
    <t>2009-8ος = 6€</t>
  </si>
  <si>
    <t>χαριζω το υπόλοιπο 2005</t>
  </si>
  <si>
    <t>χαριζω το υπόλοιπο 2009</t>
  </si>
  <si>
    <t>έως 5ος</t>
  </si>
  <si>
    <t>283π = ΛΑΘΟΣ ΑΓΑΠΕ = κατά την πράξη ,  ΌΧΙ χρέωση αιτήσεων</t>
  </si>
  <si>
    <t>ΧΩΡΙΣ να βάλω ΖΗΛ-π.χ.-1</t>
  </si>
  <si>
    <t>283ρ = ΛΑΘΟΣ ΑΓΑΠΕ = κατά την πράξη ,  ΌΧΙ χρέωση υπεύθυνων δηλώσεων</t>
  </si>
  <si>
    <t>283π = αιτήσεις</t>
  </si>
  <si>
    <t>283ρ = υπεύθυνες δηλώσεις</t>
  </si>
  <si>
    <t>283τ = ΤΑΧΔΙΚ</t>
  </si>
  <si>
    <t>zηλ-π.χ.-1</t>
  </si>
  <si>
    <t xml:space="preserve">*11 = όχι χρέωση στον πολίτη πάγιο στις αναλογικές [ ΑΛΛΑ απόδοση στο ΤΑΝ (ΑΠΛΩΣ επειδή πάντα συμπλήρωνε τον3ο ή 4ο του επόμενου έτους το βιβλίο συμβολαίων { για τον εισαγγελέα} θυμόταν και τόγραφε)] </t>
  </si>
  <si>
    <t>283β-*11* = ΛΑΘΟΣ ΑΓΑΠΕ =  ΟΧΙ χρέωση παγίου στις αναλογικές  , …  κωδικός ''δίκη'' = 11</t>
  </si>
  <si>
    <t>283β-*11* = περί ΤΑΣ = πλήρωσε παραπάνω {= 281Ια*6/9}</t>
  </si>
  <si>
    <t>283β = ΛΑΘΟΣ ΑΓΑΠΕ =  ΟΧΙ χρέωση παγίου στις αναλογικές  , …  κωδικός ''δίκη'' = 11 , 12 , 13</t>
  </si>
  <si>
    <t>πράξεις</t>
  </si>
  <si>
    <t>130*1.000</t>
  </si>
  <si>
    <t xml:space="preserve">283σ </t>
  </si>
  <si>
    <t>σε€</t>
  </si>
  <si>
    <t>ΝΙΚΟΣ</t>
  </si>
  <si>
    <t>299-ποσόΦόρου</t>
  </si>
  <si>
    <t>συν (+) 2 σε κάθε μέτρημα</t>
  </si>
  <si>
    <t>283τ4 = ΤΑΧΔΙΚ στο αντίγραφο (ως ΕΣΟΔΟ) (1998-2019) …….. προσμετρούνται στα βιβλία εξόδων = 283τ4</t>
  </si>
  <si>
    <t>120/9ος</t>
  </si>
  <si>
    <t>3αναλογ</t>
  </si>
  <si>
    <t>283τ3 = ΤΑΧΔΙΚ (ΧΩΡΙΣ τιμολόγιο αγοράς = έξοδο) στο αντίγραφο (1998 έως σήμερα) ………. προσμετρούνται στα βιβλία εξόδων = ΤΑΜΕΙΑ-283τ3</t>
  </si>
  <si>
    <t>283τ2 = ΤΑΧΔΙΚ στο συμβόλαιο (ως ΕΣΟΔΟ) (1998-2018) ………….. προσμετρούνται στα βιβλία εξόδων = 283τ2</t>
  </si>
  <si>
    <t>2κληρΑπ</t>
  </si>
  <si>
    <t>δρχ</t>
  </si>
  <si>
    <t>για 291</t>
  </si>
  <si>
    <t>299-ποσό φόρου</t>
  </si>
  <si>
    <t>283σ11γ = πούλια (3.600)  (ΧΩΡΙΣ τιμολόγιο αγοράς = έξοδο) , αντί στο πορτοφόλι , ΧΑΡΤΟΣΗΜΑΣΜΕΝΑ στο συμβόλαιο (1998-2002) …….. = ΤΑΜΕΙΑ-283σ11γ</t>
  </si>
  <si>
    <t>283σ12γ = πούλια (3.600)  (ως έσοδο στα συμβόλαια) , αντί στο πορτοφόλι , ΧΑΡΤΟΣΗΜΑΣΜΕΝΑ στο συμβόλαιο (1998-2002)</t>
  </si>
  <si>
    <t>283σ11β = πούλια (υπερβάλλοντα ΤΑΧΔΙΚ)  (ΧΩΡΙΣ τιμολόγιο αγοράς = έξοδο) , αντί στο πορτοφόλι , ΧΑΡΤΟΣΗΜΑΣΜΕΝΑ στο συμβόλαιο (1998-2002) = … ΤΑΜΕΙΑ 283σ11β</t>
  </si>
  <si>
    <t>283φ</t>
  </si>
  <si>
    <t xml:space="preserve">αντίγραφο = 1 μ.ο. με 2 σελίδες Μ.Ο. </t>
  </si>
  <si>
    <t>ΤΑΧΔΙΚ = 1 Μ.Ο.</t>
  </si>
  <si>
    <t>283τ7 = χαρτόσημα στα Τ.Π.Υ. &amp; Α.Π.Υ (ΧΩΡΙΣ τιμολόγιο αγοράς = έξοδο) (1998-2019)………. προσμετρούνται στα βιβλία εξόδων = ΤΑΜΕΙΑ - 283τ7</t>
  </si>
  <si>
    <t>283τ8 = χαρτόσημα (ως έσοδο) στα Τ.Π.Υ. &amp; Α.Π.Υ (1998-2019) ….. προσμετρούνται στα βιβλία εξόδων = 283τ8</t>
  </si>
  <si>
    <t>283τ5 = χαρτόσημα ΤΑΝ(5%) -ΤΑΣ(6%) (ΧΩΡΙΣ τιμολόγιο αγοράς = έξοδο) στο αντίγραφο (1998 έως 2016-6ο) ………. προσμετρούνται στα βιβλία εξόδων = ΤΑΜΕΙΑ-283τ(5-6)</t>
  </si>
  <si>
    <t>283τ6 = χαρτόσημα ΤΑΝ(5%) -ΤΑΣ(6%) στο αντίγραφο (ως ΕΣΟΔΟ) (1998-2016/6ο) …….. προσμετρούνται στα βιβλία εξόδων = 283τ(5-6)</t>
  </si>
  <si>
    <t>283σ11δ2 = πούλια (διπλοΠληρωμή ΤΑΝ - ΤΑΣ)  (ΧΩΡΙΣ τιμολόγιο αγοράς = έξοδο) , &amp; κατάσταση &amp; ΧΑΡΤΟΣΗΜΑΣΜΕΝΑ στο συμβόλαιο (1998-2003) …. =ΤΑΜΕΙΑ-283σ11δ2</t>
  </si>
  <si>
    <t>283σ11δ1 = πούλια ΤΑΝ - ΤΑΣ  (ΧΩΡΙΣ τιμολόγιο αγοράς = έξοδο) , ΧΑΡΤΟΣΗΜΑΣΜΕΝΑ στο συμβόλαιο (1998-2003) …. =ΤΑΜΕΙΑ-283σ11δ1</t>
  </si>
  <si>
    <t>283σ12δ1 = πούλια ΤΑΝ - ΤΑΣ  (ως έσοδο στα συμβόλαια) , ΧΑΡΤΟΣΗΜΑΣΜΕΝΑ στο συμβόλαιο (1998-2003)</t>
  </si>
  <si>
    <t>283σ12δ2 = πούλια (διπλοΠληρωμή ΤΑΝ - ΤΑΣ)  (ως έσοδο στα συμβόλαια) , &amp; κατάσταση μηνός &amp; ΧΑΡΤΟΣΗΜΑΣΜΕΝΑ στο συμβόλαιο (1998-2003)</t>
  </si>
  <si>
    <t>283σ11ζ = πούλια (''κινητόν επίσημα'')  (ΧΩΡΙΣ τιμολόγιο αγοράς = έξοδο) , ΧΑΡΤΟΣΗΜΑΣΜΕΝΑ στο συμβόλαιο (1998-2002) …… = ΤΑΜΕΙΑ-283Σ11ζ</t>
  </si>
  <si>
    <t>??</t>
  </si>
  <si>
    <t>2 αιτήσεις</t>
  </si>
  <si>
    <t>πακέτο</t>
  </si>
  <si>
    <t>φόρος</t>
  </si>
  <si>
    <t>zηλ-1</t>
  </si>
  <si>
    <t>283τ1 = ΤΑΧΔΙΚ (ΧΩΡΙΣ τιμολόγιο αγοράς = έξοδο) ΧΑΡΤΟΣΗΜΑΣΜΕΝΟ στο συμβόλαιο (1998 έως σήμερα) …………… προσμετρούνται στα βιβλία εξόδων = ΤΑΜΕΙΑ-283τ1</t>
  </si>
  <si>
    <t>283σ12ζ = πούλια (''κινητόν επίσημα'')  (ΧΩΡΙΣ τιμολόγιο αγοράς = έσοδο) , ΧΑΡΤΟΣΗΜΑΣΜΕΝΑ στο συμβόλαιο (1998-2002) …… = ΤΑΜΕΙΑ-283Σ11ζ</t>
  </si>
  <si>
    <t>1091 = 2φορες</t>
  </si>
  <si>
    <t>283σ12β = πούλια (υπερβάλλοντα ΤΑΧΔΙΚ) αντί στο πορτοφόλι , ΧΑΡΤΟΣΗΜΑΣΜΕΝΑ στο συμβόλαιο  (ως έσοδο στο συμβόλαιο) , (1998-2002)</t>
  </si>
  <si>
    <t>βάσει rochild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</si>
</sst>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d/m;@"/>
    <numFmt numFmtId="166" formatCode="0.000%"/>
  </numFmts>
  <fonts count="23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sz val="12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b/>
      <sz val="14"/>
      <color rgb="FFFF0000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sz val="8"/>
      <color rgb="FFFF0000"/>
      <name val="Arial"/>
      <family val="2"/>
      <charset val="161"/>
    </font>
    <font>
      <sz val="12"/>
      <color rgb="FFFF0000"/>
      <name val="Arial"/>
      <family val="2"/>
      <charset val="161"/>
    </font>
    <font>
      <sz val="12"/>
      <color rgb="FF0070C0"/>
      <name val="Arial"/>
      <family val="2"/>
      <charset val="161"/>
    </font>
    <font>
      <sz val="10"/>
      <name val="Arial"/>
      <family val="2"/>
      <charset val="161"/>
    </font>
    <font>
      <sz val="10"/>
      <color rgb="FFFF0000"/>
      <name val="Arial"/>
      <family val="2"/>
      <charset val="161"/>
    </font>
    <font>
      <b/>
      <sz val="10"/>
      <color rgb="FF0070C0"/>
      <name val="Arial"/>
      <family val="2"/>
      <charset val="161"/>
    </font>
    <font>
      <sz val="10"/>
      <color rgb="FF0070C0"/>
      <name val="Arial"/>
      <family val="2"/>
      <charset val="161"/>
    </font>
    <font>
      <sz val="14"/>
      <color rgb="FFFF0000"/>
      <name val="Arial"/>
      <family val="2"/>
      <charset val="161"/>
    </font>
    <font>
      <b/>
      <sz val="8"/>
      <color rgb="FFFF0000"/>
      <name val="Arial"/>
      <family val="2"/>
      <charset val="161"/>
    </font>
    <font>
      <sz val="8"/>
      <color rgb="FF0070C0"/>
      <name val="Arial"/>
      <family val="2"/>
      <charset val="161"/>
    </font>
    <font>
      <b/>
      <sz val="8"/>
      <color theme="1"/>
      <name val="Arial"/>
      <family val="2"/>
      <charset val="161"/>
    </font>
    <font>
      <b/>
      <sz val="8"/>
      <name val="Arial"/>
      <family val="2"/>
      <charset val="161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0">
    <xf numFmtId="0" fontId="0" fillId="0" borderId="0" xfId="0"/>
    <xf numFmtId="0" fontId="3" fillId="0" borderId="1" xfId="0" applyFont="1" applyBorder="1"/>
    <xf numFmtId="0" fontId="3" fillId="0" borderId="0" xfId="0" applyFont="1"/>
    <xf numFmtId="43" fontId="3" fillId="4" borderId="1" xfId="1" applyFont="1" applyFill="1" applyBorder="1"/>
    <xf numFmtId="43" fontId="3" fillId="0" borderId="1" xfId="1" applyFont="1" applyFill="1" applyBorder="1"/>
    <xf numFmtId="0" fontId="4" fillId="0" borderId="0" xfId="0" applyFont="1"/>
    <xf numFmtId="43" fontId="3" fillId="0" borderId="0" xfId="1" applyFont="1"/>
    <xf numFmtId="0" fontId="3" fillId="0" borderId="5" xfId="0" applyFont="1" applyBorder="1"/>
    <xf numFmtId="43" fontId="3" fillId="5" borderId="1" xfId="1" applyFont="1" applyFill="1" applyBorder="1"/>
    <xf numFmtId="43" fontId="3" fillId="5" borderId="5" xfId="1" applyFont="1" applyFill="1" applyBorder="1"/>
    <xf numFmtId="0" fontId="0" fillId="0" borderId="0" xfId="0" applyFont="1"/>
    <xf numFmtId="0" fontId="0" fillId="0" borderId="5" xfId="0" applyFont="1" applyBorder="1"/>
    <xf numFmtId="43" fontId="0" fillId="5" borderId="5" xfId="1" applyFont="1" applyFill="1" applyBorder="1"/>
    <xf numFmtId="0" fontId="0" fillId="0" borderId="1" xfId="0" applyFont="1" applyBorder="1"/>
    <xf numFmtId="43" fontId="0" fillId="5" borderId="1" xfId="1" applyFont="1" applyFill="1" applyBorder="1"/>
    <xf numFmtId="0" fontId="5" fillId="0" borderId="0" xfId="0" applyFont="1"/>
    <xf numFmtId="43" fontId="0" fillId="0" borderId="0" xfId="1" applyFont="1"/>
    <xf numFmtId="43" fontId="0" fillId="4" borderId="1" xfId="1" applyFont="1" applyFill="1" applyBorder="1"/>
    <xf numFmtId="43" fontId="0" fillId="4" borderId="1" xfId="1" applyFont="1" applyFill="1" applyBorder="1" applyAlignment="1">
      <alignment horizontal="center"/>
    </xf>
    <xf numFmtId="43" fontId="0" fillId="4" borderId="5" xfId="1" applyFont="1" applyFill="1" applyBorder="1"/>
    <xf numFmtId="43" fontId="0" fillId="0" borderId="0" xfId="0" applyNumberFormat="1" applyFont="1"/>
    <xf numFmtId="43" fontId="0" fillId="0" borderId="1" xfId="1" applyFont="1" applyFill="1" applyBorder="1"/>
    <xf numFmtId="0" fontId="0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43" fontId="3" fillId="4" borderId="1" xfId="1" applyFont="1" applyFill="1" applyBorder="1" applyAlignment="1">
      <alignment horizontal="center"/>
    </xf>
    <xf numFmtId="43" fontId="0" fillId="2" borderId="1" xfId="1" applyFont="1" applyFill="1" applyBorder="1"/>
    <xf numFmtId="0" fontId="0" fillId="2" borderId="2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wrapText="1"/>
    </xf>
    <xf numFmtId="0" fontId="0" fillId="6" borderId="2" xfId="0" applyFont="1" applyFill="1" applyBorder="1" applyAlignment="1">
      <alignment horizontal="center" wrapText="1"/>
    </xf>
    <xf numFmtId="0" fontId="0" fillId="4" borderId="1" xfId="0" applyFont="1" applyFill="1" applyBorder="1"/>
    <xf numFmtId="43" fontId="6" fillId="0" borderId="1" xfId="1" applyFont="1" applyFill="1" applyBorder="1"/>
    <xf numFmtId="43" fontId="6" fillId="0" borderId="1" xfId="1" applyFont="1" applyBorder="1"/>
    <xf numFmtId="0" fontId="6" fillId="0" borderId="0" xfId="0" applyFont="1"/>
    <xf numFmtId="43" fontId="0" fillId="0" borderId="1" xfId="1" applyFont="1" applyBorder="1"/>
    <xf numFmtId="0" fontId="0" fillId="0" borderId="2" xfId="0" applyFont="1" applyFill="1" applyBorder="1" applyAlignment="1">
      <alignment horizontal="center" wrapText="1"/>
    </xf>
    <xf numFmtId="0" fontId="0" fillId="6" borderId="2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43" fontId="0" fillId="0" borderId="5" xfId="1" applyFont="1" applyFill="1" applyBorder="1"/>
    <xf numFmtId="0" fontId="0" fillId="0" borderId="11" xfId="0" applyFont="1" applyBorder="1" applyAlignment="1"/>
    <xf numFmtId="0" fontId="0" fillId="0" borderId="0" xfId="0" applyAlignment="1">
      <alignment horizontal="center"/>
    </xf>
    <xf numFmtId="43" fontId="0" fillId="0" borderId="0" xfId="1" applyFont="1" applyFill="1"/>
    <xf numFmtId="0" fontId="0" fillId="0" borderId="0" xfId="0" applyFont="1" applyFill="1"/>
    <xf numFmtId="0" fontId="5" fillId="0" borderId="0" xfId="0" applyFont="1" applyAlignment="1">
      <alignment wrapText="1"/>
    </xf>
    <xf numFmtId="43" fontId="0" fillId="7" borderId="1" xfId="1" applyFont="1" applyFill="1" applyBorder="1"/>
    <xf numFmtId="0" fontId="7" fillId="0" borderId="1" xfId="0" applyFont="1" applyBorder="1"/>
    <xf numFmtId="164" fontId="0" fillId="0" borderId="1" xfId="1" applyNumberFormat="1" applyFont="1" applyBorder="1"/>
    <xf numFmtId="165" fontId="0" fillId="0" borderId="1" xfId="1" applyNumberFormat="1" applyFont="1" applyBorder="1"/>
    <xf numFmtId="43" fontId="3" fillId="0" borderId="1" xfId="1" applyFont="1" applyBorder="1"/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2" fillId="0" borderId="1" xfId="1" applyNumberFormat="1" applyFont="1" applyBorder="1" applyAlignment="1"/>
    <xf numFmtId="164" fontId="2" fillId="0" borderId="1" xfId="1" applyNumberFormat="1" applyFont="1" applyBorder="1"/>
    <xf numFmtId="164" fontId="1" fillId="0" borderId="1" xfId="1" applyNumberFormat="1" applyFont="1" applyBorder="1" applyAlignment="1"/>
    <xf numFmtId="164" fontId="0" fillId="0" borderId="0" xfId="1" applyNumberFormat="1" applyFont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43" fontId="3" fillId="4" borderId="5" xfId="1" applyFont="1" applyFill="1" applyBorder="1"/>
    <xf numFmtId="0" fontId="5" fillId="0" borderId="0" xfId="0" applyFont="1" applyAlignment="1"/>
    <xf numFmtId="0" fontId="3" fillId="0" borderId="1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3" fontId="6" fillId="7" borderId="1" xfId="1" applyFont="1" applyFill="1" applyBorder="1"/>
    <xf numFmtId="164" fontId="0" fillId="0" borderId="1" xfId="1" applyNumberFormat="1" applyFont="1" applyBorder="1" applyAlignment="1"/>
    <xf numFmtId="43" fontId="2" fillId="0" borderId="1" xfId="1" applyFont="1" applyBorder="1"/>
    <xf numFmtId="0" fontId="0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0" fontId="3" fillId="2" borderId="5" xfId="0" applyFont="1" applyFill="1" applyBorder="1"/>
    <xf numFmtId="10" fontId="3" fillId="0" borderId="5" xfId="0" applyNumberFormat="1" applyFont="1" applyFill="1" applyBorder="1"/>
    <xf numFmtId="166" fontId="3" fillId="0" borderId="5" xfId="0" applyNumberFormat="1" applyFont="1" applyFill="1" applyBorder="1"/>
    <xf numFmtId="43" fontId="2" fillId="7" borderId="1" xfId="1" applyFont="1" applyFill="1" applyBorder="1"/>
    <xf numFmtId="43" fontId="0" fillId="7" borderId="0" xfId="1" applyFont="1" applyFill="1"/>
    <xf numFmtId="164" fontId="3" fillId="4" borderId="5" xfId="1" applyNumberFormat="1" applyFont="1" applyFill="1" applyBorder="1"/>
    <xf numFmtId="43" fontId="3" fillId="0" borderId="0" xfId="1" applyFont="1" applyFill="1" applyBorder="1"/>
    <xf numFmtId="43" fontId="3" fillId="0" borderId="0" xfId="1" applyFont="1" applyBorder="1"/>
    <xf numFmtId="10" fontId="2" fillId="0" borderId="4" xfId="0" applyNumberFormat="1" applyFont="1" applyBorder="1" applyAlignment="1"/>
    <xf numFmtId="43" fontId="1" fillId="7" borderId="1" xfId="1" applyFont="1" applyFill="1" applyBorder="1"/>
    <xf numFmtId="0" fontId="6" fillId="7" borderId="8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0" fillId="4" borderId="5" xfId="0" applyFont="1" applyFill="1" applyBorder="1"/>
    <xf numFmtId="0" fontId="6" fillId="9" borderId="8" xfId="0" applyFont="1" applyFill="1" applyBorder="1" applyAlignment="1">
      <alignment horizontal="center" wrapText="1"/>
    </xf>
    <xf numFmtId="43" fontId="6" fillId="9" borderId="1" xfId="1" applyFont="1" applyFill="1" applyBorder="1"/>
    <xf numFmtId="43" fontId="0" fillId="9" borderId="1" xfId="1" applyFont="1" applyFill="1" applyBorder="1"/>
    <xf numFmtId="0" fontId="2" fillId="0" borderId="7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4" xfId="0" applyFill="1" applyBorder="1" applyAlignment="1"/>
    <xf numFmtId="0" fontId="0" fillId="0" borderId="0" xfId="0" applyFill="1" applyAlignment="1"/>
    <xf numFmtId="0" fontId="6" fillId="3" borderId="8" xfId="0" applyFont="1" applyFill="1" applyBorder="1" applyAlignment="1">
      <alignment horizontal="center" wrapText="1"/>
    </xf>
    <xf numFmtId="0" fontId="6" fillId="6" borderId="8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43" fontId="7" fillId="0" borderId="1" xfId="1" applyFont="1" applyBorder="1"/>
    <xf numFmtId="0" fontId="6" fillId="9" borderId="7" xfId="0" applyFont="1" applyFill="1" applyBorder="1" applyAlignment="1">
      <alignment wrapText="1"/>
    </xf>
    <xf numFmtId="0" fontId="6" fillId="3" borderId="7" xfId="0" applyFont="1" applyFill="1" applyBorder="1" applyAlignment="1">
      <alignment wrapText="1"/>
    </xf>
    <xf numFmtId="0" fontId="6" fillId="6" borderId="7" xfId="0" applyFont="1" applyFill="1" applyBorder="1" applyAlignment="1">
      <alignment wrapText="1"/>
    </xf>
    <xf numFmtId="0" fontId="9" fillId="6" borderId="21" xfId="0" applyFont="1" applyFill="1" applyBorder="1" applyAlignment="1">
      <alignment wrapText="1"/>
    </xf>
    <xf numFmtId="0" fontId="9" fillId="6" borderId="7" xfId="0" applyFont="1" applyFill="1" applyBorder="1" applyAlignment="1">
      <alignment wrapText="1"/>
    </xf>
    <xf numFmtId="0" fontId="9" fillId="9" borderId="7" xfId="0" applyFont="1" applyFill="1" applyBorder="1" applyAlignment="1">
      <alignment wrapText="1"/>
    </xf>
    <xf numFmtId="43" fontId="3" fillId="12" borderId="0" xfId="1" applyFont="1" applyFill="1" applyBorder="1"/>
    <xf numFmtId="43" fontId="3" fillId="12" borderId="0" xfId="1" applyFont="1" applyFill="1"/>
    <xf numFmtId="0" fontId="0" fillId="0" borderId="4" xfId="0" applyFont="1" applyFill="1" applyBorder="1" applyAlignment="1">
      <alignment horizontal="center"/>
    </xf>
    <xf numFmtId="43" fontId="2" fillId="0" borderId="3" xfId="1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/>
    <xf numFmtId="0" fontId="0" fillId="2" borderId="0" xfId="0" applyFill="1" applyAlignment="1"/>
    <xf numFmtId="0" fontId="3" fillId="6" borderId="7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 wrapText="1"/>
    </xf>
    <xf numFmtId="0" fontId="0" fillId="6" borderId="2" xfId="0" applyFont="1" applyFill="1" applyBorder="1" applyAlignment="1">
      <alignment horizontal="center" wrapText="1"/>
    </xf>
    <xf numFmtId="43" fontId="3" fillId="4" borderId="5" xfId="1" applyFont="1" applyFill="1" applyBorder="1" applyAlignment="1">
      <alignment horizontal="center"/>
    </xf>
    <xf numFmtId="0" fontId="9" fillId="3" borderId="7" xfId="0" applyFont="1" applyFill="1" applyBorder="1" applyAlignment="1">
      <alignment wrapText="1"/>
    </xf>
    <xf numFmtId="0" fontId="9" fillId="3" borderId="21" xfId="0" applyFont="1" applyFill="1" applyBorder="1" applyAlignment="1">
      <alignment wrapText="1"/>
    </xf>
    <xf numFmtId="43" fontId="0" fillId="9" borderId="1" xfId="0" applyNumberFormat="1" applyFont="1" applyFill="1" applyBorder="1"/>
    <xf numFmtId="0" fontId="0" fillId="0" borderId="0" xfId="0" applyAlignment="1">
      <alignment horizontal="right"/>
    </xf>
    <xf numFmtId="43" fontId="6" fillId="0" borderId="0" xfId="1" applyFont="1"/>
    <xf numFmtId="43" fontId="6" fillId="9" borderId="1" xfId="0" applyNumberFormat="1" applyFont="1" applyFill="1" applyBorder="1"/>
    <xf numFmtId="43" fontId="1" fillId="0" borderId="1" xfId="1" applyFont="1" applyFill="1" applyBorder="1"/>
    <xf numFmtId="43" fontId="1" fillId="0" borderId="5" xfId="1" applyFont="1" applyFill="1" applyBorder="1"/>
    <xf numFmtId="43" fontId="5" fillId="0" borderId="0" xfId="0" applyNumberFormat="1" applyFont="1" applyAlignment="1"/>
    <xf numFmtId="43" fontId="2" fillId="0" borderId="3" xfId="1" applyFont="1" applyBorder="1" applyAlignment="1">
      <alignment horizontal="center"/>
    </xf>
    <xf numFmtId="43" fontId="3" fillId="0" borderId="5" xfId="1" applyFont="1" applyFill="1" applyBorder="1"/>
    <xf numFmtId="43" fontId="2" fillId="5" borderId="1" xfId="1" applyFont="1" applyFill="1" applyBorder="1"/>
    <xf numFmtId="164" fontId="3" fillId="0" borderId="5" xfId="1" applyNumberFormat="1" applyFont="1" applyFill="1" applyBorder="1"/>
    <xf numFmtId="0" fontId="0" fillId="0" borderId="0" xfId="0" applyFont="1" applyFill="1" applyAlignment="1"/>
    <xf numFmtId="0" fontId="3" fillId="0" borderId="0" xfId="0" applyFont="1" applyFill="1" applyAlignment="1"/>
    <xf numFmtId="0" fontId="2" fillId="0" borderId="0" xfId="0" applyFont="1"/>
    <xf numFmtId="43" fontId="2" fillId="0" borderId="0" xfId="0" applyNumberFormat="1" applyFont="1"/>
    <xf numFmtId="164" fontId="3" fillId="5" borderId="5" xfId="1" applyNumberFormat="1" applyFont="1" applyFill="1" applyBorder="1"/>
    <xf numFmtId="43" fontId="3" fillId="5" borderId="1" xfId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 wrapText="1"/>
    </xf>
    <xf numFmtId="0" fontId="0" fillId="6" borderId="2" xfId="0" applyFont="1" applyFill="1" applyBorder="1" applyAlignment="1">
      <alignment horizontal="center" wrapText="1"/>
    </xf>
    <xf numFmtId="0" fontId="0" fillId="0" borderId="0" xfId="0" applyAlignment="1"/>
    <xf numFmtId="0" fontId="2" fillId="0" borderId="15" xfId="0" applyFont="1" applyFill="1" applyBorder="1" applyAlignment="1"/>
    <xf numFmtId="43" fontId="0" fillId="0" borderId="3" xfId="1" applyFont="1" applyBorder="1" applyAlignment="1"/>
    <xf numFmtId="43" fontId="2" fillId="0" borderId="1" xfId="1" applyFont="1" applyFill="1" applyBorder="1"/>
    <xf numFmtId="0" fontId="2" fillId="0" borderId="2" xfId="0" applyFont="1" applyFill="1" applyBorder="1" applyAlignment="1"/>
    <xf numFmtId="0" fontId="2" fillId="0" borderId="1" xfId="0" applyFont="1" applyFill="1" applyBorder="1" applyAlignment="1"/>
    <xf numFmtId="0" fontId="0" fillId="0" borderId="1" xfId="0" applyFont="1" applyFill="1" applyBorder="1" applyAlignment="1">
      <alignment horizontal="center" wrapText="1"/>
    </xf>
    <xf numFmtId="43" fontId="2" fillId="0" borderId="3" xfId="1" applyFont="1" applyBorder="1" applyAlignment="1">
      <alignment horizontal="center"/>
    </xf>
    <xf numFmtId="43" fontId="2" fillId="5" borderId="2" xfId="1" applyFont="1" applyFill="1" applyBorder="1" applyAlignment="1">
      <alignment horizontal="center"/>
    </xf>
    <xf numFmtId="43" fontId="2" fillId="5" borderId="6" xfId="1" applyFont="1" applyFill="1" applyBorder="1" applyAlignment="1">
      <alignment horizontal="center"/>
    </xf>
    <xf numFmtId="43" fontId="2" fillId="5" borderId="3" xfId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2" fillId="10" borderId="1" xfId="1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wrapText="1"/>
    </xf>
    <xf numFmtId="0" fontId="12" fillId="0" borderId="0" xfId="0" applyFont="1"/>
    <xf numFmtId="164" fontId="0" fillId="0" borderId="0" xfId="0" applyNumberFormat="1"/>
    <xf numFmtId="0" fontId="13" fillId="0" borderId="0" xfId="0" applyFont="1" applyAlignment="1">
      <alignment horizontal="center"/>
    </xf>
    <xf numFmtId="43" fontId="2" fillId="0" borderId="0" xfId="1" applyFont="1"/>
    <xf numFmtId="43" fontId="4" fillId="4" borderId="1" xfId="1" applyFont="1" applyFill="1" applyBorder="1"/>
    <xf numFmtId="43" fontId="0" fillId="10" borderId="5" xfId="1" applyFont="1" applyFill="1" applyBorder="1"/>
    <xf numFmtId="43" fontId="3" fillId="0" borderId="0" xfId="0" applyNumberFormat="1" applyFont="1"/>
    <xf numFmtId="0" fontId="3" fillId="0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164" fontId="3" fillId="0" borderId="0" xfId="1" applyNumberFormat="1" applyFont="1"/>
    <xf numFmtId="164" fontId="3" fillId="10" borderId="0" xfId="1" applyNumberFormat="1" applyFont="1" applyFill="1"/>
    <xf numFmtId="0" fontId="3" fillId="2" borderId="7" xfId="0" applyFont="1" applyFill="1" applyBorder="1" applyAlignment="1">
      <alignment horizontal="center" wrapText="1"/>
    </xf>
    <xf numFmtId="0" fontId="3" fillId="6" borderId="7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43" fontId="3" fillId="0" borderId="7" xfId="1" applyFont="1" applyBorder="1"/>
    <xf numFmtId="0" fontId="3" fillId="0" borderId="7" xfId="0" applyFont="1" applyBorder="1"/>
    <xf numFmtId="43" fontId="3" fillId="0" borderId="5" xfId="0" applyNumberFormat="1" applyFont="1" applyFill="1" applyBorder="1"/>
    <xf numFmtId="43" fontId="3" fillId="0" borderId="5" xfId="1" applyFont="1" applyBorder="1"/>
    <xf numFmtId="43" fontId="3" fillId="0" borderId="1" xfId="0" applyNumberFormat="1" applyFont="1" applyFill="1" applyBorder="1"/>
    <xf numFmtId="43" fontId="3" fillId="0" borderId="1" xfId="1" applyFont="1" applyFill="1" applyBorder="1" applyAlignment="1">
      <alignment horizontal="center"/>
    </xf>
    <xf numFmtId="43" fontId="14" fillId="0" borderId="1" xfId="1" applyFont="1" applyBorder="1"/>
    <xf numFmtId="164" fontId="3" fillId="0" borderId="0" xfId="1" applyNumberFormat="1" applyFont="1" applyFill="1" applyBorder="1"/>
    <xf numFmtId="164" fontId="3" fillId="4" borderId="1" xfId="1" applyNumberFormat="1" applyFont="1" applyFill="1" applyBorder="1"/>
    <xf numFmtId="164" fontId="3" fillId="4" borderId="1" xfId="1" applyNumberFormat="1" applyFont="1" applyFill="1" applyBorder="1" applyAlignment="1">
      <alignment horizontal="center"/>
    </xf>
    <xf numFmtId="43" fontId="3" fillId="2" borderId="1" xfId="1" applyFont="1" applyFill="1" applyBorder="1"/>
    <xf numFmtId="0" fontId="3" fillId="0" borderId="7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164" fontId="3" fillId="10" borderId="5" xfId="1" applyNumberFormat="1" applyFont="1" applyFill="1" applyBorder="1"/>
    <xf numFmtId="43" fontId="3" fillId="13" borderId="5" xfId="1" applyFont="1" applyFill="1" applyBorder="1"/>
    <xf numFmtId="164" fontId="3" fillId="0" borderId="1" xfId="1" applyNumberFormat="1" applyFont="1" applyFill="1" applyBorder="1"/>
    <xf numFmtId="43" fontId="3" fillId="13" borderId="1" xfId="1" applyFont="1" applyFill="1" applyBorder="1"/>
    <xf numFmtId="0" fontId="15" fillId="0" borderId="0" xfId="0" applyFont="1"/>
    <xf numFmtId="164" fontId="3" fillId="5" borderId="1" xfId="1" applyNumberFormat="1" applyFont="1" applyFill="1" applyBorder="1" applyAlignment="1">
      <alignment horizontal="center"/>
    </xf>
    <xf numFmtId="0" fontId="3" fillId="3" borderId="0" xfId="0" applyFont="1" applyFill="1"/>
    <xf numFmtId="43" fontId="3" fillId="10" borderId="5" xfId="1" applyFont="1" applyFill="1" applyBorder="1"/>
    <xf numFmtId="43" fontId="3" fillId="10" borderId="5" xfId="1" applyFont="1" applyFill="1" applyBorder="1" applyAlignment="1">
      <alignment horizontal="center"/>
    </xf>
    <xf numFmtId="43" fontId="3" fillId="10" borderId="1" xfId="1" applyFont="1" applyFill="1" applyBorder="1"/>
    <xf numFmtId="0" fontId="16" fillId="0" borderId="0" xfId="0" applyFont="1" applyAlignment="1">
      <alignment horizontal="center"/>
    </xf>
    <xf numFmtId="164" fontId="3" fillId="10" borderId="1" xfId="1" applyNumberFormat="1" applyFont="1" applyFill="1" applyBorder="1"/>
    <xf numFmtId="43" fontId="3" fillId="7" borderId="1" xfId="1" applyFont="1" applyFill="1" applyBorder="1" applyAlignment="1">
      <alignment horizontal="center"/>
    </xf>
    <xf numFmtId="43" fontId="3" fillId="10" borderId="1" xfId="1" applyFont="1" applyFill="1" applyBorder="1" applyAlignment="1">
      <alignment horizontal="center"/>
    </xf>
    <xf numFmtId="43" fontId="3" fillId="7" borderId="1" xfId="1" applyFont="1" applyFill="1" applyBorder="1"/>
    <xf numFmtId="43" fontId="3" fillId="3" borderId="1" xfId="1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5" borderId="0" xfId="1" applyNumberFormat="1" applyFont="1" applyFill="1"/>
    <xf numFmtId="164" fontId="3" fillId="0" borderId="0" xfId="1" applyNumberFormat="1" applyFont="1" applyFill="1"/>
    <xf numFmtId="164" fontId="3" fillId="0" borderId="0" xfId="0" applyNumberFormat="1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10" borderId="0" xfId="0" applyFont="1" applyFill="1" applyAlignment="1">
      <alignment horizontal="center"/>
    </xf>
    <xf numFmtId="0" fontId="16" fillId="0" borderId="0" xfId="0" applyFont="1"/>
    <xf numFmtId="0" fontId="17" fillId="0" borderId="12" xfId="0" applyFont="1" applyFill="1" applyBorder="1" applyAlignment="1">
      <alignment horizontal="center" wrapText="1"/>
    </xf>
    <xf numFmtId="43" fontId="7" fillId="0" borderId="5" xfId="1" applyNumberFormat="1" applyFont="1" applyFill="1" applyBorder="1"/>
    <xf numFmtId="0" fontId="3" fillId="6" borderId="9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164" fontId="7" fillId="5" borderId="5" xfId="1" applyNumberFormat="1" applyFont="1" applyFill="1" applyBorder="1"/>
    <xf numFmtId="164" fontId="7" fillId="0" borderId="5" xfId="1" applyNumberFormat="1" applyFont="1" applyFill="1" applyBorder="1"/>
    <xf numFmtId="43" fontId="7" fillId="0" borderId="5" xfId="1" applyFont="1" applyFill="1" applyBorder="1"/>
    <xf numFmtId="164" fontId="7" fillId="0" borderId="1" xfId="1" applyNumberFormat="1" applyFont="1" applyFill="1" applyBorder="1"/>
    <xf numFmtId="43" fontId="7" fillId="0" borderId="1" xfId="1" applyFont="1" applyFill="1" applyBorder="1"/>
    <xf numFmtId="0" fontId="3" fillId="0" borderId="4" xfId="0" applyFont="1" applyBorder="1" applyAlignment="1">
      <alignment horizontal="center"/>
    </xf>
    <xf numFmtId="43" fontId="7" fillId="13" borderId="1" xfId="1" applyFont="1" applyFill="1" applyBorder="1"/>
    <xf numFmtId="43" fontId="7" fillId="13" borderId="5" xfId="1" applyFont="1" applyFill="1" applyBorder="1"/>
    <xf numFmtId="164" fontId="7" fillId="13" borderId="1" xfId="1" applyNumberFormat="1" applyFont="1" applyFill="1" applyBorder="1"/>
    <xf numFmtId="43" fontId="7" fillId="13" borderId="1" xfId="1" applyFont="1" applyFill="1" applyBorder="1" applyAlignment="1">
      <alignment horizontal="center"/>
    </xf>
    <xf numFmtId="43" fontId="18" fillId="4" borderId="0" xfId="1" applyFont="1" applyFill="1" applyBorder="1"/>
    <xf numFmtId="0" fontId="7" fillId="0" borderId="0" xfId="0" applyFont="1"/>
    <xf numFmtId="0" fontId="3" fillId="0" borderId="1" xfId="0" applyFont="1" applyBorder="1" applyAlignment="1"/>
    <xf numFmtId="164" fontId="7" fillId="5" borderId="1" xfId="1" applyNumberFormat="1" applyFont="1" applyFill="1" applyBorder="1"/>
    <xf numFmtId="0" fontId="3" fillId="0" borderId="1" xfId="0" applyFont="1" applyFill="1" applyBorder="1" applyAlignment="1"/>
    <xf numFmtId="0" fontId="3" fillId="0" borderId="5" xfId="0" applyFont="1" applyFill="1" applyBorder="1" applyAlignment="1"/>
    <xf numFmtId="164" fontId="7" fillId="13" borderId="5" xfId="1" applyNumberFormat="1" applyFont="1" applyFill="1" applyBorder="1"/>
    <xf numFmtId="43" fontId="18" fillId="2" borderId="0" xfId="1" applyFont="1" applyFill="1" applyBorder="1"/>
    <xf numFmtId="164" fontId="7" fillId="10" borderId="1" xfId="1" applyNumberFormat="1" applyFont="1" applyFill="1" applyBorder="1"/>
    <xf numFmtId="43" fontId="7" fillId="10" borderId="1" xfId="1" applyFont="1" applyFill="1" applyBorder="1"/>
    <xf numFmtId="43" fontId="7" fillId="0" borderId="1" xfId="1" applyFont="1" applyFill="1" applyBorder="1" applyAlignment="1">
      <alignment horizontal="center"/>
    </xf>
    <xf numFmtId="43" fontId="7" fillId="11" borderId="1" xfId="1" applyFont="1" applyFill="1" applyBorder="1"/>
    <xf numFmtId="164" fontId="7" fillId="11" borderId="1" xfId="1" applyNumberFormat="1" applyFont="1" applyFill="1" applyBorder="1"/>
    <xf numFmtId="43" fontId="0" fillId="0" borderId="1" xfId="1" applyFont="1" applyFill="1" applyBorder="1" applyAlignment="1"/>
    <xf numFmtId="43" fontId="0" fillId="13" borderId="1" xfId="1" applyFont="1" applyFill="1" applyBorder="1" applyAlignment="1"/>
    <xf numFmtId="43" fontId="0" fillId="0" borderId="5" xfId="1" applyFont="1" applyFill="1" applyBorder="1" applyAlignment="1"/>
    <xf numFmtId="43" fontId="0" fillId="13" borderId="1" xfId="1" applyFont="1" applyFill="1" applyBorder="1"/>
    <xf numFmtId="43" fontId="3" fillId="13" borderId="1" xfId="1" applyFont="1" applyFill="1" applyBorder="1" applyAlignment="1">
      <alignment horizontal="center"/>
    </xf>
    <xf numFmtId="43" fontId="0" fillId="13" borderId="5" xfId="1" applyFont="1" applyFill="1" applyBorder="1"/>
    <xf numFmtId="0" fontId="3" fillId="10" borderId="0" xfId="0" applyFont="1" applyFill="1"/>
    <xf numFmtId="164" fontId="3" fillId="5" borderId="0" xfId="0" applyNumberFormat="1" applyFont="1" applyFill="1"/>
    <xf numFmtId="164" fontId="3" fillId="0" borderId="0" xfId="0" applyNumberFormat="1" applyFont="1" applyFill="1"/>
    <xf numFmtId="0" fontId="3" fillId="0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0" borderId="5" xfId="0" applyFont="1" applyBorder="1"/>
    <xf numFmtId="43" fontId="2" fillId="5" borderId="5" xfId="1" applyFont="1" applyFill="1" applyBorder="1"/>
    <xf numFmtId="43" fontId="2" fillId="0" borderId="5" xfId="1" applyFont="1" applyFill="1" applyBorder="1"/>
    <xf numFmtId="0" fontId="2" fillId="0" borderId="1" xfId="0" applyFont="1" applyBorder="1"/>
    <xf numFmtId="43" fontId="2" fillId="4" borderId="1" xfId="1" applyFont="1" applyFill="1" applyBorder="1"/>
    <xf numFmtId="43" fontId="2" fillId="4" borderId="5" xfId="1" applyFont="1" applyFill="1" applyBorder="1"/>
    <xf numFmtId="43" fontId="2" fillId="4" borderId="1" xfId="1" applyFont="1" applyFill="1" applyBorder="1" applyAlignment="1">
      <alignment horizontal="center"/>
    </xf>
    <xf numFmtId="43" fontId="2" fillId="4" borderId="5" xfId="1" applyFont="1" applyFill="1" applyBorder="1" applyAlignment="1">
      <alignment horizontal="center"/>
    </xf>
    <xf numFmtId="0" fontId="19" fillId="0" borderId="0" xfId="0" applyFont="1" applyAlignment="1"/>
    <xf numFmtId="0" fontId="19" fillId="0" borderId="0" xfId="0" applyFont="1" applyAlignment="1">
      <alignment wrapText="1"/>
    </xf>
    <xf numFmtId="43" fontId="19" fillId="0" borderId="0" xfId="0" applyNumberFormat="1" applyFont="1"/>
    <xf numFmtId="43" fontId="19" fillId="0" borderId="0" xfId="1" applyFont="1"/>
    <xf numFmtId="164" fontId="2" fillId="0" borderId="0" xfId="1" applyNumberFormat="1" applyFont="1"/>
    <xf numFmtId="0" fontId="19" fillId="0" borderId="0" xfId="0" applyFont="1"/>
    <xf numFmtId="0" fontId="2" fillId="10" borderId="0" xfId="0" applyFont="1" applyFill="1"/>
    <xf numFmtId="0" fontId="11" fillId="0" borderId="0" xfId="0" applyFont="1"/>
    <xf numFmtId="14" fontId="11" fillId="0" borderId="0" xfId="0" applyNumberFormat="1" applyFont="1"/>
    <xf numFmtId="0" fontId="3" fillId="2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164" fontId="2" fillId="0" borderId="0" xfId="0" applyNumberFormat="1" applyFont="1"/>
    <xf numFmtId="0" fontId="3" fillId="13" borderId="0" xfId="0" applyFont="1" applyFill="1"/>
    <xf numFmtId="164" fontId="3" fillId="10" borderId="0" xfId="0" applyNumberFormat="1" applyFont="1" applyFill="1"/>
    <xf numFmtId="43" fontId="3" fillId="11" borderId="5" xfId="1" applyFont="1" applyFill="1" applyBorder="1"/>
    <xf numFmtId="164" fontId="3" fillId="0" borderId="5" xfId="1" applyNumberFormat="1" applyFont="1" applyFill="1" applyBorder="1" applyAlignment="1">
      <alignment horizontal="center"/>
    </xf>
    <xf numFmtId="164" fontId="3" fillId="11" borderId="5" xfId="1" applyNumberFormat="1" applyFont="1" applyFill="1" applyBorder="1" applyAlignment="1">
      <alignment horizontal="center"/>
    </xf>
    <xf numFmtId="164" fontId="3" fillId="0" borderId="5" xfId="0" applyNumberFormat="1" applyFont="1" applyFill="1" applyBorder="1"/>
    <xf numFmtId="164" fontId="3" fillId="13" borderId="5" xfId="1" applyNumberFormat="1" applyFont="1" applyFill="1" applyBorder="1" applyAlignment="1">
      <alignment horizontal="center"/>
    </xf>
    <xf numFmtId="164" fontId="3" fillId="13" borderId="5" xfId="0" applyNumberFormat="1" applyFont="1" applyFill="1" applyBorder="1"/>
    <xf numFmtId="0" fontId="2" fillId="0" borderId="0" xfId="0" applyFont="1" applyFill="1"/>
    <xf numFmtId="0" fontId="19" fillId="0" borderId="0" xfId="0" applyFont="1" applyFill="1"/>
    <xf numFmtId="43" fontId="2" fillId="0" borderId="0" xfId="1" applyFont="1" applyFill="1"/>
    <xf numFmtId="164" fontId="2" fillId="0" borderId="0" xfId="1" applyNumberFormat="1" applyFont="1" applyFill="1"/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1" xfId="0" applyFont="1" applyFill="1" applyBorder="1"/>
    <xf numFmtId="43" fontId="2" fillId="0" borderId="0" xfId="0" applyNumberFormat="1" applyFont="1" applyFill="1"/>
    <xf numFmtId="164" fontId="2" fillId="0" borderId="0" xfId="0" applyNumberFormat="1" applyFont="1" applyFill="1"/>
    <xf numFmtId="0" fontId="21" fillId="0" borderId="0" xfId="0" applyFont="1"/>
    <xf numFmtId="0" fontId="22" fillId="0" borderId="0" xfId="0" applyFont="1"/>
    <xf numFmtId="43" fontId="22" fillId="0" borderId="0" xfId="1" applyFont="1"/>
    <xf numFmtId="43" fontId="21" fillId="0" borderId="0" xfId="1" applyFont="1"/>
    <xf numFmtId="164" fontId="7" fillId="0" borderId="0" xfId="0" applyNumberFormat="1" applyFont="1"/>
    <xf numFmtId="164" fontId="16" fillId="0" borderId="0" xfId="0" applyNumberFormat="1" applyFont="1"/>
    <xf numFmtId="164" fontId="3" fillId="13" borderId="5" xfId="1" applyNumberFormat="1" applyFont="1" applyFill="1" applyBorder="1"/>
    <xf numFmtId="164" fontId="3" fillId="10" borderId="5" xfId="1" applyNumberFormat="1" applyFont="1" applyFill="1" applyBorder="1" applyAlignment="1">
      <alignment horizontal="center"/>
    </xf>
    <xf numFmtId="164" fontId="3" fillId="11" borderId="5" xfId="1" applyNumberFormat="1" applyFont="1" applyFill="1" applyBorder="1"/>
    <xf numFmtId="0" fontId="6" fillId="3" borderId="4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43" fontId="0" fillId="5" borderId="14" xfId="1" applyFont="1" applyFill="1" applyBorder="1" applyAlignment="1">
      <alignment horizontal="center" textRotation="10"/>
    </xf>
    <xf numFmtId="43" fontId="0" fillId="5" borderId="15" xfId="1" applyFont="1" applyFill="1" applyBorder="1" applyAlignment="1">
      <alignment horizontal="center" textRotation="10"/>
    </xf>
    <xf numFmtId="43" fontId="0" fillId="5" borderId="13" xfId="1" applyFont="1" applyFill="1" applyBorder="1" applyAlignment="1">
      <alignment horizontal="center" textRotation="10"/>
    </xf>
    <xf numFmtId="43" fontId="0" fillId="5" borderId="22" xfId="1" applyFont="1" applyFill="1" applyBorder="1" applyAlignment="1">
      <alignment horizontal="center" textRotation="10"/>
    </xf>
    <xf numFmtId="43" fontId="0" fillId="5" borderId="10" xfId="1" applyFont="1" applyFill="1" applyBorder="1" applyAlignment="1">
      <alignment horizontal="center" textRotation="10"/>
    </xf>
    <xf numFmtId="43" fontId="0" fillId="5" borderId="17" xfId="1" applyFont="1" applyFill="1" applyBorder="1" applyAlignment="1">
      <alignment horizontal="center" textRotation="10"/>
    </xf>
    <xf numFmtId="0" fontId="5" fillId="4" borderId="0" xfId="0" applyFont="1" applyFill="1" applyAlignment="1">
      <alignment horizontal="center" textRotation="6"/>
    </xf>
    <xf numFmtId="0" fontId="5" fillId="2" borderId="0" xfId="0" applyFont="1" applyFill="1" applyAlignment="1">
      <alignment horizontal="center" textRotation="6"/>
    </xf>
    <xf numFmtId="0" fontId="0" fillId="3" borderId="11" xfId="0" applyFill="1" applyBorder="1" applyAlignment="1">
      <alignment horizontal="center"/>
    </xf>
    <xf numFmtId="43" fontId="0" fillId="5" borderId="23" xfId="1" applyFont="1" applyFill="1" applyBorder="1" applyAlignment="1">
      <alignment horizontal="center" textRotation="41"/>
    </xf>
    <xf numFmtId="43" fontId="0" fillId="5" borderId="24" xfId="1" applyFont="1" applyFill="1" applyBorder="1" applyAlignment="1">
      <alignment horizontal="center" textRotation="41"/>
    </xf>
    <xf numFmtId="43" fontId="0" fillId="5" borderId="25" xfId="1" applyFont="1" applyFill="1" applyBorder="1" applyAlignment="1">
      <alignment horizontal="center" textRotation="41"/>
    </xf>
    <xf numFmtId="43" fontId="0" fillId="5" borderId="13" xfId="1" applyFont="1" applyFill="1" applyBorder="1" applyAlignment="1">
      <alignment horizontal="center" textRotation="41"/>
    </xf>
    <xf numFmtId="43" fontId="0" fillId="5" borderId="0" xfId="1" applyFont="1" applyFill="1" applyBorder="1" applyAlignment="1">
      <alignment horizontal="center" textRotation="41"/>
    </xf>
    <xf numFmtId="43" fontId="0" fillId="5" borderId="22" xfId="1" applyFont="1" applyFill="1" applyBorder="1" applyAlignment="1">
      <alignment horizontal="center" textRotation="41"/>
    </xf>
    <xf numFmtId="43" fontId="0" fillId="5" borderId="10" xfId="1" applyFont="1" applyFill="1" applyBorder="1" applyAlignment="1">
      <alignment horizontal="center" textRotation="41"/>
    </xf>
    <xf numFmtId="43" fontId="0" fillId="5" borderId="16" xfId="1" applyFont="1" applyFill="1" applyBorder="1" applyAlignment="1">
      <alignment horizontal="center" textRotation="41"/>
    </xf>
    <xf numFmtId="43" fontId="0" fillId="5" borderId="17" xfId="1" applyFont="1" applyFill="1" applyBorder="1" applyAlignment="1">
      <alignment horizontal="center" textRotation="41"/>
    </xf>
    <xf numFmtId="43" fontId="2" fillId="10" borderId="1" xfId="1" applyFont="1" applyFill="1" applyBorder="1" applyAlignment="1">
      <alignment horizontal="center" textRotation="25"/>
    </xf>
    <xf numFmtId="43" fontId="2" fillId="5" borderId="4" xfId="1" applyFont="1" applyFill="1" applyBorder="1" applyAlignment="1">
      <alignment horizontal="center" textRotation="28"/>
    </xf>
    <xf numFmtId="43" fontId="2" fillId="5" borderId="18" xfId="1" applyFont="1" applyFill="1" applyBorder="1" applyAlignment="1">
      <alignment horizontal="center" textRotation="28"/>
    </xf>
    <xf numFmtId="43" fontId="2" fillId="5" borderId="5" xfId="1" applyFont="1" applyFill="1" applyBorder="1" applyAlignment="1">
      <alignment horizontal="center" textRotation="28"/>
    </xf>
    <xf numFmtId="0" fontId="5" fillId="3" borderId="0" xfId="0" applyFont="1" applyFill="1" applyAlignment="1">
      <alignment horizontal="center"/>
    </xf>
    <xf numFmtId="43" fontId="0" fillId="10" borderId="14" xfId="1" applyFont="1" applyFill="1" applyBorder="1" applyAlignment="1">
      <alignment horizontal="center" textRotation="38"/>
    </xf>
    <xf numFmtId="43" fontId="0" fillId="10" borderId="11" xfId="1" applyFont="1" applyFill="1" applyBorder="1" applyAlignment="1">
      <alignment horizontal="center" textRotation="38"/>
    </xf>
    <xf numFmtId="43" fontId="0" fillId="10" borderId="15" xfId="1" applyFont="1" applyFill="1" applyBorder="1" applyAlignment="1">
      <alignment horizontal="center" textRotation="38"/>
    </xf>
    <xf numFmtId="43" fontId="0" fillId="10" borderId="13" xfId="1" applyFont="1" applyFill="1" applyBorder="1" applyAlignment="1">
      <alignment horizontal="center" textRotation="38"/>
    </xf>
    <xf numFmtId="43" fontId="0" fillId="10" borderId="0" xfId="1" applyFont="1" applyFill="1" applyBorder="1" applyAlignment="1">
      <alignment horizontal="center" textRotation="38"/>
    </xf>
    <xf numFmtId="43" fontId="0" fillId="10" borderId="22" xfId="1" applyFont="1" applyFill="1" applyBorder="1" applyAlignment="1">
      <alignment horizontal="center" textRotation="38"/>
    </xf>
    <xf numFmtId="43" fontId="0" fillId="10" borderId="10" xfId="1" applyFont="1" applyFill="1" applyBorder="1" applyAlignment="1">
      <alignment horizontal="center" textRotation="38"/>
    </xf>
    <xf numFmtId="43" fontId="0" fillId="10" borderId="16" xfId="1" applyFont="1" applyFill="1" applyBorder="1" applyAlignment="1">
      <alignment horizontal="center" textRotation="38"/>
    </xf>
    <xf numFmtId="43" fontId="0" fillId="10" borderId="17" xfId="1" applyFont="1" applyFill="1" applyBorder="1" applyAlignment="1">
      <alignment horizontal="center" textRotation="38"/>
    </xf>
    <xf numFmtId="43" fontId="0" fillId="10" borderId="23" xfId="1" applyFont="1" applyFill="1" applyBorder="1" applyAlignment="1">
      <alignment horizontal="center" textRotation="45"/>
    </xf>
    <xf numFmtId="43" fontId="0" fillId="10" borderId="24" xfId="1" applyFont="1" applyFill="1" applyBorder="1" applyAlignment="1">
      <alignment horizontal="center" textRotation="45"/>
    </xf>
    <xf numFmtId="43" fontId="0" fillId="10" borderId="25" xfId="1" applyFont="1" applyFill="1" applyBorder="1" applyAlignment="1">
      <alignment horizontal="center" textRotation="45"/>
    </xf>
    <xf numFmtId="43" fontId="0" fillId="10" borderId="13" xfId="1" applyFont="1" applyFill="1" applyBorder="1" applyAlignment="1">
      <alignment horizontal="center" textRotation="45"/>
    </xf>
    <xf numFmtId="43" fontId="0" fillId="10" borderId="0" xfId="1" applyFont="1" applyFill="1" applyBorder="1" applyAlignment="1">
      <alignment horizontal="center" textRotation="45"/>
    </xf>
    <xf numFmtId="43" fontId="0" fillId="10" borderId="22" xfId="1" applyFont="1" applyFill="1" applyBorder="1" applyAlignment="1">
      <alignment horizontal="center" textRotation="45"/>
    </xf>
    <xf numFmtId="43" fontId="0" fillId="10" borderId="10" xfId="1" applyFont="1" applyFill="1" applyBorder="1" applyAlignment="1">
      <alignment horizontal="center" textRotation="45"/>
    </xf>
    <xf numFmtId="43" fontId="0" fillId="10" borderId="16" xfId="1" applyFont="1" applyFill="1" applyBorder="1" applyAlignment="1">
      <alignment horizontal="center" textRotation="45"/>
    </xf>
    <xf numFmtId="43" fontId="0" fillId="10" borderId="17" xfId="1" applyFont="1" applyFill="1" applyBorder="1" applyAlignment="1">
      <alignment horizontal="center" textRotation="45"/>
    </xf>
    <xf numFmtId="43" fontId="0" fillId="10" borderId="14" xfId="1" applyFont="1" applyFill="1" applyBorder="1" applyAlignment="1">
      <alignment horizontal="center" textRotation="21"/>
    </xf>
    <xf numFmtId="43" fontId="0" fillId="10" borderId="11" xfId="1" applyFont="1" applyFill="1" applyBorder="1" applyAlignment="1">
      <alignment horizontal="center" textRotation="21"/>
    </xf>
    <xf numFmtId="43" fontId="0" fillId="10" borderId="15" xfId="1" applyFont="1" applyFill="1" applyBorder="1" applyAlignment="1">
      <alignment horizontal="center" textRotation="21"/>
    </xf>
    <xf numFmtId="43" fontId="0" fillId="10" borderId="13" xfId="1" applyFont="1" applyFill="1" applyBorder="1" applyAlignment="1">
      <alignment horizontal="center" textRotation="21"/>
    </xf>
    <xf numFmtId="43" fontId="0" fillId="10" borderId="0" xfId="1" applyFont="1" applyFill="1" applyBorder="1" applyAlignment="1">
      <alignment horizontal="center" textRotation="21"/>
    </xf>
    <xf numFmtId="43" fontId="0" fillId="10" borderId="22" xfId="1" applyFont="1" applyFill="1" applyBorder="1" applyAlignment="1">
      <alignment horizontal="center" textRotation="21"/>
    </xf>
    <xf numFmtId="43" fontId="0" fillId="10" borderId="10" xfId="1" applyFont="1" applyFill="1" applyBorder="1" applyAlignment="1">
      <alignment horizontal="center" textRotation="21"/>
    </xf>
    <xf numFmtId="43" fontId="0" fillId="10" borderId="16" xfId="1" applyFont="1" applyFill="1" applyBorder="1" applyAlignment="1">
      <alignment horizontal="center" textRotation="21"/>
    </xf>
    <xf numFmtId="43" fontId="0" fillId="10" borderId="17" xfId="1" applyFont="1" applyFill="1" applyBorder="1" applyAlignment="1">
      <alignment horizontal="center" textRotation="21"/>
    </xf>
    <xf numFmtId="43" fontId="2" fillId="10" borderId="4" xfId="1" applyFont="1" applyFill="1" applyBorder="1" applyAlignment="1">
      <alignment horizontal="center" textRotation="27"/>
    </xf>
    <xf numFmtId="43" fontId="2" fillId="10" borderId="18" xfId="1" applyFont="1" applyFill="1" applyBorder="1" applyAlignment="1">
      <alignment horizontal="center" textRotation="27"/>
    </xf>
    <xf numFmtId="43" fontId="2" fillId="10" borderId="5" xfId="1" applyFont="1" applyFill="1" applyBorder="1" applyAlignment="1">
      <alignment horizontal="center" textRotation="27"/>
    </xf>
    <xf numFmtId="0" fontId="6" fillId="6" borderId="4" xfId="0" applyFont="1" applyFill="1" applyBorder="1" applyAlignment="1">
      <alignment horizontal="center" wrapText="1"/>
    </xf>
    <xf numFmtId="0" fontId="6" fillId="6" borderId="18" xfId="0" applyFont="1" applyFill="1" applyBorder="1" applyAlignment="1">
      <alignment horizontal="center" wrapText="1"/>
    </xf>
    <xf numFmtId="0" fontId="6" fillId="6" borderId="8" xfId="0" applyFont="1" applyFill="1" applyBorder="1" applyAlignment="1">
      <alignment horizontal="center" wrapText="1"/>
    </xf>
    <xf numFmtId="0" fontId="9" fillId="6" borderId="4" xfId="0" applyFont="1" applyFill="1" applyBorder="1" applyAlignment="1">
      <alignment horizontal="center" wrapText="1"/>
    </xf>
    <xf numFmtId="0" fontId="9" fillId="6" borderId="18" xfId="0" applyFont="1" applyFill="1" applyBorder="1" applyAlignment="1">
      <alignment horizontal="center" wrapText="1"/>
    </xf>
    <xf numFmtId="0" fontId="9" fillId="6" borderId="8" xfId="0" applyFont="1" applyFill="1" applyBorder="1" applyAlignment="1">
      <alignment horizontal="center" wrapText="1"/>
    </xf>
    <xf numFmtId="0" fontId="0" fillId="4" borderId="0" xfId="0" applyFill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6" fillId="7" borderId="4" xfId="0" applyFont="1" applyFill="1" applyBorder="1" applyAlignment="1">
      <alignment horizontal="center" wrapText="1"/>
    </xf>
    <xf numFmtId="0" fontId="6" fillId="7" borderId="18" xfId="0" applyFont="1" applyFill="1" applyBorder="1" applyAlignment="1">
      <alignment horizontal="center" wrapText="1"/>
    </xf>
    <xf numFmtId="0" fontId="6" fillId="7" borderId="8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 wrapText="1"/>
    </xf>
    <xf numFmtId="0" fontId="6" fillId="6" borderId="14" xfId="0" applyFont="1" applyFill="1" applyBorder="1" applyAlignment="1">
      <alignment horizontal="center" wrapText="1"/>
    </xf>
    <xf numFmtId="0" fontId="6" fillId="6" borderId="11" xfId="0" applyFont="1" applyFill="1" applyBorder="1" applyAlignment="1">
      <alignment horizontal="center" wrapText="1"/>
    </xf>
    <xf numFmtId="0" fontId="6" fillId="6" borderId="15" xfId="0" applyFont="1" applyFill="1" applyBorder="1" applyAlignment="1">
      <alignment horizontal="center" wrapText="1"/>
    </xf>
    <xf numFmtId="0" fontId="6" fillId="6" borderId="10" xfId="0" applyFont="1" applyFill="1" applyBorder="1" applyAlignment="1">
      <alignment horizontal="center" wrapText="1"/>
    </xf>
    <xf numFmtId="0" fontId="6" fillId="6" borderId="16" xfId="0" applyFont="1" applyFill="1" applyBorder="1" applyAlignment="1">
      <alignment horizontal="center" wrapText="1"/>
    </xf>
    <xf numFmtId="0" fontId="6" fillId="6" borderId="17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6" fillId="6" borderId="20" xfId="0" applyFont="1" applyFill="1" applyBorder="1" applyAlignment="1">
      <alignment horizontal="center" wrapText="1"/>
    </xf>
    <xf numFmtId="43" fontId="0" fillId="10" borderId="14" xfId="1" applyFont="1" applyFill="1" applyBorder="1" applyAlignment="1">
      <alignment horizontal="center" textRotation="15"/>
    </xf>
    <xf numFmtId="43" fontId="0" fillId="10" borderId="11" xfId="1" applyFont="1" applyFill="1" applyBorder="1" applyAlignment="1">
      <alignment horizontal="center" textRotation="15"/>
    </xf>
    <xf numFmtId="43" fontId="0" fillId="10" borderId="15" xfId="1" applyFont="1" applyFill="1" applyBorder="1" applyAlignment="1">
      <alignment horizontal="center" textRotation="15"/>
    </xf>
    <xf numFmtId="43" fontId="0" fillId="10" borderId="13" xfId="1" applyFont="1" applyFill="1" applyBorder="1" applyAlignment="1">
      <alignment horizontal="center" textRotation="15"/>
    </xf>
    <xf numFmtId="43" fontId="0" fillId="10" borderId="0" xfId="1" applyFont="1" applyFill="1" applyBorder="1" applyAlignment="1">
      <alignment horizontal="center" textRotation="15"/>
    </xf>
    <xf numFmtId="43" fontId="0" fillId="10" borderId="22" xfId="1" applyFont="1" applyFill="1" applyBorder="1" applyAlignment="1">
      <alignment horizontal="center" textRotation="15"/>
    </xf>
    <xf numFmtId="43" fontId="0" fillId="10" borderId="10" xfId="1" applyFont="1" applyFill="1" applyBorder="1" applyAlignment="1">
      <alignment horizontal="center" textRotation="15"/>
    </xf>
    <xf numFmtId="43" fontId="0" fillId="10" borderId="16" xfId="1" applyFont="1" applyFill="1" applyBorder="1" applyAlignment="1">
      <alignment horizontal="center" textRotation="15"/>
    </xf>
    <xf numFmtId="43" fontId="0" fillId="10" borderId="17" xfId="1" applyFont="1" applyFill="1" applyBorder="1" applyAlignment="1">
      <alignment horizontal="center" textRotation="15"/>
    </xf>
    <xf numFmtId="43" fontId="0" fillId="5" borderId="14" xfId="1" applyFont="1" applyFill="1" applyBorder="1" applyAlignment="1">
      <alignment horizontal="center" textRotation="15"/>
    </xf>
    <xf numFmtId="43" fontId="0" fillId="5" borderId="11" xfId="1" applyFont="1" applyFill="1" applyBorder="1" applyAlignment="1">
      <alignment horizontal="center" textRotation="15"/>
    </xf>
    <xf numFmtId="43" fontId="0" fillId="5" borderId="15" xfId="1" applyFont="1" applyFill="1" applyBorder="1" applyAlignment="1">
      <alignment horizontal="center" textRotation="15"/>
    </xf>
    <xf numFmtId="43" fontId="0" fillId="5" borderId="13" xfId="1" applyFont="1" applyFill="1" applyBorder="1" applyAlignment="1">
      <alignment horizontal="center" textRotation="15"/>
    </xf>
    <xf numFmtId="43" fontId="0" fillId="5" borderId="0" xfId="1" applyFont="1" applyFill="1" applyBorder="1" applyAlignment="1">
      <alignment horizontal="center" textRotation="15"/>
    </xf>
    <xf numFmtId="43" fontId="0" fillId="5" borderId="22" xfId="1" applyFont="1" applyFill="1" applyBorder="1" applyAlignment="1">
      <alignment horizontal="center" textRotation="15"/>
    </xf>
    <xf numFmtId="43" fontId="0" fillId="5" borderId="10" xfId="1" applyFont="1" applyFill="1" applyBorder="1" applyAlignment="1">
      <alignment horizontal="center" textRotation="15"/>
    </xf>
    <xf numFmtId="43" fontId="0" fillId="5" borderId="16" xfId="1" applyFont="1" applyFill="1" applyBorder="1" applyAlignment="1">
      <alignment horizontal="center" textRotation="15"/>
    </xf>
    <xf numFmtId="43" fontId="0" fillId="5" borderId="17" xfId="1" applyFont="1" applyFill="1" applyBorder="1" applyAlignment="1">
      <alignment horizontal="center" textRotation="15"/>
    </xf>
    <xf numFmtId="0" fontId="0" fillId="0" borderId="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wrapText="1"/>
    </xf>
    <xf numFmtId="0" fontId="6" fillId="3" borderId="19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0" fillId="6" borderId="11" xfId="0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wrapText="1"/>
    </xf>
    <xf numFmtId="0" fontId="10" fillId="3" borderId="18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43" fontId="0" fillId="0" borderId="2" xfId="1" applyFont="1" applyBorder="1" applyAlignment="1">
      <alignment horizontal="center"/>
    </xf>
    <xf numFmtId="43" fontId="0" fillId="0" borderId="6" xfId="1" applyFont="1" applyBorder="1" applyAlignment="1">
      <alignment horizontal="center"/>
    </xf>
    <xf numFmtId="43" fontId="0" fillId="0" borderId="3" xfId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wrapText="1"/>
    </xf>
    <xf numFmtId="0" fontId="0" fillId="3" borderId="8" xfId="0" applyFont="1" applyFill="1" applyBorder="1" applyAlignment="1">
      <alignment horizontal="center" wrapText="1"/>
    </xf>
    <xf numFmtId="0" fontId="0" fillId="6" borderId="4" xfId="0" applyFont="1" applyFill="1" applyBorder="1" applyAlignment="1">
      <alignment horizontal="center" wrapText="1"/>
    </xf>
    <xf numFmtId="0" fontId="0" fillId="6" borderId="8" xfId="0" applyFont="1" applyFill="1" applyBorder="1" applyAlignment="1">
      <alignment horizontal="center" wrapText="1"/>
    </xf>
    <xf numFmtId="43" fontId="2" fillId="0" borderId="2" xfId="1" applyFont="1" applyBorder="1" applyAlignment="1">
      <alignment horizontal="center"/>
    </xf>
    <xf numFmtId="43" fontId="2" fillId="0" borderId="6" xfId="1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0" fontId="3" fillId="4" borderId="0" xfId="0" applyFont="1" applyFill="1" applyAlignment="1">
      <alignment horizontal="center" textRotation="69"/>
    </xf>
    <xf numFmtId="0" fontId="2" fillId="3" borderId="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3" fontId="11" fillId="0" borderId="2" xfId="1" applyFont="1" applyBorder="1" applyAlignment="1">
      <alignment horizontal="left"/>
    </xf>
    <xf numFmtId="43" fontId="11" fillId="0" borderId="6" xfId="1" applyFont="1" applyBorder="1" applyAlignment="1">
      <alignment horizontal="left"/>
    </xf>
    <xf numFmtId="43" fontId="11" fillId="0" borderId="3" xfId="1" applyFont="1" applyBorder="1" applyAlignment="1">
      <alignment horizontal="left"/>
    </xf>
    <xf numFmtId="43" fontId="2" fillId="0" borderId="2" xfId="1" applyFont="1" applyBorder="1" applyAlignment="1">
      <alignment horizontal="left"/>
    </xf>
    <xf numFmtId="43" fontId="2" fillId="0" borderId="6" xfId="1" applyFont="1" applyBorder="1" applyAlignment="1">
      <alignment horizontal="left"/>
    </xf>
    <xf numFmtId="43" fontId="2" fillId="0" borderId="3" xfId="1" applyFont="1" applyBorder="1" applyAlignment="1">
      <alignment horizontal="left"/>
    </xf>
    <xf numFmtId="0" fontId="0" fillId="8" borderId="4" xfId="0" applyFont="1" applyFill="1" applyBorder="1" applyAlignment="1">
      <alignment horizontal="center" wrapText="1"/>
    </xf>
    <xf numFmtId="0" fontId="0" fillId="8" borderId="8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3" fontId="3" fillId="10" borderId="0" xfId="1" applyFont="1" applyFill="1" applyBorder="1" applyAlignment="1">
      <alignment horizontal="center" textRotation="39" wrapText="1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4" borderId="0" xfId="0" applyFont="1" applyFill="1" applyBorder="1" applyAlignment="1">
      <alignment horizontal="center" textRotation="69"/>
    </xf>
    <xf numFmtId="43" fontId="2" fillId="10" borderId="0" xfId="1" applyFont="1" applyFill="1" applyBorder="1" applyAlignment="1">
      <alignment horizontal="center" textRotation="22"/>
    </xf>
    <xf numFmtId="43" fontId="2" fillId="10" borderId="16" xfId="1" applyFont="1" applyFill="1" applyBorder="1" applyAlignment="1">
      <alignment horizontal="center" textRotation="22"/>
    </xf>
    <xf numFmtId="43" fontId="3" fillId="10" borderId="0" xfId="1" applyFont="1" applyFill="1" applyBorder="1" applyAlignment="1">
      <alignment horizontal="center" textRotation="60"/>
    </xf>
    <xf numFmtId="0" fontId="2" fillId="6" borderId="1" xfId="0" applyFont="1" applyFill="1" applyBorder="1" applyAlignment="1">
      <alignment horizontal="center"/>
    </xf>
    <xf numFmtId="43" fontId="3" fillId="11" borderId="0" xfId="1" applyFont="1" applyFill="1" applyBorder="1" applyAlignment="1">
      <alignment horizontal="center" textRotation="15"/>
    </xf>
    <xf numFmtId="43" fontId="3" fillId="10" borderId="0" xfId="1" applyFont="1" applyFill="1" applyBorder="1" applyAlignment="1">
      <alignment horizontal="center" textRotation="25"/>
    </xf>
    <xf numFmtId="0" fontId="0" fillId="0" borderId="0" xfId="0" applyAlignment="1">
      <alignment horizontal="center"/>
    </xf>
    <xf numFmtId="43" fontId="2" fillId="10" borderId="0" xfId="1" applyFont="1" applyFill="1" applyBorder="1" applyAlignment="1">
      <alignment horizontal="center" textRotation="25"/>
    </xf>
    <xf numFmtId="43" fontId="2" fillId="11" borderId="0" xfId="1" applyFont="1" applyFill="1" applyBorder="1" applyAlignment="1">
      <alignment horizontal="center" textRotation="15"/>
    </xf>
    <xf numFmtId="0" fontId="0" fillId="2" borderId="0" xfId="0" applyFill="1" applyAlignment="1">
      <alignment horizontal="center"/>
    </xf>
    <xf numFmtId="0" fontId="19" fillId="0" borderId="0" xfId="0" applyFont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 wrapText="1"/>
    </xf>
    <xf numFmtId="0" fontId="2" fillId="6" borderId="6" xfId="0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43" fontId="2" fillId="5" borderId="2" xfId="1" applyFont="1" applyFill="1" applyBorder="1" applyAlignment="1">
      <alignment horizontal="center"/>
    </xf>
    <xf numFmtId="43" fontId="2" fillId="5" borderId="6" xfId="1" applyFont="1" applyFill="1" applyBorder="1" applyAlignment="1">
      <alignment horizontal="center"/>
    </xf>
    <xf numFmtId="43" fontId="2" fillId="5" borderId="3" xfId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1" fillId="0" borderId="4" xfId="1" applyNumberFormat="1" applyFont="1" applyBorder="1" applyAlignment="1">
      <alignment horizontal="center"/>
    </xf>
    <xf numFmtId="164" fontId="1" fillId="0" borderId="5" xfId="1" applyNumberFormat="1" applyFont="1" applyBorder="1" applyAlignment="1">
      <alignment horizontal="center"/>
    </xf>
    <xf numFmtId="165" fontId="0" fillId="0" borderId="4" xfId="1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0" fillId="0" borderId="18" xfId="1" applyNumberFormat="1" applyFont="1" applyBorder="1" applyAlignment="1">
      <alignment horizontal="center"/>
    </xf>
    <xf numFmtId="164" fontId="1" fillId="0" borderId="18" xfId="1" applyNumberFormat="1" applyFont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6" borderId="2" xfId="0" applyFont="1" applyFill="1" applyBorder="1" applyAlignment="1">
      <alignment horizontal="center" wrapText="1"/>
    </xf>
    <xf numFmtId="0" fontId="0" fillId="6" borderId="6" xfId="0" applyFont="1" applyFill="1" applyBorder="1" applyAlignment="1">
      <alignment horizontal="center" wrapText="1"/>
    </xf>
    <xf numFmtId="0" fontId="0" fillId="6" borderId="3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  <xf numFmtId="0" fontId="0" fillId="3" borderId="3" xfId="0" applyFont="1" applyFill="1" applyBorder="1" applyAlignment="1">
      <alignment horizontal="center" wrapText="1"/>
    </xf>
    <xf numFmtId="164" fontId="0" fillId="0" borderId="1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3" fillId="10" borderId="0" xfId="0" applyFont="1" applyFill="1" applyAlignment="1">
      <alignment horizontal="center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colors>
    <mruColors>
      <color rgb="FF00FFFF"/>
      <color rgb="FF00FF00"/>
      <color rgb="FFFF00FF"/>
      <color rgb="FF00FF99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3"/>
  <sheetViews>
    <sheetView workbookViewId="0">
      <pane ySplit="4" topLeftCell="A5" activePane="bottomLeft" state="frozen"/>
      <selection pane="bottomLeft" activeCell="AT2" sqref="AT2"/>
    </sheetView>
  </sheetViews>
  <sheetFormatPr defaultColWidth="6.44140625" defaultRowHeight="15"/>
  <cols>
    <col min="1" max="1" width="6.44140625" style="10"/>
    <col min="2" max="5" width="10.5546875" style="10" customWidth="1"/>
    <col min="6" max="7" width="11.44140625" style="10" customWidth="1"/>
    <col min="8" max="9" width="10.5546875" style="10" customWidth="1"/>
    <col min="10" max="10" width="11.44140625" style="10" customWidth="1"/>
    <col min="11" max="13" width="10.5546875" style="10" customWidth="1"/>
    <col min="14" max="15" width="13.44140625" style="10" customWidth="1"/>
    <col min="16" max="17" width="10.44140625" style="10" customWidth="1"/>
    <col min="18" max="18" width="11.44140625" style="10" customWidth="1"/>
    <col min="19" max="19" width="12.5546875" style="10" customWidth="1"/>
    <col min="20" max="20" width="9" style="10" customWidth="1"/>
    <col min="21" max="21" width="11.88671875" style="10" customWidth="1"/>
    <col min="22" max="24" width="7" style="10" bestFit="1" customWidth="1"/>
    <col min="25" max="25" width="6.77734375" style="10" bestFit="1" customWidth="1"/>
    <col min="26" max="27" width="10.5546875" style="10" customWidth="1"/>
    <col min="28" max="28" width="11.44140625" style="10" bestFit="1" customWidth="1"/>
    <col min="29" max="31" width="10.5546875" style="10" customWidth="1"/>
    <col min="32" max="32" width="12.6640625" style="10" customWidth="1"/>
    <col min="33" max="33" width="10.5546875" style="10" customWidth="1"/>
    <col min="34" max="34" width="8.21875" style="10" customWidth="1"/>
    <col min="35" max="35" width="7" style="10" customWidth="1"/>
    <col min="36" max="36" width="8.5546875" style="10" customWidth="1"/>
    <col min="37" max="37" width="8.6640625" style="10" customWidth="1"/>
    <col min="38" max="38" width="10.5546875" style="10" customWidth="1"/>
    <col min="39" max="41" width="13.109375" style="10" customWidth="1"/>
    <col min="42" max="42" width="10.44140625" style="10" bestFit="1" customWidth="1"/>
    <col min="43" max="43" width="12.33203125" style="10" customWidth="1"/>
    <col min="44" max="44" width="13.77734375" style="10" customWidth="1"/>
    <col min="45" max="45" width="12.44140625" style="10" bestFit="1" customWidth="1"/>
    <col min="46" max="46" width="4.33203125" style="10" bestFit="1" customWidth="1"/>
    <col min="47" max="47" width="4" style="10" bestFit="1" customWidth="1"/>
    <col min="48" max="48" width="12.109375" style="10" bestFit="1" customWidth="1"/>
    <col min="49" max="16384" width="6.44140625" style="10"/>
  </cols>
  <sheetData>
    <row r="1" spans="1:48" ht="18">
      <c r="A1" s="407" t="s">
        <v>0</v>
      </c>
      <c r="B1" s="363" t="s">
        <v>26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364"/>
      <c r="AM1" s="364"/>
      <c r="AN1" s="364"/>
      <c r="AO1" s="364"/>
      <c r="AP1" s="364"/>
      <c r="AQ1" s="364"/>
      <c r="AR1" s="364"/>
      <c r="AS1" s="365"/>
      <c r="AV1" s="362" t="s">
        <v>28</v>
      </c>
    </row>
    <row r="2" spans="1:48" ht="15.75" customHeight="1">
      <c r="A2" s="408"/>
      <c r="B2" s="413" t="s">
        <v>42</v>
      </c>
      <c r="C2" s="414"/>
      <c r="D2" s="414"/>
      <c r="E2" s="414"/>
      <c r="F2" s="414"/>
      <c r="G2" s="415"/>
      <c r="H2" s="385" t="s">
        <v>43</v>
      </c>
      <c r="I2" s="385"/>
      <c r="J2" s="385"/>
      <c r="K2" s="386" t="s">
        <v>47</v>
      </c>
      <c r="L2" s="386"/>
      <c r="M2" s="386"/>
      <c r="N2" s="379" t="s">
        <v>52</v>
      </c>
      <c r="O2" s="369" t="s">
        <v>54</v>
      </c>
      <c r="P2" s="379" t="s">
        <v>76</v>
      </c>
      <c r="Q2" s="380"/>
      <c r="R2" s="381"/>
      <c r="S2" s="372" t="s">
        <v>75</v>
      </c>
      <c r="T2" s="373"/>
      <c r="U2" s="374"/>
      <c r="V2" s="378" t="s">
        <v>62</v>
      </c>
      <c r="W2" s="378"/>
      <c r="X2" s="378"/>
      <c r="Y2" s="378"/>
      <c r="Z2" s="372" t="s">
        <v>79</v>
      </c>
      <c r="AA2" s="373"/>
      <c r="AB2" s="374"/>
      <c r="AC2" s="379" t="s">
        <v>78</v>
      </c>
      <c r="AD2" s="380"/>
      <c r="AE2" s="381"/>
      <c r="AF2" s="418" t="s">
        <v>83</v>
      </c>
      <c r="AG2" s="356" t="s">
        <v>84</v>
      </c>
      <c r="AH2" s="421" t="s">
        <v>87</v>
      </c>
      <c r="AI2" s="421"/>
      <c r="AJ2" s="421"/>
      <c r="AK2" s="421"/>
      <c r="AL2" s="356" t="s">
        <v>88</v>
      </c>
      <c r="AM2" s="300" t="s">
        <v>104</v>
      </c>
      <c r="AN2" s="356" t="s">
        <v>136</v>
      </c>
      <c r="AO2" s="300" t="s">
        <v>137</v>
      </c>
      <c r="AP2" s="359" t="s">
        <v>146</v>
      </c>
      <c r="AQ2" s="300" t="s">
        <v>138</v>
      </c>
      <c r="AR2" s="300" t="s">
        <v>163</v>
      </c>
      <c r="AS2" s="366" t="s">
        <v>3</v>
      </c>
      <c r="AV2" s="362"/>
    </row>
    <row r="3" spans="1:48" ht="16.5" thickBot="1">
      <c r="A3" s="408"/>
      <c r="B3" s="369" t="s">
        <v>30</v>
      </c>
      <c r="C3" s="410" t="s">
        <v>38</v>
      </c>
      <c r="D3" s="411"/>
      <c r="E3" s="411"/>
      <c r="F3" s="412"/>
      <c r="G3" s="369" t="s">
        <v>40</v>
      </c>
      <c r="H3" s="385"/>
      <c r="I3" s="385"/>
      <c r="J3" s="385"/>
      <c r="K3" s="386"/>
      <c r="L3" s="386"/>
      <c r="M3" s="386"/>
      <c r="N3" s="387"/>
      <c r="O3" s="370"/>
      <c r="P3" s="382"/>
      <c r="Q3" s="383"/>
      <c r="R3" s="384"/>
      <c r="S3" s="375"/>
      <c r="T3" s="376"/>
      <c r="U3" s="377"/>
      <c r="V3" s="378"/>
      <c r="W3" s="378"/>
      <c r="X3" s="378"/>
      <c r="Y3" s="378"/>
      <c r="Z3" s="375"/>
      <c r="AA3" s="376"/>
      <c r="AB3" s="377"/>
      <c r="AC3" s="382"/>
      <c r="AD3" s="383"/>
      <c r="AE3" s="384"/>
      <c r="AF3" s="419"/>
      <c r="AG3" s="357"/>
      <c r="AH3" s="421"/>
      <c r="AI3" s="421"/>
      <c r="AJ3" s="421"/>
      <c r="AK3" s="421"/>
      <c r="AL3" s="357"/>
      <c r="AM3" s="301"/>
      <c r="AN3" s="357"/>
      <c r="AO3" s="301"/>
      <c r="AP3" s="360"/>
      <c r="AQ3" s="301"/>
      <c r="AR3" s="301"/>
      <c r="AS3" s="367"/>
      <c r="AV3" s="362"/>
    </row>
    <row r="4" spans="1:48" ht="16.5" thickBot="1">
      <c r="A4" s="409"/>
      <c r="B4" s="371"/>
      <c r="C4" s="81" t="s">
        <v>36</v>
      </c>
      <c r="D4" s="84" t="s">
        <v>27</v>
      </c>
      <c r="E4" s="82" t="s">
        <v>50</v>
      </c>
      <c r="F4" s="82" t="s">
        <v>34</v>
      </c>
      <c r="G4" s="371"/>
      <c r="H4" s="84" t="s">
        <v>27</v>
      </c>
      <c r="I4" s="82" t="s">
        <v>50</v>
      </c>
      <c r="J4" s="92" t="s">
        <v>34</v>
      </c>
      <c r="K4" s="84" t="s">
        <v>27</v>
      </c>
      <c r="L4" s="91" t="s">
        <v>50</v>
      </c>
      <c r="M4" s="91" t="s">
        <v>34</v>
      </c>
      <c r="N4" s="388"/>
      <c r="O4" s="371"/>
      <c r="P4" s="95" t="s">
        <v>55</v>
      </c>
      <c r="Q4" s="97" t="s">
        <v>50</v>
      </c>
      <c r="R4" s="97" t="s">
        <v>34</v>
      </c>
      <c r="S4" s="95" t="s">
        <v>55</v>
      </c>
      <c r="T4" s="96" t="s">
        <v>50</v>
      </c>
      <c r="U4" s="96" t="s">
        <v>34</v>
      </c>
      <c r="V4" s="100" t="s">
        <v>63</v>
      </c>
      <c r="W4" s="99" t="s">
        <v>56</v>
      </c>
      <c r="X4" s="98" t="s">
        <v>65</v>
      </c>
      <c r="Y4" s="98" t="s">
        <v>64</v>
      </c>
      <c r="Z4" s="95" t="s">
        <v>55</v>
      </c>
      <c r="AA4" s="96" t="s">
        <v>50</v>
      </c>
      <c r="AB4" s="96" t="s">
        <v>34</v>
      </c>
      <c r="AC4" s="95" t="s">
        <v>55</v>
      </c>
      <c r="AD4" s="97" t="s">
        <v>50</v>
      </c>
      <c r="AE4" s="97" t="s">
        <v>34</v>
      </c>
      <c r="AF4" s="420"/>
      <c r="AG4" s="358"/>
      <c r="AH4" s="100" t="s">
        <v>63</v>
      </c>
      <c r="AI4" s="113" t="s">
        <v>56</v>
      </c>
      <c r="AJ4" s="113" t="s">
        <v>65</v>
      </c>
      <c r="AK4" s="114" t="s">
        <v>64</v>
      </c>
      <c r="AL4" s="358"/>
      <c r="AM4" s="302"/>
      <c r="AN4" s="358"/>
      <c r="AO4" s="302"/>
      <c r="AP4" s="361"/>
      <c r="AQ4" s="302"/>
      <c r="AR4" s="302"/>
      <c r="AS4" s="368"/>
      <c r="AV4" s="362"/>
    </row>
    <row r="5" spans="1:48" ht="15" customHeight="1">
      <c r="A5" s="83">
        <v>1998</v>
      </c>
      <c r="B5" s="38">
        <f>'283α21'!N2</f>
        <v>0</v>
      </c>
      <c r="C5" s="38">
        <f>'283α23'!N3</f>
        <v>15.26</v>
      </c>
      <c r="D5" s="38">
        <f>'283α23'!O3</f>
        <v>0</v>
      </c>
      <c r="E5" s="38">
        <f>'283α23'!P3</f>
        <v>0</v>
      </c>
      <c r="F5" s="38">
        <f>'283α23'!Q3</f>
        <v>0</v>
      </c>
      <c r="G5" s="38">
        <f>'283α24-25'!N2</f>
        <v>97.440000000000012</v>
      </c>
      <c r="H5" s="38">
        <f>'283β'!T3</f>
        <v>32.71</v>
      </c>
      <c r="I5" s="38">
        <f>'283β'!V3</f>
        <v>15.663</v>
      </c>
      <c r="J5" s="38">
        <f>'283β'!X3</f>
        <v>313.26</v>
      </c>
      <c r="K5" s="335" t="s">
        <v>45</v>
      </c>
      <c r="L5" s="336"/>
      <c r="M5" s="337"/>
      <c r="N5" s="38">
        <f>'283δ'!N2</f>
        <v>414.27</v>
      </c>
      <c r="O5" s="38">
        <f>'283ε'!N2</f>
        <v>2369.27</v>
      </c>
      <c r="P5" s="38">
        <f>'283ζ'!N3</f>
        <v>92.297000000000011</v>
      </c>
      <c r="Q5" s="38">
        <f>'283ζ'!O3</f>
        <v>110.7564</v>
      </c>
      <c r="R5" s="38">
        <f>'283ζ'!P3</f>
        <v>1642.8866</v>
      </c>
      <c r="S5" s="312" t="s">
        <v>100</v>
      </c>
      <c r="T5" s="313"/>
      <c r="U5" s="314"/>
      <c r="V5" s="38">
        <f>'283θ'!AX3</f>
        <v>7.04</v>
      </c>
      <c r="W5" s="38">
        <f>'283θ'!AY3</f>
        <v>6.6499999999999995</v>
      </c>
      <c r="X5" s="38">
        <f>'283θ'!AZ3</f>
        <v>8.16</v>
      </c>
      <c r="Y5" s="38">
        <f>'283θ'!BA3</f>
        <v>16.850000000000001</v>
      </c>
      <c r="Z5" s="38">
        <f>'283ι'!N3</f>
        <v>146.14750000000001</v>
      </c>
      <c r="AA5" s="38">
        <f>'283ι'!O3</f>
        <v>175.37700000000001</v>
      </c>
      <c r="AB5" s="38">
        <f>'283ι'!P3</f>
        <v>2601.4255000000003</v>
      </c>
      <c r="AC5" s="38">
        <f>'283κ'!N3</f>
        <v>39.325000000000003</v>
      </c>
      <c r="AD5" s="38">
        <f>'283κ'!O3</f>
        <v>47.19</v>
      </c>
      <c r="AE5" s="38">
        <f>'283κ'!P3</f>
        <v>699.98500000000001</v>
      </c>
      <c r="AF5" s="19">
        <f>'283λ'!N2</f>
        <v>0</v>
      </c>
      <c r="AG5" s="38">
        <f>'283μ'!N2</f>
        <v>510.65</v>
      </c>
      <c r="AH5" s="19"/>
      <c r="AI5" s="19"/>
      <c r="AJ5" s="19"/>
      <c r="AK5" s="19"/>
      <c r="AL5" s="19"/>
      <c r="AM5" s="38">
        <f>'283ο'!N2</f>
        <v>2764.5</v>
      </c>
      <c r="AN5" s="38">
        <f>'283π'!N2</f>
        <v>942</v>
      </c>
      <c r="AO5" s="38">
        <f>'283ρ'!N2</f>
        <v>1198.05</v>
      </c>
      <c r="AP5" s="242">
        <f>'283σ(11-12)β'!AM2+'283σ(11-12)γ'!AM2+'283σ(11-12)δ'!AM2+'283σ(11-12)ζ'!AM2</f>
        <v>999.04328686720487</v>
      </c>
      <c r="AQ5" s="242">
        <f>'283τ1'!O2+'283τ2'!O2+'283τ(3-4)'!O2+'283τ(5-6)'!O2</f>
        <v>385.45267791636093</v>
      </c>
      <c r="AR5" s="242">
        <f>'283τ(7-8)'!O2</f>
        <v>0</v>
      </c>
      <c r="AS5" s="38">
        <f t="shared" ref="AS5:AS20" si="0">SUM(B5:AQ5)</f>
        <v>15651.658964783564</v>
      </c>
      <c r="AV5" s="41">
        <v>6906.1129999999994</v>
      </c>
    </row>
    <row r="6" spans="1:48">
      <c r="A6" s="29">
        <v>1999</v>
      </c>
      <c r="B6" s="19">
        <f>'283α21'!N3</f>
        <v>0</v>
      </c>
      <c r="C6" s="19">
        <f>'283α23'!N4</f>
        <v>0</v>
      </c>
      <c r="D6" s="19">
        <f>'283α23'!O4</f>
        <v>0</v>
      </c>
      <c r="E6" s="19">
        <f>'283α23'!P4</f>
        <v>0</v>
      </c>
      <c r="F6" s="19">
        <f>'283α23'!Q4</f>
        <v>0</v>
      </c>
      <c r="G6" s="19">
        <f>'283α24-25'!N3</f>
        <v>0</v>
      </c>
      <c r="H6" s="38">
        <f>'283β'!T4</f>
        <v>82.62</v>
      </c>
      <c r="I6" s="38">
        <f>'283β'!V4</f>
        <v>39.5625</v>
      </c>
      <c r="J6" s="38">
        <f>'283β'!X4</f>
        <v>791.25</v>
      </c>
      <c r="K6" s="338"/>
      <c r="L6" s="339"/>
      <c r="M6" s="340"/>
      <c r="N6" s="19">
        <f>'283δ'!N3</f>
        <v>0</v>
      </c>
      <c r="O6" s="19">
        <f>'283ε'!N3</f>
        <v>0</v>
      </c>
      <c r="P6" s="19">
        <f>'283ζ'!N4</f>
        <v>220.35908750000004</v>
      </c>
      <c r="Q6" s="19">
        <f>'283ζ'!O4</f>
        <v>264.43090500000005</v>
      </c>
      <c r="R6" s="19">
        <f>'283ζ'!P4</f>
        <v>3922.3917575000005</v>
      </c>
      <c r="S6" s="315"/>
      <c r="T6" s="316"/>
      <c r="U6" s="317"/>
      <c r="V6" s="19">
        <f>'283θ'!AX4</f>
        <v>26.56</v>
      </c>
      <c r="W6" s="19">
        <f>'283θ'!AY4</f>
        <v>24.09</v>
      </c>
      <c r="X6" s="19">
        <f>'283θ'!AZ4</f>
        <v>18.010000000000002</v>
      </c>
      <c r="Y6" s="19">
        <f>'283θ'!BA4</f>
        <v>37.94</v>
      </c>
      <c r="Z6" s="19">
        <f>'283ι'!N4</f>
        <v>0</v>
      </c>
      <c r="AA6" s="19">
        <f>'283ι'!O4</f>
        <v>0</v>
      </c>
      <c r="AB6" s="19">
        <f>'283ι'!P4</f>
        <v>0</v>
      </c>
      <c r="AC6" s="19">
        <f>'283κ'!N4</f>
        <v>0</v>
      </c>
      <c r="AD6" s="19">
        <f>'283κ'!O4</f>
        <v>0</v>
      </c>
      <c r="AE6" s="19">
        <f>'283κ'!P4</f>
        <v>0</v>
      </c>
      <c r="AF6" s="19">
        <f>'283λ'!N3</f>
        <v>0</v>
      </c>
      <c r="AG6" s="19">
        <f>'283μ'!N3</f>
        <v>0</v>
      </c>
      <c r="AH6" s="19"/>
      <c r="AI6" s="19"/>
      <c r="AJ6" s="19"/>
      <c r="AK6" s="19"/>
      <c r="AL6" s="19"/>
      <c r="AM6" s="19">
        <f>'283ο'!N3</f>
        <v>6600.2437500000005</v>
      </c>
      <c r="AN6" s="19">
        <f>'283π'!N3</f>
        <v>2249.0250000000001</v>
      </c>
      <c r="AO6" s="19">
        <f>'283ρ'!N3</f>
        <v>2860.3443749999997</v>
      </c>
      <c r="AP6" s="240">
        <f>'283σ(11-12)β'!AM3+'283σ(11-12)γ'!AM3+'283σ(11-12)δ'!AM3+'283σ(11-12)ζ'!AM3</f>
        <v>1242.3771093176817</v>
      </c>
      <c r="AQ6" s="242">
        <f>'283τ1'!O3+'283τ2'!O3+'283τ(3-4)'!O3+'283τ(5-6)'!O3</f>
        <v>842.10124724871605</v>
      </c>
      <c r="AR6" s="242">
        <f>'283τ(7-8)'!O3</f>
        <v>0</v>
      </c>
      <c r="AS6" s="164">
        <f t="shared" si="0"/>
        <v>19221.305731566397</v>
      </c>
      <c r="AV6" s="16">
        <v>10991.311</v>
      </c>
    </row>
    <row r="7" spans="1:48">
      <c r="A7" s="29">
        <v>2000</v>
      </c>
      <c r="B7" s="19">
        <f>'283α21'!N4</f>
        <v>0</v>
      </c>
      <c r="C7" s="19">
        <f>'283α23'!N5</f>
        <v>0</v>
      </c>
      <c r="D7" s="19">
        <f>'283α23'!O5</f>
        <v>0</v>
      </c>
      <c r="E7" s="19">
        <f>'283α23'!P5</f>
        <v>0</v>
      </c>
      <c r="F7" s="19">
        <f>'283α23'!Q5</f>
        <v>0</v>
      </c>
      <c r="G7" s="19">
        <f>'283α24-25'!N4</f>
        <v>0</v>
      </c>
      <c r="H7" s="38">
        <f>'283β'!T5</f>
        <v>65.12</v>
      </c>
      <c r="I7" s="38">
        <f>'283β'!V5</f>
        <v>31.182500000000001</v>
      </c>
      <c r="J7" s="38">
        <f>'283β'!X5</f>
        <v>623.65</v>
      </c>
      <c r="K7" s="338"/>
      <c r="L7" s="339"/>
      <c r="M7" s="340"/>
      <c r="N7" s="353" t="s">
        <v>45</v>
      </c>
      <c r="O7" s="321" t="s">
        <v>45</v>
      </c>
      <c r="P7" s="19">
        <f>'283ζ'!N5</f>
        <v>219.58994583333333</v>
      </c>
      <c r="Q7" s="19">
        <f>'283ζ'!O5</f>
        <v>263.50793499999997</v>
      </c>
      <c r="R7" s="19">
        <f>'283ζ'!P5</f>
        <v>3908.7010358333332</v>
      </c>
      <c r="S7" s="315"/>
      <c r="T7" s="316"/>
      <c r="U7" s="317"/>
      <c r="V7" s="19">
        <f>'283θ'!AX5</f>
        <v>3.8577989728539985</v>
      </c>
      <c r="W7" s="19">
        <f>'283θ'!AY5</f>
        <v>4.4158400586940569</v>
      </c>
      <c r="X7" s="19">
        <f>'283θ'!AZ5</f>
        <v>4.4138811445341162</v>
      </c>
      <c r="Y7" s="19">
        <f>'283θ'!BA5</f>
        <v>8.3625165077035941</v>
      </c>
      <c r="Z7" s="19">
        <f>'283ι'!N5</f>
        <v>0</v>
      </c>
      <c r="AA7" s="19">
        <f>'283ι'!O5</f>
        <v>0</v>
      </c>
      <c r="AB7" s="19">
        <f>'283ι'!P5</f>
        <v>0</v>
      </c>
      <c r="AC7" s="19">
        <f>'283κ'!N5</f>
        <v>0</v>
      </c>
      <c r="AD7" s="19">
        <f>'283κ'!O5</f>
        <v>0</v>
      </c>
      <c r="AE7" s="19">
        <f>'283κ'!P5</f>
        <v>0</v>
      </c>
      <c r="AF7" s="19">
        <f>'283λ'!N4</f>
        <v>0</v>
      </c>
      <c r="AG7" s="19">
        <f>'283μ'!N4</f>
        <v>0</v>
      </c>
      <c r="AH7" s="19"/>
      <c r="AI7" s="19"/>
      <c r="AJ7" s="19"/>
      <c r="AK7" s="19"/>
      <c r="AL7" s="19"/>
      <c r="AM7" s="19">
        <f>'283ο'!N4</f>
        <v>6577.2062500000002</v>
      </c>
      <c r="AN7" s="19">
        <f>'283π'!N4</f>
        <v>2241.1749999999997</v>
      </c>
      <c r="AO7" s="19">
        <f>'283ρ'!N4</f>
        <v>2850.3606249999998</v>
      </c>
      <c r="AP7" s="240">
        <f>'283σ(11-12)β'!AM4+'283σ(11-12)γ'!AM4+'283σ(11-12)δ'!AM4+'283σ(11-12)ζ'!AM4</f>
        <v>190.1863536316948</v>
      </c>
      <c r="AQ7" s="242">
        <f>'283τ1'!O4+'283τ2'!O4+'283τ(3-4)'!O4+'283τ(5-6)'!O4</f>
        <v>768.68085106382978</v>
      </c>
      <c r="AR7" s="242">
        <f>'283τ(7-8)'!O4</f>
        <v>0</v>
      </c>
      <c r="AS7" s="164">
        <f t="shared" si="0"/>
        <v>17760.410533045975</v>
      </c>
      <c r="AV7" s="16">
        <v>9910.4876000000004</v>
      </c>
    </row>
    <row r="8" spans="1:48">
      <c r="A8" s="29">
        <v>2001</v>
      </c>
      <c r="B8" s="19">
        <f>'283α21'!N5</f>
        <v>0</v>
      </c>
      <c r="C8" s="19">
        <f>'283α23'!N6</f>
        <v>0</v>
      </c>
      <c r="D8" s="19">
        <f>'283α23'!O6</f>
        <v>0</v>
      </c>
      <c r="E8" s="19">
        <f>'283α23'!P6</f>
        <v>0</v>
      </c>
      <c r="F8" s="19">
        <f>'283α23'!Q6</f>
        <v>0</v>
      </c>
      <c r="G8" s="19">
        <f>'283α24-25'!N5</f>
        <v>0</v>
      </c>
      <c r="H8" s="38">
        <f>'283β'!T6</f>
        <v>61.96</v>
      </c>
      <c r="I8" s="38">
        <f>'283β'!V6</f>
        <v>29.669499999999999</v>
      </c>
      <c r="J8" s="38">
        <f>'283β'!X6</f>
        <v>593.39</v>
      </c>
      <c r="K8" s="338"/>
      <c r="L8" s="339"/>
      <c r="M8" s="340"/>
      <c r="N8" s="354"/>
      <c r="O8" s="321"/>
      <c r="P8" s="19">
        <f>'283ζ'!N6</f>
        <v>220.35908750000004</v>
      </c>
      <c r="Q8" s="19">
        <f>'283ζ'!O6</f>
        <v>264.43090500000005</v>
      </c>
      <c r="R8" s="19">
        <f>'283ζ'!P6</f>
        <v>3922.3917575000005</v>
      </c>
      <c r="S8" s="315"/>
      <c r="T8" s="316"/>
      <c r="U8" s="317"/>
      <c r="V8" s="19">
        <f>'283θ'!AX6</f>
        <v>26.319317681584742</v>
      </c>
      <c r="W8" s="19">
        <f>'283θ'!AY6</f>
        <v>18.230388848129127</v>
      </c>
      <c r="X8" s="19">
        <f>'283θ'!AZ6</f>
        <v>11.747168011738811</v>
      </c>
      <c r="Y8" s="19">
        <f>'283θ'!BA6</f>
        <v>0</v>
      </c>
      <c r="Z8" s="19">
        <f>'283ι'!N6</f>
        <v>0</v>
      </c>
      <c r="AA8" s="19">
        <f>'283ι'!O6</f>
        <v>0</v>
      </c>
      <c r="AB8" s="19">
        <f>'283ι'!P6</f>
        <v>0</v>
      </c>
      <c r="AC8" s="19">
        <f>'283κ'!N6</f>
        <v>0</v>
      </c>
      <c r="AD8" s="19">
        <f>'283κ'!O6</f>
        <v>0</v>
      </c>
      <c r="AE8" s="19">
        <f>'283κ'!P6</f>
        <v>0</v>
      </c>
      <c r="AF8" s="19">
        <f>'283λ'!N5</f>
        <v>0</v>
      </c>
      <c r="AG8" s="19">
        <f>'283μ'!N5</f>
        <v>0</v>
      </c>
      <c r="AH8" s="19"/>
      <c r="AI8" s="19"/>
      <c r="AJ8" s="19"/>
      <c r="AK8" s="19"/>
      <c r="AL8" s="19"/>
      <c r="AM8" s="19">
        <f>'283ο'!N5</f>
        <v>6600.2437500000005</v>
      </c>
      <c r="AN8" s="19">
        <f>'283π'!N5</f>
        <v>2249.0250000000001</v>
      </c>
      <c r="AO8" s="19">
        <f>'283ρ'!N5</f>
        <v>2860.3443749999997</v>
      </c>
      <c r="AP8" s="240">
        <f>'283σ(11-12)β'!AM5+'283σ(11-12)γ'!AM5+'283σ(11-12)δ'!AM5+'283σ(11-12)ζ'!AM5</f>
        <v>120.02641232575201</v>
      </c>
      <c r="AQ8" s="242">
        <f>'283τ1'!O5+'283τ2'!O5+'283τ(3-4)'!O5+'283τ(5-6)'!O5</f>
        <v>864.11738811445343</v>
      </c>
      <c r="AR8" s="242">
        <f>'283τ(7-8)'!O5</f>
        <v>0</v>
      </c>
      <c r="AS8" s="164">
        <f t="shared" si="0"/>
        <v>17842.255049981657</v>
      </c>
      <c r="AV8" s="16">
        <v>11307.493899999999</v>
      </c>
    </row>
    <row r="9" spans="1:48">
      <c r="A9" s="29">
        <v>2002</v>
      </c>
      <c r="B9" s="19">
        <f>'283α21'!N6</f>
        <v>0</v>
      </c>
      <c r="C9" s="19">
        <f>'283α23'!N7</f>
        <v>0</v>
      </c>
      <c r="D9" s="19">
        <f>'283α23'!O7</f>
        <v>0</v>
      </c>
      <c r="E9" s="19">
        <f>'283α23'!P7</f>
        <v>0</v>
      </c>
      <c r="F9" s="19">
        <f>'283α23'!Q7</f>
        <v>0</v>
      </c>
      <c r="G9" s="19">
        <f>'283α24-25'!N6</f>
        <v>0</v>
      </c>
      <c r="H9" s="38">
        <f>'283β'!T7</f>
        <v>21.61</v>
      </c>
      <c r="I9" s="38">
        <f>'283β'!V7</f>
        <v>10.348000000000001</v>
      </c>
      <c r="J9" s="38">
        <f>'283β'!X7</f>
        <v>206.96</v>
      </c>
      <c r="K9" s="338"/>
      <c r="L9" s="339"/>
      <c r="M9" s="340"/>
      <c r="N9" s="355"/>
      <c r="O9" s="321"/>
      <c r="P9" s="19">
        <f>'283ζ'!N7</f>
        <v>250.35561250000001</v>
      </c>
      <c r="Q9" s="19">
        <f>'283ζ'!O7</f>
        <v>300.42673500000001</v>
      </c>
      <c r="R9" s="19">
        <f>'283ζ'!P7</f>
        <v>4456.3299025000006</v>
      </c>
      <c r="S9" s="315"/>
      <c r="T9" s="316"/>
      <c r="U9" s="317"/>
      <c r="V9" s="19">
        <f>'283θ'!AX7</f>
        <v>0</v>
      </c>
      <c r="W9" s="19">
        <f>'283θ'!AY7</f>
        <v>0</v>
      </c>
      <c r="X9" s="19">
        <f>'283θ'!AZ7</f>
        <v>0</v>
      </c>
      <c r="Y9" s="19">
        <f>'283θ'!BA7</f>
        <v>0</v>
      </c>
      <c r="Z9" s="19">
        <f>'283ι'!N7</f>
        <v>0</v>
      </c>
      <c r="AA9" s="19">
        <f>'283ι'!O7</f>
        <v>0</v>
      </c>
      <c r="AB9" s="19">
        <f>'283ι'!P7</f>
        <v>0</v>
      </c>
      <c r="AC9" s="19">
        <f>'283κ'!N7</f>
        <v>0</v>
      </c>
      <c r="AD9" s="19">
        <f>'283κ'!O7</f>
        <v>0</v>
      </c>
      <c r="AE9" s="19">
        <f>'283κ'!P7</f>
        <v>0</v>
      </c>
      <c r="AF9" s="19">
        <f>'283λ'!N6</f>
        <v>0</v>
      </c>
      <c r="AG9" s="19">
        <f>'283μ'!N6</f>
        <v>0</v>
      </c>
      <c r="AH9" s="19"/>
      <c r="AI9" s="19"/>
      <c r="AJ9" s="19"/>
      <c r="AK9" s="19"/>
      <c r="AL9" s="19"/>
      <c r="AM9" s="19">
        <f>'283ο'!N6</f>
        <v>7498.7062500000002</v>
      </c>
      <c r="AN9" s="19">
        <f>'283π'!N6</f>
        <v>2555.1749999999997</v>
      </c>
      <c r="AO9" s="19">
        <f>'283ρ'!N6</f>
        <v>3249.7106249999997</v>
      </c>
      <c r="AP9" s="240">
        <f>'283σ(11-12)β'!AM6+'283σ(11-12)γ'!AM6+'283σ(11-12)δ'!AM6+'283σ(11-12)ζ'!AM6</f>
        <v>11.651606749816581</v>
      </c>
      <c r="AQ9" s="242">
        <f>'283τ1'!O6+'283τ2'!O6+'283τ(3-4)'!O6+'283τ(5-6)'!O6</f>
        <v>1494.6016140865736</v>
      </c>
      <c r="AR9" s="242">
        <f>'283τ(7-8)'!O6</f>
        <v>0</v>
      </c>
      <c r="AS9" s="164">
        <f t="shared" si="0"/>
        <v>20055.87534583639</v>
      </c>
      <c r="AV9" s="16">
        <v>10353.5309</v>
      </c>
    </row>
    <row r="10" spans="1:48" ht="15" customHeight="1">
      <c r="A10" s="29">
        <v>2003</v>
      </c>
      <c r="B10" s="19">
        <f>'283α21'!N7</f>
        <v>0</v>
      </c>
      <c r="C10" s="19">
        <f>'283α23'!N8</f>
        <v>0</v>
      </c>
      <c r="D10" s="19">
        <f>'283α23'!O8</f>
        <v>0</v>
      </c>
      <c r="E10" s="19">
        <f>'283α23'!P8</f>
        <v>0</v>
      </c>
      <c r="F10" s="19">
        <f>'283α23'!Q8</f>
        <v>0</v>
      </c>
      <c r="G10" s="19">
        <f>'283α24-25'!N7</f>
        <v>0</v>
      </c>
      <c r="H10" s="326" t="s">
        <v>45</v>
      </c>
      <c r="I10" s="327"/>
      <c r="J10" s="328"/>
      <c r="K10" s="338"/>
      <c r="L10" s="339"/>
      <c r="M10" s="340"/>
      <c r="N10" s="322" t="s">
        <v>53</v>
      </c>
      <c r="O10" s="322" t="s">
        <v>53</v>
      </c>
      <c r="P10" s="19">
        <f>'283ζ'!N8</f>
        <v>370.34171250000003</v>
      </c>
      <c r="Q10" s="19">
        <f>'283ζ'!O8</f>
        <v>444.410055</v>
      </c>
      <c r="R10" s="19">
        <f>'283ζ'!P8</f>
        <v>6592.0824825</v>
      </c>
      <c r="S10" s="315"/>
      <c r="T10" s="316"/>
      <c r="U10" s="317"/>
      <c r="V10" s="19">
        <f>'283θ'!AX8</f>
        <v>0</v>
      </c>
      <c r="W10" s="19">
        <f>'283θ'!AY8</f>
        <v>0</v>
      </c>
      <c r="X10" s="19">
        <f>'283θ'!AZ8</f>
        <v>0</v>
      </c>
      <c r="Y10" s="19">
        <f>'283θ'!BA8</f>
        <v>0</v>
      </c>
      <c r="Z10" s="19">
        <f>'283ι'!N8</f>
        <v>0</v>
      </c>
      <c r="AA10" s="19">
        <f>'283ι'!O8</f>
        <v>0</v>
      </c>
      <c r="AB10" s="19">
        <f>'283ι'!P8</f>
        <v>0</v>
      </c>
      <c r="AC10" s="19">
        <f>'283κ'!N8</f>
        <v>0</v>
      </c>
      <c r="AD10" s="19">
        <f>'283κ'!O8</f>
        <v>0</v>
      </c>
      <c r="AE10" s="19">
        <f>'283κ'!P8</f>
        <v>0</v>
      </c>
      <c r="AF10" s="19">
        <f>'283λ'!N7</f>
        <v>0</v>
      </c>
      <c r="AG10" s="19">
        <f>'283μ'!N7</f>
        <v>0</v>
      </c>
      <c r="AH10" s="19"/>
      <c r="AI10" s="19"/>
      <c r="AJ10" s="19"/>
      <c r="AK10" s="19"/>
      <c r="AL10" s="19"/>
      <c r="AM10" s="19">
        <f>'283ο'!N7</f>
        <v>11092.556250000001</v>
      </c>
      <c r="AN10" s="19">
        <f>'283π'!N7</f>
        <v>3779.7749999999996</v>
      </c>
      <c r="AO10" s="19">
        <f>'283ρ'!N7</f>
        <v>4807.1756249999999</v>
      </c>
      <c r="AP10" s="240">
        <f>'283σ(11-12)β'!AM7+'283σ(11-12)γ'!AM7+'283σ(11-12)δ'!AM7+'283σ(11-12)ζ'!AM7</f>
        <v>79.459999999999994</v>
      </c>
      <c r="AQ10" s="242">
        <f>'283τ1'!O7+'283τ2'!O7+'283τ(3-4)'!O7+'283τ(5-6)'!O7</f>
        <v>1649</v>
      </c>
      <c r="AR10" s="242">
        <f>'283τ(7-8)'!O7</f>
        <v>0</v>
      </c>
      <c r="AS10" s="164">
        <f t="shared" si="0"/>
        <v>28814.801125000002</v>
      </c>
      <c r="AV10" s="16">
        <v>12636.1121</v>
      </c>
    </row>
    <row r="11" spans="1:48">
      <c r="A11" s="29">
        <v>2004</v>
      </c>
      <c r="B11" s="19">
        <f>'283α21'!N8</f>
        <v>0</v>
      </c>
      <c r="C11" s="19">
        <f>'283α23'!N9</f>
        <v>0</v>
      </c>
      <c r="D11" s="19">
        <f>'283α23'!O9</f>
        <v>0</v>
      </c>
      <c r="E11" s="19">
        <f>'283α23'!P9</f>
        <v>0</v>
      </c>
      <c r="F11" s="19">
        <f>'283α23'!Q9</f>
        <v>0</v>
      </c>
      <c r="G11" s="19">
        <f>'283α24-25'!N8</f>
        <v>0</v>
      </c>
      <c r="H11" s="329"/>
      <c r="I11" s="330"/>
      <c r="J11" s="331"/>
      <c r="K11" s="338"/>
      <c r="L11" s="339"/>
      <c r="M11" s="340"/>
      <c r="N11" s="323"/>
      <c r="O11" s="323"/>
      <c r="P11" s="19">
        <f>'283ζ'!N9</f>
        <v>378.41770000000002</v>
      </c>
      <c r="Q11" s="19">
        <f>'283ζ'!O9</f>
        <v>454.10124000000002</v>
      </c>
      <c r="R11" s="19">
        <f>'283ζ'!P9</f>
        <v>6735.8350600000003</v>
      </c>
      <c r="S11" s="315"/>
      <c r="T11" s="316"/>
      <c r="U11" s="317"/>
      <c r="V11" s="19">
        <f>'283θ'!AX9</f>
        <v>0</v>
      </c>
      <c r="W11" s="19">
        <f>'283θ'!AY9</f>
        <v>0</v>
      </c>
      <c r="X11" s="19">
        <f>'283θ'!AZ9</f>
        <v>0</v>
      </c>
      <c r="Y11" s="19">
        <f>'283θ'!BA9</f>
        <v>0</v>
      </c>
      <c r="Z11" s="19">
        <f>'283ι'!N9</f>
        <v>0</v>
      </c>
      <c r="AA11" s="19">
        <f>'283ι'!O9</f>
        <v>0</v>
      </c>
      <c r="AB11" s="19">
        <f>'283ι'!P9</f>
        <v>0</v>
      </c>
      <c r="AC11" s="19">
        <f>'283κ'!N9</f>
        <v>0</v>
      </c>
      <c r="AD11" s="19">
        <f>'283κ'!O9</f>
        <v>0</v>
      </c>
      <c r="AE11" s="19">
        <f>'283κ'!P9</f>
        <v>0</v>
      </c>
      <c r="AF11" s="19">
        <f>'283λ'!N8</f>
        <v>0</v>
      </c>
      <c r="AG11" s="19">
        <f>'283μ'!N8</f>
        <v>0</v>
      </c>
      <c r="AH11" s="19"/>
      <c r="AI11" s="19"/>
      <c r="AJ11" s="19"/>
      <c r="AK11" s="19"/>
      <c r="AL11" s="19"/>
      <c r="AM11" s="19">
        <f>'283ο'!N8</f>
        <v>11334.45</v>
      </c>
      <c r="AN11" s="19">
        <f>'283π'!N8</f>
        <v>3862.2</v>
      </c>
      <c r="AO11" s="19">
        <f>'283ρ'!N8</f>
        <v>4912.0049999999992</v>
      </c>
      <c r="AP11" s="241"/>
      <c r="AQ11" s="242">
        <f>'283τ1'!O8+'283τ2'!O8+'283τ(3-4)'!O8+'283τ(5-6)'!O8</f>
        <v>1968</v>
      </c>
      <c r="AR11" s="242">
        <f>'283τ(7-8)'!O8</f>
        <v>0</v>
      </c>
      <c r="AS11" s="164">
        <f t="shared" si="0"/>
        <v>29645.008999999998</v>
      </c>
      <c r="AV11" s="16">
        <v>12355.162100000001</v>
      </c>
    </row>
    <row r="12" spans="1:48">
      <c r="A12" s="29">
        <v>2005</v>
      </c>
      <c r="B12" s="19">
        <f>'283α21'!N9</f>
        <v>0</v>
      </c>
      <c r="C12" s="19">
        <f>'283α23'!N10</f>
        <v>0</v>
      </c>
      <c r="D12" s="19">
        <f>'283α23'!O10</f>
        <v>0</v>
      </c>
      <c r="E12" s="19">
        <f>'283α23'!P10</f>
        <v>0</v>
      </c>
      <c r="F12" s="19">
        <f>'283α23'!Q10</f>
        <v>0</v>
      </c>
      <c r="G12" s="19">
        <f>'283α24-25'!N9</f>
        <v>0</v>
      </c>
      <c r="H12" s="329"/>
      <c r="I12" s="330"/>
      <c r="J12" s="331"/>
      <c r="K12" s="338"/>
      <c r="L12" s="339"/>
      <c r="M12" s="340"/>
      <c r="N12" s="323"/>
      <c r="O12" s="323"/>
      <c r="P12" s="19">
        <f>'283ζ'!N10</f>
        <v>405.72222916666669</v>
      </c>
      <c r="Q12" s="19">
        <f>'283ζ'!O10</f>
        <v>486.86667499999999</v>
      </c>
      <c r="R12" s="19">
        <f>'283ζ'!P10</f>
        <v>7221.855679166667</v>
      </c>
      <c r="S12" s="315"/>
      <c r="T12" s="316"/>
      <c r="U12" s="317"/>
      <c r="V12" s="19">
        <f>'283θ'!AX10</f>
        <v>0</v>
      </c>
      <c r="W12" s="19">
        <f>'283θ'!AY10</f>
        <v>0</v>
      </c>
      <c r="X12" s="19">
        <f>'283θ'!AZ10</f>
        <v>0</v>
      </c>
      <c r="Y12" s="19">
        <f>'283θ'!BA10</f>
        <v>0</v>
      </c>
      <c r="Z12" s="19">
        <f>'283ι'!N10</f>
        <v>0</v>
      </c>
      <c r="AA12" s="19">
        <f>'283ι'!O10</f>
        <v>0</v>
      </c>
      <c r="AB12" s="19">
        <f>'283ι'!P10</f>
        <v>0</v>
      </c>
      <c r="AC12" s="19">
        <f>'283κ'!N10</f>
        <v>0</v>
      </c>
      <c r="AD12" s="19">
        <f>'283κ'!O10</f>
        <v>0</v>
      </c>
      <c r="AE12" s="19">
        <f>'283κ'!P10</f>
        <v>0</v>
      </c>
      <c r="AF12" s="19">
        <f>'283λ'!N9</f>
        <v>0</v>
      </c>
      <c r="AG12" s="19">
        <f>'283μ'!N9</f>
        <v>0</v>
      </c>
      <c r="AH12" s="19"/>
      <c r="AI12" s="19"/>
      <c r="AJ12" s="19"/>
      <c r="AK12" s="19"/>
      <c r="AL12" s="19"/>
      <c r="AM12" s="19">
        <f>'283ο'!N9</f>
        <v>12152.28125</v>
      </c>
      <c r="AN12" s="19">
        <f>'283π'!N9</f>
        <v>4140.875</v>
      </c>
      <c r="AO12" s="19">
        <f>'283ρ'!N9</f>
        <v>5266.4281249999995</v>
      </c>
      <c r="AP12" s="241"/>
      <c r="AQ12" s="242">
        <f>'283τ1'!O9+'283τ2'!O9+'283τ(3-4)'!O9+'283τ(5-6)'!O9</f>
        <v>2111.5</v>
      </c>
      <c r="AR12" s="242">
        <f>'283τ(7-8)'!O9</f>
        <v>0</v>
      </c>
      <c r="AS12" s="164">
        <f t="shared" si="0"/>
        <v>31785.528958333332</v>
      </c>
      <c r="AV12" s="16">
        <v>14076.1991</v>
      </c>
    </row>
    <row r="13" spans="1:48">
      <c r="A13" s="29">
        <v>2006</v>
      </c>
      <c r="B13" s="19">
        <f>'283α21'!N10</f>
        <v>0</v>
      </c>
      <c r="C13" s="19">
        <f>'283α23'!N11</f>
        <v>0</v>
      </c>
      <c r="D13" s="19">
        <f>'283α23'!O11</f>
        <v>0</v>
      </c>
      <c r="E13" s="19">
        <f>'283α23'!P11</f>
        <v>0</v>
      </c>
      <c r="F13" s="19">
        <f>'283α23'!Q11</f>
        <v>0</v>
      </c>
      <c r="G13" s="19">
        <f>'283α24-25'!N10</f>
        <v>0</v>
      </c>
      <c r="H13" s="332"/>
      <c r="I13" s="333"/>
      <c r="J13" s="334"/>
      <c r="K13" s="341"/>
      <c r="L13" s="342"/>
      <c r="M13" s="343"/>
      <c r="N13" s="324"/>
      <c r="O13" s="324"/>
      <c r="P13" s="19">
        <f>'283ζ'!N11</f>
        <v>513.16362858333343</v>
      </c>
      <c r="Q13" s="19">
        <f>'283ζ'!O11</f>
        <v>615.79635430000008</v>
      </c>
      <c r="R13" s="19">
        <f>'283ζ'!P11</f>
        <v>9134.3125887833357</v>
      </c>
      <c r="S13" s="315"/>
      <c r="T13" s="316"/>
      <c r="U13" s="317"/>
      <c r="V13" s="19">
        <f>'283θ'!AX11</f>
        <v>0</v>
      </c>
      <c r="W13" s="19">
        <f>'283θ'!AY11</f>
        <v>0</v>
      </c>
      <c r="X13" s="19">
        <f>'283θ'!AZ11</f>
        <v>0</v>
      </c>
      <c r="Y13" s="19">
        <f>'283θ'!BA11</f>
        <v>0</v>
      </c>
      <c r="Z13" s="19">
        <f>'283ι'!N11</f>
        <v>0</v>
      </c>
      <c r="AA13" s="19">
        <f>'283ι'!O11</f>
        <v>0</v>
      </c>
      <c r="AB13" s="19">
        <f>'283ι'!P11</f>
        <v>0</v>
      </c>
      <c r="AC13" s="19">
        <f>'283κ'!N11</f>
        <v>0</v>
      </c>
      <c r="AD13" s="19">
        <f>'283κ'!O11</f>
        <v>0</v>
      </c>
      <c r="AE13" s="19">
        <f>'283κ'!P11</f>
        <v>0</v>
      </c>
      <c r="AF13" s="19">
        <f>'283λ'!N10</f>
        <v>0</v>
      </c>
      <c r="AG13" s="19">
        <f>'283μ'!N10</f>
        <v>0</v>
      </c>
      <c r="AH13" s="19"/>
      <c r="AI13" s="19"/>
      <c r="AJ13" s="19"/>
      <c r="AK13" s="19"/>
      <c r="AL13" s="19"/>
      <c r="AM13" s="19">
        <f>'283ο'!N10</f>
        <v>30516.394000000004</v>
      </c>
      <c r="AN13" s="19">
        <f>'283π'!N10</f>
        <v>10398.424000000001</v>
      </c>
      <c r="AO13" s="19">
        <f>'283ρ'!N10</f>
        <v>13224.874599999999</v>
      </c>
      <c r="AP13" s="241"/>
      <c r="AQ13" s="242">
        <f>'283τ1'!O10+'283τ2'!O10+'283τ(3-4)'!O10+'283τ(5-6)'!O10</f>
        <v>2063.5</v>
      </c>
      <c r="AR13" s="242">
        <f>'283τ(7-8)'!O10</f>
        <v>0</v>
      </c>
      <c r="AS13" s="164">
        <f t="shared" si="0"/>
        <v>66466.46517166667</v>
      </c>
      <c r="AV13" s="16">
        <v>16387.1335</v>
      </c>
    </row>
    <row r="14" spans="1:48">
      <c r="A14" s="29">
        <v>2007</v>
      </c>
      <c r="B14" s="19">
        <f>'283α21'!N11</f>
        <v>0</v>
      </c>
      <c r="C14" s="19">
        <f>'283α23'!N12</f>
        <v>0</v>
      </c>
      <c r="D14" s="19">
        <f>'283α23'!O12</f>
        <v>0</v>
      </c>
      <c r="E14" s="19">
        <f>'283α23'!P12</f>
        <v>0</v>
      </c>
      <c r="F14" s="19">
        <f>'283α23'!Q12</f>
        <v>0</v>
      </c>
      <c r="G14" s="19">
        <f>'283α24-25'!N11</f>
        <v>0</v>
      </c>
      <c r="H14" s="38">
        <f>'283β'!T12</f>
        <v>451.28</v>
      </c>
      <c r="I14" s="38">
        <f>'283β'!V12</f>
        <v>213.10450000000003</v>
      </c>
      <c r="J14" s="38">
        <f>'283β'!X12</f>
        <v>4262.09</v>
      </c>
      <c r="K14" s="19">
        <f>'283γ'!N12</f>
        <v>0</v>
      </c>
      <c r="L14" s="19">
        <f>'283γ'!O12</f>
        <v>0</v>
      </c>
      <c r="M14" s="19">
        <f>'283γ'!P12</f>
        <v>0</v>
      </c>
      <c r="N14" s="19">
        <f>'283δ'!N11</f>
        <v>0</v>
      </c>
      <c r="O14" s="19">
        <f>'283ε'!N11</f>
        <v>0</v>
      </c>
      <c r="P14" s="19">
        <f>'283ζ'!N12</f>
        <v>491.56228487500016</v>
      </c>
      <c r="Q14" s="19">
        <f>'283ζ'!O12</f>
        <v>589.87474185000008</v>
      </c>
      <c r="R14" s="19">
        <f>'283ζ'!P12</f>
        <v>8749.8086707750026</v>
      </c>
      <c r="S14" s="315"/>
      <c r="T14" s="316"/>
      <c r="U14" s="317"/>
      <c r="V14" s="19">
        <f>'283θ'!AX12</f>
        <v>0</v>
      </c>
      <c r="W14" s="19">
        <f>'283θ'!AY12</f>
        <v>0</v>
      </c>
      <c r="X14" s="19">
        <f>'283θ'!AZ12</f>
        <v>0</v>
      </c>
      <c r="Y14" s="19">
        <f>'283θ'!BA12</f>
        <v>0</v>
      </c>
      <c r="Z14" s="19">
        <f>'283ι'!N12</f>
        <v>0</v>
      </c>
      <c r="AA14" s="19">
        <f>'283ι'!O12</f>
        <v>0</v>
      </c>
      <c r="AB14" s="19">
        <f>'283ι'!P12</f>
        <v>0</v>
      </c>
      <c r="AC14" s="19">
        <f>'283κ'!N12</f>
        <v>0</v>
      </c>
      <c r="AD14" s="19">
        <f>'283κ'!O12</f>
        <v>0</v>
      </c>
      <c r="AE14" s="19">
        <f>'283κ'!P12</f>
        <v>0</v>
      </c>
      <c r="AF14" s="19">
        <f>'283λ'!N11</f>
        <v>0</v>
      </c>
      <c r="AG14" s="19">
        <f>'283μ'!N11</f>
        <v>0</v>
      </c>
      <c r="AH14" s="19"/>
      <c r="AI14" s="19"/>
      <c r="AJ14" s="19"/>
      <c r="AK14" s="19"/>
      <c r="AL14" s="19"/>
      <c r="AM14" s="19">
        <f>'283ο'!N11</f>
        <v>29231.823000000008</v>
      </c>
      <c r="AN14" s="19">
        <f>'283π'!N11</f>
        <v>9960.7080000000005</v>
      </c>
      <c r="AO14" s="19">
        <f>'283ρ'!N11</f>
        <v>12668.180699999999</v>
      </c>
      <c r="AP14" s="241"/>
      <c r="AQ14" s="242">
        <f>'283τ1'!O11+'283τ2'!O11+'283τ(3-4)'!O11+'283τ(5-6)'!O11</f>
        <v>1993</v>
      </c>
      <c r="AR14" s="242">
        <f>'283τ(7-8)'!O11</f>
        <v>0</v>
      </c>
      <c r="AS14" s="164">
        <f t="shared" si="0"/>
        <v>68611.431897500006</v>
      </c>
      <c r="AV14" s="16">
        <v>23056.265299999999</v>
      </c>
    </row>
    <row r="15" spans="1:48">
      <c r="A15" s="29">
        <v>2008</v>
      </c>
      <c r="B15" s="19">
        <f>'283α21'!N12</f>
        <v>0</v>
      </c>
      <c r="C15" s="19">
        <f>'283α23'!N13</f>
        <v>0</v>
      </c>
      <c r="D15" s="19">
        <f>'283α23'!O13</f>
        <v>0</v>
      </c>
      <c r="E15" s="19">
        <f>'283α23'!P13</f>
        <v>0</v>
      </c>
      <c r="F15" s="19">
        <f>'283α23'!Q13</f>
        <v>0</v>
      </c>
      <c r="G15" s="19">
        <f>'283α24-25'!N12</f>
        <v>0</v>
      </c>
      <c r="H15" s="38">
        <f>'283β'!T13</f>
        <v>370.44</v>
      </c>
      <c r="I15" s="38">
        <f>'283β'!V13</f>
        <v>174.93</v>
      </c>
      <c r="J15" s="38">
        <f>'283β'!X13</f>
        <v>3498.6</v>
      </c>
      <c r="K15" s="19">
        <f>'283γ'!N13</f>
        <v>0</v>
      </c>
      <c r="L15" s="19">
        <f>'283γ'!O13</f>
        <v>0</v>
      </c>
      <c r="M15" s="19">
        <f>'283γ'!P13</f>
        <v>0</v>
      </c>
      <c r="N15" s="19">
        <f>'283δ'!N12</f>
        <v>0</v>
      </c>
      <c r="O15" s="19">
        <f>'283ε'!N12</f>
        <v>0</v>
      </c>
      <c r="P15" s="19">
        <f>'283ζ'!N13</f>
        <v>463.63859666666667</v>
      </c>
      <c r="Q15" s="19">
        <f>'283ζ'!O13</f>
        <v>556.36631599999998</v>
      </c>
      <c r="R15" s="19">
        <f>'283ζ'!P13</f>
        <v>8252.7670206666662</v>
      </c>
      <c r="S15" s="318"/>
      <c r="T15" s="319"/>
      <c r="U15" s="320"/>
      <c r="V15" s="19">
        <f>'283θ'!AX13</f>
        <v>0</v>
      </c>
      <c r="W15" s="19">
        <f>'283θ'!AY13</f>
        <v>0</v>
      </c>
      <c r="X15" s="19">
        <f>'283θ'!AZ13</f>
        <v>0</v>
      </c>
      <c r="Y15" s="19">
        <f>'283θ'!BA13</f>
        <v>0</v>
      </c>
      <c r="Z15" s="19">
        <f>'283ι'!N13</f>
        <v>0</v>
      </c>
      <c r="AA15" s="19">
        <f>'283ι'!O13</f>
        <v>0</v>
      </c>
      <c r="AB15" s="19">
        <f>'283ι'!P13</f>
        <v>0</v>
      </c>
      <c r="AC15" s="19">
        <f>'283κ'!N13</f>
        <v>0</v>
      </c>
      <c r="AD15" s="19">
        <f>'283κ'!O13</f>
        <v>0</v>
      </c>
      <c r="AE15" s="19">
        <f>'283κ'!P13</f>
        <v>0</v>
      </c>
      <c r="AF15" s="19">
        <f>'283λ'!N12</f>
        <v>0</v>
      </c>
      <c r="AG15" s="19">
        <f>'283μ'!N12</f>
        <v>0</v>
      </c>
      <c r="AH15" s="19"/>
      <c r="AI15" s="19"/>
      <c r="AJ15" s="19"/>
      <c r="AK15" s="19"/>
      <c r="AL15" s="19"/>
      <c r="AM15" s="19">
        <f>'283ο'!N12</f>
        <v>27571.280000000002</v>
      </c>
      <c r="AN15" s="19">
        <f>'283π'!N12</f>
        <v>9394.880000000001</v>
      </c>
      <c r="AO15" s="19">
        <f>'283ρ'!N12</f>
        <v>11948.552</v>
      </c>
      <c r="AP15" s="241"/>
      <c r="AQ15" s="242">
        <f>'283τ1'!O12+'283τ2'!O12+'283τ(3-4)'!O12+'283τ(5-6)'!O12</f>
        <v>1960</v>
      </c>
      <c r="AR15" s="242">
        <f>'283τ(7-8)'!O12</f>
        <v>0</v>
      </c>
      <c r="AS15" s="164">
        <f t="shared" si="0"/>
        <v>64191.453933333338</v>
      </c>
      <c r="AV15" s="16">
        <v>25455.710200000001</v>
      </c>
    </row>
    <row r="16" spans="1:48">
      <c r="A16" s="29">
        <v>2009</v>
      </c>
      <c r="B16" s="19">
        <f>'283α21'!N13</f>
        <v>0</v>
      </c>
      <c r="C16" s="19">
        <f>'283α23'!N14</f>
        <v>0</v>
      </c>
      <c r="D16" s="19">
        <f>'283α23'!O14</f>
        <v>0</v>
      </c>
      <c r="E16" s="19">
        <f>'283α23'!P14</f>
        <v>0</v>
      </c>
      <c r="F16" s="19">
        <f>'283α23'!Q14</f>
        <v>0</v>
      </c>
      <c r="G16" s="19">
        <f>'283α24-25'!N13</f>
        <v>0</v>
      </c>
      <c r="H16" s="38">
        <f>'283β'!T14</f>
        <v>377.28</v>
      </c>
      <c r="I16" s="38">
        <f>'283β'!V14</f>
        <v>178.16</v>
      </c>
      <c r="J16" s="38">
        <f>'283β'!X14</f>
        <v>3563.2</v>
      </c>
      <c r="K16" s="19">
        <f>'283γ'!N14</f>
        <v>0</v>
      </c>
      <c r="L16" s="19">
        <f>'283γ'!O14</f>
        <v>0</v>
      </c>
      <c r="M16" s="19">
        <f>'283γ'!P14</f>
        <v>0</v>
      </c>
      <c r="N16" s="19">
        <f>'283δ'!N13</f>
        <v>0</v>
      </c>
      <c r="O16" s="19">
        <f>'283ε'!N13</f>
        <v>0</v>
      </c>
      <c r="P16" s="19">
        <f>'283ζ'!N14</f>
        <v>475.75642362500002</v>
      </c>
      <c r="Q16" s="19">
        <f>'283ζ'!O14</f>
        <v>570.90770835000001</v>
      </c>
      <c r="R16" s="19">
        <f>'283ζ'!P14</f>
        <v>8468.4643405250008</v>
      </c>
      <c r="S16" s="19">
        <f>'283η'!N14</f>
        <v>0</v>
      </c>
      <c r="T16" s="19">
        <f>'283η'!O14</f>
        <v>0</v>
      </c>
      <c r="U16" s="19">
        <f>'283η'!P14</f>
        <v>0</v>
      </c>
      <c r="V16" s="19">
        <f>'283θ'!AX14</f>
        <v>0</v>
      </c>
      <c r="W16" s="19">
        <f>'283θ'!AY14</f>
        <v>0</v>
      </c>
      <c r="X16" s="19">
        <f>'283θ'!AZ14</f>
        <v>0</v>
      </c>
      <c r="Y16" s="19">
        <f>'283θ'!BA14</f>
        <v>0</v>
      </c>
      <c r="Z16" s="19">
        <f>'283ι'!N14</f>
        <v>0</v>
      </c>
      <c r="AA16" s="19">
        <f>'283ι'!O14</f>
        <v>0</v>
      </c>
      <c r="AB16" s="19">
        <f>'283ι'!P14</f>
        <v>0</v>
      </c>
      <c r="AC16" s="19">
        <f>'283κ'!N14</f>
        <v>0</v>
      </c>
      <c r="AD16" s="19">
        <f>'283κ'!O14</f>
        <v>0</v>
      </c>
      <c r="AE16" s="19">
        <f>'283κ'!P14</f>
        <v>0</v>
      </c>
      <c r="AF16" s="19">
        <f>'283λ'!N13</f>
        <v>0</v>
      </c>
      <c r="AG16" s="19">
        <f>'283μ'!N13</f>
        <v>0</v>
      </c>
      <c r="AH16" s="19"/>
      <c r="AI16" s="19"/>
      <c r="AJ16" s="19"/>
      <c r="AK16" s="19"/>
      <c r="AL16" s="19"/>
      <c r="AM16" s="19">
        <f>'283ο'!N13</f>
        <v>28291.893000000007</v>
      </c>
      <c r="AN16" s="19">
        <f>'283π'!N13</f>
        <v>9640.4279999999999</v>
      </c>
      <c r="AO16" s="19">
        <f>'283ρ'!N13</f>
        <v>12260.843699999998</v>
      </c>
      <c r="AP16" s="241"/>
      <c r="AQ16" s="242">
        <f>'283τ1'!O13+'283τ2'!O13+'283τ(3-4)'!O13+'283τ(5-6)'!O13</f>
        <v>1622.5</v>
      </c>
      <c r="AR16" s="242">
        <f>'283τ(7-8)'!O13</f>
        <v>0</v>
      </c>
      <c r="AS16" s="164">
        <f t="shared" si="0"/>
        <v>65449.433172500008</v>
      </c>
      <c r="AV16" s="16">
        <v>21910.849000000002</v>
      </c>
    </row>
    <row r="17" spans="1:48">
      <c r="A17" s="29">
        <v>2010</v>
      </c>
      <c r="B17" s="19">
        <f>'283α21'!N14</f>
        <v>0</v>
      </c>
      <c r="C17" s="19">
        <f>'283α23'!N15</f>
        <v>0</v>
      </c>
      <c r="D17" s="19">
        <f>'283α23'!O15</f>
        <v>0</v>
      </c>
      <c r="E17" s="19">
        <f>'283α23'!P15</f>
        <v>0</v>
      </c>
      <c r="F17" s="19">
        <f>'283α23'!Q15</f>
        <v>0</v>
      </c>
      <c r="G17" s="19">
        <f>'283α24-25'!N14</f>
        <v>0</v>
      </c>
      <c r="H17" s="38">
        <f>'283β'!T15</f>
        <v>536.79999999999995</v>
      </c>
      <c r="I17" s="38">
        <f>'283β'!V15</f>
        <v>253.489</v>
      </c>
      <c r="J17" s="38">
        <f>'283β'!X15</f>
        <v>5069.78</v>
      </c>
      <c r="K17" s="19">
        <f>'283γ'!N15</f>
        <v>0</v>
      </c>
      <c r="L17" s="19">
        <f>'283γ'!O15</f>
        <v>0</v>
      </c>
      <c r="M17" s="19">
        <f>'283γ'!P15</f>
        <v>0</v>
      </c>
      <c r="N17" s="19">
        <f>'283δ'!N14</f>
        <v>0</v>
      </c>
      <c r="O17" s="19">
        <f>'283ε'!N14</f>
        <v>0</v>
      </c>
      <c r="P17" s="19">
        <f>'283ζ'!N15</f>
        <v>476.17560583333329</v>
      </c>
      <c r="Q17" s="19">
        <f>'283ζ'!O15</f>
        <v>571.41072699999984</v>
      </c>
      <c r="R17" s="19">
        <f>'283ζ'!P15</f>
        <v>8475.9257838333324</v>
      </c>
      <c r="S17" s="19">
        <f>'283η'!N15</f>
        <v>0</v>
      </c>
      <c r="T17" s="19">
        <f>'283η'!O15</f>
        <v>0</v>
      </c>
      <c r="U17" s="19">
        <f>'283η'!P15</f>
        <v>0</v>
      </c>
      <c r="V17" s="19">
        <f>'283θ'!AX15</f>
        <v>0</v>
      </c>
      <c r="W17" s="19">
        <f>'283θ'!AY15</f>
        <v>0</v>
      </c>
      <c r="X17" s="19">
        <f>'283θ'!AZ15</f>
        <v>0</v>
      </c>
      <c r="Y17" s="19">
        <f>'283θ'!BA15</f>
        <v>0</v>
      </c>
      <c r="Z17" s="19">
        <f>'283ι'!N15</f>
        <v>0</v>
      </c>
      <c r="AA17" s="19">
        <f>'283ι'!O15</f>
        <v>0</v>
      </c>
      <c r="AB17" s="19">
        <f>'283ι'!P15</f>
        <v>0</v>
      </c>
      <c r="AC17" s="19">
        <f>'283κ'!N15</f>
        <v>0</v>
      </c>
      <c r="AD17" s="19">
        <f>'283κ'!O15</f>
        <v>0</v>
      </c>
      <c r="AE17" s="19">
        <f>'283κ'!P15</f>
        <v>0</v>
      </c>
      <c r="AF17" s="19">
        <f>'283λ'!N14</f>
        <v>0</v>
      </c>
      <c r="AG17" s="19">
        <f>'283μ'!N14</f>
        <v>0</v>
      </c>
      <c r="AH17" s="19"/>
      <c r="AI17" s="19"/>
      <c r="AJ17" s="19"/>
      <c r="AK17" s="19"/>
      <c r="AL17" s="19"/>
      <c r="AM17" s="19">
        <f>'283ο'!N14</f>
        <v>28385.886000000002</v>
      </c>
      <c r="AN17" s="19">
        <f>'283π'!N14</f>
        <v>9672.4560000000001</v>
      </c>
      <c r="AO17" s="19">
        <f>'283ρ'!N14</f>
        <v>12301.577399999998</v>
      </c>
      <c r="AP17" s="241"/>
      <c r="AQ17" s="242">
        <f>'283τ1'!O14+'283τ2'!O14+'283τ(3-4)'!O14+'283τ(5-6)'!O14</f>
        <v>1409</v>
      </c>
      <c r="AR17" s="242">
        <f>'283τ(7-8)'!O14</f>
        <v>0</v>
      </c>
      <c r="AS17" s="164">
        <f t="shared" si="0"/>
        <v>67152.500516666667</v>
      </c>
      <c r="AV17" s="16">
        <v>23462.284</v>
      </c>
    </row>
    <row r="18" spans="1:48">
      <c r="A18" s="29">
        <v>2011</v>
      </c>
      <c r="B18" s="19">
        <f>'283α21'!N15</f>
        <v>0</v>
      </c>
      <c r="C18" s="19">
        <f>'283α23'!N16</f>
        <v>0</v>
      </c>
      <c r="D18" s="19">
        <f>'283α23'!O16</f>
        <v>0</v>
      </c>
      <c r="E18" s="19">
        <f>'283α23'!P16</f>
        <v>0</v>
      </c>
      <c r="F18" s="19">
        <f>'283α23'!Q16</f>
        <v>0</v>
      </c>
      <c r="G18" s="19">
        <f>'283α24-25'!N15</f>
        <v>0</v>
      </c>
      <c r="H18" s="38">
        <f>'283β'!T16</f>
        <v>341.8</v>
      </c>
      <c r="I18" s="38">
        <f>'283β'!V16</f>
        <v>161.40550000000002</v>
      </c>
      <c r="J18" s="38">
        <f>'283β'!X16</f>
        <v>3228.11</v>
      </c>
      <c r="K18" s="344" t="s">
        <v>45</v>
      </c>
      <c r="L18" s="345"/>
      <c r="M18" s="346"/>
      <c r="N18" s="19">
        <f>'283δ'!N15</f>
        <v>0</v>
      </c>
      <c r="O18" s="19">
        <f>'283ε'!N15</f>
        <v>0</v>
      </c>
      <c r="P18" s="19">
        <f>'283ζ'!N16</f>
        <v>455.67798041666668</v>
      </c>
      <c r="Q18" s="19">
        <f>'283ζ'!O16</f>
        <v>546.81357649999995</v>
      </c>
      <c r="R18" s="19">
        <f>'283ζ'!P16</f>
        <v>8111.0680514166661</v>
      </c>
      <c r="S18" s="19">
        <f>'283η'!N16</f>
        <v>0</v>
      </c>
      <c r="T18" s="19">
        <f>'283η'!O16</f>
        <v>0</v>
      </c>
      <c r="U18" s="19">
        <f>'283η'!P16</f>
        <v>0</v>
      </c>
      <c r="V18" s="19">
        <f>'283θ'!AX16</f>
        <v>0</v>
      </c>
      <c r="W18" s="19">
        <f>'283θ'!AY16</f>
        <v>0</v>
      </c>
      <c r="X18" s="19">
        <f>'283θ'!AZ16</f>
        <v>0</v>
      </c>
      <c r="Y18" s="19">
        <f>'283θ'!BA16</f>
        <v>0</v>
      </c>
      <c r="Z18" s="19">
        <f>'283ι'!N16</f>
        <v>0</v>
      </c>
      <c r="AA18" s="19">
        <f>'283ι'!O16</f>
        <v>0</v>
      </c>
      <c r="AB18" s="19">
        <f>'283ι'!P16</f>
        <v>0</v>
      </c>
      <c r="AC18" s="19">
        <f>'283κ'!N16</f>
        <v>0</v>
      </c>
      <c r="AD18" s="19">
        <f>'283κ'!O16</f>
        <v>0</v>
      </c>
      <c r="AE18" s="19">
        <f>'283κ'!P16</f>
        <v>0</v>
      </c>
      <c r="AF18" s="19">
        <f>'283λ'!N15</f>
        <v>0</v>
      </c>
      <c r="AG18" s="19">
        <f>'283μ'!N15</f>
        <v>0</v>
      </c>
      <c r="AH18" s="19"/>
      <c r="AI18" s="19"/>
      <c r="AJ18" s="19"/>
      <c r="AK18" s="19"/>
      <c r="AL18" s="19"/>
      <c r="AM18" s="19">
        <f>'283ο'!N15</f>
        <v>27163.977000000003</v>
      </c>
      <c r="AN18" s="19">
        <f>'283π'!N15</f>
        <v>9256.0920000000006</v>
      </c>
      <c r="AO18" s="19">
        <f>'283ρ'!N15</f>
        <v>11772.039299999999</v>
      </c>
      <c r="AP18" s="241"/>
      <c r="AQ18" s="242">
        <f>'283τ1'!O15+'283τ2'!O15+'283τ(3-4)'!O15+'283τ(5-6)'!O15</f>
        <v>1173</v>
      </c>
      <c r="AR18" s="242">
        <f>'283τ(7-8)'!O15</f>
        <v>0</v>
      </c>
      <c r="AS18" s="164">
        <f t="shared" si="0"/>
        <v>62209.983408333334</v>
      </c>
      <c r="AV18" s="16">
        <v>20436.505499999999</v>
      </c>
    </row>
    <row r="19" spans="1:48">
      <c r="A19" s="29">
        <v>2012</v>
      </c>
      <c r="B19" s="19">
        <f>'283α21'!N16</f>
        <v>0</v>
      </c>
      <c r="C19" s="19">
        <f>'283α23'!N17</f>
        <v>0</v>
      </c>
      <c r="D19" s="19">
        <f>'283α23'!O17</f>
        <v>0</v>
      </c>
      <c r="E19" s="19">
        <f>'283α23'!P17</f>
        <v>0</v>
      </c>
      <c r="F19" s="19">
        <f>'283α23'!Q17</f>
        <v>0</v>
      </c>
      <c r="G19" s="19">
        <f>'283α24-25'!N16</f>
        <v>0</v>
      </c>
      <c r="H19" s="38">
        <f>'283β'!T17</f>
        <v>91.6</v>
      </c>
      <c r="I19" s="38">
        <f>'283β'!V17</f>
        <v>97.75</v>
      </c>
      <c r="J19" s="38">
        <f>'283β'!X17</f>
        <v>1955</v>
      </c>
      <c r="K19" s="347"/>
      <c r="L19" s="348"/>
      <c r="M19" s="349"/>
      <c r="N19" s="19">
        <f>'283δ'!N16</f>
        <v>0</v>
      </c>
      <c r="O19" s="19">
        <f>'283ε'!N16</f>
        <v>0</v>
      </c>
      <c r="P19" s="19">
        <f>'283ζ'!N17</f>
        <v>366.59214687500003</v>
      </c>
      <c r="Q19" s="19">
        <f>'283ζ'!O17</f>
        <v>439.91057624999996</v>
      </c>
      <c r="R19" s="19">
        <f>'283ζ'!P17</f>
        <v>6525.340214375</v>
      </c>
      <c r="S19" s="19">
        <f>'283η'!N17</f>
        <v>0</v>
      </c>
      <c r="T19" s="19">
        <f>'283η'!O17</f>
        <v>0</v>
      </c>
      <c r="U19" s="19">
        <f>'283η'!P17</f>
        <v>0</v>
      </c>
      <c r="V19" s="19">
        <f>'283θ'!AX17</f>
        <v>0</v>
      </c>
      <c r="W19" s="19">
        <f>'283θ'!AY17</f>
        <v>0</v>
      </c>
      <c r="X19" s="19">
        <f>'283θ'!AZ17</f>
        <v>0</v>
      </c>
      <c r="Y19" s="19">
        <f>'283θ'!BA17</f>
        <v>0</v>
      </c>
      <c r="Z19" s="19">
        <f>'283ι'!N17</f>
        <v>0</v>
      </c>
      <c r="AA19" s="19">
        <f>'283ι'!O17</f>
        <v>0</v>
      </c>
      <c r="AB19" s="19">
        <f>'283ι'!P17</f>
        <v>0</v>
      </c>
      <c r="AC19" s="19">
        <f>'283κ'!N17</f>
        <v>0</v>
      </c>
      <c r="AD19" s="19">
        <f>'283κ'!O17</f>
        <v>0</v>
      </c>
      <c r="AE19" s="19">
        <f>'283κ'!P17</f>
        <v>0</v>
      </c>
      <c r="AF19" s="19">
        <f>'283λ'!N16</f>
        <v>0</v>
      </c>
      <c r="AG19" s="19">
        <f>'283μ'!N16</f>
        <v>0</v>
      </c>
      <c r="AH19" s="19"/>
      <c r="AI19" s="19"/>
      <c r="AJ19" s="19"/>
      <c r="AK19" s="19"/>
      <c r="AL19" s="19"/>
      <c r="AM19" s="19">
        <f>'283ο'!N16</f>
        <v>21853.372500000001</v>
      </c>
      <c r="AN19" s="19">
        <f>'283π'!N16</f>
        <v>7446.51</v>
      </c>
      <c r="AO19" s="19">
        <f>'283ρ'!N16</f>
        <v>9470.5852499999983</v>
      </c>
      <c r="AP19" s="241"/>
      <c r="AQ19" s="242">
        <f>'283τ1'!O16+'283τ2'!O16+'283τ(3-4)'!O16+'283τ(5-6)'!O16</f>
        <v>945.5</v>
      </c>
      <c r="AR19" s="242">
        <f>'283τ(7-8)'!O16</f>
        <v>0</v>
      </c>
      <c r="AS19" s="164">
        <f t="shared" si="0"/>
        <v>49192.1606875</v>
      </c>
      <c r="AV19" s="16">
        <v>17918.150000000001</v>
      </c>
    </row>
    <row r="20" spans="1:48" ht="15.75">
      <c r="A20" s="29">
        <v>2013</v>
      </c>
      <c r="B20" s="19">
        <f>'283α21'!N17</f>
        <v>0</v>
      </c>
      <c r="C20" s="19">
        <f>'283α23'!N18</f>
        <v>0</v>
      </c>
      <c r="D20" s="19">
        <f>'283α23'!O18</f>
        <v>0</v>
      </c>
      <c r="E20" s="19">
        <f>'283α23'!P18</f>
        <v>0</v>
      </c>
      <c r="F20" s="19">
        <f>'283α23'!Q18</f>
        <v>0</v>
      </c>
      <c r="G20" s="19">
        <f>'283α24-25'!N17</f>
        <v>0</v>
      </c>
      <c r="H20" s="38">
        <f>'283β'!T18</f>
        <v>124.2</v>
      </c>
      <c r="I20" s="38">
        <f>'283β'!V18</f>
        <v>58.650000000000006</v>
      </c>
      <c r="J20" s="38">
        <f>'283β'!X18</f>
        <v>1173</v>
      </c>
      <c r="K20" s="350"/>
      <c r="L20" s="351"/>
      <c r="M20" s="352"/>
      <c r="N20" s="19">
        <f>'283δ'!N17</f>
        <v>0</v>
      </c>
      <c r="O20" s="19">
        <f>'283ε'!N17</f>
        <v>0</v>
      </c>
      <c r="P20" s="19">
        <f>'283ζ'!N18</f>
        <v>184.47862874999998</v>
      </c>
      <c r="Q20" s="19">
        <f>'283ζ'!O18</f>
        <v>221.37435449999998</v>
      </c>
      <c r="R20" s="19">
        <f>'283ζ'!P18</f>
        <v>3283.7195917499998</v>
      </c>
      <c r="S20" s="19">
        <f>'283η'!N18</f>
        <v>0</v>
      </c>
      <c r="T20" s="19">
        <f>'283η'!O18</f>
        <v>0</v>
      </c>
      <c r="U20" s="19">
        <f>'283η'!P18</f>
        <v>0</v>
      </c>
      <c r="V20" s="19">
        <f>'283θ'!AX18</f>
        <v>0</v>
      </c>
      <c r="W20" s="19">
        <f>'283θ'!AY18</f>
        <v>0</v>
      </c>
      <c r="X20" s="19">
        <f>'283θ'!AZ18</f>
        <v>0</v>
      </c>
      <c r="Y20" s="19">
        <f>'283θ'!BA18</f>
        <v>0</v>
      </c>
      <c r="Z20" s="19">
        <f>'283ι'!N18</f>
        <v>0</v>
      </c>
      <c r="AA20" s="19">
        <f>'283ι'!O18</f>
        <v>0</v>
      </c>
      <c r="AB20" s="19">
        <f>'283ι'!P18</f>
        <v>0</v>
      </c>
      <c r="AC20" s="19">
        <f>'283κ'!N18</f>
        <v>0</v>
      </c>
      <c r="AD20" s="19">
        <f>'283κ'!O18</f>
        <v>0</v>
      </c>
      <c r="AE20" s="19">
        <f>'283κ'!P18</f>
        <v>0</v>
      </c>
      <c r="AF20" s="19">
        <f>'283λ'!N17</f>
        <v>0</v>
      </c>
      <c r="AG20" s="19">
        <f>'283μ'!N17</f>
        <v>0</v>
      </c>
      <c r="AH20" s="19"/>
      <c r="AI20" s="19"/>
      <c r="AJ20" s="19"/>
      <c r="AK20" s="19"/>
      <c r="AL20" s="19"/>
      <c r="AM20" s="19">
        <f>'283ο'!N17</f>
        <v>10997.181</v>
      </c>
      <c r="AN20" s="19">
        <f>'283π'!N17</f>
        <v>3747.2759999999998</v>
      </c>
      <c r="AO20" s="19">
        <f>'283ρ'!N17</f>
        <v>4765.8428999999996</v>
      </c>
      <c r="AP20" s="241"/>
      <c r="AQ20" s="242">
        <f>'283τ1'!O17+'283τ2'!O17+'283τ(3-4)'!O17+'283τ(5-6)'!O17</f>
        <v>1768.6399999999999</v>
      </c>
      <c r="AR20" s="242">
        <f>'283τ(7-8)'!O17</f>
        <v>10</v>
      </c>
      <c r="AS20" s="164">
        <f t="shared" si="0"/>
        <v>26324.362474999998</v>
      </c>
      <c r="AT20" s="15" t="s">
        <v>1</v>
      </c>
      <c r="AU20" s="15" t="s">
        <v>2</v>
      </c>
      <c r="AV20" s="16">
        <v>9347.85</v>
      </c>
    </row>
    <row r="21" spans="1:48" s="32" customFormat="1" ht="15.75">
      <c r="A21" s="13" t="s">
        <v>16</v>
      </c>
      <c r="B21" s="63">
        <f t="shared" ref="B21:AR21" si="1">SUM(B5:B20)</f>
        <v>0</v>
      </c>
      <c r="C21" s="63">
        <f t="shared" si="1"/>
        <v>15.26</v>
      </c>
      <c r="D21" s="85">
        <f t="shared" si="1"/>
        <v>0</v>
      </c>
      <c r="E21" s="30">
        <f t="shared" si="1"/>
        <v>0</v>
      </c>
      <c r="F21" s="30">
        <f t="shared" si="1"/>
        <v>0</v>
      </c>
      <c r="G21" s="63">
        <f t="shared" si="1"/>
        <v>97.440000000000012</v>
      </c>
      <c r="H21" s="85">
        <f t="shared" si="1"/>
        <v>2557.4199999999996</v>
      </c>
      <c r="I21" s="30">
        <f t="shared" si="1"/>
        <v>1263.9145000000001</v>
      </c>
      <c r="J21" s="30">
        <f t="shared" si="1"/>
        <v>25278.29</v>
      </c>
      <c r="K21" s="85">
        <f t="shared" si="1"/>
        <v>0</v>
      </c>
      <c r="L21" s="30">
        <f t="shared" si="1"/>
        <v>0</v>
      </c>
      <c r="M21" s="30">
        <f t="shared" si="1"/>
        <v>0</v>
      </c>
      <c r="N21" s="30">
        <f t="shared" si="1"/>
        <v>414.27</v>
      </c>
      <c r="O21" s="63">
        <f t="shared" si="1"/>
        <v>2369.27</v>
      </c>
      <c r="P21" s="85">
        <f t="shared" si="1"/>
        <v>5584.4876706249997</v>
      </c>
      <c r="Q21" s="30">
        <f t="shared" si="1"/>
        <v>6701.3852047499995</v>
      </c>
      <c r="R21" s="30">
        <f t="shared" si="1"/>
        <v>99403.880537125006</v>
      </c>
      <c r="S21" s="85">
        <f t="shared" si="1"/>
        <v>0</v>
      </c>
      <c r="T21" s="30">
        <f t="shared" si="1"/>
        <v>0</v>
      </c>
      <c r="U21" s="30">
        <f t="shared" si="1"/>
        <v>0</v>
      </c>
      <c r="V21" s="85">
        <f t="shared" si="1"/>
        <v>63.777116654438743</v>
      </c>
      <c r="W21" s="30">
        <f t="shared" si="1"/>
        <v>53.386228906823177</v>
      </c>
      <c r="X21" s="30">
        <f t="shared" si="1"/>
        <v>42.331049156272925</v>
      </c>
      <c r="Y21" s="30">
        <f t="shared" si="1"/>
        <v>63.152516507703595</v>
      </c>
      <c r="Z21" s="85">
        <f t="shared" si="1"/>
        <v>146.14750000000001</v>
      </c>
      <c r="AA21" s="30">
        <f t="shared" si="1"/>
        <v>175.37700000000001</v>
      </c>
      <c r="AB21" s="30">
        <f t="shared" si="1"/>
        <v>2601.4255000000003</v>
      </c>
      <c r="AC21" s="85">
        <f t="shared" si="1"/>
        <v>39.325000000000003</v>
      </c>
      <c r="AD21" s="30">
        <f t="shared" si="1"/>
        <v>47.19</v>
      </c>
      <c r="AE21" s="30">
        <f t="shared" si="1"/>
        <v>699.98500000000001</v>
      </c>
      <c r="AF21" s="30">
        <f t="shared" si="1"/>
        <v>0</v>
      </c>
      <c r="AG21" s="30">
        <f t="shared" si="1"/>
        <v>510.65</v>
      </c>
      <c r="AH21" s="85">
        <f t="shared" si="1"/>
        <v>0</v>
      </c>
      <c r="AI21" s="30">
        <f t="shared" si="1"/>
        <v>0</v>
      </c>
      <c r="AJ21" s="30">
        <f t="shared" si="1"/>
        <v>0</v>
      </c>
      <c r="AK21" s="30">
        <f t="shared" si="1"/>
        <v>0</v>
      </c>
      <c r="AL21" s="30">
        <f t="shared" si="1"/>
        <v>0</v>
      </c>
      <c r="AM21" s="30">
        <f t="shared" si="1"/>
        <v>268631.99400000001</v>
      </c>
      <c r="AN21" s="30">
        <f t="shared" si="1"/>
        <v>91536.024000000005</v>
      </c>
      <c r="AO21" s="30">
        <f t="shared" si="1"/>
        <v>116416.91459999999</v>
      </c>
      <c r="AP21" s="30">
        <f t="shared" si="1"/>
        <v>2642.7447688921498</v>
      </c>
      <c r="AQ21" s="30">
        <f t="shared" si="1"/>
        <v>23018.593778429931</v>
      </c>
      <c r="AR21" s="30">
        <f t="shared" si="1"/>
        <v>10</v>
      </c>
      <c r="AS21" s="31">
        <f>SUM(AS5:AS20)</f>
        <v>650374.63597104733</v>
      </c>
    </row>
    <row r="22" spans="1:48" ht="15.75">
      <c r="A22" s="39"/>
      <c r="B22" s="40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106"/>
      <c r="AJ22" s="106"/>
      <c r="AK22" s="106"/>
      <c r="AL22" s="116"/>
      <c r="AM22" s="116"/>
      <c r="AN22" s="116"/>
      <c r="AO22" s="116"/>
      <c r="AP22" s="116"/>
      <c r="AQ22" s="116"/>
      <c r="AR22" s="116" t="s">
        <v>36</v>
      </c>
      <c r="AS22" s="63">
        <f>B21+C21+G21+O21</f>
        <v>2481.9699999999998</v>
      </c>
    </row>
    <row r="23" spans="1:48">
      <c r="AL23" s="116"/>
      <c r="AM23" s="116"/>
      <c r="AN23" s="116"/>
      <c r="AO23" s="116"/>
      <c r="AP23" s="116"/>
      <c r="AQ23" s="116"/>
      <c r="AR23" s="116" t="s">
        <v>63</v>
      </c>
      <c r="AS23" s="115">
        <f>D21+H21+K21+P21+S21+V21+Z21+AC21+AH21</f>
        <v>8391.1572872794386</v>
      </c>
    </row>
    <row r="25" spans="1:48" ht="15.75">
      <c r="B25" s="325" t="s">
        <v>17</v>
      </c>
      <c r="C25" s="325"/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  <c r="AE25" s="325"/>
      <c r="AF25" s="325"/>
      <c r="AG25" s="325"/>
      <c r="AH25" s="325"/>
      <c r="AI25" s="325"/>
      <c r="AJ25" s="325"/>
      <c r="AK25" s="325"/>
      <c r="AL25" s="325"/>
      <c r="AM25" s="325"/>
      <c r="AN25" s="325"/>
      <c r="AO25" s="325"/>
      <c r="AP25" s="325"/>
      <c r="AQ25" s="325"/>
      <c r="AR25" s="325"/>
      <c r="AS25" s="325"/>
    </row>
    <row r="26" spans="1:48" ht="15.75">
      <c r="B26" s="44">
        <v>15.3</v>
      </c>
      <c r="C26" s="80">
        <v>1836.9599999999998</v>
      </c>
      <c r="D26" s="86">
        <v>978.3</v>
      </c>
      <c r="E26" s="33">
        <v>676.09</v>
      </c>
      <c r="F26" s="33">
        <v>10870.03</v>
      </c>
      <c r="G26" s="75">
        <v>10753.07</v>
      </c>
      <c r="H26" s="86">
        <v>2557.42</v>
      </c>
      <c r="I26" s="33">
        <v>1263.9100000000001</v>
      </c>
      <c r="J26" s="33">
        <v>25278.29</v>
      </c>
      <c r="K26" s="86">
        <v>707.83</v>
      </c>
      <c r="L26" s="33">
        <v>474.2</v>
      </c>
      <c r="M26" s="33">
        <v>6915.84</v>
      </c>
      <c r="N26" s="33">
        <v>3626.18</v>
      </c>
      <c r="O26" s="44">
        <v>2550.0300000000002</v>
      </c>
      <c r="P26" s="86">
        <v>4644</v>
      </c>
      <c r="Q26" s="33">
        <v>3870</v>
      </c>
      <c r="R26" s="33">
        <v>68886</v>
      </c>
      <c r="S26" s="86">
        <v>373</v>
      </c>
      <c r="T26" s="33">
        <v>447.6</v>
      </c>
      <c r="U26" s="33">
        <v>6639.4</v>
      </c>
      <c r="V26" s="86"/>
      <c r="W26" s="33"/>
      <c r="X26" s="33"/>
      <c r="Y26" s="33"/>
      <c r="Z26" s="86">
        <v>4410</v>
      </c>
      <c r="AA26" s="33">
        <v>3675</v>
      </c>
      <c r="AB26" s="33">
        <v>73500</v>
      </c>
      <c r="AC26" s="86"/>
      <c r="AD26" s="33"/>
      <c r="AE26" s="33"/>
      <c r="AF26" s="33"/>
      <c r="AG26" s="33"/>
      <c r="AH26" s="86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1">
        <f>SUM(B26:AL26)</f>
        <v>234948.44999999998</v>
      </c>
    </row>
    <row r="27" spans="1:48" ht="15.75">
      <c r="P27" s="416" t="s">
        <v>72</v>
      </c>
      <c r="Q27" s="416"/>
      <c r="R27" s="416"/>
      <c r="S27" s="311" t="s">
        <v>74</v>
      </c>
      <c r="T27" s="311"/>
      <c r="U27" s="311"/>
      <c r="V27" s="417" t="s">
        <v>74</v>
      </c>
      <c r="W27" s="417"/>
      <c r="X27" s="417"/>
      <c r="Y27" s="417"/>
      <c r="Z27" s="311" t="s">
        <v>74</v>
      </c>
      <c r="AA27" s="311"/>
      <c r="AB27" s="311"/>
      <c r="AL27" s="116"/>
      <c r="AM27" s="116"/>
      <c r="AN27" s="116"/>
      <c r="AO27" s="116"/>
      <c r="AP27" s="116"/>
      <c r="AQ27" s="116"/>
      <c r="AR27" s="116" t="s">
        <v>36</v>
      </c>
      <c r="AS27" s="63">
        <f>B26+C26+G26+O26</f>
        <v>15155.36</v>
      </c>
    </row>
    <row r="28" spans="1:48">
      <c r="H28" s="20"/>
      <c r="I28" s="20"/>
      <c r="AL28" s="116"/>
      <c r="AM28" s="116"/>
      <c r="AN28" s="116"/>
      <c r="AO28" s="116"/>
      <c r="AP28" s="116"/>
      <c r="AQ28" s="116"/>
      <c r="AR28" s="116" t="s">
        <v>63</v>
      </c>
      <c r="AS28" s="86">
        <f>D26+H26+K26+P26+S26+V26+Z26+AC26+AH26</f>
        <v>13670.55</v>
      </c>
      <c r="AV28" s="20"/>
    </row>
    <row r="29" spans="1:48">
      <c r="AS29" s="16"/>
      <c r="AV29" s="20"/>
    </row>
    <row r="30" spans="1:48">
      <c r="AS30" s="16"/>
      <c r="AV30" s="20"/>
    </row>
    <row r="31" spans="1:48" ht="51.75" customHeight="1">
      <c r="B31" s="310" t="s">
        <v>25</v>
      </c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  <c r="AC31" s="310"/>
      <c r="AD31" s="310"/>
      <c r="AE31" s="310"/>
      <c r="AF31" s="310"/>
      <c r="AG31" s="310"/>
      <c r="AH31" s="310"/>
      <c r="AI31" s="310"/>
      <c r="AJ31" s="310"/>
      <c r="AK31" s="310"/>
      <c r="AL31" s="310"/>
      <c r="AM31" s="310"/>
      <c r="AN31" s="310"/>
      <c r="AO31" s="310"/>
      <c r="AP31" s="310"/>
      <c r="AQ31" s="310"/>
      <c r="AR31" s="310"/>
      <c r="AS31" s="310"/>
      <c r="AV31" s="20"/>
    </row>
    <row r="32" spans="1:48">
      <c r="AS32" s="16"/>
      <c r="AV32" s="20"/>
    </row>
    <row r="33" spans="1:48" ht="62.25" customHeight="1">
      <c r="B33" s="309" t="s">
        <v>24</v>
      </c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/>
      <c r="AC33" s="309"/>
      <c r="AD33" s="309"/>
      <c r="AE33" s="309"/>
      <c r="AF33" s="309"/>
      <c r="AG33" s="309"/>
      <c r="AH33" s="309"/>
      <c r="AI33" s="309"/>
      <c r="AJ33" s="309"/>
      <c r="AK33" s="309"/>
      <c r="AL33" s="309"/>
      <c r="AM33" s="309"/>
      <c r="AN33" s="309"/>
      <c r="AO33" s="309"/>
      <c r="AP33" s="309"/>
      <c r="AQ33" s="309"/>
      <c r="AR33" s="309"/>
      <c r="AS33" s="309"/>
      <c r="AV33" s="20"/>
    </row>
    <row r="34" spans="1:48">
      <c r="AS34" s="16"/>
      <c r="AV34" s="20"/>
    </row>
    <row r="35" spans="1:48">
      <c r="AS35" s="16"/>
      <c r="AV35" s="20"/>
    </row>
    <row r="36" spans="1:48">
      <c r="A36" s="29">
        <v>2013</v>
      </c>
      <c r="B36" s="17">
        <f>'283α21'!N33</f>
        <v>0</v>
      </c>
      <c r="C36" s="17">
        <f>'283α23'!N34</f>
        <v>0</v>
      </c>
      <c r="D36" s="17">
        <f>'283α23'!O34</f>
        <v>0</v>
      </c>
      <c r="E36" s="17">
        <f>'283α23'!P34</f>
        <v>0</v>
      </c>
      <c r="F36" s="17">
        <f>'283α23'!Q34</f>
        <v>0</v>
      </c>
      <c r="G36" s="17">
        <f>'283α24-25'!N33</f>
        <v>0</v>
      </c>
      <c r="H36" s="389" t="s">
        <v>45</v>
      </c>
      <c r="I36" s="390"/>
      <c r="J36" s="391"/>
      <c r="K36" s="17">
        <f>'283α21'!W33</f>
        <v>0</v>
      </c>
      <c r="L36" s="17">
        <f>'283α23'!W34</f>
        <v>0</v>
      </c>
      <c r="M36" s="17">
        <f>'283α23'!X34</f>
        <v>0</v>
      </c>
      <c r="N36" s="17">
        <f>'283α21'!Z33</f>
        <v>0</v>
      </c>
      <c r="O36" s="17">
        <f>'283α23'!Z34</f>
        <v>0</v>
      </c>
      <c r="P36" s="119">
        <v>175</v>
      </c>
      <c r="Q36" s="119">
        <v>210</v>
      </c>
      <c r="R36" s="119">
        <v>3115</v>
      </c>
      <c r="S36" s="119">
        <v>50</v>
      </c>
      <c r="T36" s="119">
        <v>60</v>
      </c>
      <c r="U36" s="21">
        <v>890</v>
      </c>
      <c r="V36" s="17">
        <f>'283α21'!AH33</f>
        <v>0</v>
      </c>
      <c r="W36" s="17">
        <f>'283α23'!AH34</f>
        <v>0</v>
      </c>
      <c r="X36" s="17">
        <f>'283α23'!AI34</f>
        <v>0</v>
      </c>
      <c r="Y36" s="17">
        <f>'283α23'!AJ34</f>
        <v>0</v>
      </c>
      <c r="Z36" s="21">
        <v>165</v>
      </c>
      <c r="AA36" s="21">
        <v>198</v>
      </c>
      <c r="AB36" s="21">
        <v>2937</v>
      </c>
      <c r="AC36" s="17">
        <f>'283α23'!AN34</f>
        <v>0</v>
      </c>
      <c r="AD36" s="17">
        <f>'283α23'!AO34</f>
        <v>0</v>
      </c>
      <c r="AE36" s="17">
        <f>'283α23'!AP34</f>
        <v>0</v>
      </c>
      <c r="AF36" s="17">
        <f>'283α21'!AR33</f>
        <v>0</v>
      </c>
      <c r="AG36" s="17">
        <f>'283α23'!AR34</f>
        <v>0</v>
      </c>
      <c r="AH36" s="17">
        <f>'283α23'!AS34</f>
        <v>0</v>
      </c>
      <c r="AI36" s="17">
        <f>'283α23'!AT34</f>
        <v>0</v>
      </c>
      <c r="AJ36" s="17">
        <f>'283α21'!AV33</f>
        <v>0</v>
      </c>
      <c r="AK36" s="17">
        <f>'283α23'!AV34</f>
        <v>0</v>
      </c>
      <c r="AL36" s="17">
        <f>'283α23'!AW34</f>
        <v>0</v>
      </c>
      <c r="AM36" s="17"/>
      <c r="AN36" s="17"/>
      <c r="AO36" s="17"/>
      <c r="AP36" s="243"/>
      <c r="AQ36" s="243"/>
      <c r="AR36" s="243"/>
      <c r="AS36" s="17">
        <f>SUM(B36:AL36)</f>
        <v>7800</v>
      </c>
      <c r="AV36" s="20"/>
    </row>
    <row r="37" spans="1:48">
      <c r="A37" s="29">
        <v>2014</v>
      </c>
      <c r="B37" s="17">
        <f>'283α21'!N34</f>
        <v>0</v>
      </c>
      <c r="C37" s="17">
        <f>'283α21'!O34</f>
        <v>0</v>
      </c>
      <c r="D37" s="17">
        <f>'283α21'!P34</f>
        <v>0</v>
      </c>
      <c r="E37" s="17">
        <f>'283α21'!Q34</f>
        <v>0</v>
      </c>
      <c r="F37" s="17">
        <f>'283α21'!R34</f>
        <v>0</v>
      </c>
      <c r="G37" s="17">
        <f>'283α21'!S34</f>
        <v>0</v>
      </c>
      <c r="H37" s="392"/>
      <c r="I37" s="393"/>
      <c r="J37" s="394"/>
      <c r="K37" s="17">
        <f>'283α21'!W34</f>
        <v>0</v>
      </c>
      <c r="L37" s="17">
        <f>'283α21'!X34</f>
        <v>0</v>
      </c>
      <c r="M37" s="17">
        <f>'283α21'!Y34</f>
        <v>0</v>
      </c>
      <c r="N37" s="17">
        <f>'283α21'!Z34</f>
        <v>0</v>
      </c>
      <c r="O37" s="17">
        <f>'283α21'!AA34</f>
        <v>0</v>
      </c>
      <c r="P37" s="120">
        <v>350</v>
      </c>
      <c r="Q37" s="120">
        <v>420</v>
      </c>
      <c r="R37" s="119">
        <v>6230</v>
      </c>
      <c r="S37" s="120">
        <v>92.5</v>
      </c>
      <c r="T37" s="120">
        <v>111</v>
      </c>
      <c r="U37" s="38">
        <v>1646.5</v>
      </c>
      <c r="V37" s="19"/>
      <c r="W37" s="19"/>
      <c r="X37" s="19"/>
      <c r="Y37" s="19"/>
      <c r="Z37" s="38">
        <v>330</v>
      </c>
      <c r="AA37" s="38">
        <v>396</v>
      </c>
      <c r="AB37" s="38">
        <v>5874</v>
      </c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245"/>
      <c r="AQ37" s="242">
        <f>'283τ1'!O18+'283τ2'!O18+'283τ(3-4)'!O18+'283τ(5-6)'!O18</f>
        <v>1582.5</v>
      </c>
      <c r="AR37" s="38">
        <f>'283τ(7-8)'!O18</f>
        <v>12</v>
      </c>
      <c r="AS37" s="17">
        <f t="shared" ref="AS37:AS43" si="2">SUM(B37:AL37)</f>
        <v>15450</v>
      </c>
      <c r="AV37" s="20"/>
    </row>
    <row r="38" spans="1:48">
      <c r="A38" s="29">
        <v>2015</v>
      </c>
      <c r="B38" s="17">
        <f>'283α21'!N34</f>
        <v>0</v>
      </c>
      <c r="C38" s="17">
        <f>'283α23'!N35</f>
        <v>0</v>
      </c>
      <c r="D38" s="17">
        <f>'283α23'!O35</f>
        <v>0</v>
      </c>
      <c r="E38" s="17">
        <f>'283α23'!P35</f>
        <v>0</v>
      </c>
      <c r="F38" s="17">
        <f>'283α23'!Q35</f>
        <v>0</v>
      </c>
      <c r="G38" s="17">
        <f>'283α24-25'!N34</f>
        <v>0</v>
      </c>
      <c r="H38" s="392"/>
      <c r="I38" s="393"/>
      <c r="J38" s="394"/>
      <c r="K38" s="19">
        <f>'283α21'!W34</f>
        <v>0</v>
      </c>
      <c r="L38" s="19">
        <f>'283α23'!W35</f>
        <v>0</v>
      </c>
      <c r="M38" s="19">
        <f>'283α23'!X35</f>
        <v>0</v>
      </c>
      <c r="N38" s="19">
        <f>'283α21'!Z34</f>
        <v>0</v>
      </c>
      <c r="O38" s="19">
        <f>'283α23'!Z35</f>
        <v>0</v>
      </c>
      <c r="P38" s="120">
        <v>370</v>
      </c>
      <c r="Q38" s="120">
        <v>444</v>
      </c>
      <c r="R38" s="119">
        <v>6586</v>
      </c>
      <c r="S38" s="120">
        <v>90</v>
      </c>
      <c r="T38" s="120">
        <v>108</v>
      </c>
      <c r="U38" s="38">
        <v>1602</v>
      </c>
      <c r="V38" s="19">
        <f>'283α21'!AH34</f>
        <v>0</v>
      </c>
      <c r="W38" s="19">
        <f>'283α23'!AH35</f>
        <v>0</v>
      </c>
      <c r="X38" s="19">
        <f>'283α23'!AI35</f>
        <v>0</v>
      </c>
      <c r="Y38" s="19">
        <f>'283α23'!AJ35</f>
        <v>0</v>
      </c>
      <c r="Z38" s="38">
        <v>330</v>
      </c>
      <c r="AA38" s="38">
        <v>396</v>
      </c>
      <c r="AB38" s="38">
        <v>5874</v>
      </c>
      <c r="AC38" s="19">
        <f>'283α23'!AN35</f>
        <v>0</v>
      </c>
      <c r="AD38" s="19">
        <f>'283α23'!AO35</f>
        <v>0</v>
      </c>
      <c r="AE38" s="19">
        <f>'283α23'!AP35</f>
        <v>0</v>
      </c>
      <c r="AF38" s="19">
        <f>'283α21'!AR34</f>
        <v>0</v>
      </c>
      <c r="AG38" s="19">
        <f>'283α23'!AR35</f>
        <v>0</v>
      </c>
      <c r="AH38" s="19">
        <f>'283α23'!AS35</f>
        <v>0</v>
      </c>
      <c r="AI38" s="19">
        <f>'283α23'!AT35</f>
        <v>0</v>
      </c>
      <c r="AJ38" s="19">
        <f>'283α21'!AV34</f>
        <v>0</v>
      </c>
      <c r="AK38" s="19">
        <f>'283α23'!AV35</f>
        <v>0</v>
      </c>
      <c r="AL38" s="19">
        <f>'283α23'!AW35</f>
        <v>0</v>
      </c>
      <c r="AM38" s="19"/>
      <c r="AN38" s="19"/>
      <c r="AO38" s="19"/>
      <c r="AP38" s="245"/>
      <c r="AQ38" s="242">
        <f>'283τ1'!O19+'283τ2'!O19+'283τ(3-4)'!O19+'283τ(5-6)'!O19</f>
        <v>1972.5</v>
      </c>
      <c r="AR38" s="38">
        <f>'283τ(7-8)'!O19</f>
        <v>10</v>
      </c>
      <c r="AS38" s="17">
        <f t="shared" si="2"/>
        <v>15800</v>
      </c>
      <c r="AV38" s="20"/>
    </row>
    <row r="39" spans="1:48">
      <c r="A39" s="29">
        <v>2016</v>
      </c>
      <c r="B39" s="17">
        <f>'283α21'!N35</f>
        <v>0</v>
      </c>
      <c r="C39" s="17">
        <f>'283α23'!N36</f>
        <v>0</v>
      </c>
      <c r="D39" s="17">
        <f>'283α23'!O36</f>
        <v>0</v>
      </c>
      <c r="E39" s="17">
        <f>'283α23'!P36</f>
        <v>0</v>
      </c>
      <c r="F39" s="17">
        <f>'283α23'!Q36</f>
        <v>0</v>
      </c>
      <c r="G39" s="17">
        <f>'283α24-25'!N35</f>
        <v>0</v>
      </c>
      <c r="H39" s="395"/>
      <c r="I39" s="396"/>
      <c r="J39" s="397"/>
      <c r="K39" s="19">
        <f>'283α21'!W35</f>
        <v>0</v>
      </c>
      <c r="L39" s="19">
        <f>'283α23'!W36</f>
        <v>0</v>
      </c>
      <c r="M39" s="19">
        <f>'283α23'!X36</f>
        <v>0</v>
      </c>
      <c r="N39" s="19">
        <f>'283α21'!Z35</f>
        <v>0</v>
      </c>
      <c r="O39" s="19">
        <f>'283α23'!Z36</f>
        <v>0</v>
      </c>
      <c r="P39" s="120">
        <v>385</v>
      </c>
      <c r="Q39" s="120">
        <v>462</v>
      </c>
      <c r="R39" s="119">
        <v>6853</v>
      </c>
      <c r="S39" s="120">
        <v>97.5</v>
      </c>
      <c r="T39" s="120">
        <v>117</v>
      </c>
      <c r="U39" s="38">
        <v>1735.5</v>
      </c>
      <c r="V39" s="19">
        <f>'283α21'!AH35</f>
        <v>0</v>
      </c>
      <c r="W39" s="19">
        <f>'283α23'!AH36</f>
        <v>0</v>
      </c>
      <c r="X39" s="19">
        <f>'283α23'!AI36</f>
        <v>0</v>
      </c>
      <c r="Y39" s="19">
        <f>'283α23'!AJ36</f>
        <v>0</v>
      </c>
      <c r="Z39" s="38">
        <v>330</v>
      </c>
      <c r="AA39" s="38">
        <v>396</v>
      </c>
      <c r="AB39" s="38">
        <v>5874</v>
      </c>
      <c r="AC39" s="19">
        <f>'283α23'!AN36</f>
        <v>0</v>
      </c>
      <c r="AD39" s="19">
        <f>'283α23'!AO36</f>
        <v>0</v>
      </c>
      <c r="AE39" s="19">
        <f>'283α23'!AP36</f>
        <v>0</v>
      </c>
      <c r="AF39" s="19">
        <f>'283α21'!AR35</f>
        <v>0</v>
      </c>
      <c r="AG39" s="19">
        <f>'283α23'!AR36</f>
        <v>0</v>
      </c>
      <c r="AH39" s="19">
        <f>'283α23'!AS36</f>
        <v>0</v>
      </c>
      <c r="AI39" s="19">
        <f>'283α23'!AT36</f>
        <v>0</v>
      </c>
      <c r="AJ39" s="19">
        <f>'283α21'!AV35</f>
        <v>0</v>
      </c>
      <c r="AK39" s="19">
        <f>'283α23'!AV36</f>
        <v>0</v>
      </c>
      <c r="AL39" s="19">
        <f>'283α23'!AW36</f>
        <v>0</v>
      </c>
      <c r="AM39" s="19"/>
      <c r="AN39" s="19"/>
      <c r="AO39" s="19"/>
      <c r="AP39" s="245"/>
      <c r="AQ39" s="242">
        <f>'283τ1'!O20+'283τ2'!O20+'283τ(3-4)'!O20+'283τ(5-6)'!O20</f>
        <v>1641.8</v>
      </c>
      <c r="AR39" s="38">
        <f>'283τ(7-8)'!O20</f>
        <v>15</v>
      </c>
      <c r="AS39" s="17">
        <f t="shared" si="2"/>
        <v>16250</v>
      </c>
      <c r="AV39" s="20"/>
    </row>
    <row r="40" spans="1:48" ht="15" customHeight="1">
      <c r="A40" s="29">
        <v>2017</v>
      </c>
      <c r="B40" s="398" t="s">
        <v>90</v>
      </c>
      <c r="C40" s="399"/>
      <c r="D40" s="399"/>
      <c r="E40" s="399"/>
      <c r="F40" s="399"/>
      <c r="G40" s="400"/>
      <c r="H40" s="303" t="s">
        <v>91</v>
      </c>
      <c r="I40" s="304"/>
      <c r="J40" s="19" t="e">
        <f>'283β-11'!#REF!</f>
        <v>#REF!</v>
      </c>
      <c r="K40" s="303" t="s">
        <v>91</v>
      </c>
      <c r="L40" s="304"/>
      <c r="M40" s="19">
        <f>'283α23'!X37</f>
        <v>0</v>
      </c>
      <c r="N40" s="19">
        <f>'283α21'!Z36</f>
        <v>0</v>
      </c>
      <c r="O40" s="19">
        <f>'283α23'!Z37</f>
        <v>0</v>
      </c>
      <c r="P40" s="303" t="s">
        <v>91</v>
      </c>
      <c r="Q40" s="304"/>
      <c r="R40" s="119">
        <v>8600</v>
      </c>
      <c r="S40" s="303" t="s">
        <v>91</v>
      </c>
      <c r="T40" s="304"/>
      <c r="U40" s="38">
        <v>1900</v>
      </c>
      <c r="V40" s="19">
        <f>'283α21'!AH36</f>
        <v>0</v>
      </c>
      <c r="W40" s="19">
        <f>'283α23'!AH37</f>
        <v>0</v>
      </c>
      <c r="X40" s="19">
        <f>'283α23'!AI37</f>
        <v>0</v>
      </c>
      <c r="Y40" s="19">
        <f>'283α23'!AJ37</f>
        <v>0</v>
      </c>
      <c r="Z40" s="303" t="s">
        <v>91</v>
      </c>
      <c r="AA40" s="304"/>
      <c r="AB40" s="38">
        <v>5874</v>
      </c>
      <c r="AC40" s="303" t="s">
        <v>91</v>
      </c>
      <c r="AD40" s="304"/>
      <c r="AE40" s="19">
        <f>'283α23'!AP37</f>
        <v>0</v>
      </c>
      <c r="AF40" s="19">
        <f>'283α21'!AR36</f>
        <v>0</v>
      </c>
      <c r="AG40" s="19">
        <f>'283α23'!AR37</f>
        <v>0</v>
      </c>
      <c r="AH40" s="303" t="s">
        <v>91</v>
      </c>
      <c r="AI40" s="304"/>
      <c r="AJ40" s="19">
        <f>'283α21'!AV36</f>
        <v>0</v>
      </c>
      <c r="AK40" s="19">
        <f>'283α23'!AV37</f>
        <v>0</v>
      </c>
      <c r="AL40" s="19">
        <f>'283α23'!AW37</f>
        <v>0</v>
      </c>
      <c r="AM40" s="19"/>
      <c r="AN40" s="19"/>
      <c r="AO40" s="19"/>
      <c r="AP40" s="245"/>
      <c r="AQ40" s="242">
        <f>'283τ1'!O21+'283τ2'!O21+'283τ(3-4)'!O21+'283τ(5-6)'!O21</f>
        <v>4047.5</v>
      </c>
      <c r="AR40" s="38">
        <f>'283τ(7-8)'!O21</f>
        <v>24</v>
      </c>
      <c r="AS40" s="17" t="e">
        <f t="shared" si="2"/>
        <v>#REF!</v>
      </c>
      <c r="AV40" s="20"/>
    </row>
    <row r="41" spans="1:48">
      <c r="A41" s="29">
        <v>2018</v>
      </c>
      <c r="B41" s="401"/>
      <c r="C41" s="402"/>
      <c r="D41" s="402"/>
      <c r="E41" s="402"/>
      <c r="F41" s="402"/>
      <c r="G41" s="403"/>
      <c r="H41" s="305"/>
      <c r="I41" s="306"/>
      <c r="J41" s="19" t="e">
        <f>'283β-11'!#REF!</f>
        <v>#REF!</v>
      </c>
      <c r="K41" s="305"/>
      <c r="L41" s="306"/>
      <c r="M41" s="19">
        <f>'283α23'!X38</f>
        <v>0</v>
      </c>
      <c r="N41" s="19">
        <f>'283α21'!Z37</f>
        <v>0</v>
      </c>
      <c r="O41" s="19">
        <f>'283α23'!Z38</f>
        <v>0</v>
      </c>
      <c r="P41" s="305"/>
      <c r="Q41" s="306"/>
      <c r="R41" s="119">
        <v>8700</v>
      </c>
      <c r="S41" s="305"/>
      <c r="T41" s="306"/>
      <c r="U41" s="38">
        <v>2016</v>
      </c>
      <c r="V41" s="19">
        <f>'283α21'!AH37</f>
        <v>0</v>
      </c>
      <c r="W41" s="19">
        <f>'283α23'!AH38</f>
        <v>0</v>
      </c>
      <c r="X41" s="19">
        <f>'283α23'!AI38</f>
        <v>0</v>
      </c>
      <c r="Y41" s="19">
        <f>'283α23'!AJ38</f>
        <v>0</v>
      </c>
      <c r="Z41" s="305"/>
      <c r="AA41" s="306"/>
      <c r="AB41" s="119">
        <v>6600</v>
      </c>
      <c r="AC41" s="305"/>
      <c r="AD41" s="306"/>
      <c r="AE41" s="19">
        <f>'283α23'!AP38</f>
        <v>0</v>
      </c>
      <c r="AF41" s="19">
        <f>'283α21'!AR37</f>
        <v>0</v>
      </c>
      <c r="AG41" s="19">
        <f>'283α23'!AR38</f>
        <v>0</v>
      </c>
      <c r="AH41" s="305"/>
      <c r="AI41" s="306"/>
      <c r="AJ41" s="19">
        <f>'283α21'!AV37</f>
        <v>0</v>
      </c>
      <c r="AK41" s="19">
        <f>'283α23'!AV38</f>
        <v>0</v>
      </c>
      <c r="AL41" s="19">
        <f>'283α23'!AW38</f>
        <v>0</v>
      </c>
      <c r="AM41" s="19"/>
      <c r="AN41" s="19"/>
      <c r="AO41" s="19"/>
      <c r="AP41" s="245"/>
      <c r="AQ41" s="242">
        <f>'283τ1'!O22+'283τ2'!O22+'283τ(3-4)'!O22+'283τ(5-6)'!O22</f>
        <v>3578.5</v>
      </c>
      <c r="AR41" s="38">
        <f>'283τ(7-8)'!O22</f>
        <v>20</v>
      </c>
      <c r="AS41" s="17" t="e">
        <f t="shared" si="2"/>
        <v>#REF!</v>
      </c>
    </row>
    <row r="42" spans="1:48">
      <c r="A42" s="29">
        <v>2019</v>
      </c>
      <c r="B42" s="401"/>
      <c r="C42" s="402"/>
      <c r="D42" s="402"/>
      <c r="E42" s="402"/>
      <c r="F42" s="402"/>
      <c r="G42" s="403"/>
      <c r="H42" s="305"/>
      <c r="I42" s="306"/>
      <c r="J42" s="38">
        <v>25278.29</v>
      </c>
      <c r="K42" s="305"/>
      <c r="L42" s="306"/>
      <c r="M42" s="19">
        <f>'283α23'!X39</f>
        <v>0</v>
      </c>
      <c r="N42" s="19">
        <f>'283α21'!Z38</f>
        <v>0</v>
      </c>
      <c r="O42" s="19">
        <f>'283α23'!Z39</f>
        <v>0</v>
      </c>
      <c r="P42" s="305"/>
      <c r="Q42" s="306"/>
      <c r="R42" s="119">
        <v>9600</v>
      </c>
      <c r="S42" s="305"/>
      <c r="T42" s="306"/>
      <c r="U42" s="38">
        <v>2200</v>
      </c>
      <c r="V42" s="19">
        <f>'283α21'!AH38</f>
        <v>0</v>
      </c>
      <c r="W42" s="19">
        <f>'283α23'!AH39</f>
        <v>0</v>
      </c>
      <c r="X42" s="19">
        <f>'283α23'!AI39</f>
        <v>0</v>
      </c>
      <c r="Y42" s="19">
        <f>'283α23'!AJ39</f>
        <v>0</v>
      </c>
      <c r="Z42" s="305"/>
      <c r="AA42" s="306"/>
      <c r="AB42" s="119">
        <v>6600</v>
      </c>
      <c r="AC42" s="305"/>
      <c r="AD42" s="306"/>
      <c r="AE42" s="19">
        <f>'283α23'!AP39</f>
        <v>0</v>
      </c>
      <c r="AF42" s="19">
        <f>'283α21'!AR38</f>
        <v>0</v>
      </c>
      <c r="AG42" s="19">
        <f>'283α23'!AR39</f>
        <v>0</v>
      </c>
      <c r="AH42" s="305"/>
      <c r="AI42" s="306"/>
      <c r="AJ42" s="19">
        <f>'283α21'!AV38</f>
        <v>0</v>
      </c>
      <c r="AK42" s="19">
        <f>'283α23'!AV39</f>
        <v>0</v>
      </c>
      <c r="AL42" s="19">
        <f>'283α23'!AW39</f>
        <v>0</v>
      </c>
      <c r="AM42" s="19"/>
      <c r="AN42" s="19"/>
      <c r="AO42" s="19"/>
      <c r="AP42" s="245"/>
      <c r="AQ42" s="242">
        <f>'283τ1'!O23+'283τ2'!O23+'283τ(3-4)'!O23+'283τ(5-6)'!O23</f>
        <v>4378</v>
      </c>
      <c r="AR42" s="38">
        <f>'283τ(7-8)'!O23</f>
        <v>26</v>
      </c>
      <c r="AS42" s="17">
        <f t="shared" si="2"/>
        <v>43678.29</v>
      </c>
    </row>
    <row r="43" spans="1:48">
      <c r="A43" s="29">
        <v>2020</v>
      </c>
      <c r="B43" s="401"/>
      <c r="C43" s="402"/>
      <c r="D43" s="402"/>
      <c r="E43" s="402"/>
      <c r="F43" s="402"/>
      <c r="G43" s="403"/>
      <c r="H43" s="305"/>
      <c r="I43" s="306"/>
      <c r="J43" s="19">
        <f>'283α21'!V39</f>
        <v>0</v>
      </c>
      <c r="K43" s="305"/>
      <c r="L43" s="306"/>
      <c r="M43" s="19">
        <f>'283α23'!X40</f>
        <v>0</v>
      </c>
      <c r="N43" s="19">
        <f>'283α21'!Z39</f>
        <v>0</v>
      </c>
      <c r="O43" s="19">
        <f>'283α23'!Z40</f>
        <v>0</v>
      </c>
      <c r="P43" s="305"/>
      <c r="Q43" s="306"/>
      <c r="R43" s="19">
        <f>'283α23'!AC40</f>
        <v>0</v>
      </c>
      <c r="S43" s="305"/>
      <c r="T43" s="306"/>
      <c r="U43" s="19">
        <f>'283α23'!AF40</f>
        <v>0</v>
      </c>
      <c r="V43" s="19">
        <f>'283α21'!AH39</f>
        <v>0</v>
      </c>
      <c r="W43" s="19">
        <f>'283α23'!AH40</f>
        <v>0</v>
      </c>
      <c r="X43" s="19">
        <f>'283α23'!AI40</f>
        <v>0</v>
      </c>
      <c r="Y43" s="19">
        <f>'283α23'!AJ40</f>
        <v>0</v>
      </c>
      <c r="Z43" s="305"/>
      <c r="AA43" s="306"/>
      <c r="AB43" s="19">
        <f>'283α23'!AM40</f>
        <v>0</v>
      </c>
      <c r="AC43" s="305"/>
      <c r="AD43" s="306"/>
      <c r="AE43" s="19">
        <f>'283α23'!AP40</f>
        <v>0</v>
      </c>
      <c r="AF43" s="19">
        <f>'283α21'!AR39</f>
        <v>0</v>
      </c>
      <c r="AG43" s="19">
        <f>'283α23'!AR40</f>
        <v>0</v>
      </c>
      <c r="AH43" s="305"/>
      <c r="AI43" s="306"/>
      <c r="AJ43" s="19">
        <f>'283α21'!AV39</f>
        <v>0</v>
      </c>
      <c r="AK43" s="19">
        <f>'283α23'!AV40</f>
        <v>0</v>
      </c>
      <c r="AL43" s="19">
        <f>'283α23'!AW40</f>
        <v>0</v>
      </c>
      <c r="AM43" s="19"/>
      <c r="AN43" s="19"/>
      <c r="AO43" s="19"/>
      <c r="AP43" s="245"/>
      <c r="AQ43" s="242">
        <f>'283τ1'!O24+'283τ2'!O24+'283τ(3-4)'!O24+'283τ(5-6)'!O24</f>
        <v>2138</v>
      </c>
      <c r="AR43" s="38">
        <f>'283τ(7-8)'!O24</f>
        <v>0</v>
      </c>
      <c r="AS43" s="17">
        <f t="shared" si="2"/>
        <v>0</v>
      </c>
    </row>
    <row r="44" spans="1:48">
      <c r="A44" s="29">
        <v>2021</v>
      </c>
      <c r="B44" s="401"/>
      <c r="C44" s="402"/>
      <c r="D44" s="402"/>
      <c r="E44" s="402"/>
      <c r="F44" s="402"/>
      <c r="G44" s="403"/>
      <c r="H44" s="305"/>
      <c r="I44" s="306"/>
      <c r="J44" s="19"/>
      <c r="K44" s="305"/>
      <c r="L44" s="306"/>
      <c r="M44" s="19"/>
      <c r="N44" s="19"/>
      <c r="O44" s="19"/>
      <c r="P44" s="305"/>
      <c r="Q44" s="306"/>
      <c r="R44" s="19"/>
      <c r="S44" s="305"/>
      <c r="T44" s="306"/>
      <c r="U44" s="19"/>
      <c r="V44" s="19"/>
      <c r="W44" s="19"/>
      <c r="X44" s="19"/>
      <c r="Y44" s="19"/>
      <c r="Z44" s="305"/>
      <c r="AA44" s="306"/>
      <c r="AB44" s="19"/>
      <c r="AC44" s="305"/>
      <c r="AD44" s="306"/>
      <c r="AE44" s="19"/>
      <c r="AF44" s="19"/>
      <c r="AG44" s="19"/>
      <c r="AH44" s="305"/>
      <c r="AI44" s="306"/>
      <c r="AJ44" s="19"/>
      <c r="AK44" s="19"/>
      <c r="AL44" s="19"/>
      <c r="AM44" s="17"/>
      <c r="AN44" s="17"/>
      <c r="AO44" s="17"/>
      <c r="AP44" s="243"/>
      <c r="AQ44" s="242">
        <f>'283τ1'!O25+'283τ2'!O25+'283τ(3-4)'!O25+'283τ(5-6)'!O25</f>
        <v>0</v>
      </c>
      <c r="AR44" s="38">
        <f>'283τ(7-8)'!O25</f>
        <v>0</v>
      </c>
      <c r="AS44" s="17"/>
    </row>
    <row r="45" spans="1:48">
      <c r="A45" s="29">
        <v>2022</v>
      </c>
      <c r="B45" s="401"/>
      <c r="C45" s="402"/>
      <c r="D45" s="402"/>
      <c r="E45" s="402"/>
      <c r="F45" s="402"/>
      <c r="G45" s="403"/>
      <c r="H45" s="305"/>
      <c r="I45" s="306"/>
      <c r="J45" s="19"/>
      <c r="K45" s="305"/>
      <c r="L45" s="306"/>
      <c r="M45" s="19"/>
      <c r="N45" s="19"/>
      <c r="O45" s="19"/>
      <c r="P45" s="305"/>
      <c r="Q45" s="306"/>
      <c r="R45" s="19"/>
      <c r="S45" s="305"/>
      <c r="T45" s="306"/>
      <c r="U45" s="19"/>
      <c r="V45" s="19"/>
      <c r="W45" s="19"/>
      <c r="X45" s="19"/>
      <c r="Y45" s="19"/>
      <c r="Z45" s="305"/>
      <c r="AA45" s="306"/>
      <c r="AB45" s="19"/>
      <c r="AC45" s="305"/>
      <c r="AD45" s="306"/>
      <c r="AE45" s="19"/>
      <c r="AF45" s="19"/>
      <c r="AG45" s="19"/>
      <c r="AH45" s="305"/>
      <c r="AI45" s="306"/>
      <c r="AJ45" s="19"/>
      <c r="AK45" s="19"/>
      <c r="AL45" s="19"/>
      <c r="AM45" s="17"/>
      <c r="AN45" s="17"/>
      <c r="AO45" s="17"/>
      <c r="AP45" s="243"/>
      <c r="AQ45" s="243"/>
      <c r="AR45" s="245">
        <f>'283τ(7-8)'!O26</f>
        <v>0</v>
      </c>
      <c r="AS45" s="17"/>
    </row>
    <row r="46" spans="1:48">
      <c r="A46" s="29">
        <v>2023</v>
      </c>
      <c r="B46" s="404"/>
      <c r="C46" s="405"/>
      <c r="D46" s="405"/>
      <c r="E46" s="405"/>
      <c r="F46" s="405"/>
      <c r="G46" s="406"/>
      <c r="H46" s="307"/>
      <c r="I46" s="308"/>
      <c r="J46" s="19"/>
      <c r="K46" s="307"/>
      <c r="L46" s="308"/>
      <c r="M46" s="19"/>
      <c r="N46" s="19"/>
      <c r="O46" s="19"/>
      <c r="P46" s="307"/>
      <c r="Q46" s="308"/>
      <c r="R46" s="19"/>
      <c r="S46" s="307"/>
      <c r="T46" s="308"/>
      <c r="U46" s="19"/>
      <c r="V46" s="19"/>
      <c r="W46" s="19"/>
      <c r="X46" s="19"/>
      <c r="Y46" s="19"/>
      <c r="Z46" s="307"/>
      <c r="AA46" s="308"/>
      <c r="AB46" s="19"/>
      <c r="AC46" s="307"/>
      <c r="AD46" s="308"/>
      <c r="AE46" s="19"/>
      <c r="AF46" s="19"/>
      <c r="AG46" s="19"/>
      <c r="AH46" s="307"/>
      <c r="AI46" s="308"/>
      <c r="AJ46" s="19"/>
      <c r="AK46" s="19"/>
      <c r="AL46" s="19"/>
      <c r="AM46" s="17"/>
      <c r="AN46" s="17"/>
      <c r="AO46" s="17"/>
      <c r="AP46" s="243"/>
      <c r="AQ46" s="243"/>
      <c r="AR46" s="245">
        <f>'283τ(7-8)'!O27</f>
        <v>0</v>
      </c>
      <c r="AS46" s="17"/>
    </row>
    <row r="47" spans="1:48" ht="15.75">
      <c r="A47" s="13" t="s">
        <v>16</v>
      </c>
      <c r="B47" s="63">
        <f t="shared" ref="B47:G47" si="3">SUM(B27:B43)</f>
        <v>0</v>
      </c>
      <c r="C47" s="63">
        <f t="shared" si="3"/>
        <v>0</v>
      </c>
      <c r="D47" s="85">
        <f t="shared" si="3"/>
        <v>0</v>
      </c>
      <c r="E47" s="30">
        <f t="shared" si="3"/>
        <v>0</v>
      </c>
      <c r="F47" s="30">
        <f t="shared" si="3"/>
        <v>0</v>
      </c>
      <c r="G47" s="63">
        <f t="shared" si="3"/>
        <v>0</v>
      </c>
      <c r="H47" s="85">
        <v>2672.82</v>
      </c>
      <c r="I47" s="30">
        <v>1712.86</v>
      </c>
      <c r="J47" s="30">
        <v>25278.29</v>
      </c>
      <c r="K47" s="85">
        <f t="shared" ref="K47:AS47" si="4">SUM(K27:K43)</f>
        <v>0</v>
      </c>
      <c r="L47" s="30">
        <f t="shared" si="4"/>
        <v>0</v>
      </c>
      <c r="M47" s="30">
        <f t="shared" si="4"/>
        <v>0</v>
      </c>
      <c r="N47" s="30">
        <f t="shared" si="4"/>
        <v>0</v>
      </c>
      <c r="O47" s="63">
        <f t="shared" si="4"/>
        <v>0</v>
      </c>
      <c r="P47" s="85">
        <f t="shared" si="4"/>
        <v>1280</v>
      </c>
      <c r="Q47" s="30">
        <f t="shared" si="4"/>
        <v>1536</v>
      </c>
      <c r="R47" s="30">
        <f t="shared" si="4"/>
        <v>49684</v>
      </c>
      <c r="S47" s="85">
        <f t="shared" si="4"/>
        <v>330</v>
      </c>
      <c r="T47" s="30">
        <f t="shared" si="4"/>
        <v>396</v>
      </c>
      <c r="U47" s="30">
        <f t="shared" si="4"/>
        <v>11990</v>
      </c>
      <c r="V47" s="85">
        <f t="shared" si="4"/>
        <v>0</v>
      </c>
      <c r="W47" s="30">
        <f t="shared" si="4"/>
        <v>0</v>
      </c>
      <c r="X47" s="30">
        <f t="shared" si="4"/>
        <v>0</v>
      </c>
      <c r="Y47" s="30">
        <f t="shared" si="4"/>
        <v>0</v>
      </c>
      <c r="Z47" s="85">
        <f t="shared" si="4"/>
        <v>1155</v>
      </c>
      <c r="AA47" s="30">
        <f t="shared" si="4"/>
        <v>1386</v>
      </c>
      <c r="AB47" s="30">
        <f t="shared" si="4"/>
        <v>39633</v>
      </c>
      <c r="AC47" s="85">
        <f t="shared" si="4"/>
        <v>0</v>
      </c>
      <c r="AD47" s="30">
        <f t="shared" si="4"/>
        <v>0</v>
      </c>
      <c r="AE47" s="30">
        <f t="shared" si="4"/>
        <v>0</v>
      </c>
      <c r="AF47" s="30">
        <f t="shared" si="4"/>
        <v>0</v>
      </c>
      <c r="AG47" s="30">
        <f t="shared" si="4"/>
        <v>0</v>
      </c>
      <c r="AH47" s="85">
        <f t="shared" si="4"/>
        <v>0</v>
      </c>
      <c r="AI47" s="30">
        <f t="shared" si="4"/>
        <v>0</v>
      </c>
      <c r="AJ47" s="30">
        <f t="shared" si="4"/>
        <v>0</v>
      </c>
      <c r="AK47" s="30">
        <f t="shared" si="4"/>
        <v>0</v>
      </c>
      <c r="AL47" s="30">
        <f t="shared" si="4"/>
        <v>0</v>
      </c>
      <c r="AM47" s="30">
        <f t="shared" si="4"/>
        <v>0</v>
      </c>
      <c r="AN47" s="30">
        <f t="shared" si="4"/>
        <v>0</v>
      </c>
      <c r="AO47" s="30">
        <f t="shared" si="4"/>
        <v>0</v>
      </c>
      <c r="AP47" s="30">
        <f t="shared" si="4"/>
        <v>0</v>
      </c>
      <c r="AQ47" s="30">
        <f t="shared" si="4"/>
        <v>19338.8</v>
      </c>
      <c r="AR47" s="30">
        <f t="shared" si="4"/>
        <v>107</v>
      </c>
      <c r="AS47" s="30" t="e">
        <f t="shared" si="4"/>
        <v>#REF!</v>
      </c>
    </row>
    <row r="48" spans="1:48" ht="15.75">
      <c r="AL48" s="116" t="s">
        <v>36</v>
      </c>
      <c r="AM48" s="116"/>
      <c r="AN48" s="116"/>
      <c r="AO48" s="116"/>
      <c r="AP48" s="116"/>
      <c r="AQ48" s="116"/>
      <c r="AR48" s="116"/>
      <c r="AS48" s="117"/>
    </row>
    <row r="49" spans="16:45" ht="15.75">
      <c r="P49" s="416" t="s">
        <v>72</v>
      </c>
      <c r="Q49" s="416"/>
      <c r="R49" s="416"/>
      <c r="S49" s="311" t="s">
        <v>74</v>
      </c>
      <c r="T49" s="311"/>
      <c r="U49" s="311"/>
      <c r="Z49" s="311" t="s">
        <v>74</v>
      </c>
      <c r="AA49" s="311"/>
      <c r="AB49" s="311"/>
      <c r="AL49" s="116" t="s">
        <v>63</v>
      </c>
      <c r="AM49" s="116"/>
      <c r="AN49" s="116"/>
      <c r="AO49" s="116"/>
      <c r="AP49" s="116"/>
      <c r="AQ49" s="116"/>
      <c r="AR49" s="116"/>
      <c r="AS49" s="117"/>
    </row>
    <row r="51" spans="16:45" ht="15.75">
      <c r="AS51" s="117" t="e">
        <f>SUM(AS40:AS47)</f>
        <v>#REF!</v>
      </c>
    </row>
    <row r="52" spans="16:45" ht="15.75">
      <c r="AS52" s="63">
        <f>B51+C51+G51+O51</f>
        <v>0</v>
      </c>
    </row>
    <row r="53" spans="16:45" ht="15.75">
      <c r="AS53" s="118">
        <f>D51+H51+K51+P51+S51+V51+Z51+AC51+AH51</f>
        <v>0</v>
      </c>
    </row>
  </sheetData>
  <mergeCells count="54">
    <mergeCell ref="P49:R49"/>
    <mergeCell ref="S49:U49"/>
    <mergeCell ref="Z49:AB49"/>
    <mergeCell ref="AQ2:AQ4"/>
    <mergeCell ref="P27:R27"/>
    <mergeCell ref="S27:U27"/>
    <mergeCell ref="V27:Y27"/>
    <mergeCell ref="AC2:AE3"/>
    <mergeCell ref="AF2:AF4"/>
    <mergeCell ref="AG2:AG4"/>
    <mergeCell ref="AH2:AK3"/>
    <mergeCell ref="AL2:AL4"/>
    <mergeCell ref="AO2:AO4"/>
    <mergeCell ref="S40:T46"/>
    <mergeCell ref="Z40:AA46"/>
    <mergeCell ref="AC40:AD46"/>
    <mergeCell ref="K40:L46"/>
    <mergeCell ref="A1:A4"/>
    <mergeCell ref="B3:B4"/>
    <mergeCell ref="C3:F3"/>
    <mergeCell ref="G3:G4"/>
    <mergeCell ref="B2:G2"/>
    <mergeCell ref="AP2:AP4"/>
    <mergeCell ref="AH40:AI46"/>
    <mergeCell ref="AV1:AV4"/>
    <mergeCell ref="B1:AS1"/>
    <mergeCell ref="AS2:AS4"/>
    <mergeCell ref="O2:O4"/>
    <mergeCell ref="S2:U3"/>
    <mergeCell ref="V2:Y3"/>
    <mergeCell ref="P2:R3"/>
    <mergeCell ref="H2:J3"/>
    <mergeCell ref="K2:M3"/>
    <mergeCell ref="N2:N4"/>
    <mergeCell ref="Z2:AB3"/>
    <mergeCell ref="H36:J39"/>
    <mergeCell ref="B40:G46"/>
    <mergeCell ref="H40:I46"/>
    <mergeCell ref="AR2:AR4"/>
    <mergeCell ref="P40:Q46"/>
    <mergeCell ref="B33:AS33"/>
    <mergeCell ref="B31:AS31"/>
    <mergeCell ref="AM2:AM4"/>
    <mergeCell ref="Z27:AB27"/>
    <mergeCell ref="S5:U15"/>
    <mergeCell ref="O7:O9"/>
    <mergeCell ref="O10:O13"/>
    <mergeCell ref="B25:AS25"/>
    <mergeCell ref="H10:J13"/>
    <mergeCell ref="K5:M13"/>
    <mergeCell ref="K18:M20"/>
    <mergeCell ref="N7:N9"/>
    <mergeCell ref="N10:N13"/>
    <mergeCell ref="AN2:AN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22"/>
  <sheetViews>
    <sheetView workbookViewId="0">
      <selection activeCell="R32" sqref="R32"/>
    </sheetView>
  </sheetViews>
  <sheetFormatPr defaultRowHeight="12.75"/>
  <cols>
    <col min="1" max="1" width="5" style="2" bestFit="1" customWidth="1"/>
    <col min="2" max="2" width="7" style="2" bestFit="1" customWidth="1"/>
    <col min="3" max="3" width="8" style="2" bestFit="1" customWidth="1"/>
    <col min="4" max="5" width="3.88671875" style="2" bestFit="1" customWidth="1"/>
    <col min="6" max="6" width="6.109375" style="2" bestFit="1" customWidth="1"/>
    <col min="7" max="7" width="7" style="2" bestFit="1" customWidth="1"/>
    <col min="8" max="8" width="8.33203125" style="2" bestFit="1" customWidth="1"/>
    <col min="9" max="9" width="8.109375" style="2" bestFit="1" customWidth="1"/>
    <col min="10" max="10" width="9.109375" style="2" bestFit="1" customWidth="1"/>
    <col min="11" max="11" width="8" style="2" bestFit="1" customWidth="1"/>
    <col min="12" max="14" width="9" style="2" bestFit="1" customWidth="1"/>
    <col min="15" max="15" width="8.44140625" style="2" bestFit="1" customWidth="1"/>
    <col min="16" max="16" width="9.21875" style="2" bestFit="1" customWidth="1"/>
    <col min="17" max="17" width="10" style="2" bestFit="1" customWidth="1"/>
    <col min="18" max="18" width="15.6640625" style="2" bestFit="1" customWidth="1"/>
    <col min="19" max="19" width="9.77734375" style="2" customWidth="1"/>
    <col min="20" max="20" width="14.109375" style="2" bestFit="1" customWidth="1"/>
    <col min="21" max="23" width="8.88671875" style="2"/>
    <col min="24" max="24" width="8.44140625" style="2" bestFit="1" customWidth="1"/>
    <col min="25" max="25" width="5.21875" style="2" bestFit="1" customWidth="1"/>
    <col min="26" max="26" width="8.44140625" style="2" bestFit="1" customWidth="1"/>
    <col min="27" max="27" width="5.44140625" style="2" bestFit="1" customWidth="1"/>
    <col min="28" max="28" width="10.44140625" style="2" bestFit="1" customWidth="1"/>
    <col min="29" max="29" width="7.33203125" style="2" customWidth="1"/>
    <col min="30" max="30" width="9" style="2" bestFit="1" customWidth="1"/>
    <col min="31" max="16384" width="8.88671875" style="2"/>
  </cols>
  <sheetData>
    <row r="1" spans="1:31" ht="15">
      <c r="A1" s="442" t="s">
        <v>18</v>
      </c>
      <c r="B1" s="444" t="s">
        <v>4</v>
      </c>
      <c r="C1" s="366" t="s">
        <v>5</v>
      </c>
      <c r="D1" s="446" t="s">
        <v>6</v>
      </c>
      <c r="E1" s="366" t="s">
        <v>7</v>
      </c>
      <c r="F1" s="444" t="s">
        <v>2</v>
      </c>
      <c r="G1" s="366" t="s">
        <v>8</v>
      </c>
      <c r="H1" s="463" t="s">
        <v>9</v>
      </c>
      <c r="I1" s="366" t="s">
        <v>10</v>
      </c>
      <c r="J1" s="444" t="s">
        <v>11</v>
      </c>
      <c r="K1" s="366" t="s">
        <v>12</v>
      </c>
      <c r="L1" s="463" t="s">
        <v>13</v>
      </c>
      <c r="M1" s="465" t="s">
        <v>14</v>
      </c>
      <c r="N1" s="467" t="s">
        <v>16</v>
      </c>
      <c r="O1" s="467"/>
      <c r="P1" s="467"/>
      <c r="Q1" s="467"/>
      <c r="T1" s="128" t="s">
        <v>124</v>
      </c>
      <c r="U1" s="161" t="s">
        <v>1</v>
      </c>
      <c r="V1" s="161" t="s">
        <v>126</v>
      </c>
      <c r="X1" s="362" t="s">
        <v>71</v>
      </c>
      <c r="Y1" s="362"/>
      <c r="Z1" s="362"/>
      <c r="AA1" s="362"/>
      <c r="AB1" s="362"/>
      <c r="AC1" s="362"/>
      <c r="AD1" s="90"/>
      <c r="AE1" s="90"/>
    </row>
    <row r="2" spans="1:31" ht="15.75" customHeight="1" thickBot="1">
      <c r="A2" s="443"/>
      <c r="B2" s="445"/>
      <c r="C2" s="368"/>
      <c r="D2" s="447"/>
      <c r="E2" s="368"/>
      <c r="F2" s="445"/>
      <c r="G2" s="368"/>
      <c r="H2" s="464"/>
      <c r="I2" s="368"/>
      <c r="J2" s="445"/>
      <c r="K2" s="368"/>
      <c r="L2" s="464"/>
      <c r="M2" s="466"/>
      <c r="N2" s="87" t="s">
        <v>55</v>
      </c>
      <c r="O2" s="87" t="s">
        <v>50</v>
      </c>
      <c r="P2" s="87" t="s">
        <v>34</v>
      </c>
      <c r="Q2" s="88" t="s">
        <v>29</v>
      </c>
      <c r="X2" s="362"/>
      <c r="Y2" s="362"/>
      <c r="Z2" s="362"/>
      <c r="AA2" s="362"/>
      <c r="AB2" s="362"/>
      <c r="AC2" s="362"/>
      <c r="AD2" s="90"/>
      <c r="AE2" s="90"/>
    </row>
    <row r="3" spans="1:31" ht="12.75" customHeight="1">
      <c r="A3" s="7">
        <v>1998</v>
      </c>
      <c r="B3" s="9"/>
      <c r="C3" s="9"/>
      <c r="D3" s="9"/>
      <c r="E3" s="9"/>
      <c r="F3" s="9"/>
      <c r="G3" s="9"/>
      <c r="H3" s="9"/>
      <c r="I3" s="123">
        <v>88.04</v>
      </c>
      <c r="J3" s="123">
        <v>390.32</v>
      </c>
      <c r="K3" s="123">
        <v>328.69</v>
      </c>
      <c r="L3" s="123">
        <v>284.67</v>
      </c>
      <c r="M3" s="123">
        <v>754.22</v>
      </c>
      <c r="N3" s="123">
        <f>Q3*5%</f>
        <v>92.297000000000011</v>
      </c>
      <c r="O3" s="123">
        <f>Q3*6%</f>
        <v>110.7564</v>
      </c>
      <c r="P3" s="123">
        <f>Q3*89%</f>
        <v>1642.8866</v>
      </c>
      <c r="Q3" s="123">
        <f>SUM(B3:M3)</f>
        <v>1845.94</v>
      </c>
      <c r="T3" s="6">
        <f>Q3/U3</f>
        <v>7.691416666666667</v>
      </c>
      <c r="U3" s="160">
        <v>240</v>
      </c>
      <c r="V3" s="160"/>
      <c r="X3" s="77">
        <v>108</v>
      </c>
      <c r="Y3" s="451" t="s">
        <v>60</v>
      </c>
      <c r="Z3" s="6">
        <v>90</v>
      </c>
      <c r="AA3" s="451" t="s">
        <v>61</v>
      </c>
      <c r="AB3" s="77">
        <v>1602</v>
      </c>
      <c r="AC3" s="451" t="s">
        <v>46</v>
      </c>
    </row>
    <row r="4" spans="1:31" ht="15">
      <c r="A4" s="1">
        <v>1999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9">
        <f t="shared" ref="N4:N18" si="0">Q4*5%</f>
        <v>220.35908750000004</v>
      </c>
      <c r="O4" s="59">
        <f t="shared" ref="O4:O18" si="1">Q4*6%</f>
        <v>264.43090500000005</v>
      </c>
      <c r="P4" s="59">
        <f t="shared" ref="P4:P18" si="2">Q4*89%</f>
        <v>3922.3917575000005</v>
      </c>
      <c r="Q4" s="59">
        <f>T4</f>
        <v>4407.1817500000006</v>
      </c>
      <c r="T4" s="16">
        <f>V4*T3</f>
        <v>4407.1817500000006</v>
      </c>
      <c r="U4" s="55">
        <v>813</v>
      </c>
      <c r="V4" s="55">
        <f>U4-U3</f>
        <v>573</v>
      </c>
      <c r="X4" s="77">
        <v>222</v>
      </c>
      <c r="Y4" s="451"/>
      <c r="Z4" s="6">
        <v>185</v>
      </c>
      <c r="AA4" s="451"/>
      <c r="AB4" s="77">
        <v>3293</v>
      </c>
      <c r="AC4" s="451"/>
    </row>
    <row r="5" spans="1:31" ht="15">
      <c r="A5" s="1">
        <v>2000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59">
        <f t="shared" si="0"/>
        <v>219.58994583333333</v>
      </c>
      <c r="O5" s="59">
        <f t="shared" si="1"/>
        <v>263.50793499999997</v>
      </c>
      <c r="P5" s="59">
        <f t="shared" si="2"/>
        <v>3908.7010358333332</v>
      </c>
      <c r="Q5" s="59">
        <f t="shared" ref="Q5:Q10" si="3">T5</f>
        <v>4391.7989166666666</v>
      </c>
      <c r="T5" s="16">
        <f>V5*T3</f>
        <v>4391.7989166666666</v>
      </c>
      <c r="U5" s="55">
        <v>1384</v>
      </c>
      <c r="V5" s="55">
        <f t="shared" ref="V5:V18" si="4">U5-U4</f>
        <v>571</v>
      </c>
      <c r="X5" s="77">
        <v>234</v>
      </c>
      <c r="Y5" s="451"/>
      <c r="Z5" s="6">
        <v>195</v>
      </c>
      <c r="AA5" s="451"/>
      <c r="AB5" s="77">
        <v>3471</v>
      </c>
      <c r="AC5" s="451"/>
    </row>
    <row r="6" spans="1:31" ht="15">
      <c r="A6" s="1">
        <v>2001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59">
        <f t="shared" si="0"/>
        <v>220.35908750000004</v>
      </c>
      <c r="O6" s="59">
        <f t="shared" si="1"/>
        <v>264.43090500000005</v>
      </c>
      <c r="P6" s="59">
        <f t="shared" si="2"/>
        <v>3922.3917575000005</v>
      </c>
      <c r="Q6" s="59">
        <f t="shared" si="3"/>
        <v>4407.1817500000006</v>
      </c>
      <c r="T6" s="16">
        <f>V6*T3</f>
        <v>4407.1817500000006</v>
      </c>
      <c r="U6" s="55">
        <v>1957</v>
      </c>
      <c r="V6" s="55">
        <f t="shared" si="4"/>
        <v>573</v>
      </c>
      <c r="X6" s="77">
        <v>246</v>
      </c>
      <c r="Y6" s="451"/>
      <c r="Z6" s="6">
        <v>205</v>
      </c>
      <c r="AA6" s="451"/>
      <c r="AB6" s="77">
        <v>3649</v>
      </c>
      <c r="AC6" s="451"/>
    </row>
    <row r="7" spans="1:31" ht="15">
      <c r="A7" s="1">
        <v>2002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59">
        <f t="shared" si="0"/>
        <v>250.35561250000001</v>
      </c>
      <c r="O7" s="59">
        <f t="shared" si="1"/>
        <v>300.42673500000001</v>
      </c>
      <c r="P7" s="59">
        <f t="shared" si="2"/>
        <v>4456.3299025000006</v>
      </c>
      <c r="Q7" s="59">
        <f t="shared" si="3"/>
        <v>5007.1122500000001</v>
      </c>
      <c r="T7" s="16">
        <f>V7*T3</f>
        <v>5007.1122500000001</v>
      </c>
      <c r="U7" s="55">
        <v>2608</v>
      </c>
      <c r="V7" s="55">
        <f t="shared" si="4"/>
        <v>651</v>
      </c>
      <c r="X7" s="77">
        <v>264</v>
      </c>
      <c r="Y7" s="451"/>
      <c r="Z7" s="6">
        <v>220</v>
      </c>
      <c r="AA7" s="451"/>
      <c r="AB7" s="77">
        <v>3916</v>
      </c>
      <c r="AC7" s="451"/>
    </row>
    <row r="8" spans="1:31" ht="15">
      <c r="A8" s="1">
        <v>2003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59">
        <f t="shared" si="0"/>
        <v>370.34171250000003</v>
      </c>
      <c r="O8" s="59">
        <f t="shared" si="1"/>
        <v>444.410055</v>
      </c>
      <c r="P8" s="59">
        <f t="shared" si="2"/>
        <v>6592.0824825</v>
      </c>
      <c r="Q8" s="59">
        <f t="shared" si="3"/>
        <v>7406.8342499999999</v>
      </c>
      <c r="T8" s="16">
        <f>V8*T3</f>
        <v>7406.8342499999999</v>
      </c>
      <c r="U8" s="55">
        <v>3571</v>
      </c>
      <c r="V8" s="55">
        <f t="shared" si="4"/>
        <v>963</v>
      </c>
      <c r="X8" s="77">
        <v>276</v>
      </c>
      <c r="Y8" s="451"/>
      <c r="Z8" s="77">
        <v>230</v>
      </c>
      <c r="AA8" s="451"/>
      <c r="AB8" s="77">
        <v>4094</v>
      </c>
      <c r="AC8" s="451"/>
    </row>
    <row r="9" spans="1:31" ht="15" customHeight="1">
      <c r="A9" s="1">
        <v>2004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59">
        <f t="shared" si="0"/>
        <v>378.41770000000002</v>
      </c>
      <c r="O9" s="59">
        <f t="shared" si="1"/>
        <v>454.10124000000002</v>
      </c>
      <c r="P9" s="59">
        <f t="shared" si="2"/>
        <v>6735.8350600000003</v>
      </c>
      <c r="Q9" s="59">
        <f t="shared" si="3"/>
        <v>7568.3540000000003</v>
      </c>
      <c r="R9" s="10">
        <v>4</v>
      </c>
      <c r="T9" s="16">
        <f>V9*T3</f>
        <v>7568.3540000000003</v>
      </c>
      <c r="U9" s="55">
        <v>4555</v>
      </c>
      <c r="V9" s="55">
        <f t="shared" si="4"/>
        <v>984</v>
      </c>
      <c r="X9" s="77">
        <v>288</v>
      </c>
      <c r="Y9" s="451"/>
      <c r="Z9" s="77">
        <v>240</v>
      </c>
      <c r="AA9" s="451"/>
      <c r="AB9" s="77">
        <v>4272</v>
      </c>
      <c r="AC9" s="451"/>
    </row>
    <row r="10" spans="1:31" ht="15" customHeight="1">
      <c r="A10" s="1">
        <v>2005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59">
        <f t="shared" si="0"/>
        <v>405.72222916666669</v>
      </c>
      <c r="O10" s="59">
        <f t="shared" si="1"/>
        <v>486.86667499999999</v>
      </c>
      <c r="P10" s="59">
        <f t="shared" si="2"/>
        <v>7221.855679166667</v>
      </c>
      <c r="Q10" s="59">
        <f t="shared" si="3"/>
        <v>8114.4445833333339</v>
      </c>
      <c r="R10" s="162" t="s">
        <v>130</v>
      </c>
      <c r="T10" s="16">
        <f>V10*T3</f>
        <v>8114.4445833333339</v>
      </c>
      <c r="U10" s="55">
        <v>5610</v>
      </c>
      <c r="V10" s="55">
        <f t="shared" si="4"/>
        <v>1055</v>
      </c>
      <c r="X10" s="77">
        <v>300</v>
      </c>
      <c r="Y10" s="451"/>
      <c r="Z10" s="77">
        <v>250</v>
      </c>
      <c r="AA10" s="451"/>
      <c r="AB10" s="77">
        <v>4450</v>
      </c>
      <c r="AC10" s="451"/>
    </row>
    <row r="11" spans="1:31" ht="15" customHeight="1">
      <c r="A11" s="1">
        <v>2006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59">
        <f t="shared" si="0"/>
        <v>513.16362858333343</v>
      </c>
      <c r="O11" s="59">
        <f t="shared" si="1"/>
        <v>615.79635430000008</v>
      </c>
      <c r="P11" s="59">
        <f t="shared" si="2"/>
        <v>9134.3125887833357</v>
      </c>
      <c r="Q11" s="59">
        <f>S11</f>
        <v>10263.272571666668</v>
      </c>
      <c r="R11" s="16">
        <v>1.37</v>
      </c>
      <c r="S11" s="165">
        <f>T11*1.37</f>
        <v>10263.272571666668</v>
      </c>
      <c r="T11" s="16">
        <f>V11*T3</f>
        <v>7491.4398333333338</v>
      </c>
      <c r="U11" s="55">
        <v>6584</v>
      </c>
      <c r="V11" s="55">
        <f t="shared" si="4"/>
        <v>974</v>
      </c>
      <c r="X11" s="77">
        <v>312</v>
      </c>
      <c r="Y11" s="451"/>
      <c r="Z11" s="77">
        <v>260</v>
      </c>
      <c r="AA11" s="451"/>
      <c r="AB11" s="77">
        <v>4628</v>
      </c>
      <c r="AC11" s="451"/>
    </row>
    <row r="12" spans="1:31" ht="15">
      <c r="A12" s="1">
        <v>2007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59">
        <f t="shared" si="0"/>
        <v>491.56228487500016</v>
      </c>
      <c r="O12" s="59">
        <f t="shared" si="1"/>
        <v>589.87474185000008</v>
      </c>
      <c r="P12" s="59">
        <f t="shared" si="2"/>
        <v>8749.8086707750026</v>
      </c>
      <c r="Q12" s="59">
        <f t="shared" ref="Q12:Q14" si="5">S12</f>
        <v>9831.2456975000023</v>
      </c>
      <c r="R12" s="16"/>
      <c r="S12" s="165">
        <f t="shared" ref="S12:S14" si="6">T12*1.37</f>
        <v>9831.2456975000023</v>
      </c>
      <c r="T12" s="16">
        <f>V12*T3</f>
        <v>7176.0917500000005</v>
      </c>
      <c r="U12" s="55">
        <v>7517</v>
      </c>
      <c r="V12" s="55">
        <f t="shared" si="4"/>
        <v>933</v>
      </c>
      <c r="X12" s="78">
        <v>330</v>
      </c>
      <c r="Y12" s="451"/>
      <c r="Z12" s="6">
        <v>275</v>
      </c>
      <c r="AA12" s="451"/>
      <c r="AB12" s="78">
        <v>4895</v>
      </c>
      <c r="AC12" s="451"/>
    </row>
    <row r="13" spans="1:31" ht="15">
      <c r="A13" s="1">
        <v>2008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59">
        <f t="shared" si="0"/>
        <v>463.63859666666667</v>
      </c>
      <c r="O13" s="59">
        <f t="shared" si="1"/>
        <v>556.36631599999998</v>
      </c>
      <c r="P13" s="59">
        <f t="shared" si="2"/>
        <v>8252.7670206666662</v>
      </c>
      <c r="Q13" s="59">
        <f t="shared" si="5"/>
        <v>9272.7719333333334</v>
      </c>
      <c r="R13" s="55">
        <v>6</v>
      </c>
      <c r="S13" s="165">
        <f t="shared" si="6"/>
        <v>9272.7719333333334</v>
      </c>
      <c r="T13" s="16">
        <f>V13*T3</f>
        <v>6768.4466666666667</v>
      </c>
      <c r="U13" s="55">
        <v>8397</v>
      </c>
      <c r="V13" s="55">
        <f t="shared" si="4"/>
        <v>880</v>
      </c>
      <c r="X13" s="78">
        <v>342</v>
      </c>
      <c r="Y13" s="451"/>
      <c r="Z13" s="6">
        <v>285</v>
      </c>
      <c r="AA13" s="451"/>
      <c r="AB13" s="78">
        <v>5073</v>
      </c>
      <c r="AC13" s="451"/>
    </row>
    <row r="14" spans="1:31" ht="15">
      <c r="A14" s="1">
        <v>2009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59">
        <f t="shared" si="0"/>
        <v>475.75642362500002</v>
      </c>
      <c r="O14" s="59">
        <f t="shared" si="1"/>
        <v>570.90770835000001</v>
      </c>
      <c r="P14" s="59">
        <f t="shared" si="2"/>
        <v>8468.4643405250008</v>
      </c>
      <c r="Q14" s="59">
        <f t="shared" si="5"/>
        <v>9515.1284725000005</v>
      </c>
      <c r="R14" s="162" t="s">
        <v>131</v>
      </c>
      <c r="S14" s="165">
        <f t="shared" si="6"/>
        <v>9515.1284725000005</v>
      </c>
      <c r="T14" s="16">
        <f>V14*T3</f>
        <v>6945.3492500000002</v>
      </c>
      <c r="U14" s="55">
        <v>9300</v>
      </c>
      <c r="V14" s="55">
        <f t="shared" si="4"/>
        <v>903</v>
      </c>
      <c r="X14" s="78">
        <v>360</v>
      </c>
      <c r="Y14" s="451"/>
      <c r="Z14" s="6">
        <v>300</v>
      </c>
      <c r="AA14" s="451"/>
      <c r="AB14" s="78">
        <v>5340</v>
      </c>
      <c r="AC14" s="451"/>
    </row>
    <row r="15" spans="1:31" ht="15">
      <c r="A15" s="1">
        <v>2010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59">
        <f t="shared" si="0"/>
        <v>476.17560583333329</v>
      </c>
      <c r="O15" s="59">
        <f t="shared" si="1"/>
        <v>571.41072699999984</v>
      </c>
      <c r="P15" s="59">
        <f t="shared" si="2"/>
        <v>8475.9257838333324</v>
      </c>
      <c r="Q15" s="59">
        <f>S15</f>
        <v>9523.512116666665</v>
      </c>
      <c r="R15" s="16">
        <v>2.0499999999999998</v>
      </c>
      <c r="S15" s="165">
        <f>T15*2.05</f>
        <v>9523.512116666665</v>
      </c>
      <c r="T15" s="16">
        <f>V15*T3</f>
        <v>4645.6156666666666</v>
      </c>
      <c r="U15" s="55">
        <v>9904</v>
      </c>
      <c r="V15" s="55">
        <f t="shared" si="4"/>
        <v>604</v>
      </c>
      <c r="X15" s="78">
        <v>378</v>
      </c>
      <c r="Y15" s="451"/>
      <c r="Z15" s="6">
        <v>315</v>
      </c>
      <c r="AA15" s="451"/>
      <c r="AB15" s="78">
        <v>5607</v>
      </c>
      <c r="AC15" s="451"/>
    </row>
    <row r="16" spans="1:31" ht="15">
      <c r="A16" s="1">
        <v>2011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59">
        <f t="shared" si="0"/>
        <v>455.67798041666668</v>
      </c>
      <c r="O16" s="59">
        <f t="shared" si="1"/>
        <v>546.81357649999995</v>
      </c>
      <c r="P16" s="59">
        <f t="shared" si="2"/>
        <v>8111.0680514166661</v>
      </c>
      <c r="Q16" s="59">
        <f t="shared" ref="Q16:Q18" si="7">S16</f>
        <v>9113.559608333333</v>
      </c>
      <c r="S16" s="165">
        <f t="shared" ref="S16:S18" si="8">T16*2.05</f>
        <v>9113.559608333333</v>
      </c>
      <c r="T16" s="16">
        <f>V16*T3</f>
        <v>4445.6388333333334</v>
      </c>
      <c r="U16" s="55">
        <v>10482</v>
      </c>
      <c r="V16" s="55">
        <f t="shared" si="4"/>
        <v>578</v>
      </c>
      <c r="X16" s="78">
        <v>390</v>
      </c>
      <c r="Y16" s="451"/>
      <c r="Z16" s="6">
        <v>325</v>
      </c>
      <c r="AA16" s="451"/>
      <c r="AB16" s="78">
        <v>5785</v>
      </c>
      <c r="AC16" s="451"/>
    </row>
    <row r="17" spans="1:29" ht="15">
      <c r="A17" s="1">
        <v>2012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59">
        <f t="shared" si="0"/>
        <v>366.59214687500003</v>
      </c>
      <c r="O17" s="59">
        <f t="shared" si="1"/>
        <v>439.91057624999996</v>
      </c>
      <c r="P17" s="59">
        <f t="shared" si="2"/>
        <v>6525.340214375</v>
      </c>
      <c r="Q17" s="59">
        <f t="shared" si="7"/>
        <v>7331.8429374999996</v>
      </c>
      <c r="S17" s="165">
        <f t="shared" si="8"/>
        <v>7331.8429374999996</v>
      </c>
      <c r="T17" s="16">
        <f>V17*T3</f>
        <v>3576.50875</v>
      </c>
      <c r="U17" s="55">
        <v>10947</v>
      </c>
      <c r="V17" s="55">
        <f t="shared" si="4"/>
        <v>465</v>
      </c>
      <c r="X17" s="78">
        <v>402</v>
      </c>
      <c r="Y17" s="451"/>
      <c r="Z17" s="6">
        <v>335</v>
      </c>
      <c r="AA17" s="451"/>
      <c r="AB17" s="78">
        <v>5963</v>
      </c>
      <c r="AC17" s="451"/>
    </row>
    <row r="18" spans="1:29" ht="15">
      <c r="A18" s="1">
        <v>2013</v>
      </c>
      <c r="B18" s="3"/>
      <c r="C18" s="3"/>
      <c r="D18" s="3"/>
      <c r="E18" s="3"/>
      <c r="F18" s="3"/>
      <c r="G18" s="8"/>
      <c r="H18" s="8"/>
      <c r="I18" s="8"/>
      <c r="J18" s="8"/>
      <c r="K18" s="8"/>
      <c r="L18" s="8"/>
      <c r="M18" s="8"/>
      <c r="N18" s="59">
        <f t="shared" si="0"/>
        <v>184.47862874999998</v>
      </c>
      <c r="O18" s="59">
        <f t="shared" si="1"/>
        <v>221.37435449999998</v>
      </c>
      <c r="P18" s="59">
        <f t="shared" si="2"/>
        <v>3283.7195917499998</v>
      </c>
      <c r="Q18" s="59">
        <f t="shared" si="7"/>
        <v>3689.5725749999997</v>
      </c>
      <c r="R18" s="5" t="s">
        <v>132</v>
      </c>
      <c r="S18" s="165">
        <f t="shared" si="8"/>
        <v>3689.5725749999997</v>
      </c>
      <c r="T18" s="16">
        <f>V18*T3</f>
        <v>1799.7915</v>
      </c>
      <c r="U18" s="55">
        <v>11181</v>
      </c>
      <c r="V18" s="55">
        <f t="shared" si="4"/>
        <v>234</v>
      </c>
      <c r="W18" s="5"/>
      <c r="X18" s="77">
        <v>192</v>
      </c>
      <c r="Y18" s="451"/>
      <c r="Z18" s="6">
        <v>160</v>
      </c>
      <c r="AA18" s="451"/>
      <c r="AB18" s="77">
        <v>2848</v>
      </c>
      <c r="AC18" s="451"/>
    </row>
    <row r="19" spans="1:29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3">
        <f>SUM(N3:N18)</f>
        <v>5584.4876706249997</v>
      </c>
      <c r="O19" s="3">
        <f t="shared" ref="O19:Q19" si="9">SUM(O3:O18)</f>
        <v>6701.3852047499995</v>
      </c>
      <c r="P19" s="3">
        <f t="shared" si="9"/>
        <v>99403.880537125006</v>
      </c>
      <c r="Q19" s="3">
        <f t="shared" si="9"/>
        <v>111689.75341250001</v>
      </c>
      <c r="X19" s="4">
        <f>SUM(X3:X18)</f>
        <v>4644</v>
      </c>
      <c r="Z19" s="48">
        <f>SUM(Z3:Z18)</f>
        <v>3870</v>
      </c>
      <c r="AB19" s="48">
        <f>SUM(AB3:AB18)</f>
        <v>68886</v>
      </c>
    </row>
    <row r="22" spans="1:29" s="10" customFormat="1" ht="15">
      <c r="A22"/>
      <c r="X22" s="489" t="s">
        <v>58</v>
      </c>
      <c r="Y22" s="489"/>
      <c r="Z22" s="489"/>
      <c r="AA22" s="489"/>
      <c r="AB22" s="489"/>
      <c r="AC22" s="489"/>
    </row>
    <row r="23" spans="1:29" s="10" customFormat="1" ht="15.75" customHeight="1">
      <c r="A23" s="426" t="s">
        <v>57</v>
      </c>
      <c r="B23" s="426"/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60"/>
      <c r="S23" s="60"/>
      <c r="T23" s="60"/>
      <c r="U23" s="60"/>
      <c r="V23" s="60"/>
      <c r="W23" s="60"/>
      <c r="X23" s="60"/>
      <c r="Y23" s="60"/>
      <c r="Z23" s="60"/>
      <c r="AA23" s="60"/>
    </row>
    <row r="24" spans="1:29" s="10" customFormat="1" ht="1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77"/>
      <c r="O24" s="43"/>
      <c r="P24" s="43"/>
      <c r="Q24" s="43"/>
      <c r="AB24" s="20"/>
    </row>
    <row r="25" spans="1:29" s="10" customFormat="1" ht="15">
      <c r="M25" s="10">
        <v>20000</v>
      </c>
      <c r="N25" s="77"/>
      <c r="R25" s="16"/>
      <c r="AB25" s="20"/>
    </row>
    <row r="26" spans="1:29" s="10" customFormat="1" ht="15">
      <c r="M26" s="16">
        <f>M25/340.75</f>
        <v>58.694057226705795</v>
      </c>
      <c r="N26" s="77"/>
      <c r="R26" s="16"/>
      <c r="AB26" s="20"/>
    </row>
    <row r="27" spans="1:29" s="10" customFormat="1" ht="15">
      <c r="N27" s="77"/>
      <c r="AB27" s="20"/>
    </row>
    <row r="28" spans="1:29" s="10" customFormat="1" ht="15">
      <c r="N28" s="77"/>
      <c r="AB28" s="20"/>
    </row>
    <row r="29" spans="1:29" s="10" customFormat="1" ht="15">
      <c r="N29" s="77"/>
      <c r="AB29" s="20"/>
    </row>
    <row r="30" spans="1:29" s="10" customFormat="1" ht="15">
      <c r="N30" s="77"/>
      <c r="AB30" s="20"/>
    </row>
    <row r="31" spans="1:29" s="10" customFormat="1" ht="15">
      <c r="N31" s="77"/>
      <c r="AB31" s="20"/>
    </row>
    <row r="32" spans="1:29" s="10" customFormat="1" ht="15">
      <c r="N32" s="77"/>
      <c r="AB32" s="20"/>
    </row>
    <row r="33" spans="14:28" s="10" customFormat="1" ht="15">
      <c r="N33" s="78"/>
      <c r="AB33" s="20"/>
    </row>
    <row r="34" spans="14:28" s="10" customFormat="1" ht="15">
      <c r="N34" s="78"/>
      <c r="AB34" s="20"/>
    </row>
    <row r="35" spans="14:28" s="10" customFormat="1" ht="15">
      <c r="N35" s="78"/>
      <c r="AB35" s="20"/>
    </row>
    <row r="36" spans="14:28" s="10" customFormat="1" ht="15">
      <c r="N36" s="78"/>
      <c r="AB36" s="20"/>
    </row>
    <row r="37" spans="14:28" s="10" customFormat="1" ht="15">
      <c r="N37" s="78"/>
      <c r="AB37" s="20"/>
    </row>
    <row r="38" spans="14:28" s="10" customFormat="1" ht="15">
      <c r="N38" s="78"/>
      <c r="AB38" s="20"/>
    </row>
    <row r="39" spans="14:28" s="10" customFormat="1" ht="15">
      <c r="N39" s="77"/>
      <c r="AB39" s="20"/>
    </row>
    <row r="40" spans="14:28" s="10" customFormat="1" ht="15"/>
    <row r="41" spans="14:28" s="10" customFormat="1" ht="15"/>
    <row r="42" spans="14:28" s="10" customFormat="1" ht="15"/>
    <row r="43" spans="14:28" s="10" customFormat="1" ht="15"/>
    <row r="44" spans="14:28" s="10" customFormat="1" ht="15"/>
    <row r="45" spans="14:28" s="10" customFormat="1" ht="15"/>
    <row r="46" spans="14:28" s="10" customFormat="1" ht="15"/>
    <row r="47" spans="14:28" s="10" customFormat="1" ht="15"/>
    <row r="48" spans="14:28" s="10" customFormat="1" ht="15"/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  <row r="61" s="10" customFormat="1" ht="15"/>
    <row r="62" s="10" customFormat="1" ht="15"/>
    <row r="63" s="10" customFormat="1" ht="15"/>
    <row r="64" s="10" customFormat="1" ht="15"/>
    <row r="65" s="10" customFormat="1" ht="15"/>
    <row r="66" s="10" customFormat="1" ht="15"/>
    <row r="67" s="10" customFormat="1" ht="15"/>
    <row r="68" s="10" customFormat="1" ht="15"/>
    <row r="69" s="10" customFormat="1" ht="15"/>
    <row r="70" s="10" customFormat="1" ht="15"/>
    <row r="71" s="10" customFormat="1" ht="15"/>
    <row r="72" s="10" customFormat="1" ht="15"/>
    <row r="73" s="10" customFormat="1" ht="15"/>
    <row r="74" s="10" customFormat="1" ht="15"/>
    <row r="75" s="10" customFormat="1" ht="15"/>
    <row r="76" s="10" customFormat="1" ht="15"/>
    <row r="77" s="10" customFormat="1" ht="15"/>
    <row r="78" s="10" customFormat="1" ht="15"/>
    <row r="79" s="10" customFormat="1" ht="15"/>
    <row r="80" s="10" customFormat="1" ht="15"/>
    <row r="81" s="10" customFormat="1" ht="15"/>
    <row r="82" s="10" customFormat="1" ht="15"/>
    <row r="83" s="10" customFormat="1" ht="15"/>
    <row r="84" s="10" customFormat="1" ht="15"/>
    <row r="85" s="10" customFormat="1" ht="15"/>
    <row r="86" s="10" customFormat="1" ht="15"/>
    <row r="87" s="10" customFormat="1" ht="15"/>
    <row r="88" s="10" customFormat="1" ht="15"/>
    <row r="89" s="10" customFormat="1" ht="15"/>
    <row r="90" s="10" customFormat="1" ht="15"/>
    <row r="91" s="10" customFormat="1" ht="15"/>
    <row r="92" s="10" customFormat="1" ht="15"/>
    <row r="93" s="10" customFormat="1" ht="15"/>
    <row r="94" s="10" customFormat="1" ht="15"/>
    <row r="95" s="10" customFormat="1" ht="15"/>
    <row r="96" s="10" customFormat="1" ht="15"/>
    <row r="97" s="10" customFormat="1" ht="15"/>
    <row r="98" s="10" customFormat="1" ht="15"/>
    <row r="99" s="10" customFormat="1" ht="15"/>
    <row r="100" s="10" customFormat="1" ht="15"/>
    <row r="101" s="10" customFormat="1" ht="15"/>
    <row r="102" s="10" customFormat="1" ht="15"/>
    <row r="103" s="10" customFormat="1" ht="15"/>
    <row r="104" s="10" customFormat="1" ht="15"/>
    <row r="105" s="10" customFormat="1" ht="15"/>
    <row r="106" s="10" customFormat="1" ht="15"/>
    <row r="107" s="10" customFormat="1" ht="15"/>
    <row r="108" s="10" customFormat="1" ht="15"/>
    <row r="109" s="10" customFormat="1" ht="15"/>
    <row r="110" s="10" customFormat="1" ht="15"/>
    <row r="111" s="10" customFormat="1" ht="15"/>
    <row r="112" s="10" customFormat="1" ht="15"/>
    <row r="113" s="10" customFormat="1" ht="15"/>
    <row r="114" s="10" customFormat="1" ht="15"/>
    <row r="115" s="10" customFormat="1" ht="15"/>
    <row r="116" s="10" customFormat="1" ht="15"/>
    <row r="117" s="10" customFormat="1" ht="15"/>
    <row r="118" s="10" customFormat="1" ht="15"/>
    <row r="119" s="10" customFormat="1" ht="15"/>
    <row r="120" s="10" customFormat="1" ht="15"/>
    <row r="121" s="10" customFormat="1" ht="15"/>
    <row r="122" s="10" customFormat="1" ht="15"/>
  </sheetData>
  <mergeCells count="20">
    <mergeCell ref="L1:L2"/>
    <mergeCell ref="A1:A2"/>
    <mergeCell ref="B1:B2"/>
    <mergeCell ref="C1:C2"/>
    <mergeCell ref="D1:D2"/>
    <mergeCell ref="E1:E2"/>
    <mergeCell ref="F1:F2"/>
    <mergeCell ref="X22:AC22"/>
    <mergeCell ref="A23:Q23"/>
    <mergeCell ref="M1:M2"/>
    <mergeCell ref="N1:Q1"/>
    <mergeCell ref="X1:AC2"/>
    <mergeCell ref="Y3:Y18"/>
    <mergeCell ref="AA3:AA18"/>
    <mergeCell ref="AC3:AC18"/>
    <mergeCell ref="G1:G2"/>
    <mergeCell ref="H1:H2"/>
    <mergeCell ref="I1:I2"/>
    <mergeCell ref="J1:J2"/>
    <mergeCell ref="K1:K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22"/>
  <sheetViews>
    <sheetView workbookViewId="0">
      <selection activeCell="G29" sqref="G29"/>
    </sheetView>
  </sheetViews>
  <sheetFormatPr defaultRowHeight="12.75"/>
  <cols>
    <col min="1" max="1" width="3.88671875" style="2" bestFit="1" customWidth="1"/>
    <col min="2" max="2" width="7" style="2" bestFit="1" customWidth="1"/>
    <col min="3" max="3" width="8" style="2" bestFit="1" customWidth="1"/>
    <col min="4" max="5" width="3.88671875" style="2" bestFit="1" customWidth="1"/>
    <col min="6" max="6" width="6.109375" style="2" bestFit="1" customWidth="1"/>
    <col min="7" max="7" width="7" style="2" bestFit="1" customWidth="1"/>
    <col min="8" max="8" width="8.33203125" style="2" bestFit="1" customWidth="1"/>
    <col min="9" max="9" width="8" style="2" bestFit="1" customWidth="1"/>
    <col min="10" max="10" width="9" style="2" bestFit="1" customWidth="1"/>
    <col min="11" max="11" width="8" style="2" bestFit="1" customWidth="1"/>
    <col min="12" max="13" width="9" style="2" bestFit="1" customWidth="1"/>
    <col min="14" max="14" width="8.88671875" style="2"/>
    <col min="15" max="15" width="6" style="2" bestFit="1" customWidth="1"/>
    <col min="16" max="16" width="6" style="2" customWidth="1"/>
    <col min="17" max="17" width="5.6640625" style="2" bestFit="1" customWidth="1"/>
    <col min="18" max="19" width="5.109375" style="2" customWidth="1"/>
    <col min="20" max="21" width="8.88671875" style="2"/>
    <col min="22" max="22" width="6.33203125" style="2" customWidth="1"/>
    <col min="23" max="23" width="8.44140625" style="2" bestFit="1" customWidth="1"/>
    <col min="24" max="24" width="5.21875" style="2" bestFit="1" customWidth="1"/>
    <col min="25" max="25" width="8.44140625" style="2" bestFit="1" customWidth="1"/>
    <col min="26" max="26" width="5.44140625" style="2" bestFit="1" customWidth="1"/>
    <col min="27" max="27" width="9.21875" style="2" bestFit="1" customWidth="1"/>
    <col min="28" max="28" width="7.33203125" style="2" customWidth="1"/>
    <col min="29" max="29" width="9" style="2" bestFit="1" customWidth="1"/>
    <col min="30" max="16384" width="8.88671875" style="2"/>
  </cols>
  <sheetData>
    <row r="1" spans="1:30" ht="15">
      <c r="A1" s="442" t="s">
        <v>18</v>
      </c>
      <c r="B1" s="444" t="s">
        <v>4</v>
      </c>
      <c r="C1" s="366" t="s">
        <v>5</v>
      </c>
      <c r="D1" s="446" t="s">
        <v>6</v>
      </c>
      <c r="E1" s="366" t="s">
        <v>7</v>
      </c>
      <c r="F1" s="444" t="s">
        <v>2</v>
      </c>
      <c r="G1" s="366" t="s">
        <v>8</v>
      </c>
      <c r="H1" s="463" t="s">
        <v>9</v>
      </c>
      <c r="I1" s="366" t="s">
        <v>10</v>
      </c>
      <c r="J1" s="444" t="s">
        <v>11</v>
      </c>
      <c r="K1" s="366" t="s">
        <v>12</v>
      </c>
      <c r="L1" s="463" t="s">
        <v>13</v>
      </c>
      <c r="M1" s="465" t="s">
        <v>14</v>
      </c>
      <c r="N1" s="467" t="s">
        <v>16</v>
      </c>
      <c r="O1" s="467"/>
      <c r="P1" s="467"/>
      <c r="Q1" s="467"/>
      <c r="U1" s="362" t="s">
        <v>71</v>
      </c>
      <c r="V1" s="362"/>
      <c r="W1" s="362"/>
      <c r="X1" s="362"/>
      <c r="Y1" s="362"/>
      <c r="Z1" s="362"/>
      <c r="AA1" s="362"/>
      <c r="AB1" s="362"/>
      <c r="AC1" s="90"/>
      <c r="AD1" s="90"/>
    </row>
    <row r="2" spans="1:30" ht="15.75" customHeight="1" thickBot="1">
      <c r="A2" s="443"/>
      <c r="B2" s="445"/>
      <c r="C2" s="368"/>
      <c r="D2" s="447"/>
      <c r="E2" s="368"/>
      <c r="F2" s="445"/>
      <c r="G2" s="368"/>
      <c r="H2" s="464"/>
      <c r="I2" s="368"/>
      <c r="J2" s="445"/>
      <c r="K2" s="368"/>
      <c r="L2" s="464"/>
      <c r="M2" s="466"/>
      <c r="N2" s="87" t="s">
        <v>55</v>
      </c>
      <c r="O2" s="87" t="s">
        <v>50</v>
      </c>
      <c r="P2" s="87" t="s">
        <v>34</v>
      </c>
      <c r="Q2" s="88" t="s">
        <v>29</v>
      </c>
      <c r="U2" s="362"/>
      <c r="V2" s="362"/>
      <c r="W2" s="362"/>
      <c r="X2" s="362"/>
      <c r="Y2" s="362"/>
      <c r="Z2" s="362"/>
      <c r="AA2" s="362"/>
      <c r="AB2" s="362"/>
      <c r="AC2" s="90"/>
      <c r="AD2" s="90"/>
    </row>
    <row r="3" spans="1:30" ht="12.75" customHeight="1">
      <c r="A3" s="7">
        <v>1998</v>
      </c>
      <c r="B3" s="9"/>
      <c r="C3" s="9"/>
      <c r="D3" s="9"/>
      <c r="E3" s="9"/>
      <c r="F3" s="9"/>
      <c r="G3" s="9"/>
      <c r="H3" s="9"/>
      <c r="I3" s="9"/>
      <c r="J3" s="130"/>
      <c r="K3" s="130"/>
      <c r="L3" s="130"/>
      <c r="M3" s="9"/>
      <c r="N3" s="9"/>
      <c r="O3" s="9"/>
      <c r="P3" s="9"/>
      <c r="Q3" s="9"/>
      <c r="U3" s="101">
        <v>210</v>
      </c>
      <c r="V3" s="451" t="s">
        <v>59</v>
      </c>
      <c r="W3" s="101">
        <f>U3*5%</f>
        <v>10.5</v>
      </c>
      <c r="X3" s="451" t="s">
        <v>60</v>
      </c>
      <c r="Y3" s="102">
        <f>U3*6%</f>
        <v>12.6</v>
      </c>
      <c r="Z3" s="451" t="s">
        <v>61</v>
      </c>
      <c r="AA3" s="101">
        <f>U3*89%</f>
        <v>186.9</v>
      </c>
      <c r="AB3" s="451" t="s">
        <v>46</v>
      </c>
    </row>
    <row r="4" spans="1:30">
      <c r="A4" s="1">
        <v>1999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9"/>
      <c r="Q4" s="9"/>
      <c r="U4" s="101">
        <v>300</v>
      </c>
      <c r="V4" s="451"/>
      <c r="W4" s="101">
        <f t="shared" ref="W4:W18" si="0">U4*5%</f>
        <v>15</v>
      </c>
      <c r="X4" s="451"/>
      <c r="Y4" s="102">
        <f t="shared" ref="Y4:Y18" si="1">U4*6%</f>
        <v>18</v>
      </c>
      <c r="Z4" s="451"/>
      <c r="AA4" s="101">
        <f t="shared" ref="AA4:AA18" si="2">U4*89%</f>
        <v>267</v>
      </c>
      <c r="AB4" s="451"/>
    </row>
    <row r="5" spans="1:30">
      <c r="A5" s="1">
        <v>2000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9"/>
      <c r="P5" s="9"/>
      <c r="Q5" s="9"/>
      <c r="U5" s="101">
        <v>350</v>
      </c>
      <c r="V5" s="451"/>
      <c r="W5" s="101">
        <f t="shared" si="0"/>
        <v>17.5</v>
      </c>
      <c r="X5" s="451"/>
      <c r="Y5" s="102">
        <f t="shared" si="1"/>
        <v>21</v>
      </c>
      <c r="Z5" s="451"/>
      <c r="AA5" s="101">
        <f t="shared" si="2"/>
        <v>311.5</v>
      </c>
      <c r="AB5" s="451"/>
    </row>
    <row r="6" spans="1:30">
      <c r="A6" s="1">
        <v>2001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  <c r="O6" s="9"/>
      <c r="P6" s="9"/>
      <c r="Q6" s="9"/>
      <c r="U6" s="101">
        <v>350</v>
      </c>
      <c r="V6" s="451"/>
      <c r="W6" s="101">
        <f t="shared" si="0"/>
        <v>17.5</v>
      </c>
      <c r="X6" s="451"/>
      <c r="Y6" s="102">
        <f t="shared" si="1"/>
        <v>21</v>
      </c>
      <c r="Z6" s="451"/>
      <c r="AA6" s="101">
        <f t="shared" si="2"/>
        <v>311.5</v>
      </c>
      <c r="AB6" s="451"/>
    </row>
    <row r="7" spans="1:30">
      <c r="A7" s="1">
        <v>2002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O7" s="9"/>
      <c r="P7" s="9"/>
      <c r="Q7" s="9"/>
      <c r="U7" s="101">
        <v>400</v>
      </c>
      <c r="V7" s="451"/>
      <c r="W7" s="101">
        <f t="shared" si="0"/>
        <v>20</v>
      </c>
      <c r="X7" s="451"/>
      <c r="Y7" s="102">
        <f t="shared" si="1"/>
        <v>24</v>
      </c>
      <c r="Z7" s="451"/>
      <c r="AA7" s="101">
        <f t="shared" si="2"/>
        <v>356</v>
      </c>
      <c r="AB7" s="451"/>
    </row>
    <row r="8" spans="1:30">
      <c r="A8" s="1">
        <v>2003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9"/>
      <c r="O8" s="9"/>
      <c r="P8" s="9"/>
      <c r="Q8" s="9"/>
      <c r="U8" s="101">
        <v>400</v>
      </c>
      <c r="V8" s="451"/>
      <c r="W8" s="101">
        <f t="shared" si="0"/>
        <v>20</v>
      </c>
      <c r="X8" s="451"/>
      <c r="Y8" s="102">
        <f t="shared" si="1"/>
        <v>24</v>
      </c>
      <c r="Z8" s="451"/>
      <c r="AA8" s="101">
        <f t="shared" si="2"/>
        <v>356</v>
      </c>
      <c r="AB8" s="451"/>
    </row>
    <row r="9" spans="1:30" ht="15" customHeight="1">
      <c r="A9" s="1">
        <v>2004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9"/>
      <c r="O9" s="9"/>
      <c r="P9" s="9"/>
      <c r="Q9" s="9"/>
      <c r="U9" s="101">
        <v>400</v>
      </c>
      <c r="V9" s="451"/>
      <c r="W9" s="101">
        <f t="shared" si="0"/>
        <v>20</v>
      </c>
      <c r="X9" s="451"/>
      <c r="Y9" s="102">
        <f t="shared" si="1"/>
        <v>24</v>
      </c>
      <c r="Z9" s="451"/>
      <c r="AA9" s="101">
        <f t="shared" si="2"/>
        <v>356</v>
      </c>
      <c r="AB9" s="451"/>
    </row>
    <row r="10" spans="1:30" ht="15" customHeight="1">
      <c r="A10" s="1">
        <v>2005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  <c r="O10" s="9"/>
      <c r="P10" s="9"/>
      <c r="Q10" s="9"/>
      <c r="U10" s="101">
        <v>450</v>
      </c>
      <c r="V10" s="451"/>
      <c r="W10" s="101">
        <f t="shared" si="0"/>
        <v>22.5</v>
      </c>
      <c r="X10" s="451"/>
      <c r="Y10" s="102">
        <f t="shared" si="1"/>
        <v>27</v>
      </c>
      <c r="Z10" s="451"/>
      <c r="AA10" s="101">
        <f t="shared" si="2"/>
        <v>400.5</v>
      </c>
      <c r="AB10" s="451"/>
    </row>
    <row r="11" spans="1:30" ht="15" customHeight="1">
      <c r="A11" s="1">
        <v>2006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  <c r="O11" s="9"/>
      <c r="P11" s="9"/>
      <c r="Q11" s="9"/>
      <c r="U11" s="101">
        <v>450</v>
      </c>
      <c r="V11" s="451"/>
      <c r="W11" s="101">
        <f t="shared" si="0"/>
        <v>22.5</v>
      </c>
      <c r="X11" s="451"/>
      <c r="Y11" s="102">
        <f t="shared" si="1"/>
        <v>27</v>
      </c>
      <c r="Z11" s="451"/>
      <c r="AA11" s="101">
        <f t="shared" si="2"/>
        <v>400.5</v>
      </c>
      <c r="AB11" s="451"/>
    </row>
    <row r="12" spans="1:30">
      <c r="A12" s="1">
        <v>2007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O12" s="9"/>
      <c r="P12" s="9"/>
      <c r="Q12" s="9"/>
      <c r="U12" s="101">
        <v>500</v>
      </c>
      <c r="V12" s="451"/>
      <c r="W12" s="101">
        <f t="shared" si="0"/>
        <v>25</v>
      </c>
      <c r="X12" s="451"/>
      <c r="Y12" s="102">
        <f t="shared" si="1"/>
        <v>30</v>
      </c>
      <c r="Z12" s="451"/>
      <c r="AA12" s="101">
        <f t="shared" si="2"/>
        <v>445</v>
      </c>
      <c r="AB12" s="451"/>
    </row>
    <row r="13" spans="1:30">
      <c r="A13" s="1">
        <v>2008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  <c r="O13" s="9"/>
      <c r="P13" s="9"/>
      <c r="Q13" s="9"/>
      <c r="U13" s="101">
        <v>550</v>
      </c>
      <c r="V13" s="451"/>
      <c r="W13" s="101">
        <f t="shared" si="0"/>
        <v>27.5</v>
      </c>
      <c r="X13" s="451"/>
      <c r="Y13" s="102">
        <f t="shared" si="1"/>
        <v>33</v>
      </c>
      <c r="Z13" s="451"/>
      <c r="AA13" s="101">
        <f t="shared" si="2"/>
        <v>489.5</v>
      </c>
      <c r="AB13" s="451"/>
    </row>
    <row r="14" spans="1:30">
      <c r="A14" s="1">
        <v>2009</v>
      </c>
      <c r="B14" s="8"/>
      <c r="C14" s="8"/>
      <c r="D14" s="8"/>
      <c r="E14" s="8"/>
      <c r="F14" s="8"/>
      <c r="G14" s="8"/>
      <c r="H14" s="8"/>
      <c r="I14" s="3"/>
      <c r="J14" s="3"/>
      <c r="K14" s="3"/>
      <c r="L14" s="3"/>
      <c r="M14" s="3"/>
      <c r="N14" s="59">
        <f t="shared" ref="N14:N18" si="3">Q14*5%</f>
        <v>0</v>
      </c>
      <c r="O14" s="59">
        <f t="shared" ref="O14:O18" si="4">Q14*6%</f>
        <v>0</v>
      </c>
      <c r="P14" s="59">
        <f t="shared" ref="P14:P18" si="5">Q14*89%</f>
        <v>0</v>
      </c>
      <c r="Q14" s="59">
        <f t="shared" ref="Q14:Q18" si="6">SUM(B14:M14)</f>
        <v>0</v>
      </c>
      <c r="U14" s="101">
        <v>550</v>
      </c>
      <c r="V14" s="451"/>
      <c r="W14" s="101">
        <f t="shared" si="0"/>
        <v>27.5</v>
      </c>
      <c r="X14" s="451"/>
      <c r="Y14" s="102">
        <f t="shared" si="1"/>
        <v>33</v>
      </c>
      <c r="Z14" s="451"/>
      <c r="AA14" s="101">
        <f t="shared" si="2"/>
        <v>489.5</v>
      </c>
      <c r="AB14" s="451"/>
    </row>
    <row r="15" spans="1:30">
      <c r="A15" s="1">
        <v>2010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59">
        <f t="shared" si="3"/>
        <v>0</v>
      </c>
      <c r="O15" s="59">
        <f t="shared" si="4"/>
        <v>0</v>
      </c>
      <c r="P15" s="59">
        <f t="shared" si="5"/>
        <v>0</v>
      </c>
      <c r="Q15" s="59">
        <f t="shared" si="6"/>
        <v>0</v>
      </c>
      <c r="U15" s="101">
        <v>600</v>
      </c>
      <c r="V15" s="451"/>
      <c r="W15" s="101">
        <f t="shared" si="0"/>
        <v>30</v>
      </c>
      <c r="X15" s="451"/>
      <c r="Y15" s="102">
        <f t="shared" si="1"/>
        <v>36</v>
      </c>
      <c r="Z15" s="451"/>
      <c r="AA15" s="101">
        <f t="shared" si="2"/>
        <v>534</v>
      </c>
      <c r="AB15" s="451"/>
    </row>
    <row r="16" spans="1:30">
      <c r="A16" s="1">
        <v>2011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59">
        <f t="shared" si="3"/>
        <v>0</v>
      </c>
      <c r="O16" s="59">
        <f t="shared" si="4"/>
        <v>0</v>
      </c>
      <c r="P16" s="59">
        <f t="shared" si="5"/>
        <v>0</v>
      </c>
      <c r="Q16" s="59">
        <f t="shared" si="6"/>
        <v>0</v>
      </c>
      <c r="U16" s="101">
        <v>600</v>
      </c>
      <c r="V16" s="451"/>
      <c r="W16" s="101">
        <f t="shared" si="0"/>
        <v>30</v>
      </c>
      <c r="X16" s="451"/>
      <c r="Y16" s="102">
        <f t="shared" si="1"/>
        <v>36</v>
      </c>
      <c r="Z16" s="451"/>
      <c r="AA16" s="101">
        <f t="shared" si="2"/>
        <v>534</v>
      </c>
      <c r="AB16" s="451"/>
    </row>
    <row r="17" spans="1:28">
      <c r="A17" s="1">
        <v>2012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59">
        <f t="shared" si="3"/>
        <v>0</v>
      </c>
      <c r="O17" s="59">
        <f t="shared" si="4"/>
        <v>0</v>
      </c>
      <c r="P17" s="59">
        <f t="shared" si="5"/>
        <v>0</v>
      </c>
      <c r="Q17" s="59">
        <f t="shared" si="6"/>
        <v>0</v>
      </c>
      <c r="U17" s="101">
        <v>650</v>
      </c>
      <c r="V17" s="451"/>
      <c r="W17" s="101">
        <f t="shared" si="0"/>
        <v>32.5</v>
      </c>
      <c r="X17" s="451"/>
      <c r="Y17" s="102">
        <f t="shared" si="1"/>
        <v>39</v>
      </c>
      <c r="Z17" s="451"/>
      <c r="AA17" s="101">
        <f t="shared" si="2"/>
        <v>578.5</v>
      </c>
      <c r="AB17" s="451"/>
    </row>
    <row r="18" spans="1:28">
      <c r="A18" s="1">
        <v>2013</v>
      </c>
      <c r="B18" s="3"/>
      <c r="C18" s="3"/>
      <c r="D18" s="3"/>
      <c r="E18" s="3"/>
      <c r="F18" s="3"/>
      <c r="G18" s="8"/>
      <c r="H18" s="8"/>
      <c r="I18" s="8"/>
      <c r="J18" s="8"/>
      <c r="K18" s="8"/>
      <c r="L18" s="8"/>
      <c r="M18" s="8"/>
      <c r="N18" s="59">
        <f t="shared" si="3"/>
        <v>0</v>
      </c>
      <c r="O18" s="59">
        <f t="shared" si="4"/>
        <v>0</v>
      </c>
      <c r="P18" s="59">
        <f t="shared" si="5"/>
        <v>0</v>
      </c>
      <c r="Q18" s="59">
        <f t="shared" si="6"/>
        <v>0</v>
      </c>
      <c r="R18" s="5"/>
      <c r="S18" s="5" t="s">
        <v>1</v>
      </c>
      <c r="T18" s="5" t="s">
        <v>2</v>
      </c>
      <c r="U18" s="101">
        <v>700</v>
      </c>
      <c r="V18" s="451"/>
      <c r="W18" s="101">
        <f t="shared" si="0"/>
        <v>35</v>
      </c>
      <c r="X18" s="451"/>
      <c r="Y18" s="102">
        <f t="shared" si="1"/>
        <v>42</v>
      </c>
      <c r="Z18" s="451"/>
      <c r="AA18" s="101">
        <f t="shared" si="2"/>
        <v>623</v>
      </c>
      <c r="AB18" s="451"/>
    </row>
    <row r="19" spans="1:28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3">
        <f>SUM(N3:N18)</f>
        <v>0</v>
      </c>
      <c r="O19" s="3">
        <f t="shared" ref="O19:Q19" si="7">SUM(O3:O18)</f>
        <v>0</v>
      </c>
      <c r="P19" s="3">
        <f t="shared" si="7"/>
        <v>0</v>
      </c>
      <c r="Q19" s="3">
        <f t="shared" si="7"/>
        <v>0</v>
      </c>
      <c r="W19" s="4">
        <f>SUM(W3:W18)</f>
        <v>373</v>
      </c>
      <c r="Y19" s="48">
        <f>SUM(Y3:Y18)</f>
        <v>447.6</v>
      </c>
      <c r="AA19" s="48">
        <f>SUM(AA3:AA18)</f>
        <v>6639.4</v>
      </c>
    </row>
    <row r="22" spans="1:28" s="10" customFormat="1" ht="15">
      <c r="A22"/>
      <c r="U22" s="489" t="s">
        <v>73</v>
      </c>
      <c r="V22" s="489"/>
      <c r="W22" s="489"/>
      <c r="X22" s="489"/>
      <c r="Y22" s="489"/>
      <c r="Z22" s="489"/>
      <c r="AA22" s="489"/>
      <c r="AB22" s="489"/>
    </row>
    <row r="23" spans="1:28" s="10" customFormat="1" ht="15.75" customHeight="1">
      <c r="A23" s="426" t="s">
        <v>101</v>
      </c>
      <c r="B23" s="426"/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60"/>
      <c r="S23" s="60"/>
      <c r="T23" s="60"/>
      <c r="U23" s="60"/>
      <c r="V23" s="60"/>
      <c r="W23" s="60"/>
      <c r="X23" s="60"/>
      <c r="Y23" s="60"/>
      <c r="Z23" s="60"/>
    </row>
    <row r="24" spans="1:28" s="10" customFormat="1" ht="1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</row>
    <row r="25" spans="1:28" s="10" customFormat="1" ht="15"/>
    <row r="26" spans="1:28" s="10" customFormat="1" ht="15"/>
    <row r="27" spans="1:28" s="10" customFormat="1" ht="15"/>
    <row r="28" spans="1:28" s="10" customFormat="1" ht="15"/>
    <row r="29" spans="1:28" s="10" customFormat="1" ht="15"/>
    <row r="30" spans="1:28" s="10" customFormat="1" ht="15"/>
    <row r="31" spans="1:28" s="10" customFormat="1" ht="15"/>
    <row r="32" spans="1:28" s="10" customFormat="1" ht="15"/>
    <row r="33" s="10" customFormat="1" ht="15"/>
    <row r="34" s="10" customFormat="1" ht="15"/>
    <row r="35" s="10" customFormat="1" ht="15"/>
    <row r="36" s="10" customFormat="1" ht="15"/>
    <row r="37" s="10" customFormat="1" ht="15"/>
    <row r="38" s="10" customFormat="1" ht="15"/>
    <row r="39" s="10" customFormat="1" ht="15"/>
    <row r="40" s="10" customFormat="1" ht="15"/>
    <row r="41" s="10" customFormat="1" ht="15"/>
    <row r="42" s="10" customFormat="1" ht="15"/>
    <row r="43" s="10" customFormat="1" ht="15"/>
    <row r="44" s="10" customFormat="1" ht="15"/>
    <row r="45" s="10" customFormat="1" ht="15"/>
    <row r="46" s="10" customFormat="1" ht="15"/>
    <row r="47" s="10" customFormat="1" ht="15"/>
    <row r="48" s="10" customFormat="1" ht="15"/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  <row r="61" s="10" customFormat="1" ht="15"/>
    <row r="62" s="10" customFormat="1" ht="15"/>
    <row r="63" s="10" customFormat="1" ht="15"/>
    <row r="64" s="10" customFormat="1" ht="15"/>
    <row r="65" s="10" customFormat="1" ht="15"/>
    <row r="66" s="10" customFormat="1" ht="15"/>
    <row r="67" s="10" customFormat="1" ht="15"/>
    <row r="68" s="10" customFormat="1" ht="15"/>
    <row r="69" s="10" customFormat="1" ht="15"/>
    <row r="70" s="10" customFormat="1" ht="15"/>
    <row r="71" s="10" customFormat="1" ht="15"/>
    <row r="72" s="10" customFormat="1" ht="15"/>
    <row r="73" s="10" customFormat="1" ht="15"/>
    <row r="74" s="10" customFormat="1" ht="15"/>
    <row r="75" s="10" customFormat="1" ht="15"/>
    <row r="76" s="10" customFormat="1" ht="15"/>
    <row r="77" s="10" customFormat="1" ht="15"/>
    <row r="78" s="10" customFormat="1" ht="15"/>
    <row r="79" s="10" customFormat="1" ht="15"/>
    <row r="80" s="10" customFormat="1" ht="15"/>
    <row r="81" s="10" customFormat="1" ht="15"/>
    <row r="82" s="10" customFormat="1" ht="15"/>
    <row r="83" s="10" customFormat="1" ht="15"/>
    <row r="84" s="10" customFormat="1" ht="15"/>
    <row r="85" s="10" customFormat="1" ht="15"/>
    <row r="86" s="10" customFormat="1" ht="15"/>
    <row r="87" s="10" customFormat="1" ht="15"/>
    <row r="88" s="10" customFormat="1" ht="15"/>
    <row r="89" s="10" customFormat="1" ht="15"/>
    <row r="90" s="10" customFormat="1" ht="15"/>
    <row r="91" s="10" customFormat="1" ht="15"/>
    <row r="92" s="10" customFormat="1" ht="15"/>
    <row r="93" s="10" customFormat="1" ht="15"/>
    <row r="94" s="10" customFormat="1" ht="15"/>
    <row r="95" s="10" customFormat="1" ht="15"/>
    <row r="96" s="10" customFormat="1" ht="15"/>
    <row r="97" s="10" customFormat="1" ht="15"/>
    <row r="98" s="10" customFormat="1" ht="15"/>
    <row r="99" s="10" customFormat="1" ht="15"/>
    <row r="100" s="10" customFormat="1" ht="15"/>
    <row r="101" s="10" customFormat="1" ht="15"/>
    <row r="102" s="10" customFormat="1" ht="15"/>
    <row r="103" s="10" customFormat="1" ht="15"/>
    <row r="104" s="10" customFormat="1" ht="15"/>
    <row r="105" s="10" customFormat="1" ht="15"/>
    <row r="106" s="10" customFormat="1" ht="15"/>
    <row r="107" s="10" customFormat="1" ht="15"/>
    <row r="108" s="10" customFormat="1" ht="15"/>
    <row r="109" s="10" customFormat="1" ht="15"/>
    <row r="110" s="10" customFormat="1" ht="15"/>
    <row r="111" s="10" customFormat="1" ht="15"/>
    <row r="112" s="10" customFormat="1" ht="15"/>
    <row r="113" s="10" customFormat="1" ht="15"/>
    <row r="114" s="10" customFormat="1" ht="15"/>
    <row r="115" s="10" customFormat="1" ht="15"/>
    <row r="116" s="10" customFormat="1" ht="15"/>
    <row r="117" s="10" customFormat="1" ht="15"/>
    <row r="118" s="10" customFormat="1" ht="15"/>
    <row r="119" s="10" customFormat="1" ht="15"/>
    <row r="120" s="10" customFormat="1" ht="15"/>
    <row r="121" s="10" customFormat="1" ht="15"/>
    <row r="122" s="10" customFormat="1" ht="15"/>
  </sheetData>
  <mergeCells count="21">
    <mergeCell ref="A23:Q23"/>
    <mergeCell ref="V3:V18"/>
    <mergeCell ref="U22:AB22"/>
    <mergeCell ref="U1:AB2"/>
    <mergeCell ref="M1:M2"/>
    <mergeCell ref="N1:Q1"/>
    <mergeCell ref="X3:X18"/>
    <mergeCell ref="Z3:Z18"/>
    <mergeCell ref="AB3:AB18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F128"/>
  <sheetViews>
    <sheetView topLeftCell="X1" workbookViewId="0">
      <pane ySplit="2" topLeftCell="A3" activePane="bottomLeft" state="frozen"/>
      <selection pane="bottomLeft" activeCell="BB35" sqref="BB35"/>
    </sheetView>
  </sheetViews>
  <sheetFormatPr defaultRowHeight="11.25"/>
  <cols>
    <col min="1" max="4" width="5" style="128" bestFit="1" customWidth="1"/>
    <col min="5" max="5" width="5.109375" style="128" bestFit="1" customWidth="1"/>
    <col min="6" max="8" width="5" style="128" bestFit="1" customWidth="1"/>
    <col min="9" max="9" width="5.109375" style="128" bestFit="1" customWidth="1"/>
    <col min="10" max="12" width="5" style="128" bestFit="1" customWidth="1"/>
    <col min="13" max="13" width="6.33203125" style="128" bestFit="1" customWidth="1"/>
    <col min="14" max="16" width="5" style="128" bestFit="1" customWidth="1"/>
    <col min="17" max="17" width="6.33203125" style="128" bestFit="1" customWidth="1"/>
    <col min="18" max="20" width="5" style="128" bestFit="1" customWidth="1"/>
    <col min="21" max="21" width="6.109375" style="128" bestFit="1" customWidth="1"/>
    <col min="22" max="22" width="5.6640625" style="128" bestFit="1" customWidth="1"/>
    <col min="23" max="24" width="5" style="128" bestFit="1" customWidth="1"/>
    <col min="25" max="25" width="6.109375" style="128" bestFit="1" customWidth="1"/>
    <col min="26" max="28" width="5" style="128" bestFit="1" customWidth="1"/>
    <col min="29" max="29" width="6.109375" style="128" bestFit="1" customWidth="1"/>
    <col min="30" max="32" width="5.77734375" style="128" bestFit="1" customWidth="1"/>
    <col min="33" max="33" width="6.21875" style="128" bestFit="1" customWidth="1"/>
    <col min="34" max="34" width="5.88671875" style="128" bestFit="1" customWidth="1"/>
    <col min="35" max="35" width="5" style="128" bestFit="1" customWidth="1"/>
    <col min="36" max="36" width="5.6640625" style="128" bestFit="1" customWidth="1"/>
    <col min="37" max="37" width="6.109375" style="128" bestFit="1" customWidth="1"/>
    <col min="38" max="40" width="5.6640625" style="128" bestFit="1" customWidth="1"/>
    <col min="41" max="41" width="6.109375" style="128" bestFit="1" customWidth="1"/>
    <col min="42" max="42" width="4.77734375" style="128" customWidth="1"/>
    <col min="43" max="44" width="5.6640625" style="128" bestFit="1" customWidth="1"/>
    <col min="45" max="45" width="6.109375" style="128" bestFit="1" customWidth="1"/>
    <col min="46" max="47" width="5" style="128" bestFit="1" customWidth="1"/>
    <col min="48" max="48" width="5.6640625" style="128" bestFit="1" customWidth="1"/>
    <col min="49" max="49" width="6.109375" style="128" bestFit="1" customWidth="1"/>
    <col min="50" max="52" width="5.6640625" style="128" bestFit="1" customWidth="1"/>
    <col min="53" max="53" width="6.21875" style="128" bestFit="1" customWidth="1"/>
    <col min="54" max="54" width="3.5546875" style="128" bestFit="1" customWidth="1"/>
    <col min="55" max="55" width="6.33203125" style="128" bestFit="1" customWidth="1"/>
    <col min="56" max="56" width="8.6640625" style="128" bestFit="1" customWidth="1"/>
    <col min="57" max="57" width="5.6640625" style="128" bestFit="1" customWidth="1"/>
    <col min="58" max="58" width="7.44140625" style="128" bestFit="1" customWidth="1"/>
    <col min="59" max="16384" width="8.88671875" style="128"/>
  </cols>
  <sheetData>
    <row r="1" spans="1:58">
      <c r="A1" s="431" t="s">
        <v>18</v>
      </c>
      <c r="B1" s="493" t="s">
        <v>4</v>
      </c>
      <c r="C1" s="493"/>
      <c r="D1" s="493"/>
      <c r="E1" s="493"/>
      <c r="F1" s="491" t="s">
        <v>5</v>
      </c>
      <c r="G1" s="491"/>
      <c r="H1" s="491"/>
      <c r="I1" s="491"/>
      <c r="J1" s="493" t="s">
        <v>6</v>
      </c>
      <c r="K1" s="493"/>
      <c r="L1" s="493"/>
      <c r="M1" s="493"/>
      <c r="N1" s="491" t="s">
        <v>7</v>
      </c>
      <c r="O1" s="491"/>
      <c r="P1" s="491"/>
      <c r="Q1" s="491"/>
      <c r="R1" s="493" t="s">
        <v>2</v>
      </c>
      <c r="S1" s="493"/>
      <c r="T1" s="493"/>
      <c r="U1" s="493"/>
      <c r="V1" s="491" t="s">
        <v>8</v>
      </c>
      <c r="W1" s="491"/>
      <c r="X1" s="491"/>
      <c r="Y1" s="491"/>
      <c r="Z1" s="493" t="s">
        <v>9</v>
      </c>
      <c r="AA1" s="493"/>
      <c r="AB1" s="493"/>
      <c r="AC1" s="493"/>
      <c r="AD1" s="497" t="s">
        <v>10</v>
      </c>
      <c r="AE1" s="498"/>
      <c r="AF1" s="498"/>
      <c r="AG1" s="499"/>
      <c r="AH1" s="494" t="s">
        <v>11</v>
      </c>
      <c r="AI1" s="495"/>
      <c r="AJ1" s="495"/>
      <c r="AK1" s="496"/>
      <c r="AL1" s="497" t="s">
        <v>12</v>
      </c>
      <c r="AM1" s="498"/>
      <c r="AN1" s="498"/>
      <c r="AO1" s="499"/>
      <c r="AP1" s="494" t="s">
        <v>13</v>
      </c>
      <c r="AQ1" s="495"/>
      <c r="AR1" s="495"/>
      <c r="AS1" s="496"/>
      <c r="AT1" s="491" t="s">
        <v>14</v>
      </c>
      <c r="AU1" s="491"/>
      <c r="AV1" s="491"/>
      <c r="AW1" s="491"/>
      <c r="AX1" s="494" t="s">
        <v>16</v>
      </c>
      <c r="AY1" s="495"/>
      <c r="AZ1" s="495"/>
      <c r="BA1" s="496"/>
    </row>
    <row r="2" spans="1:58" ht="15.75" customHeight="1" thickBot="1">
      <c r="A2" s="492"/>
      <c r="B2" s="87" t="s">
        <v>63</v>
      </c>
      <c r="C2" s="87" t="s">
        <v>56</v>
      </c>
      <c r="D2" s="87" t="s">
        <v>65</v>
      </c>
      <c r="E2" s="251" t="s">
        <v>64</v>
      </c>
      <c r="F2" s="87" t="s">
        <v>63</v>
      </c>
      <c r="G2" s="87" t="s">
        <v>56</v>
      </c>
      <c r="H2" s="87" t="s">
        <v>65</v>
      </c>
      <c r="I2" s="252" t="s">
        <v>64</v>
      </c>
      <c r="J2" s="87" t="s">
        <v>63</v>
      </c>
      <c r="K2" s="87" t="s">
        <v>56</v>
      </c>
      <c r="L2" s="87" t="s">
        <v>65</v>
      </c>
      <c r="M2" s="251" t="s">
        <v>64</v>
      </c>
      <c r="N2" s="87" t="s">
        <v>63</v>
      </c>
      <c r="O2" s="87" t="s">
        <v>56</v>
      </c>
      <c r="P2" s="87" t="s">
        <v>65</v>
      </c>
      <c r="Q2" s="252" t="s">
        <v>64</v>
      </c>
      <c r="R2" s="87" t="s">
        <v>63</v>
      </c>
      <c r="S2" s="87" t="s">
        <v>56</v>
      </c>
      <c r="T2" s="87" t="s">
        <v>65</v>
      </c>
      <c r="U2" s="251" t="s">
        <v>64</v>
      </c>
      <c r="V2" s="87" t="s">
        <v>63</v>
      </c>
      <c r="W2" s="87" t="s">
        <v>56</v>
      </c>
      <c r="X2" s="87" t="s">
        <v>65</v>
      </c>
      <c r="Y2" s="252" t="s">
        <v>64</v>
      </c>
      <c r="Z2" s="87" t="s">
        <v>63</v>
      </c>
      <c r="AA2" s="87" t="s">
        <v>56</v>
      </c>
      <c r="AB2" s="87" t="s">
        <v>65</v>
      </c>
      <c r="AC2" s="251" t="s">
        <v>64</v>
      </c>
      <c r="AD2" s="87" t="s">
        <v>63</v>
      </c>
      <c r="AE2" s="87" t="s">
        <v>56</v>
      </c>
      <c r="AF2" s="87" t="s">
        <v>65</v>
      </c>
      <c r="AG2" s="252" t="s">
        <v>64</v>
      </c>
      <c r="AH2" s="87" t="s">
        <v>63</v>
      </c>
      <c r="AI2" s="87" t="s">
        <v>56</v>
      </c>
      <c r="AJ2" s="87" t="s">
        <v>65</v>
      </c>
      <c r="AK2" s="251" t="s">
        <v>64</v>
      </c>
      <c r="AL2" s="87" t="s">
        <v>63</v>
      </c>
      <c r="AM2" s="87" t="s">
        <v>56</v>
      </c>
      <c r="AN2" s="87" t="s">
        <v>65</v>
      </c>
      <c r="AO2" s="252" t="s">
        <v>64</v>
      </c>
      <c r="AP2" s="87" t="s">
        <v>63</v>
      </c>
      <c r="AQ2" s="87" t="s">
        <v>56</v>
      </c>
      <c r="AR2" s="87" t="s">
        <v>65</v>
      </c>
      <c r="AS2" s="251" t="s">
        <v>64</v>
      </c>
      <c r="AT2" s="87" t="s">
        <v>63</v>
      </c>
      <c r="AU2" s="87" t="s">
        <v>56</v>
      </c>
      <c r="AV2" s="87" t="s">
        <v>65</v>
      </c>
      <c r="AW2" s="252" t="s">
        <v>64</v>
      </c>
      <c r="AX2" s="87" t="s">
        <v>63</v>
      </c>
      <c r="AY2" s="87" t="s">
        <v>56</v>
      </c>
      <c r="AZ2" s="87" t="s">
        <v>65</v>
      </c>
      <c r="BA2" s="251" t="s">
        <v>64</v>
      </c>
      <c r="BC2" s="128" t="s">
        <v>29</v>
      </c>
      <c r="BD2" s="270" t="s">
        <v>139</v>
      </c>
      <c r="BE2" s="128" t="s">
        <v>178</v>
      </c>
      <c r="BF2" s="270" t="s">
        <v>139</v>
      </c>
    </row>
    <row r="3" spans="1:58" ht="12.75" customHeight="1">
      <c r="A3" s="253">
        <v>1998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5">
        <v>0.59</v>
      </c>
      <c r="AE3" s="255">
        <v>0.7</v>
      </c>
      <c r="AF3" s="255">
        <v>0.28999999999999998</v>
      </c>
      <c r="AG3" s="255">
        <v>0.59</v>
      </c>
      <c r="AH3" s="255"/>
      <c r="AI3" s="255"/>
      <c r="AJ3" s="255">
        <v>0.65</v>
      </c>
      <c r="AK3" s="255"/>
      <c r="AL3" s="255">
        <v>0.16</v>
      </c>
      <c r="AM3" s="255">
        <v>0.85</v>
      </c>
      <c r="AN3" s="255">
        <v>1</v>
      </c>
      <c r="AO3" s="255">
        <v>7.34</v>
      </c>
      <c r="AP3" s="255">
        <v>1.82</v>
      </c>
      <c r="AQ3" s="255">
        <v>0.17</v>
      </c>
      <c r="AR3" s="255">
        <v>1.18</v>
      </c>
      <c r="AS3" s="255">
        <v>2.15</v>
      </c>
      <c r="AT3" s="255">
        <v>4.47</v>
      </c>
      <c r="AU3" s="255">
        <v>4.93</v>
      </c>
      <c r="AV3" s="255">
        <v>5.04</v>
      </c>
      <c r="AW3" s="255">
        <v>6.77</v>
      </c>
      <c r="AX3" s="255">
        <f>B3+F3+J3+N3+R3+V3+Z3+AD3+AH3+AL3+AP3+AT3</f>
        <v>7.04</v>
      </c>
      <c r="AY3" s="255">
        <f t="shared" ref="AY3:BA18" si="0">C3+G3+K3+O3+S3+W3+AA3+AE3+AI3+AM3+AQ3+AU3</f>
        <v>6.6499999999999995</v>
      </c>
      <c r="AZ3" s="255">
        <f t="shared" si="0"/>
        <v>8.16</v>
      </c>
      <c r="BA3" s="255">
        <f t="shared" si="0"/>
        <v>16.850000000000001</v>
      </c>
      <c r="BC3" s="129">
        <f>SUM(AX3:BB3)</f>
        <v>38.700000000000003</v>
      </c>
      <c r="BD3" s="265">
        <v>431</v>
      </c>
      <c r="BE3" s="129">
        <f>BC3*30%</f>
        <v>11.610000000000001</v>
      </c>
      <c r="BF3" s="272">
        <f>BD3*30%</f>
        <v>129.29999999999998</v>
      </c>
    </row>
    <row r="4" spans="1:58">
      <c r="A4" s="256">
        <v>1999</v>
      </c>
      <c r="B4" s="142">
        <v>0.5</v>
      </c>
      <c r="C4" s="142">
        <v>0.54</v>
      </c>
      <c r="D4" s="142">
        <v>0.28999999999999998</v>
      </c>
      <c r="E4" s="142">
        <v>1.38</v>
      </c>
      <c r="F4" s="142">
        <v>1.49</v>
      </c>
      <c r="G4" s="142">
        <v>1.88</v>
      </c>
      <c r="H4" s="142">
        <v>1.47</v>
      </c>
      <c r="I4" s="142">
        <v>8.75</v>
      </c>
      <c r="J4" s="142">
        <v>0.73</v>
      </c>
      <c r="K4" s="142">
        <v>0.88</v>
      </c>
      <c r="L4" s="142">
        <v>0.59</v>
      </c>
      <c r="M4" s="142">
        <v>0.87</v>
      </c>
      <c r="N4" s="142">
        <v>1.32</v>
      </c>
      <c r="O4" s="142">
        <v>1.44</v>
      </c>
      <c r="P4" s="142">
        <v>1.29</v>
      </c>
      <c r="Q4" s="142">
        <v>1.69</v>
      </c>
      <c r="R4" s="142">
        <v>0.18</v>
      </c>
      <c r="S4" s="142">
        <v>0.19</v>
      </c>
      <c r="T4" s="142"/>
      <c r="U4" s="142"/>
      <c r="V4" s="142">
        <v>10.52</v>
      </c>
      <c r="W4" s="142">
        <v>6.95</v>
      </c>
      <c r="X4" s="142">
        <v>5.54</v>
      </c>
      <c r="Y4" s="142">
        <v>7.28</v>
      </c>
      <c r="Z4" s="142"/>
      <c r="AA4" s="142"/>
      <c r="AB4" s="142"/>
      <c r="AC4" s="142"/>
      <c r="AD4" s="142">
        <v>4.04</v>
      </c>
      <c r="AE4" s="142">
        <v>4.4000000000000004</v>
      </c>
      <c r="AF4" s="142">
        <v>3.23</v>
      </c>
      <c r="AG4" s="142">
        <v>5.64</v>
      </c>
      <c r="AH4" s="142">
        <v>5.84</v>
      </c>
      <c r="AI4" s="142">
        <v>5.77</v>
      </c>
      <c r="AJ4" s="142">
        <v>3.83</v>
      </c>
      <c r="AK4" s="142">
        <v>8.66</v>
      </c>
      <c r="AL4" s="142"/>
      <c r="AM4" s="142"/>
      <c r="AN4" s="142">
        <v>0.59</v>
      </c>
      <c r="AO4" s="142">
        <v>0.65</v>
      </c>
      <c r="AP4" s="142">
        <v>1.94</v>
      </c>
      <c r="AQ4" s="142">
        <v>2.04</v>
      </c>
      <c r="AR4" s="142">
        <v>1.18</v>
      </c>
      <c r="AS4" s="142">
        <v>3.02</v>
      </c>
      <c r="AT4" s="142"/>
      <c r="AU4" s="255"/>
      <c r="AV4" s="255"/>
      <c r="AW4" s="142"/>
      <c r="AX4" s="255">
        <f t="shared" ref="AX4:AX18" si="1">B4+F4+J4+N4+R4+V4+Z4+AD4+AH4+AL4+AP4+AT4</f>
        <v>26.56</v>
      </c>
      <c r="AY4" s="255">
        <f t="shared" si="0"/>
        <v>24.09</v>
      </c>
      <c r="AZ4" s="255">
        <f t="shared" si="0"/>
        <v>18.010000000000002</v>
      </c>
      <c r="BA4" s="255">
        <f t="shared" si="0"/>
        <v>37.94</v>
      </c>
      <c r="BC4" s="129">
        <f>SUM(AX4:BB4)</f>
        <v>106.6</v>
      </c>
      <c r="BD4" s="265">
        <v>1065</v>
      </c>
      <c r="BE4" s="129">
        <f t="shared" ref="BE4:BE9" si="2">BC4*30%</f>
        <v>31.979999999999997</v>
      </c>
      <c r="BF4" s="272">
        <f t="shared" ref="BF4:BF18" si="3">BD4*30%</f>
        <v>319.5</v>
      </c>
    </row>
    <row r="5" spans="1:58">
      <c r="A5" s="256">
        <v>2000</v>
      </c>
      <c r="B5" s="142"/>
      <c r="C5" s="142"/>
      <c r="D5" s="142">
        <v>0.3</v>
      </c>
      <c r="E5" s="142">
        <v>0.7</v>
      </c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>
        <f>R105/340.75</f>
        <v>0.99779897285399854</v>
      </c>
      <c r="S5" s="142">
        <f t="shared" ref="S5:U5" si="4">S105/340.75</f>
        <v>1.0858400586940573</v>
      </c>
      <c r="T5" s="142">
        <f t="shared" si="4"/>
        <v>1.173881144534116</v>
      </c>
      <c r="U5" s="142">
        <f t="shared" si="4"/>
        <v>3.3925165077035948</v>
      </c>
      <c r="V5" s="142"/>
      <c r="W5" s="142"/>
      <c r="X5" s="142"/>
      <c r="Y5" s="142"/>
      <c r="Z5" s="142">
        <v>0.67</v>
      </c>
      <c r="AA5" s="142">
        <v>0.94</v>
      </c>
      <c r="AB5" s="142">
        <v>0.88</v>
      </c>
      <c r="AC5" s="142">
        <v>1.54</v>
      </c>
      <c r="AD5" s="142">
        <v>0.28999999999999998</v>
      </c>
      <c r="AE5" s="142">
        <v>0.28999999999999998</v>
      </c>
      <c r="AF5" s="142">
        <v>0.59</v>
      </c>
      <c r="AG5" s="142">
        <v>1.47</v>
      </c>
      <c r="AH5" s="142"/>
      <c r="AI5" s="142"/>
      <c r="AJ5" s="142"/>
      <c r="AK5" s="142"/>
      <c r="AL5" s="142">
        <v>0.73</v>
      </c>
      <c r="AM5" s="142">
        <v>0.9</v>
      </c>
      <c r="AN5" s="142">
        <v>0.59</v>
      </c>
      <c r="AO5" s="142">
        <v>0.82</v>
      </c>
      <c r="AP5" s="142">
        <v>1.17</v>
      </c>
      <c r="AQ5" s="142">
        <v>1.2</v>
      </c>
      <c r="AR5" s="142">
        <v>0.88</v>
      </c>
      <c r="AS5" s="142">
        <v>0.44</v>
      </c>
      <c r="AT5" s="142"/>
      <c r="AU5" s="255"/>
      <c r="AV5" s="255"/>
      <c r="AW5" s="255"/>
      <c r="AX5" s="255">
        <f t="shared" si="1"/>
        <v>3.8577989728539985</v>
      </c>
      <c r="AY5" s="255">
        <f t="shared" si="0"/>
        <v>4.4158400586940569</v>
      </c>
      <c r="AZ5" s="255">
        <f t="shared" si="0"/>
        <v>4.4138811445341162</v>
      </c>
      <c r="BA5" s="255">
        <f t="shared" si="0"/>
        <v>8.3625165077035941</v>
      </c>
      <c r="BC5" s="129">
        <f>SUM(AX5:BB5)</f>
        <v>21.050036683785766</v>
      </c>
      <c r="BD5" s="284">
        <v>160</v>
      </c>
      <c r="BE5" s="129">
        <f t="shared" si="2"/>
        <v>6.3150110051357293</v>
      </c>
      <c r="BF5" s="272">
        <f t="shared" si="3"/>
        <v>48</v>
      </c>
    </row>
    <row r="6" spans="1:58" s="281" customFormat="1">
      <c r="A6" s="288">
        <v>2001</v>
      </c>
      <c r="B6" s="142">
        <f>B116/340.75</f>
        <v>0.88041085840058697</v>
      </c>
      <c r="C6" s="142">
        <f t="shared" ref="C6:E6" si="5">C116/340.75</f>
        <v>0.74834922964049888</v>
      </c>
      <c r="D6" s="142">
        <f t="shared" si="5"/>
        <v>0.58694057226705798</v>
      </c>
      <c r="E6" s="142">
        <f t="shared" si="5"/>
        <v>0</v>
      </c>
      <c r="F6" s="142">
        <f>F128</f>
        <v>7.0432868672046958</v>
      </c>
      <c r="G6" s="142">
        <f t="shared" ref="G6:H6" si="6">G128</f>
        <v>6.8282024944974316</v>
      </c>
      <c r="H6" s="142">
        <f t="shared" si="6"/>
        <v>3.9347028613352899</v>
      </c>
      <c r="I6" s="142"/>
      <c r="J6" s="142">
        <f>J121</f>
        <v>7.6434336023477627</v>
      </c>
      <c r="K6" s="142">
        <f t="shared" ref="K6:L6" si="7">K121</f>
        <v>1.4431254585473221</v>
      </c>
      <c r="L6" s="142">
        <f t="shared" si="7"/>
        <v>0.910410858400587</v>
      </c>
      <c r="M6" s="142"/>
      <c r="N6" s="142">
        <f>N117/340.75</f>
        <v>0.82171680117388113</v>
      </c>
      <c r="O6" s="142">
        <f t="shared" ref="O6:P6" si="8">O117/340.75</f>
        <v>0.89508437270726338</v>
      </c>
      <c r="P6" s="142">
        <f t="shared" si="8"/>
        <v>0.29347028613352899</v>
      </c>
      <c r="Q6" s="142"/>
      <c r="R6" s="142"/>
      <c r="S6" s="142"/>
      <c r="T6" s="142"/>
      <c r="U6" s="142"/>
      <c r="V6" s="142">
        <f>V118/340.75</f>
        <v>1.9955979457079971</v>
      </c>
      <c r="W6" s="142">
        <f t="shared" ref="W6:X6" si="9">W118/340.75</f>
        <v>0.7630227439471754</v>
      </c>
      <c r="X6" s="142">
        <f t="shared" si="9"/>
        <v>0.58694057226705798</v>
      </c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>
        <f>AP118/340.75</f>
        <v>1.8195157740278798</v>
      </c>
      <c r="AQ6" s="142">
        <f t="shared" ref="AQ6:AR6" si="10">AQ118/340.75</f>
        <v>0.82171680117388113</v>
      </c>
      <c r="AR6" s="142">
        <f t="shared" si="10"/>
        <v>1.173881144534116</v>
      </c>
      <c r="AS6" s="142"/>
      <c r="AT6" s="142">
        <f>AT124</f>
        <v>6.1153558327219368</v>
      </c>
      <c r="AU6" s="142">
        <f t="shared" ref="AU6:AV6" si="11">AU124</f>
        <v>6.7308877476155544</v>
      </c>
      <c r="AV6" s="142">
        <f t="shared" si="11"/>
        <v>4.2608217168011739</v>
      </c>
      <c r="AW6" s="255"/>
      <c r="AX6" s="255">
        <f t="shared" si="1"/>
        <v>26.319317681584742</v>
      </c>
      <c r="AY6" s="255">
        <f t="shared" si="0"/>
        <v>18.230388848129127</v>
      </c>
      <c r="AZ6" s="255">
        <f t="shared" si="0"/>
        <v>11.747168011738811</v>
      </c>
      <c r="BA6" s="255">
        <f t="shared" si="0"/>
        <v>0</v>
      </c>
      <c r="BC6" s="129">
        <f>SUM(AX6:BB6)</f>
        <v>56.296874541452681</v>
      </c>
      <c r="BD6" s="284">
        <v>377</v>
      </c>
      <c r="BE6" s="289">
        <f t="shared" si="2"/>
        <v>16.889062362435805</v>
      </c>
      <c r="BF6" s="290">
        <f t="shared" si="3"/>
        <v>113.1</v>
      </c>
    </row>
    <row r="7" spans="1:58">
      <c r="A7" s="256">
        <v>2002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8"/>
      <c r="AV7" s="258"/>
      <c r="AW7" s="258"/>
      <c r="AX7" s="258">
        <f t="shared" si="1"/>
        <v>0</v>
      </c>
      <c r="AY7" s="258">
        <f t="shared" si="0"/>
        <v>0</v>
      </c>
      <c r="AZ7" s="258">
        <f t="shared" si="0"/>
        <v>0</v>
      </c>
      <c r="BA7" s="258">
        <f t="shared" si="0"/>
        <v>0</v>
      </c>
      <c r="BD7" s="265"/>
      <c r="BE7" s="129">
        <f t="shared" si="2"/>
        <v>0</v>
      </c>
      <c r="BF7" s="272">
        <f t="shared" si="3"/>
        <v>0</v>
      </c>
    </row>
    <row r="8" spans="1:58">
      <c r="A8" s="256">
        <v>2003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60"/>
      <c r="AV8" s="260"/>
      <c r="AW8" s="260"/>
      <c r="AX8" s="258">
        <f t="shared" si="1"/>
        <v>0</v>
      </c>
      <c r="AY8" s="258">
        <f t="shared" si="0"/>
        <v>0</v>
      </c>
      <c r="AZ8" s="258">
        <f t="shared" si="0"/>
        <v>0</v>
      </c>
      <c r="BA8" s="258">
        <f t="shared" si="0"/>
        <v>0</v>
      </c>
      <c r="BD8" s="265"/>
      <c r="BE8" s="129">
        <f t="shared" si="2"/>
        <v>0</v>
      </c>
      <c r="BF8" s="272">
        <f t="shared" si="3"/>
        <v>0</v>
      </c>
    </row>
    <row r="9" spans="1:58" ht="15" customHeight="1">
      <c r="A9" s="256">
        <v>2004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60"/>
      <c r="AV9" s="260"/>
      <c r="AW9" s="260"/>
      <c r="AX9" s="258">
        <f t="shared" si="1"/>
        <v>0</v>
      </c>
      <c r="AY9" s="258">
        <f t="shared" si="0"/>
        <v>0</v>
      </c>
      <c r="AZ9" s="258">
        <f t="shared" si="0"/>
        <v>0</v>
      </c>
      <c r="BA9" s="258">
        <f t="shared" si="0"/>
        <v>0</v>
      </c>
      <c r="BD9" s="265"/>
      <c r="BE9" s="129">
        <f t="shared" si="2"/>
        <v>0</v>
      </c>
      <c r="BF9" s="272">
        <f t="shared" si="3"/>
        <v>0</v>
      </c>
    </row>
    <row r="10" spans="1:58" ht="15" customHeight="1">
      <c r="A10" s="256">
        <v>2005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8"/>
      <c r="AV10" s="258"/>
      <c r="AW10" s="258"/>
      <c r="AX10" s="258">
        <f t="shared" si="1"/>
        <v>0</v>
      </c>
      <c r="AY10" s="258">
        <f t="shared" si="0"/>
        <v>0</v>
      </c>
      <c r="AZ10" s="258">
        <f t="shared" si="0"/>
        <v>0</v>
      </c>
      <c r="BA10" s="258">
        <f t="shared" si="0"/>
        <v>0</v>
      </c>
      <c r="BD10" s="265"/>
      <c r="BE10" s="129">
        <f t="shared" ref="BE10:BE18" si="12">BC10*30%</f>
        <v>0</v>
      </c>
      <c r="BF10" s="272">
        <f t="shared" si="3"/>
        <v>0</v>
      </c>
    </row>
    <row r="11" spans="1:58" ht="15" customHeight="1">
      <c r="A11" s="256">
        <v>2006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8"/>
      <c r="AV11" s="258"/>
      <c r="AW11" s="258"/>
      <c r="AX11" s="258">
        <f t="shared" si="1"/>
        <v>0</v>
      </c>
      <c r="AY11" s="258">
        <f t="shared" si="0"/>
        <v>0</v>
      </c>
      <c r="AZ11" s="258">
        <f t="shared" si="0"/>
        <v>0</v>
      </c>
      <c r="BA11" s="258">
        <f t="shared" si="0"/>
        <v>0</v>
      </c>
      <c r="BD11" s="265"/>
      <c r="BE11" s="129">
        <f t="shared" si="12"/>
        <v>0</v>
      </c>
      <c r="BF11" s="272">
        <f t="shared" si="3"/>
        <v>0</v>
      </c>
    </row>
    <row r="12" spans="1:58">
      <c r="A12" s="256">
        <v>2007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8"/>
      <c r="AV12" s="258"/>
      <c r="AW12" s="258"/>
      <c r="AX12" s="258">
        <f t="shared" si="1"/>
        <v>0</v>
      </c>
      <c r="AY12" s="258">
        <f t="shared" si="0"/>
        <v>0</v>
      </c>
      <c r="AZ12" s="258">
        <f t="shared" si="0"/>
        <v>0</v>
      </c>
      <c r="BA12" s="258">
        <f t="shared" si="0"/>
        <v>0</v>
      </c>
      <c r="BD12" s="265"/>
      <c r="BE12" s="129">
        <f t="shared" si="12"/>
        <v>0</v>
      </c>
      <c r="BF12" s="272">
        <f t="shared" si="3"/>
        <v>0</v>
      </c>
    </row>
    <row r="13" spans="1:58">
      <c r="A13" s="256">
        <v>2008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8"/>
      <c r="AV13" s="258"/>
      <c r="AW13" s="258"/>
      <c r="AX13" s="258">
        <f t="shared" si="1"/>
        <v>0</v>
      </c>
      <c r="AY13" s="258">
        <f t="shared" si="0"/>
        <v>0</v>
      </c>
      <c r="AZ13" s="258">
        <f t="shared" si="0"/>
        <v>0</v>
      </c>
      <c r="BA13" s="258">
        <f t="shared" si="0"/>
        <v>0</v>
      </c>
      <c r="BD13" s="265"/>
      <c r="BE13" s="129">
        <f t="shared" si="12"/>
        <v>0</v>
      </c>
      <c r="BF13" s="272">
        <f t="shared" si="3"/>
        <v>0</v>
      </c>
    </row>
    <row r="14" spans="1:58">
      <c r="A14" s="256">
        <v>2009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8"/>
      <c r="AV14" s="258"/>
      <c r="AW14" s="258"/>
      <c r="AX14" s="258">
        <f t="shared" si="1"/>
        <v>0</v>
      </c>
      <c r="AY14" s="258">
        <f t="shared" si="0"/>
        <v>0</v>
      </c>
      <c r="AZ14" s="258">
        <f t="shared" si="0"/>
        <v>0</v>
      </c>
      <c r="BA14" s="258">
        <f t="shared" si="0"/>
        <v>0</v>
      </c>
      <c r="BD14" s="265"/>
      <c r="BE14" s="129">
        <f t="shared" si="12"/>
        <v>0</v>
      </c>
      <c r="BF14" s="272">
        <f t="shared" si="3"/>
        <v>0</v>
      </c>
    </row>
    <row r="15" spans="1:58">
      <c r="A15" s="256">
        <v>2010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8"/>
      <c r="AV15" s="258"/>
      <c r="AW15" s="258"/>
      <c r="AX15" s="258">
        <f t="shared" si="1"/>
        <v>0</v>
      </c>
      <c r="AY15" s="258">
        <f t="shared" si="0"/>
        <v>0</v>
      </c>
      <c r="AZ15" s="258">
        <f t="shared" si="0"/>
        <v>0</v>
      </c>
      <c r="BA15" s="258">
        <f t="shared" si="0"/>
        <v>0</v>
      </c>
      <c r="BD15" s="265"/>
      <c r="BE15" s="129">
        <f t="shared" si="12"/>
        <v>0</v>
      </c>
      <c r="BF15" s="272">
        <f t="shared" si="3"/>
        <v>0</v>
      </c>
    </row>
    <row r="16" spans="1:58">
      <c r="A16" s="256">
        <v>2011</v>
      </c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8"/>
      <c r="AV16" s="258"/>
      <c r="AW16" s="258"/>
      <c r="AX16" s="258">
        <f t="shared" si="1"/>
        <v>0</v>
      </c>
      <c r="AY16" s="258">
        <f t="shared" si="0"/>
        <v>0</v>
      </c>
      <c r="AZ16" s="258">
        <f t="shared" si="0"/>
        <v>0</v>
      </c>
      <c r="BA16" s="258">
        <f t="shared" si="0"/>
        <v>0</v>
      </c>
      <c r="BD16" s="265"/>
      <c r="BE16" s="129">
        <f t="shared" si="12"/>
        <v>0</v>
      </c>
      <c r="BF16" s="272">
        <f t="shared" si="3"/>
        <v>0</v>
      </c>
    </row>
    <row r="17" spans="1:58">
      <c r="A17" s="256">
        <v>2012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8"/>
      <c r="AV17" s="258"/>
      <c r="AW17" s="258"/>
      <c r="AX17" s="258">
        <f t="shared" si="1"/>
        <v>0</v>
      </c>
      <c r="AY17" s="258">
        <f t="shared" si="0"/>
        <v>0</v>
      </c>
      <c r="AZ17" s="258">
        <f t="shared" si="0"/>
        <v>0</v>
      </c>
      <c r="BA17" s="258">
        <f t="shared" si="0"/>
        <v>0</v>
      </c>
      <c r="BD17" s="265"/>
      <c r="BE17" s="129">
        <f t="shared" si="12"/>
        <v>0</v>
      </c>
      <c r="BF17" s="272">
        <f t="shared" si="3"/>
        <v>0</v>
      </c>
    </row>
    <row r="18" spans="1:58">
      <c r="A18" s="256">
        <v>2013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254"/>
      <c r="AV18" s="254"/>
      <c r="AW18" s="254"/>
      <c r="AX18" s="258">
        <f t="shared" si="1"/>
        <v>0</v>
      </c>
      <c r="AY18" s="258">
        <f t="shared" si="0"/>
        <v>0</v>
      </c>
      <c r="AZ18" s="258">
        <f t="shared" si="0"/>
        <v>0</v>
      </c>
      <c r="BA18" s="258">
        <f t="shared" si="0"/>
        <v>0</v>
      </c>
      <c r="BD18" s="265"/>
      <c r="BE18" s="129">
        <f t="shared" si="12"/>
        <v>0</v>
      </c>
      <c r="BF18" s="272">
        <f t="shared" si="3"/>
        <v>0</v>
      </c>
    </row>
    <row r="19" spans="1:58"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42">
        <f>SUM(AX3:AX18)</f>
        <v>63.777116654438743</v>
      </c>
      <c r="AY19" s="142">
        <f t="shared" ref="AY19:BA19" si="13">SUM(AY3:AY18)</f>
        <v>53.386228906823177</v>
      </c>
      <c r="AZ19" s="142">
        <f t="shared" si="13"/>
        <v>42.331049156272925</v>
      </c>
      <c r="BA19" s="142">
        <f t="shared" si="13"/>
        <v>63.152516507703595</v>
      </c>
      <c r="BC19" s="129">
        <f>SUM(BC3:BC18)</f>
        <v>222.64691122523845</v>
      </c>
      <c r="BD19" s="265">
        <f>SUM(BD3:BD18)</f>
        <v>2033</v>
      </c>
      <c r="BE19" s="162">
        <f t="shared" ref="BE19:BF19" si="14">SUM(BE3:BE18)</f>
        <v>66.794073367571528</v>
      </c>
      <c r="BF19" s="265">
        <f t="shared" si="14"/>
        <v>609.9</v>
      </c>
    </row>
    <row r="20" spans="1:58">
      <c r="BD20" s="269">
        <v>45324</v>
      </c>
      <c r="BE20" s="271">
        <v>299</v>
      </c>
    </row>
    <row r="21" spans="1:58">
      <c r="BA21" s="129"/>
      <c r="BD21" s="266" t="s">
        <v>184</v>
      </c>
    </row>
    <row r="23" spans="1:58" ht="15.75" customHeight="1">
      <c r="A23" s="490" t="s">
        <v>62</v>
      </c>
      <c r="B23" s="490"/>
      <c r="C23" s="490"/>
      <c r="D23" s="490"/>
      <c r="E23" s="490"/>
      <c r="F23" s="490"/>
      <c r="G23" s="490"/>
      <c r="H23" s="490"/>
      <c r="I23" s="490"/>
      <c r="J23" s="490"/>
      <c r="K23" s="490"/>
      <c r="L23" s="490"/>
      <c r="M23" s="490"/>
      <c r="N23" s="490"/>
      <c r="O23" s="490"/>
      <c r="P23" s="490"/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0"/>
      <c r="AJ23" s="490"/>
      <c r="AK23" s="490"/>
      <c r="AL23" s="490"/>
      <c r="AM23" s="490"/>
      <c r="AN23" s="490"/>
      <c r="AO23" s="490"/>
      <c r="AP23" s="490"/>
      <c r="AQ23" s="490"/>
      <c r="AR23" s="490"/>
      <c r="AS23" s="490"/>
      <c r="AT23" s="490"/>
      <c r="AU23" s="490"/>
      <c r="AV23" s="490"/>
      <c r="AW23" s="490"/>
      <c r="AX23" s="490"/>
      <c r="AY23" s="490"/>
      <c r="AZ23" s="490"/>
      <c r="BA23" s="490"/>
      <c r="BB23" s="261"/>
    </row>
    <row r="24" spans="1:58">
      <c r="A24" s="262"/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  <c r="AW24" s="262"/>
      <c r="AX24" s="262"/>
      <c r="AY24" s="262"/>
      <c r="AZ24" s="262"/>
      <c r="BA24" s="262"/>
    </row>
    <row r="25" spans="1:58">
      <c r="A25" s="128">
        <v>1998</v>
      </c>
    </row>
    <row r="26" spans="1:58">
      <c r="AK26" s="128">
        <v>106</v>
      </c>
      <c r="AO26" s="266">
        <v>7.34</v>
      </c>
    </row>
    <row r="27" spans="1:58">
      <c r="AO27" s="128">
        <v>119</v>
      </c>
      <c r="AP27" s="128">
        <v>1</v>
      </c>
      <c r="AQ27" s="128">
        <v>0.09</v>
      </c>
      <c r="AR27" s="128">
        <v>0.59</v>
      </c>
      <c r="AS27" s="128">
        <v>1.1599999999999999</v>
      </c>
    </row>
    <row r="28" spans="1:58">
      <c r="AO28" s="128">
        <v>120</v>
      </c>
      <c r="AP28" s="128">
        <v>0.82</v>
      </c>
      <c r="AQ28" s="128">
        <v>0.08</v>
      </c>
      <c r="AR28" s="128">
        <v>0.59</v>
      </c>
      <c r="AS28" s="128">
        <v>0.99</v>
      </c>
    </row>
    <row r="29" spans="1:58">
      <c r="AP29" s="266">
        <f>SUM(AP27:AP28)</f>
        <v>1.8199999999999998</v>
      </c>
      <c r="AQ29" s="266">
        <f t="shared" ref="AQ29:AS29" si="15">SUM(AQ27:AQ28)</f>
        <v>0.16999999999999998</v>
      </c>
      <c r="AR29" s="266">
        <f t="shared" si="15"/>
        <v>1.18</v>
      </c>
      <c r="AS29" s="266">
        <f t="shared" si="15"/>
        <v>2.15</v>
      </c>
    </row>
    <row r="30" spans="1:58">
      <c r="AS30" s="128">
        <v>154</v>
      </c>
      <c r="AT30" s="128">
        <v>0.16</v>
      </c>
      <c r="AU30" s="128">
        <v>0.84</v>
      </c>
      <c r="AV30" s="128">
        <v>1.5</v>
      </c>
    </row>
    <row r="31" spans="1:58">
      <c r="AS31" s="128">
        <v>161</v>
      </c>
      <c r="AT31" s="267" t="s">
        <v>175</v>
      </c>
      <c r="AU31" s="267" t="s">
        <v>175</v>
      </c>
      <c r="AV31" s="267" t="s">
        <v>175</v>
      </c>
      <c r="AW31" s="267" t="s">
        <v>175</v>
      </c>
      <c r="AX31" s="268" t="s">
        <v>176</v>
      </c>
    </row>
    <row r="32" spans="1:58">
      <c r="AS32" s="128">
        <v>167</v>
      </c>
      <c r="AT32" s="128">
        <v>0.82</v>
      </c>
      <c r="AU32" s="128">
        <v>0.81</v>
      </c>
      <c r="AV32" s="128">
        <v>0.59</v>
      </c>
      <c r="AW32" s="128">
        <v>1.51</v>
      </c>
    </row>
    <row r="33" spans="1:50">
      <c r="AS33" s="128">
        <v>192</v>
      </c>
      <c r="AT33" s="128">
        <v>0.82</v>
      </c>
      <c r="AU33" s="128">
        <v>0.09</v>
      </c>
      <c r="AV33" s="128">
        <v>0.59</v>
      </c>
      <c r="AW33" s="128">
        <v>1.23</v>
      </c>
    </row>
    <row r="34" spans="1:50">
      <c r="AS34" s="128">
        <v>209</v>
      </c>
      <c r="AT34" s="128">
        <v>0.82</v>
      </c>
      <c r="AU34" s="128">
        <v>0.92</v>
      </c>
      <c r="AV34" s="128">
        <v>0.59</v>
      </c>
      <c r="AW34" s="128">
        <v>1.02</v>
      </c>
    </row>
    <row r="35" spans="1:50">
      <c r="AS35" s="128">
        <v>222</v>
      </c>
      <c r="AT35" s="128">
        <v>1.01</v>
      </c>
      <c r="AU35" s="128">
        <v>1.34</v>
      </c>
      <c r="AV35" s="128">
        <v>1.18</v>
      </c>
      <c r="AW35" s="128">
        <v>1.8</v>
      </c>
      <c r="AX35" s="268" t="s">
        <v>176</v>
      </c>
    </row>
    <row r="36" spans="1:50">
      <c r="AS36" s="128">
        <v>234</v>
      </c>
      <c r="AT36" s="128">
        <v>0.84</v>
      </c>
      <c r="AU36" s="128">
        <v>0.93</v>
      </c>
      <c r="AV36" s="128">
        <v>0.59</v>
      </c>
      <c r="AW36" s="128">
        <v>1.21</v>
      </c>
    </row>
    <row r="37" spans="1:50">
      <c r="AT37" s="266">
        <f>SUM(AT30:AT36)</f>
        <v>4.47</v>
      </c>
      <c r="AU37" s="266">
        <f t="shared" ref="AU37:AW37" si="16">SUM(AU30:AU36)</f>
        <v>4.93</v>
      </c>
      <c r="AV37" s="266">
        <f t="shared" si="16"/>
        <v>5.0399999999999991</v>
      </c>
      <c r="AW37" s="266">
        <f t="shared" si="16"/>
        <v>6.7700000000000005</v>
      </c>
    </row>
    <row r="46" spans="1:50">
      <c r="A46" s="128">
        <v>1999</v>
      </c>
    </row>
    <row r="47" spans="1:50">
      <c r="A47" s="128">
        <v>245</v>
      </c>
      <c r="B47" s="264">
        <v>0.5</v>
      </c>
      <c r="C47" s="264">
        <v>0.54</v>
      </c>
      <c r="D47" s="264">
        <v>0.28999999999999998</v>
      </c>
      <c r="E47" s="264">
        <v>1.38</v>
      </c>
    </row>
    <row r="48" spans="1:50">
      <c r="B48" s="162"/>
      <c r="C48" s="162"/>
      <c r="D48" s="162"/>
      <c r="E48" s="128">
        <v>263</v>
      </c>
      <c r="F48" s="162">
        <v>0.67</v>
      </c>
      <c r="G48" s="162">
        <v>0.98</v>
      </c>
      <c r="H48" s="162">
        <v>0.59</v>
      </c>
      <c r="I48" s="162">
        <v>1.44</v>
      </c>
    </row>
    <row r="49" spans="2:31">
      <c r="B49" s="162"/>
      <c r="C49" s="162"/>
      <c r="D49" s="162"/>
      <c r="E49" s="128">
        <v>270</v>
      </c>
      <c r="F49" s="162"/>
      <c r="G49" s="162"/>
      <c r="H49" s="162">
        <v>0.28999999999999998</v>
      </c>
      <c r="I49" s="162">
        <v>0.35</v>
      </c>
    </row>
    <row r="50" spans="2:31">
      <c r="B50" s="162"/>
      <c r="C50" s="162"/>
      <c r="D50" s="162"/>
      <c r="E50" s="128">
        <v>280</v>
      </c>
      <c r="F50" s="162"/>
      <c r="G50" s="162"/>
      <c r="H50" s="162"/>
      <c r="I50" s="162">
        <v>5.56</v>
      </c>
    </row>
    <row r="51" spans="2:31">
      <c r="B51" s="162"/>
      <c r="C51" s="162"/>
      <c r="D51" s="162"/>
      <c r="E51" s="128">
        <v>281</v>
      </c>
      <c r="F51" s="162">
        <v>0.82</v>
      </c>
      <c r="G51" s="162">
        <v>0.9</v>
      </c>
      <c r="H51" s="162">
        <v>0.59</v>
      </c>
      <c r="I51" s="162">
        <v>1.4</v>
      </c>
    </row>
    <row r="52" spans="2:31">
      <c r="B52" s="263"/>
      <c r="C52" s="263"/>
      <c r="D52" s="263"/>
      <c r="E52" s="263"/>
      <c r="F52" s="263">
        <f>SUM(F48:F51)</f>
        <v>1.49</v>
      </c>
      <c r="G52" s="263">
        <f t="shared" ref="G52" si="17">SUM(G48:G51)</f>
        <v>1.88</v>
      </c>
      <c r="H52" s="263">
        <f t="shared" ref="H52" si="18">SUM(H48:H51)</f>
        <v>1.4699999999999998</v>
      </c>
      <c r="I52" s="263">
        <f t="shared" ref="I52" si="19">SUM(I48:I51)</f>
        <v>8.75</v>
      </c>
    </row>
    <row r="53" spans="2:31">
      <c r="I53" s="128">
        <v>306</v>
      </c>
      <c r="J53" s="264">
        <v>0.73</v>
      </c>
      <c r="K53" s="264">
        <v>0.88</v>
      </c>
      <c r="L53" s="264">
        <v>0.59</v>
      </c>
      <c r="M53" s="264">
        <v>0.87</v>
      </c>
      <c r="R53" s="162"/>
    </row>
    <row r="54" spans="2:31">
      <c r="J54" s="162"/>
      <c r="K54" s="162"/>
      <c r="L54" s="162"/>
      <c r="M54" s="265">
        <v>360</v>
      </c>
      <c r="N54" s="162">
        <v>0.5</v>
      </c>
      <c r="O54" s="162">
        <v>0.54</v>
      </c>
      <c r="P54" s="162">
        <v>0.7</v>
      </c>
      <c r="Q54" s="162">
        <v>0.7</v>
      </c>
      <c r="AD54" s="128">
        <v>455</v>
      </c>
      <c r="AE54" s="162">
        <f>AD54/340.75</f>
        <v>1.3352898019075568</v>
      </c>
    </row>
    <row r="55" spans="2:31">
      <c r="J55" s="162"/>
      <c r="K55" s="162"/>
      <c r="L55" s="162"/>
      <c r="M55" s="265">
        <v>361</v>
      </c>
      <c r="N55" s="162">
        <v>0.82</v>
      </c>
      <c r="O55" s="162">
        <v>0.9</v>
      </c>
      <c r="P55" s="162">
        <v>0.59</v>
      </c>
      <c r="Q55" s="162">
        <v>0.99</v>
      </c>
    </row>
    <row r="56" spans="2:31">
      <c r="J56" s="162"/>
      <c r="K56" s="162"/>
      <c r="L56" s="162"/>
      <c r="M56" s="265"/>
      <c r="N56" s="264">
        <f>SUM(N54:N55)</f>
        <v>1.3199999999999998</v>
      </c>
      <c r="O56" s="264">
        <f t="shared" ref="O56:Q56" si="20">SUM(O54:O55)</f>
        <v>1.44</v>
      </c>
      <c r="P56" s="264">
        <f t="shared" si="20"/>
        <v>1.29</v>
      </c>
      <c r="Q56" s="264">
        <f t="shared" si="20"/>
        <v>1.69</v>
      </c>
    </row>
    <row r="57" spans="2:31">
      <c r="J57" s="162"/>
      <c r="K57" s="162"/>
      <c r="L57" s="162"/>
      <c r="M57" s="265"/>
      <c r="N57" s="162"/>
      <c r="O57" s="162"/>
      <c r="P57" s="162"/>
      <c r="Q57" s="265">
        <v>394</v>
      </c>
      <c r="R57" s="266">
        <v>0.18</v>
      </c>
      <c r="S57" s="266">
        <v>0.19</v>
      </c>
    </row>
    <row r="58" spans="2:31">
      <c r="J58" s="162"/>
      <c r="K58" s="162"/>
      <c r="L58" s="162"/>
      <c r="M58" s="265"/>
      <c r="N58" s="162"/>
      <c r="O58" s="162"/>
      <c r="P58" s="162"/>
      <c r="Q58" s="265"/>
      <c r="U58" s="128">
        <v>424</v>
      </c>
      <c r="V58" s="162">
        <v>0.82</v>
      </c>
      <c r="W58" s="162">
        <v>0.9</v>
      </c>
      <c r="X58" s="162">
        <v>0.59</v>
      </c>
      <c r="Y58" s="162">
        <v>0.99</v>
      </c>
    </row>
    <row r="59" spans="2:31">
      <c r="J59" s="162"/>
      <c r="K59" s="162"/>
      <c r="L59" s="162"/>
      <c r="M59" s="265"/>
      <c r="N59" s="162"/>
      <c r="O59" s="162"/>
      <c r="P59" s="162"/>
      <c r="Q59" s="265"/>
      <c r="U59" s="128">
        <v>425</v>
      </c>
      <c r="V59" s="162">
        <v>0.97</v>
      </c>
      <c r="W59" s="162">
        <v>1.0900000000000001</v>
      </c>
      <c r="X59" s="162">
        <v>0.59</v>
      </c>
      <c r="Y59" s="162">
        <v>1.87</v>
      </c>
    </row>
    <row r="60" spans="2:31">
      <c r="J60" s="162"/>
      <c r="K60" s="162"/>
      <c r="L60" s="162"/>
      <c r="M60" s="265"/>
      <c r="N60" s="162"/>
      <c r="O60" s="162"/>
      <c r="P60" s="162"/>
      <c r="Q60" s="265"/>
      <c r="U60" s="128">
        <v>430</v>
      </c>
      <c r="V60" s="162">
        <v>0.82</v>
      </c>
      <c r="W60" s="162">
        <v>0.9</v>
      </c>
      <c r="X60" s="162">
        <v>0.59</v>
      </c>
      <c r="Y60" s="162">
        <v>0.87</v>
      </c>
    </row>
    <row r="61" spans="2:31">
      <c r="J61" s="162"/>
      <c r="K61" s="162"/>
      <c r="L61" s="162"/>
      <c r="M61" s="265"/>
      <c r="N61" s="162"/>
      <c r="O61" s="162"/>
      <c r="P61" s="162"/>
      <c r="Q61" s="265"/>
      <c r="U61" s="128">
        <v>431</v>
      </c>
      <c r="V61" s="162">
        <v>0.82</v>
      </c>
      <c r="W61" s="162">
        <v>0.9</v>
      </c>
      <c r="X61" s="162">
        <v>0.59</v>
      </c>
      <c r="Y61" s="162">
        <v>0.87</v>
      </c>
    </row>
    <row r="62" spans="2:31">
      <c r="J62" s="162"/>
      <c r="K62" s="162"/>
      <c r="L62" s="162"/>
      <c r="M62" s="265"/>
      <c r="N62" s="162"/>
      <c r="O62" s="162"/>
      <c r="P62" s="162"/>
      <c r="Q62" s="265"/>
      <c r="U62" s="128">
        <v>432</v>
      </c>
      <c r="V62" s="162">
        <v>4.5999999999999996</v>
      </c>
      <c r="W62" s="162">
        <v>0.68</v>
      </c>
      <c r="X62" s="162">
        <v>1</v>
      </c>
      <c r="Y62" s="162"/>
    </row>
    <row r="63" spans="2:31">
      <c r="J63" s="162"/>
      <c r="K63" s="162"/>
      <c r="L63" s="162"/>
      <c r="M63" s="265"/>
      <c r="N63" s="162"/>
      <c r="O63" s="162"/>
      <c r="P63" s="162"/>
      <c r="Q63" s="265"/>
      <c r="U63" s="128">
        <v>433</v>
      </c>
      <c r="V63" s="162">
        <v>0.85</v>
      </c>
      <c r="W63" s="162">
        <v>0.68</v>
      </c>
      <c r="X63" s="162">
        <v>1</v>
      </c>
      <c r="Y63" s="162"/>
    </row>
    <row r="64" spans="2:31">
      <c r="J64" s="162"/>
      <c r="K64" s="162"/>
      <c r="L64" s="162"/>
      <c r="M64" s="265"/>
      <c r="N64" s="162"/>
      <c r="O64" s="162"/>
      <c r="P64" s="162"/>
      <c r="Q64" s="265"/>
      <c r="U64" s="128">
        <v>437</v>
      </c>
      <c r="V64" s="162">
        <v>0.82</v>
      </c>
      <c r="W64" s="162">
        <v>0.9</v>
      </c>
      <c r="X64" s="162">
        <v>0.59</v>
      </c>
      <c r="Y64" s="162">
        <v>1.34</v>
      </c>
    </row>
    <row r="65" spans="13:34">
      <c r="M65" s="265"/>
      <c r="N65" s="162"/>
      <c r="O65" s="162"/>
      <c r="P65" s="162"/>
      <c r="Q65" s="265"/>
      <c r="U65" s="128">
        <v>453</v>
      </c>
      <c r="V65" s="162">
        <v>0.82</v>
      </c>
      <c r="W65" s="162">
        <v>0.9</v>
      </c>
      <c r="X65" s="162">
        <v>0.59</v>
      </c>
      <c r="Y65" s="162">
        <v>1.34</v>
      </c>
    </row>
    <row r="66" spans="13:34">
      <c r="M66" s="265"/>
      <c r="N66" s="162"/>
      <c r="O66" s="162"/>
      <c r="P66" s="162"/>
      <c r="Q66" s="162"/>
      <c r="V66" s="263">
        <f>SUM(V58:V65)</f>
        <v>10.52</v>
      </c>
      <c r="W66" s="263">
        <f t="shared" ref="W66:Y66" si="21">SUM(W58:W65)</f>
        <v>6.95</v>
      </c>
      <c r="X66" s="263">
        <f t="shared" si="21"/>
        <v>5.5399999999999991</v>
      </c>
      <c r="Y66" s="263">
        <f t="shared" si="21"/>
        <v>7.28</v>
      </c>
    </row>
    <row r="67" spans="13:34">
      <c r="N67" s="162"/>
      <c r="O67" s="162"/>
      <c r="P67" s="162"/>
      <c r="Q67" s="162"/>
      <c r="Y67" s="128">
        <v>474</v>
      </c>
      <c r="Z67" s="267" t="s">
        <v>175</v>
      </c>
      <c r="AA67" s="267" t="s">
        <v>175</v>
      </c>
      <c r="AB67" s="267" t="s">
        <v>175</v>
      </c>
      <c r="AC67" s="267" t="s">
        <v>175</v>
      </c>
    </row>
    <row r="68" spans="13:34">
      <c r="N68" s="162"/>
      <c r="O68" s="162"/>
      <c r="P68" s="162"/>
      <c r="Q68" s="162"/>
      <c r="Y68" s="128">
        <v>502</v>
      </c>
      <c r="Z68" s="267" t="s">
        <v>175</v>
      </c>
      <c r="AA68" s="267" t="s">
        <v>175</v>
      </c>
      <c r="AB68" s="267" t="s">
        <v>175</v>
      </c>
      <c r="AC68" s="267" t="s">
        <v>175</v>
      </c>
    </row>
    <row r="70" spans="13:34">
      <c r="AC70" s="128">
        <v>524</v>
      </c>
      <c r="AD70" s="128">
        <v>0.82</v>
      </c>
      <c r="AE70" s="128">
        <v>0.84</v>
      </c>
      <c r="AF70" s="128">
        <v>0.59</v>
      </c>
      <c r="AG70" s="128">
        <v>0.99</v>
      </c>
    </row>
    <row r="71" spans="13:34">
      <c r="AC71" s="128">
        <v>532</v>
      </c>
      <c r="AD71" s="128">
        <v>0.82</v>
      </c>
      <c r="AE71" s="128">
        <v>0.87</v>
      </c>
      <c r="AF71" s="128">
        <v>0.28999999999999998</v>
      </c>
      <c r="AG71" s="128">
        <v>0.88</v>
      </c>
    </row>
    <row r="72" spans="13:34">
      <c r="AC72" s="128">
        <v>533</v>
      </c>
      <c r="AD72" s="267" t="s">
        <v>175</v>
      </c>
      <c r="AE72" s="267" t="s">
        <v>175</v>
      </c>
      <c r="AF72" s="267" t="s">
        <v>175</v>
      </c>
      <c r="AG72" s="267" t="s">
        <v>175</v>
      </c>
    </row>
    <row r="73" spans="13:34">
      <c r="AC73" s="128">
        <v>535</v>
      </c>
      <c r="AD73" s="267" t="s">
        <v>175</v>
      </c>
      <c r="AE73" s="267" t="s">
        <v>175</v>
      </c>
      <c r="AF73" s="267" t="s">
        <v>175</v>
      </c>
      <c r="AG73" s="267" t="s">
        <v>175</v>
      </c>
    </row>
    <row r="74" spans="13:34">
      <c r="AC74" s="128">
        <v>536</v>
      </c>
      <c r="AD74" s="267" t="s">
        <v>175</v>
      </c>
      <c r="AE74" s="267" t="s">
        <v>175</v>
      </c>
      <c r="AF74" s="267" t="s">
        <v>175</v>
      </c>
      <c r="AG74" s="267" t="s">
        <v>175</v>
      </c>
    </row>
    <row r="75" spans="13:34">
      <c r="AC75" s="128">
        <v>560</v>
      </c>
      <c r="AD75" s="128">
        <v>0.82</v>
      </c>
      <c r="AE75" s="128">
        <v>0.87</v>
      </c>
      <c r="AF75" s="128">
        <v>0.59</v>
      </c>
      <c r="AG75" s="128">
        <v>0.99</v>
      </c>
    </row>
    <row r="76" spans="13:34">
      <c r="AC76" s="128">
        <v>561</v>
      </c>
      <c r="AD76" s="128">
        <v>0.82</v>
      </c>
      <c r="AE76" s="128">
        <v>0.87</v>
      </c>
      <c r="AF76" s="128">
        <v>0.59</v>
      </c>
      <c r="AG76" s="128">
        <v>0.99</v>
      </c>
    </row>
    <row r="77" spans="13:34">
      <c r="AC77" s="128">
        <v>565</v>
      </c>
      <c r="AD77" s="128">
        <v>0.76</v>
      </c>
      <c r="AE77" s="128">
        <v>0.95</v>
      </c>
      <c r="AF77" s="128">
        <v>0.59</v>
      </c>
      <c r="AG77" s="128">
        <v>0.7</v>
      </c>
    </row>
    <row r="78" spans="13:34">
      <c r="AC78" s="128">
        <v>575</v>
      </c>
      <c r="AF78" s="128">
        <v>0.28999999999999998</v>
      </c>
      <c r="AG78" s="128">
        <v>0.28000000000000003</v>
      </c>
    </row>
    <row r="79" spans="13:34">
      <c r="AC79" s="128">
        <v>584</v>
      </c>
      <c r="AD79" s="267" t="s">
        <v>175</v>
      </c>
      <c r="AE79" s="267" t="s">
        <v>175</v>
      </c>
      <c r="AF79" s="267" t="s">
        <v>175</v>
      </c>
      <c r="AG79" s="267" t="s">
        <v>175</v>
      </c>
    </row>
    <row r="80" spans="13:34">
      <c r="AC80" s="128">
        <v>597</v>
      </c>
      <c r="AD80" s="267" t="s">
        <v>175</v>
      </c>
      <c r="AE80" s="267" t="s">
        <v>175</v>
      </c>
      <c r="AF80" s="267" t="s">
        <v>175</v>
      </c>
      <c r="AG80" s="267" t="s">
        <v>175</v>
      </c>
      <c r="AH80" s="268" t="s">
        <v>176</v>
      </c>
    </row>
    <row r="81" spans="29:42">
      <c r="AC81" s="128">
        <v>599</v>
      </c>
      <c r="AF81" s="128">
        <v>0.28999999999999998</v>
      </c>
      <c r="AG81" s="128">
        <v>0.81</v>
      </c>
    </row>
    <row r="82" spans="29:42">
      <c r="AC82" s="128">
        <v>601</v>
      </c>
      <c r="AD82" s="267" t="s">
        <v>175</v>
      </c>
      <c r="AE82" s="267" t="s">
        <v>175</v>
      </c>
      <c r="AF82" s="267" t="s">
        <v>175</v>
      </c>
      <c r="AG82" s="267" t="s">
        <v>175</v>
      </c>
    </row>
    <row r="83" spans="29:42">
      <c r="AD83" s="266">
        <f>SUM(AD70:AD82)</f>
        <v>4.04</v>
      </c>
      <c r="AE83" s="266">
        <f t="shared" ref="AE83:AG83" si="22">SUM(AE70:AE82)</f>
        <v>4.4000000000000004</v>
      </c>
      <c r="AF83" s="266">
        <f t="shared" si="22"/>
        <v>3.2299999999999995</v>
      </c>
      <c r="AG83" s="266">
        <f t="shared" si="22"/>
        <v>5.6400000000000006</v>
      </c>
    </row>
    <row r="84" spans="29:42">
      <c r="AG84" s="128">
        <v>611</v>
      </c>
      <c r="AH84" s="128">
        <v>1.1399999999999999</v>
      </c>
      <c r="AI84" s="128">
        <v>1.19</v>
      </c>
      <c r="AJ84" s="128">
        <v>0.59</v>
      </c>
      <c r="AK84" s="128">
        <v>1.76</v>
      </c>
    </row>
    <row r="85" spans="29:42">
      <c r="AG85" s="128">
        <v>640</v>
      </c>
      <c r="AH85" s="128">
        <v>0.97</v>
      </c>
      <c r="AI85" s="128">
        <v>1.06</v>
      </c>
      <c r="AJ85" s="128">
        <v>0.59</v>
      </c>
      <c r="AK85" s="128">
        <v>1.76</v>
      </c>
    </row>
    <row r="86" spans="29:42">
      <c r="AG86" s="128">
        <v>644</v>
      </c>
      <c r="AH86" s="128">
        <v>0.97</v>
      </c>
      <c r="AI86" s="128">
        <v>1.06</v>
      </c>
      <c r="AJ86" s="128">
        <v>0.59</v>
      </c>
      <c r="AK86" s="128">
        <v>1.76</v>
      </c>
    </row>
    <row r="87" spans="29:42">
      <c r="AG87" s="128">
        <v>645</v>
      </c>
      <c r="AH87" s="128">
        <v>0.97</v>
      </c>
      <c r="AI87" s="128">
        <v>1.06</v>
      </c>
      <c r="AJ87" s="128">
        <v>0.59</v>
      </c>
      <c r="AK87" s="128">
        <v>1.76</v>
      </c>
    </row>
    <row r="88" spans="29:42">
      <c r="AG88" s="128">
        <v>653</v>
      </c>
      <c r="AH88" s="128">
        <v>0.82</v>
      </c>
      <c r="AI88" s="128">
        <v>0.84</v>
      </c>
      <c r="AJ88" s="128">
        <v>0.59</v>
      </c>
    </row>
    <row r="89" spans="29:42">
      <c r="AG89" s="128">
        <v>654</v>
      </c>
      <c r="AH89" s="128">
        <v>0.97</v>
      </c>
      <c r="AI89" s="128">
        <v>0.56000000000000005</v>
      </c>
      <c r="AJ89" s="128">
        <v>0.59</v>
      </c>
      <c r="AK89" s="128">
        <v>0.81</v>
      </c>
    </row>
    <row r="90" spans="29:42">
      <c r="AG90" s="128">
        <v>677</v>
      </c>
      <c r="AJ90" s="128">
        <v>0.28999999999999998</v>
      </c>
      <c r="AK90" s="128">
        <v>0.81</v>
      </c>
    </row>
    <row r="91" spans="29:42">
      <c r="AH91" s="266">
        <f>SUM(AH84:AH90)</f>
        <v>5.84</v>
      </c>
      <c r="AI91" s="266">
        <f t="shared" ref="AI91:AK91" si="23">SUM(AI84:AI90)</f>
        <v>5.77</v>
      </c>
      <c r="AJ91" s="266">
        <f t="shared" si="23"/>
        <v>3.8299999999999996</v>
      </c>
      <c r="AK91" s="266">
        <f t="shared" si="23"/>
        <v>8.66</v>
      </c>
    </row>
    <row r="92" spans="29:42">
      <c r="AK92" s="128">
        <v>700</v>
      </c>
      <c r="AL92" s="267" t="s">
        <v>175</v>
      </c>
      <c r="AM92" s="267" t="s">
        <v>175</v>
      </c>
      <c r="AN92" s="267" t="s">
        <v>175</v>
      </c>
      <c r="AO92" s="267" t="s">
        <v>175</v>
      </c>
      <c r="AP92" s="268" t="s">
        <v>177</v>
      </c>
    </row>
    <row r="93" spans="29:42">
      <c r="AK93" s="128">
        <v>701</v>
      </c>
      <c r="AL93" s="267" t="s">
        <v>175</v>
      </c>
      <c r="AM93" s="267" t="s">
        <v>175</v>
      </c>
      <c r="AN93" s="267" t="s">
        <v>175</v>
      </c>
      <c r="AO93" s="267" t="s">
        <v>175</v>
      </c>
      <c r="AP93" s="268" t="s">
        <v>177</v>
      </c>
    </row>
    <row r="94" spans="29:42">
      <c r="AK94" s="128">
        <v>705</v>
      </c>
      <c r="AL94" s="267" t="s">
        <v>175</v>
      </c>
      <c r="AM94" s="267" t="s">
        <v>175</v>
      </c>
      <c r="AN94" s="267" t="s">
        <v>175</v>
      </c>
      <c r="AO94" s="267" t="s">
        <v>175</v>
      </c>
      <c r="AP94" s="268" t="s">
        <v>177</v>
      </c>
    </row>
    <row r="95" spans="29:42">
      <c r="AK95" s="128">
        <v>706</v>
      </c>
      <c r="AL95" s="267" t="s">
        <v>175</v>
      </c>
      <c r="AM95" s="267" t="s">
        <v>175</v>
      </c>
      <c r="AN95" s="267" t="s">
        <v>175</v>
      </c>
      <c r="AO95" s="267" t="s">
        <v>175</v>
      </c>
      <c r="AP95" s="268" t="s">
        <v>177</v>
      </c>
    </row>
    <row r="96" spans="29:42">
      <c r="AK96" s="128">
        <v>717</v>
      </c>
      <c r="AN96" s="266">
        <v>0.59</v>
      </c>
      <c r="AO96" s="266">
        <v>0.65</v>
      </c>
    </row>
    <row r="97" spans="1:45">
      <c r="AO97" s="128">
        <v>760</v>
      </c>
      <c r="AP97" s="128">
        <v>0.97</v>
      </c>
      <c r="AQ97" s="128">
        <v>1.02</v>
      </c>
      <c r="AR97" s="128">
        <v>0.59</v>
      </c>
      <c r="AS97" s="128">
        <v>1.51</v>
      </c>
    </row>
    <row r="98" spans="1:45">
      <c r="AO98" s="128">
        <v>762</v>
      </c>
      <c r="AP98" s="128">
        <v>0.97</v>
      </c>
      <c r="AQ98" s="128">
        <v>1.02</v>
      </c>
      <c r="AR98" s="128">
        <v>0.59</v>
      </c>
      <c r="AS98" s="128">
        <v>1.51</v>
      </c>
    </row>
    <row r="99" spans="1:45">
      <c r="AP99" s="266">
        <f>SUM(AP97:AP98)</f>
        <v>1.94</v>
      </c>
      <c r="AQ99" s="266">
        <f t="shared" ref="AQ99:AS99" si="24">SUM(AQ97:AQ98)</f>
        <v>2.04</v>
      </c>
      <c r="AR99" s="266">
        <f t="shared" si="24"/>
        <v>1.18</v>
      </c>
      <c r="AS99" s="266">
        <f t="shared" si="24"/>
        <v>3.02</v>
      </c>
    </row>
    <row r="103" spans="1:45">
      <c r="A103" s="128">
        <v>2000</v>
      </c>
      <c r="Q103" s="128">
        <v>983</v>
      </c>
      <c r="R103" s="128">
        <v>340</v>
      </c>
      <c r="S103" s="128">
        <v>370</v>
      </c>
      <c r="T103" s="128">
        <v>200</v>
      </c>
      <c r="U103" s="128">
        <v>804</v>
      </c>
      <c r="Y103" s="128">
        <v>1077</v>
      </c>
      <c r="Z103" s="128">
        <v>180</v>
      </c>
      <c r="AA103" s="128">
        <v>270</v>
      </c>
      <c r="AB103" s="128">
        <v>200</v>
      </c>
      <c r="AC103" s="128">
        <v>276</v>
      </c>
      <c r="AK103" s="128">
        <v>1252</v>
      </c>
      <c r="AL103" s="128">
        <v>250</v>
      </c>
      <c r="AM103" s="128">
        <v>305</v>
      </c>
      <c r="AN103" s="128">
        <v>200</v>
      </c>
      <c r="AO103" s="128">
        <v>280</v>
      </c>
    </row>
    <row r="104" spans="1:45">
      <c r="A104" s="128">
        <v>837</v>
      </c>
      <c r="B104" s="267">
        <v>50</v>
      </c>
      <c r="C104" s="267">
        <v>50</v>
      </c>
      <c r="D104" s="267">
        <v>100</v>
      </c>
      <c r="E104" s="267">
        <v>266</v>
      </c>
      <c r="Q104" s="128">
        <v>984</v>
      </c>
      <c r="T104" s="128">
        <v>200</v>
      </c>
      <c r="U104" s="128">
        <v>352</v>
      </c>
      <c r="Y104" s="128">
        <v>1084</v>
      </c>
      <c r="Z104" s="267">
        <v>50</v>
      </c>
      <c r="AA104" s="267">
        <v>50</v>
      </c>
      <c r="AB104" s="267">
        <v>100</v>
      </c>
      <c r="AC104" s="267">
        <v>250</v>
      </c>
      <c r="AL104" s="162">
        <f>AL103/340.75</f>
        <v>0.73367571533382248</v>
      </c>
      <c r="AM104" s="162">
        <f t="shared" ref="AM104:AO104" si="25">AM103/340.75</f>
        <v>0.89508437270726338</v>
      </c>
      <c r="AN104" s="162">
        <f t="shared" si="25"/>
        <v>0.58694057226705798</v>
      </c>
      <c r="AO104" s="162">
        <f t="shared" si="25"/>
        <v>0.82171680117388113</v>
      </c>
    </row>
    <row r="105" spans="1:45">
      <c r="R105" s="266">
        <f>SUM(R103:R104)</f>
        <v>340</v>
      </c>
      <c r="S105" s="266">
        <f t="shared" ref="S105:U105" si="26">SUM(S103:S104)</f>
        <v>370</v>
      </c>
      <c r="T105" s="266">
        <f t="shared" si="26"/>
        <v>400</v>
      </c>
      <c r="U105" s="266">
        <f t="shared" si="26"/>
        <v>1156</v>
      </c>
      <c r="Y105" s="128" t="s">
        <v>182</v>
      </c>
    </row>
    <row r="106" spans="1:45">
      <c r="Z106" s="266">
        <f>SUM(Z103:Z105)</f>
        <v>230</v>
      </c>
      <c r="AA106" s="266">
        <f t="shared" ref="AA106" si="27">SUM(AA103:AA105)</f>
        <v>320</v>
      </c>
      <c r="AB106" s="266">
        <f t="shared" ref="AB106" si="28">SUM(AB103:AB105)</f>
        <v>300</v>
      </c>
      <c r="AC106" s="266">
        <f t="shared" ref="AC106" si="29">SUM(AC103:AC105)</f>
        <v>526</v>
      </c>
      <c r="AO106" s="128">
        <v>1311</v>
      </c>
      <c r="AP106" s="128">
        <v>210</v>
      </c>
      <c r="AQ106" s="128">
        <v>240</v>
      </c>
      <c r="AR106" s="128">
        <v>100</v>
      </c>
      <c r="AS106" s="128">
        <v>150</v>
      </c>
    </row>
    <row r="107" spans="1:45">
      <c r="Z107" s="162">
        <f>Z106/340.75</f>
        <v>0.67498165810711663</v>
      </c>
      <c r="AA107" s="162">
        <f t="shared" ref="AA107" si="30">AA106/340.75</f>
        <v>0.9391049156272927</v>
      </c>
      <c r="AB107" s="162">
        <f t="shared" ref="AB107" si="31">AB106/340.75</f>
        <v>0.88041085840058697</v>
      </c>
      <c r="AC107" s="162">
        <f t="shared" ref="AC107" si="32">AC106/340.75</f>
        <v>1.5436537050623624</v>
      </c>
      <c r="AO107" s="128">
        <v>1327</v>
      </c>
      <c r="AP107" s="128">
        <v>190</v>
      </c>
      <c r="AQ107" s="128">
        <v>170</v>
      </c>
      <c r="AR107" s="128">
        <v>200</v>
      </c>
    </row>
    <row r="108" spans="1:45">
      <c r="AP108" s="266">
        <f>SUM(AP105:AP107)</f>
        <v>400</v>
      </c>
      <c r="AQ108" s="266">
        <f t="shared" ref="AQ108:AS108" si="33">SUM(AQ105:AQ107)</f>
        <v>410</v>
      </c>
      <c r="AR108" s="266">
        <f t="shared" si="33"/>
        <v>300</v>
      </c>
      <c r="AS108" s="266">
        <f t="shared" si="33"/>
        <v>150</v>
      </c>
    </row>
    <row r="109" spans="1:45">
      <c r="AC109" s="128">
        <v>1138</v>
      </c>
      <c r="AD109" s="267">
        <v>50</v>
      </c>
      <c r="AE109" s="267">
        <v>50</v>
      </c>
      <c r="AF109" s="267">
        <v>100</v>
      </c>
      <c r="AG109" s="267">
        <v>250</v>
      </c>
      <c r="AP109" s="162">
        <f>AP108/340.75</f>
        <v>1.173881144534116</v>
      </c>
      <c r="AQ109" s="162">
        <f t="shared" ref="AQ109:AS109" si="34">AQ108/340.75</f>
        <v>1.2032281731474688</v>
      </c>
      <c r="AR109" s="162">
        <f t="shared" si="34"/>
        <v>0.88041085840058697</v>
      </c>
      <c r="AS109" s="162">
        <f t="shared" si="34"/>
        <v>0.44020542920029349</v>
      </c>
    </row>
    <row r="110" spans="1:45">
      <c r="AC110" s="128">
        <v>1327</v>
      </c>
      <c r="AD110" s="267">
        <v>50</v>
      </c>
      <c r="AE110" s="267">
        <v>50</v>
      </c>
      <c r="AF110" s="267">
        <v>100</v>
      </c>
      <c r="AG110" s="267">
        <v>250</v>
      </c>
    </row>
    <row r="111" spans="1:45">
      <c r="AD111" s="266">
        <f>SUM(AD108:AD110)</f>
        <v>100</v>
      </c>
      <c r="AE111" s="266">
        <f t="shared" ref="AE111" si="35">SUM(AE108:AE110)</f>
        <v>100</v>
      </c>
      <c r="AF111" s="266">
        <f t="shared" ref="AF111" si="36">SUM(AF108:AF110)</f>
        <v>200</v>
      </c>
      <c r="AG111" s="266">
        <f t="shared" ref="AG111" si="37">SUM(AG108:AG110)</f>
        <v>500</v>
      </c>
    </row>
    <row r="112" spans="1:45">
      <c r="AD112" s="162">
        <f>AD111/340.75</f>
        <v>0.29347028613352899</v>
      </c>
      <c r="AE112" s="162">
        <f t="shared" ref="AE112" si="38">AE111/340.75</f>
        <v>0.29347028613352899</v>
      </c>
      <c r="AF112" s="162">
        <f t="shared" ref="AF112" si="39">AF111/340.75</f>
        <v>0.58694057226705798</v>
      </c>
      <c r="AG112" s="162">
        <f t="shared" ref="AG112" si="40">AG111/340.75</f>
        <v>1.467351430667645</v>
      </c>
    </row>
    <row r="113" spans="1:48">
      <c r="Y113" s="281"/>
      <c r="Z113" s="281"/>
      <c r="AA113" s="281"/>
      <c r="AB113" s="281"/>
      <c r="AC113" s="281"/>
      <c r="AD113" s="281"/>
      <c r="AE113" s="281"/>
      <c r="AF113" s="281"/>
      <c r="AG113" s="281"/>
    </row>
    <row r="114" spans="1:48">
      <c r="Y114" s="281"/>
      <c r="Z114" s="282"/>
      <c r="AA114" s="282"/>
      <c r="AB114" s="282"/>
      <c r="AC114" s="282"/>
      <c r="AD114" s="281"/>
      <c r="AE114" s="281"/>
      <c r="AF114" s="281"/>
      <c r="AG114" s="281"/>
    </row>
    <row r="115" spans="1:48">
      <c r="A115" s="128">
        <v>2001</v>
      </c>
      <c r="Y115" s="281"/>
      <c r="Z115" s="283"/>
      <c r="AA115" s="283"/>
      <c r="AB115" s="283"/>
      <c r="AC115" s="283"/>
      <c r="AD115" s="281"/>
      <c r="AE115" s="281"/>
      <c r="AF115" s="281"/>
      <c r="AG115" s="281"/>
      <c r="AS115" s="128">
        <v>1925</v>
      </c>
      <c r="AT115" s="128">
        <v>330</v>
      </c>
      <c r="AU115" s="128">
        <v>325</v>
      </c>
      <c r="AV115" s="128">
        <v>200</v>
      </c>
    </row>
    <row r="116" spans="1:48">
      <c r="A116" s="128">
        <v>1416</v>
      </c>
      <c r="B116" s="266">
        <v>300</v>
      </c>
      <c r="C116" s="266">
        <v>255</v>
      </c>
      <c r="D116" s="266">
        <v>200</v>
      </c>
      <c r="I116" s="128">
        <v>1506</v>
      </c>
      <c r="J116" s="128">
        <v>280</v>
      </c>
      <c r="K116" s="128">
        <v>275</v>
      </c>
      <c r="L116" s="128">
        <v>200</v>
      </c>
      <c r="U116" s="128">
        <v>1604</v>
      </c>
      <c r="V116" s="128">
        <v>340</v>
      </c>
      <c r="W116" s="128">
        <v>130</v>
      </c>
      <c r="X116" s="128">
        <v>100</v>
      </c>
      <c r="Y116" s="281"/>
      <c r="Z116" s="281"/>
      <c r="AA116" s="281"/>
      <c r="AB116" s="281"/>
      <c r="AC116" s="281"/>
      <c r="AD116" s="281"/>
      <c r="AE116" s="281"/>
      <c r="AF116" s="281"/>
      <c r="AG116" s="281"/>
      <c r="AO116" s="128">
        <v>1851</v>
      </c>
      <c r="AP116" s="128">
        <v>440</v>
      </c>
      <c r="AQ116" s="128">
        <v>115</v>
      </c>
      <c r="AR116" s="128">
        <v>200</v>
      </c>
      <c r="AS116" s="128">
        <v>1929</v>
      </c>
      <c r="AT116" s="162">
        <v>1.1299999999999999</v>
      </c>
      <c r="AU116" s="162">
        <v>1.19</v>
      </c>
      <c r="AV116" s="162">
        <v>0.5</v>
      </c>
    </row>
    <row r="117" spans="1:48">
      <c r="E117" s="128">
        <v>1434</v>
      </c>
      <c r="G117" s="293">
        <v>0.68</v>
      </c>
      <c r="H117" s="293">
        <v>1</v>
      </c>
      <c r="I117" s="128">
        <v>1507</v>
      </c>
      <c r="J117" s="128">
        <v>280</v>
      </c>
      <c r="K117" s="128">
        <v>60</v>
      </c>
      <c r="L117" s="128">
        <v>100</v>
      </c>
      <c r="M117" s="128">
        <v>1527</v>
      </c>
      <c r="N117" s="266">
        <v>280</v>
      </c>
      <c r="O117" s="266">
        <v>305</v>
      </c>
      <c r="P117" s="266">
        <v>100</v>
      </c>
      <c r="U117" s="128">
        <v>1605</v>
      </c>
      <c r="V117" s="128">
        <v>340</v>
      </c>
      <c r="W117" s="128">
        <v>130</v>
      </c>
      <c r="X117" s="128">
        <v>100</v>
      </c>
      <c r="Y117" s="281"/>
      <c r="Z117" s="281"/>
      <c r="AA117" s="281"/>
      <c r="AB117" s="281"/>
      <c r="AC117" s="281"/>
      <c r="AD117" s="281"/>
      <c r="AE117" s="281"/>
      <c r="AF117" s="281"/>
      <c r="AG117" s="281"/>
      <c r="AO117" s="128">
        <v>1854</v>
      </c>
      <c r="AP117" s="128">
        <v>180</v>
      </c>
      <c r="AQ117" s="128">
        <v>165</v>
      </c>
      <c r="AR117" s="128">
        <v>200</v>
      </c>
      <c r="AS117" s="128">
        <v>1948</v>
      </c>
      <c r="AT117" s="128">
        <v>380</v>
      </c>
      <c r="AU117" s="128">
        <v>275</v>
      </c>
      <c r="AV117" s="128">
        <v>200</v>
      </c>
    </row>
    <row r="118" spans="1:48">
      <c r="E118" s="128">
        <v>1456</v>
      </c>
      <c r="F118" s="128">
        <v>570</v>
      </c>
      <c r="G118" s="128">
        <v>230</v>
      </c>
      <c r="H118" s="128">
        <v>200</v>
      </c>
      <c r="J118" s="162">
        <v>6</v>
      </c>
      <c r="K118" s="162">
        <v>0.46</v>
      </c>
      <c r="L118" s="162">
        <v>0.03</v>
      </c>
      <c r="V118" s="266">
        <f>SUM(V116:V117)</f>
        <v>680</v>
      </c>
      <c r="W118" s="266">
        <f t="shared" ref="W118:X118" si="41">SUM(W116:W117)</f>
        <v>260</v>
      </c>
      <c r="X118" s="266">
        <f t="shared" si="41"/>
        <v>200</v>
      </c>
      <c r="Y118" s="281"/>
      <c r="Z118" s="281"/>
      <c r="AA118" s="281"/>
      <c r="AB118" s="281"/>
      <c r="AC118" s="281"/>
      <c r="AD118" s="281"/>
      <c r="AE118" s="281"/>
      <c r="AF118" s="281"/>
      <c r="AG118" s="281"/>
      <c r="AP118" s="266">
        <f>SUM(AP116:AP117)</f>
        <v>620</v>
      </c>
      <c r="AQ118" s="266">
        <f t="shared" ref="AQ118:AR118" si="42">SUM(AQ116:AQ117)</f>
        <v>280</v>
      </c>
      <c r="AR118" s="266">
        <f t="shared" si="42"/>
        <v>400</v>
      </c>
      <c r="AS118" s="128">
        <v>1950</v>
      </c>
      <c r="AT118" s="162">
        <v>0.8</v>
      </c>
      <c r="AU118" s="162">
        <v>0.85</v>
      </c>
      <c r="AV118" s="162">
        <v>1</v>
      </c>
    </row>
    <row r="119" spans="1:48">
      <c r="E119" s="128">
        <v>1457</v>
      </c>
      <c r="F119" s="128">
        <v>330</v>
      </c>
      <c r="G119" s="128">
        <v>325</v>
      </c>
      <c r="H119" s="128">
        <v>200</v>
      </c>
      <c r="J119" s="291">
        <f>J116+J117</f>
        <v>560</v>
      </c>
      <c r="K119" s="291">
        <f t="shared" ref="K119:L119" si="43">K116+K117</f>
        <v>335</v>
      </c>
      <c r="L119" s="291">
        <f t="shared" si="43"/>
        <v>300</v>
      </c>
      <c r="Y119" s="281"/>
      <c r="Z119" s="281"/>
      <c r="AA119" s="281"/>
      <c r="AB119" s="281"/>
      <c r="AC119" s="281"/>
      <c r="AD119" s="282"/>
      <c r="AE119" s="282"/>
      <c r="AF119" s="282"/>
      <c r="AG119" s="282"/>
      <c r="AS119" s="128">
        <v>1954</v>
      </c>
      <c r="AT119" s="128">
        <v>280</v>
      </c>
      <c r="AU119" s="128">
        <v>535</v>
      </c>
      <c r="AV119" s="128">
        <v>200</v>
      </c>
    </row>
    <row r="120" spans="1:48">
      <c r="E120" s="128">
        <v>1461</v>
      </c>
      <c r="F120" s="128">
        <v>100</v>
      </c>
      <c r="G120" s="128">
        <v>165</v>
      </c>
      <c r="H120" s="128">
        <v>100</v>
      </c>
      <c r="J120" s="162">
        <f>J119/340.75</f>
        <v>1.6434336023477623</v>
      </c>
      <c r="K120" s="162">
        <f t="shared" ref="K120:L120" si="44">K119/340.75</f>
        <v>0.98312545854732203</v>
      </c>
      <c r="L120" s="162">
        <f t="shared" si="44"/>
        <v>0.88041085840058697</v>
      </c>
      <c r="Y120" s="281"/>
      <c r="Z120" s="281"/>
      <c r="AA120" s="281"/>
      <c r="AB120" s="281"/>
      <c r="AC120" s="281"/>
      <c r="AD120" s="283"/>
      <c r="AE120" s="283"/>
      <c r="AF120" s="283"/>
      <c r="AG120" s="283"/>
      <c r="AS120" s="128">
        <v>1957</v>
      </c>
      <c r="AT120" s="162">
        <v>1.28</v>
      </c>
      <c r="AU120" s="162">
        <v>1.36</v>
      </c>
      <c r="AV120" s="162">
        <v>1</v>
      </c>
    </row>
    <row r="121" spans="1:48">
      <c r="E121" s="128">
        <v>1469</v>
      </c>
      <c r="F121" s="128">
        <v>280</v>
      </c>
      <c r="G121" s="128">
        <v>275</v>
      </c>
      <c r="H121" s="128">
        <v>100</v>
      </c>
      <c r="J121" s="263">
        <f>J118+J120</f>
        <v>7.6434336023477627</v>
      </c>
      <c r="K121" s="263">
        <f t="shared" ref="K121:L121" si="45">K118+K120</f>
        <v>1.4431254585473221</v>
      </c>
      <c r="L121" s="263">
        <f t="shared" si="45"/>
        <v>0.910410858400587</v>
      </c>
      <c r="Y121" s="281"/>
      <c r="Z121" s="281"/>
      <c r="AA121" s="281"/>
      <c r="AB121" s="281"/>
      <c r="AC121" s="281"/>
      <c r="AD121" s="281"/>
      <c r="AE121" s="281"/>
      <c r="AF121" s="281"/>
      <c r="AG121" s="281"/>
      <c r="AT121" s="291">
        <f>AT115+AT117+AT119</f>
        <v>990</v>
      </c>
      <c r="AU121" s="291">
        <f t="shared" ref="AU121:AV121" si="46">AU115+AU117+AU119</f>
        <v>1135</v>
      </c>
      <c r="AV121" s="291">
        <f t="shared" si="46"/>
        <v>600</v>
      </c>
    </row>
    <row r="122" spans="1:48">
      <c r="F122" s="128">
        <v>280</v>
      </c>
      <c r="G122" s="128">
        <v>275</v>
      </c>
      <c r="H122" s="128">
        <v>100</v>
      </c>
      <c r="AT122" s="162">
        <f>AT121/340.75</f>
        <v>2.9053558327219369</v>
      </c>
      <c r="AU122" s="162">
        <f t="shared" ref="AU122:AV122" si="47">AU121/340.75</f>
        <v>3.3308877476155541</v>
      </c>
      <c r="AV122" s="162">
        <f t="shared" si="47"/>
        <v>1.7608217168011739</v>
      </c>
    </row>
    <row r="123" spans="1:48">
      <c r="E123" s="128">
        <v>1470</v>
      </c>
      <c r="F123" s="128">
        <v>280</v>
      </c>
      <c r="G123" s="128">
        <v>275</v>
      </c>
      <c r="H123" s="128">
        <v>100</v>
      </c>
      <c r="AT123" s="294">
        <f>AT116+AT118+AT120</f>
        <v>3.21</v>
      </c>
      <c r="AU123" s="294">
        <f t="shared" ref="AU123:AV123" si="48">AU116+AU118+AU120</f>
        <v>3.4000000000000004</v>
      </c>
      <c r="AV123" s="294">
        <f t="shared" si="48"/>
        <v>2.5</v>
      </c>
    </row>
    <row r="124" spans="1:48">
      <c r="E124" s="128">
        <v>1471</v>
      </c>
      <c r="F124" s="128">
        <v>280</v>
      </c>
      <c r="G124" s="128">
        <v>275</v>
      </c>
      <c r="H124" s="128">
        <v>100</v>
      </c>
      <c r="AT124" s="263">
        <f>AT122+AT123</f>
        <v>6.1153558327219368</v>
      </c>
      <c r="AU124" s="263">
        <f t="shared" ref="AU124:AV124" si="49">AU122+AU123</f>
        <v>6.7308877476155544</v>
      </c>
      <c r="AV124" s="263">
        <f t="shared" si="49"/>
        <v>4.2608217168011739</v>
      </c>
    </row>
    <row r="125" spans="1:48">
      <c r="E125" s="128">
        <v>1472</v>
      </c>
      <c r="F125" s="128">
        <v>280</v>
      </c>
      <c r="G125" s="128">
        <v>275</v>
      </c>
      <c r="H125" s="128">
        <v>100</v>
      </c>
    </row>
    <row r="126" spans="1:48">
      <c r="F126" s="292">
        <f>SUM(F118:F125)</f>
        <v>2400</v>
      </c>
      <c r="G126" s="292">
        <f t="shared" ref="G126:H126" si="50">SUM(G118:G125)</f>
        <v>2095</v>
      </c>
      <c r="H126" s="292">
        <f t="shared" si="50"/>
        <v>1000</v>
      </c>
    </row>
    <row r="127" spans="1:48">
      <c r="F127" s="162">
        <f>F126/340.75</f>
        <v>7.0432868672046958</v>
      </c>
      <c r="G127" s="162">
        <f t="shared" ref="G127:H127" si="51">G126/340.75</f>
        <v>6.1482024944974318</v>
      </c>
      <c r="H127" s="162">
        <f t="shared" si="51"/>
        <v>2.9347028613352899</v>
      </c>
    </row>
    <row r="128" spans="1:48">
      <c r="F128" s="263">
        <f>F117+F127</f>
        <v>7.0432868672046958</v>
      </c>
      <c r="G128" s="263">
        <f t="shared" ref="G128:H128" si="52">G117+G127</f>
        <v>6.8282024944974316</v>
      </c>
      <c r="H128" s="263">
        <f t="shared" si="52"/>
        <v>3.9347028613352899</v>
      </c>
    </row>
  </sheetData>
  <mergeCells count="15">
    <mergeCell ref="A23:BA23"/>
    <mergeCell ref="N1:Q1"/>
    <mergeCell ref="A1:A2"/>
    <mergeCell ref="J1:M1"/>
    <mergeCell ref="AX1:BA1"/>
    <mergeCell ref="R1:U1"/>
    <mergeCell ref="V1:Y1"/>
    <mergeCell ref="Z1:AC1"/>
    <mergeCell ref="AD1:AG1"/>
    <mergeCell ref="AP1:AS1"/>
    <mergeCell ref="AL1:AO1"/>
    <mergeCell ref="AH1:AK1"/>
    <mergeCell ref="AT1:AW1"/>
    <mergeCell ref="B1:E1"/>
    <mergeCell ref="F1:I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53"/>
  <sheetViews>
    <sheetView workbookViewId="0">
      <pane ySplit="2" topLeftCell="A3" activePane="bottomLeft" state="frozen"/>
      <selection pane="bottomLeft" activeCell="I38" sqref="I38"/>
    </sheetView>
  </sheetViews>
  <sheetFormatPr defaultRowHeight="12.75"/>
  <cols>
    <col min="1" max="1" width="5" style="2" bestFit="1" customWidth="1"/>
    <col min="2" max="2" width="6.88671875" style="2" bestFit="1" customWidth="1"/>
    <col min="3" max="3" width="6.44140625" style="2" bestFit="1" customWidth="1"/>
    <col min="4" max="8" width="3.88671875" style="2" bestFit="1" customWidth="1"/>
    <col min="9" max="9" width="7.33203125" style="2" bestFit="1" customWidth="1"/>
    <col min="10" max="10" width="8.44140625" style="2" bestFit="1" customWidth="1"/>
    <col min="11" max="11" width="8" style="2" bestFit="1" customWidth="1"/>
    <col min="12" max="14" width="9" style="2" bestFit="1" customWidth="1"/>
    <col min="15" max="15" width="7.21875" style="2" bestFit="1" customWidth="1"/>
    <col min="16" max="16" width="8.44140625" style="2" bestFit="1" customWidth="1"/>
    <col min="17" max="17" width="9.109375" style="2" bestFit="1" customWidth="1"/>
    <col min="18" max="19" width="5.109375" style="2" customWidth="1"/>
    <col min="20" max="20" width="10.44140625" style="2" bestFit="1" customWidth="1"/>
    <col min="21" max="21" width="8.88671875" style="2"/>
    <col min="22" max="22" width="6.33203125" style="2" customWidth="1"/>
    <col min="23" max="23" width="8.44140625" style="2" bestFit="1" customWidth="1"/>
    <col min="24" max="24" width="5.21875" style="2" bestFit="1" customWidth="1"/>
    <col min="25" max="25" width="8.44140625" style="2" bestFit="1" customWidth="1"/>
    <col min="26" max="26" width="5.44140625" style="2" bestFit="1" customWidth="1"/>
    <col min="27" max="27" width="9.21875" style="2" bestFit="1" customWidth="1"/>
    <col min="28" max="28" width="7.33203125" style="2" customWidth="1"/>
    <col min="29" max="29" width="9" style="2" bestFit="1" customWidth="1"/>
    <col min="30" max="16384" width="8.88671875" style="2"/>
  </cols>
  <sheetData>
    <row r="1" spans="1:30" ht="15">
      <c r="A1" s="442" t="s">
        <v>18</v>
      </c>
      <c r="B1" s="444" t="s">
        <v>4</v>
      </c>
      <c r="C1" s="366" t="s">
        <v>5</v>
      </c>
      <c r="D1" s="446" t="s">
        <v>6</v>
      </c>
      <c r="E1" s="366" t="s">
        <v>7</v>
      </c>
      <c r="F1" s="444" t="s">
        <v>2</v>
      </c>
      <c r="G1" s="366" t="s">
        <v>8</v>
      </c>
      <c r="H1" s="463" t="s">
        <v>9</v>
      </c>
      <c r="I1" s="366" t="s">
        <v>10</v>
      </c>
      <c r="J1" s="444" t="s">
        <v>11</v>
      </c>
      <c r="K1" s="366" t="s">
        <v>12</v>
      </c>
      <c r="L1" s="463" t="s">
        <v>13</v>
      </c>
      <c r="M1" s="465" t="s">
        <v>14</v>
      </c>
      <c r="N1" s="467" t="s">
        <v>16</v>
      </c>
      <c r="O1" s="467"/>
      <c r="P1" s="467"/>
      <c r="Q1" s="467"/>
      <c r="U1" s="362" t="s">
        <v>71</v>
      </c>
      <c r="V1" s="362"/>
      <c r="W1" s="362"/>
      <c r="X1" s="362"/>
      <c r="Y1" s="362"/>
      <c r="Z1" s="362"/>
      <c r="AA1" s="362"/>
      <c r="AB1" s="362"/>
      <c r="AC1" s="90"/>
      <c r="AD1" s="90"/>
    </row>
    <row r="2" spans="1:30" ht="15.75" customHeight="1" thickBot="1">
      <c r="A2" s="443"/>
      <c r="B2" s="445"/>
      <c r="C2" s="368"/>
      <c r="D2" s="447"/>
      <c r="E2" s="368"/>
      <c r="F2" s="445"/>
      <c r="G2" s="368"/>
      <c r="H2" s="464"/>
      <c r="I2" s="368"/>
      <c r="J2" s="445"/>
      <c r="K2" s="368"/>
      <c r="L2" s="464"/>
      <c r="M2" s="466"/>
      <c r="N2" s="87" t="s">
        <v>55</v>
      </c>
      <c r="O2" s="87" t="s">
        <v>50</v>
      </c>
      <c r="P2" s="87" t="s">
        <v>34</v>
      </c>
      <c r="Q2" s="88" t="s">
        <v>29</v>
      </c>
      <c r="U2" s="362"/>
      <c r="V2" s="362"/>
      <c r="W2" s="362"/>
      <c r="X2" s="362"/>
      <c r="Y2" s="362"/>
      <c r="Z2" s="362"/>
      <c r="AA2" s="362"/>
      <c r="AB2" s="362"/>
      <c r="AC2" s="90"/>
      <c r="AD2" s="90"/>
    </row>
    <row r="3" spans="1:30" ht="12.75" customHeight="1">
      <c r="A3" s="7">
        <v>1998</v>
      </c>
      <c r="B3" s="9"/>
      <c r="C3" s="9"/>
      <c r="D3" s="9"/>
      <c r="E3" s="9"/>
      <c r="F3" s="9"/>
      <c r="G3" s="9"/>
      <c r="H3" s="9"/>
      <c r="I3" s="123">
        <v>176.08</v>
      </c>
      <c r="J3" s="123">
        <v>1012.47</v>
      </c>
      <c r="K3" s="123">
        <v>352.16</v>
      </c>
      <c r="L3" s="123">
        <v>551.72</v>
      </c>
      <c r="M3" s="123">
        <v>830.52</v>
      </c>
      <c r="N3" s="123">
        <f>Q3*5%</f>
        <v>146.14750000000001</v>
      </c>
      <c r="O3" s="123">
        <f>Q3*6%</f>
        <v>175.37700000000001</v>
      </c>
      <c r="P3" s="123">
        <f>Q3*89%</f>
        <v>2601.4255000000003</v>
      </c>
      <c r="Q3" s="123">
        <f>SUM(B3:M3)</f>
        <v>2922.9500000000003</v>
      </c>
      <c r="U3" s="77">
        <v>1998</v>
      </c>
      <c r="V3" s="451" t="s">
        <v>59</v>
      </c>
      <c r="W3" s="77">
        <v>90</v>
      </c>
      <c r="X3" s="451" t="s">
        <v>60</v>
      </c>
      <c r="Y3" s="77">
        <v>108</v>
      </c>
      <c r="Z3" s="451" t="s">
        <v>61</v>
      </c>
      <c r="AA3" s="77">
        <v>1800</v>
      </c>
      <c r="AB3" s="451" t="s">
        <v>46</v>
      </c>
    </row>
    <row r="4" spans="1:30">
      <c r="A4" s="1">
        <v>1999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9">
        <f t="shared" ref="N4:N18" si="0">Q4*5%</f>
        <v>0</v>
      </c>
      <c r="O4" s="59">
        <f t="shared" ref="O4:O18" si="1">Q4*6%</f>
        <v>0</v>
      </c>
      <c r="P4" s="59">
        <f t="shared" ref="P4:P18" si="2">Q4*89%</f>
        <v>0</v>
      </c>
      <c r="Q4" s="59">
        <f t="shared" ref="Q4:Q18" si="3">SUM(B4:M4)</f>
        <v>0</v>
      </c>
      <c r="U4" s="77">
        <v>4440</v>
      </c>
      <c r="V4" s="451"/>
      <c r="W4" s="77">
        <v>200</v>
      </c>
      <c r="X4" s="451"/>
      <c r="Y4" s="77">
        <v>240</v>
      </c>
      <c r="Z4" s="451"/>
      <c r="AA4" s="77">
        <v>4000</v>
      </c>
      <c r="AB4" s="451"/>
    </row>
    <row r="5" spans="1:30">
      <c r="A5" s="1">
        <v>2000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59">
        <f t="shared" si="0"/>
        <v>0</v>
      </c>
      <c r="O5" s="59">
        <f t="shared" si="1"/>
        <v>0</v>
      </c>
      <c r="P5" s="59">
        <f t="shared" si="2"/>
        <v>0</v>
      </c>
      <c r="Q5" s="59">
        <f t="shared" si="3"/>
        <v>0</v>
      </c>
      <c r="U5" s="77">
        <v>4440</v>
      </c>
      <c r="V5" s="451"/>
      <c r="W5" s="77">
        <v>200</v>
      </c>
      <c r="X5" s="451"/>
      <c r="Y5" s="77">
        <v>240</v>
      </c>
      <c r="Z5" s="451"/>
      <c r="AA5" s="77">
        <v>4000</v>
      </c>
      <c r="AB5" s="451"/>
    </row>
    <row r="6" spans="1:30">
      <c r="A6" s="1">
        <v>2001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59">
        <f t="shared" si="0"/>
        <v>0</v>
      </c>
      <c r="O6" s="59">
        <f t="shared" si="1"/>
        <v>0</v>
      </c>
      <c r="P6" s="59">
        <f t="shared" si="2"/>
        <v>0</v>
      </c>
      <c r="Q6" s="59">
        <f t="shared" si="3"/>
        <v>0</v>
      </c>
      <c r="U6" s="77">
        <v>4440</v>
      </c>
      <c r="V6" s="451"/>
      <c r="W6" s="77">
        <v>200</v>
      </c>
      <c r="X6" s="451"/>
      <c r="Y6" s="77">
        <v>240</v>
      </c>
      <c r="Z6" s="451"/>
      <c r="AA6" s="77">
        <v>4000</v>
      </c>
      <c r="AB6" s="451"/>
    </row>
    <row r="7" spans="1:30">
      <c r="A7" s="1">
        <v>2002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59">
        <f t="shared" si="0"/>
        <v>0</v>
      </c>
      <c r="O7" s="59">
        <f t="shared" si="1"/>
        <v>0</v>
      </c>
      <c r="P7" s="59">
        <f t="shared" si="2"/>
        <v>0</v>
      </c>
      <c r="Q7" s="59">
        <f t="shared" si="3"/>
        <v>0</v>
      </c>
      <c r="U7" s="77">
        <v>4440</v>
      </c>
      <c r="V7" s="451"/>
      <c r="W7" s="77">
        <v>200</v>
      </c>
      <c r="X7" s="451"/>
      <c r="Y7" s="77">
        <v>240</v>
      </c>
      <c r="Z7" s="451"/>
      <c r="AA7" s="77">
        <v>4000</v>
      </c>
      <c r="AB7" s="451"/>
    </row>
    <row r="8" spans="1:30">
      <c r="A8" s="1">
        <v>2003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59">
        <f t="shared" si="0"/>
        <v>0</v>
      </c>
      <c r="O8" s="59">
        <f t="shared" si="1"/>
        <v>0</v>
      </c>
      <c r="P8" s="59">
        <f t="shared" si="2"/>
        <v>0</v>
      </c>
      <c r="Q8" s="59">
        <f t="shared" si="3"/>
        <v>0</v>
      </c>
      <c r="U8" s="77">
        <v>4440</v>
      </c>
      <c r="V8" s="451"/>
      <c r="W8" s="77">
        <v>200</v>
      </c>
      <c r="X8" s="451"/>
      <c r="Y8" s="77">
        <v>240</v>
      </c>
      <c r="Z8" s="451"/>
      <c r="AA8" s="77">
        <v>4000</v>
      </c>
      <c r="AB8" s="451"/>
    </row>
    <row r="9" spans="1:30" ht="15" customHeight="1">
      <c r="A9" s="1">
        <v>2004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59">
        <f t="shared" si="0"/>
        <v>0</v>
      </c>
      <c r="O9" s="59">
        <f t="shared" si="1"/>
        <v>0</v>
      </c>
      <c r="P9" s="59">
        <f t="shared" si="2"/>
        <v>0</v>
      </c>
      <c r="Q9" s="59">
        <f t="shared" si="3"/>
        <v>0</v>
      </c>
      <c r="U9" s="77">
        <v>4884</v>
      </c>
      <c r="V9" s="451"/>
      <c r="W9" s="77">
        <v>220</v>
      </c>
      <c r="X9" s="451"/>
      <c r="Y9" s="77">
        <v>264</v>
      </c>
      <c r="Z9" s="451"/>
      <c r="AA9" s="77">
        <v>4400</v>
      </c>
      <c r="AB9" s="451"/>
    </row>
    <row r="10" spans="1:30" ht="15" customHeight="1">
      <c r="A10" s="1">
        <v>2005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59">
        <f t="shared" si="0"/>
        <v>0</v>
      </c>
      <c r="O10" s="59">
        <f t="shared" si="1"/>
        <v>0</v>
      </c>
      <c r="P10" s="59">
        <f t="shared" si="2"/>
        <v>0</v>
      </c>
      <c r="Q10" s="59">
        <f t="shared" si="3"/>
        <v>0</v>
      </c>
      <c r="U10" s="77">
        <v>4884</v>
      </c>
      <c r="V10" s="451"/>
      <c r="W10" s="77">
        <v>220</v>
      </c>
      <c r="X10" s="451"/>
      <c r="Y10" s="77">
        <v>264</v>
      </c>
      <c r="Z10" s="451"/>
      <c r="AA10" s="77">
        <v>4400</v>
      </c>
      <c r="AB10" s="451"/>
    </row>
    <row r="11" spans="1:30" ht="15" customHeight="1">
      <c r="A11" s="1">
        <v>2006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59">
        <f t="shared" si="0"/>
        <v>0</v>
      </c>
      <c r="O11" s="59">
        <f t="shared" si="1"/>
        <v>0</v>
      </c>
      <c r="P11" s="59">
        <f t="shared" si="2"/>
        <v>0</v>
      </c>
      <c r="Q11" s="59">
        <f t="shared" si="3"/>
        <v>0</v>
      </c>
      <c r="U11" s="77">
        <v>4884</v>
      </c>
      <c r="V11" s="451"/>
      <c r="W11" s="77">
        <v>220</v>
      </c>
      <c r="X11" s="451"/>
      <c r="Y11" s="77">
        <v>264</v>
      </c>
      <c r="Z11" s="451"/>
      <c r="AA11" s="77">
        <v>4400</v>
      </c>
      <c r="AB11" s="451"/>
    </row>
    <row r="12" spans="1:30">
      <c r="A12" s="1">
        <v>2007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59">
        <f t="shared" si="0"/>
        <v>0</v>
      </c>
      <c r="O12" s="59">
        <f t="shared" si="1"/>
        <v>0</v>
      </c>
      <c r="P12" s="59">
        <f t="shared" si="2"/>
        <v>0</v>
      </c>
      <c r="Q12" s="59">
        <f t="shared" si="3"/>
        <v>0</v>
      </c>
      <c r="U12" s="77">
        <v>4884</v>
      </c>
      <c r="V12" s="451"/>
      <c r="W12" s="77">
        <v>220</v>
      </c>
      <c r="X12" s="451"/>
      <c r="Y12" s="77">
        <v>264</v>
      </c>
      <c r="Z12" s="451"/>
      <c r="AA12" s="77">
        <v>4400</v>
      </c>
      <c r="AB12" s="451"/>
    </row>
    <row r="13" spans="1:30">
      <c r="A13" s="1">
        <v>2008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59">
        <f t="shared" si="0"/>
        <v>0</v>
      </c>
      <c r="O13" s="59">
        <f t="shared" si="1"/>
        <v>0</v>
      </c>
      <c r="P13" s="59">
        <f t="shared" si="2"/>
        <v>0</v>
      </c>
      <c r="Q13" s="59">
        <f t="shared" si="3"/>
        <v>0</v>
      </c>
      <c r="U13" s="77">
        <v>4884</v>
      </c>
      <c r="V13" s="451"/>
      <c r="W13" s="77">
        <v>220</v>
      </c>
      <c r="X13" s="451"/>
      <c r="Y13" s="77">
        <v>264</v>
      </c>
      <c r="Z13" s="451"/>
      <c r="AA13" s="77">
        <v>4400</v>
      </c>
      <c r="AB13" s="451"/>
    </row>
    <row r="14" spans="1:30">
      <c r="A14" s="1">
        <v>2009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59">
        <f t="shared" si="0"/>
        <v>0</v>
      </c>
      <c r="O14" s="59">
        <f t="shared" si="1"/>
        <v>0</v>
      </c>
      <c r="P14" s="59">
        <f t="shared" si="2"/>
        <v>0</v>
      </c>
      <c r="Q14" s="59">
        <f t="shared" si="3"/>
        <v>0</v>
      </c>
      <c r="U14" s="77">
        <v>7326</v>
      </c>
      <c r="V14" s="451"/>
      <c r="W14" s="77">
        <v>330</v>
      </c>
      <c r="X14" s="451"/>
      <c r="Y14" s="77">
        <v>396</v>
      </c>
      <c r="Z14" s="451"/>
      <c r="AA14" s="77">
        <v>6600</v>
      </c>
      <c r="AB14" s="451"/>
    </row>
    <row r="15" spans="1:30">
      <c r="A15" s="1">
        <v>2010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59">
        <f t="shared" si="0"/>
        <v>0</v>
      </c>
      <c r="O15" s="59">
        <f t="shared" si="1"/>
        <v>0</v>
      </c>
      <c r="P15" s="59">
        <f t="shared" si="2"/>
        <v>0</v>
      </c>
      <c r="Q15" s="59">
        <f t="shared" si="3"/>
        <v>0</v>
      </c>
      <c r="U15" s="77">
        <v>7326</v>
      </c>
      <c r="V15" s="451"/>
      <c r="W15" s="77">
        <v>330</v>
      </c>
      <c r="X15" s="451"/>
      <c r="Y15" s="77">
        <v>396</v>
      </c>
      <c r="Z15" s="451"/>
      <c r="AA15" s="77">
        <v>6600</v>
      </c>
      <c r="AB15" s="451"/>
    </row>
    <row r="16" spans="1:30">
      <c r="A16" s="1">
        <v>2011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59">
        <f t="shared" si="0"/>
        <v>0</v>
      </c>
      <c r="O16" s="59">
        <f t="shared" si="1"/>
        <v>0</v>
      </c>
      <c r="P16" s="59">
        <f t="shared" si="2"/>
        <v>0</v>
      </c>
      <c r="Q16" s="59">
        <f t="shared" si="3"/>
        <v>0</v>
      </c>
      <c r="U16" s="77">
        <v>7326</v>
      </c>
      <c r="V16" s="451"/>
      <c r="W16" s="77">
        <v>330</v>
      </c>
      <c r="X16" s="451"/>
      <c r="Y16" s="77">
        <v>396</v>
      </c>
      <c r="Z16" s="451"/>
      <c r="AA16" s="77">
        <v>6600</v>
      </c>
      <c r="AB16" s="451"/>
    </row>
    <row r="17" spans="1:28">
      <c r="A17" s="1">
        <v>2012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59">
        <f t="shared" si="0"/>
        <v>0</v>
      </c>
      <c r="O17" s="59">
        <f t="shared" si="1"/>
        <v>0</v>
      </c>
      <c r="P17" s="59">
        <f t="shared" si="2"/>
        <v>0</v>
      </c>
      <c r="Q17" s="59">
        <f t="shared" si="3"/>
        <v>0</v>
      </c>
      <c r="U17" s="77">
        <v>7326</v>
      </c>
      <c r="V17" s="451"/>
      <c r="W17" s="77">
        <v>330</v>
      </c>
      <c r="X17" s="451"/>
      <c r="Y17" s="77">
        <v>396</v>
      </c>
      <c r="Z17" s="451"/>
      <c r="AA17" s="77">
        <v>6600</v>
      </c>
      <c r="AB17" s="451"/>
    </row>
    <row r="18" spans="1:28">
      <c r="A18" s="1">
        <v>2013</v>
      </c>
      <c r="B18" s="3"/>
      <c r="C18" s="3"/>
      <c r="D18" s="3"/>
      <c r="E18" s="3"/>
      <c r="F18" s="3"/>
      <c r="G18" s="8"/>
      <c r="H18" s="8"/>
      <c r="I18" s="8"/>
      <c r="J18" s="8"/>
      <c r="K18" s="8"/>
      <c r="L18" s="8"/>
      <c r="M18" s="8"/>
      <c r="N18" s="59">
        <f t="shared" si="0"/>
        <v>0</v>
      </c>
      <c r="O18" s="59">
        <f t="shared" si="1"/>
        <v>0</v>
      </c>
      <c r="P18" s="59">
        <f t="shared" si="2"/>
        <v>0</v>
      </c>
      <c r="Q18" s="59">
        <f t="shared" si="3"/>
        <v>0</v>
      </c>
      <c r="R18" s="5"/>
      <c r="S18" s="5" t="s">
        <v>1</v>
      </c>
      <c r="T18" s="5" t="s">
        <v>2</v>
      </c>
      <c r="U18" s="77">
        <v>3663</v>
      </c>
      <c r="V18" s="451"/>
      <c r="W18" s="77">
        <v>165</v>
      </c>
      <c r="X18" s="451"/>
      <c r="Y18" s="77">
        <v>198</v>
      </c>
      <c r="Z18" s="451"/>
      <c r="AA18" s="77">
        <v>3300</v>
      </c>
      <c r="AB18" s="451"/>
    </row>
    <row r="19" spans="1:28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3">
        <f>SUM(N3:N18)</f>
        <v>146.14750000000001</v>
      </c>
      <c r="O19" s="3">
        <f t="shared" ref="O19:Q19" si="4">SUM(O3:O18)</f>
        <v>175.37700000000001</v>
      </c>
      <c r="P19" s="3">
        <f t="shared" si="4"/>
        <v>2601.4255000000003</v>
      </c>
      <c r="Q19" s="3">
        <f t="shared" si="4"/>
        <v>2922.9500000000003</v>
      </c>
      <c r="W19" s="4">
        <f>SUM(W3:W18)</f>
        <v>3675</v>
      </c>
      <c r="Y19" s="48">
        <f>SUM(Y3:Y18)</f>
        <v>4410</v>
      </c>
      <c r="AA19" s="48">
        <f>SUM(AA3:AA18)</f>
        <v>73500</v>
      </c>
    </row>
    <row r="22" spans="1:28" s="10" customFormat="1" ht="15">
      <c r="A22"/>
      <c r="U22" s="489" t="s">
        <v>73</v>
      </c>
      <c r="V22" s="489"/>
      <c r="W22" s="489"/>
      <c r="X22" s="489"/>
      <c r="Y22" s="489"/>
      <c r="Z22" s="489"/>
      <c r="AA22" s="489"/>
      <c r="AB22" s="489"/>
    </row>
    <row r="23" spans="1:28" s="10" customFormat="1" ht="15.75">
      <c r="A23" s="426" t="s">
        <v>77</v>
      </c>
      <c r="B23" s="426"/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60"/>
      <c r="S23" s="60"/>
      <c r="T23" s="60"/>
      <c r="U23" s="60"/>
      <c r="V23" s="60"/>
      <c r="W23" s="60"/>
      <c r="X23" s="60"/>
      <c r="Y23" s="60"/>
      <c r="Z23" s="60"/>
    </row>
    <row r="24" spans="1:28" s="10" customFormat="1" ht="15.75"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</row>
    <row r="25" spans="1:28" s="10" customFormat="1" ht="15">
      <c r="A25" s="10">
        <v>1998</v>
      </c>
      <c r="B25" s="500" t="s">
        <v>102</v>
      </c>
      <c r="C25" s="500"/>
      <c r="D25" s="500"/>
      <c r="E25" s="500"/>
      <c r="F25" s="500"/>
      <c r="G25" s="500"/>
      <c r="H25" s="139"/>
      <c r="I25" s="139"/>
      <c r="J25" s="139"/>
      <c r="K25" s="139"/>
      <c r="L25" s="139"/>
      <c r="M25" s="139"/>
      <c r="N25" s="139"/>
      <c r="O25" s="139"/>
      <c r="P25" s="139"/>
      <c r="Q25" s="139"/>
    </row>
    <row r="26" spans="1:28" s="10" customFormat="1" ht="15">
      <c r="B26" s="501" t="s">
        <v>103</v>
      </c>
      <c r="C26" s="501"/>
      <c r="D26" s="501"/>
      <c r="E26" s="501"/>
      <c r="F26" s="501"/>
      <c r="G26" s="501"/>
      <c r="H26" s="501"/>
      <c r="I26" s="501"/>
      <c r="J26" s="501"/>
      <c r="K26" s="501"/>
      <c r="L26" s="501"/>
      <c r="M26" s="501"/>
      <c r="N26" s="501"/>
      <c r="O26" s="501"/>
      <c r="P26" s="501"/>
      <c r="Q26" s="501"/>
      <c r="R26" s="139"/>
    </row>
    <row r="27" spans="1:28" s="10" customFormat="1" ht="15">
      <c r="A27" s="10">
        <v>1999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42"/>
    </row>
    <row r="28" spans="1:28" s="10" customFormat="1" ht="15">
      <c r="A28" s="10">
        <v>2000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42"/>
      <c r="U28" s="10">
        <v>57000</v>
      </c>
    </row>
    <row r="29" spans="1:28" s="10" customFormat="1" ht="15">
      <c r="A29" s="10">
        <v>2001</v>
      </c>
      <c r="B29" s="90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42"/>
      <c r="U29" s="16">
        <f>U28/340.75</f>
        <v>167.27806309611151</v>
      </c>
    </row>
    <row r="30" spans="1:28" s="10" customFormat="1" ht="15">
      <c r="A30" s="10">
        <v>2002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</row>
    <row r="31" spans="1:28" s="10" customFormat="1" ht="15">
      <c r="A31" s="10">
        <v>2003</v>
      </c>
      <c r="B31" s="90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42"/>
    </row>
    <row r="32" spans="1:28" s="10" customFormat="1" ht="15">
      <c r="A32" s="10">
        <v>2004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</row>
    <row r="33" spans="1:14" s="10" customFormat="1" ht="15">
      <c r="A33" s="10">
        <v>2005</v>
      </c>
      <c r="B33" s="90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</row>
    <row r="34" spans="1:14" s="10" customFormat="1" ht="15">
      <c r="A34" s="10">
        <v>2006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</row>
    <row r="35" spans="1:14" s="10" customFormat="1" ht="15">
      <c r="A35" s="10">
        <v>2007</v>
      </c>
      <c r="B35" s="90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</row>
    <row r="36" spans="1:14" s="10" customFormat="1" ht="15">
      <c r="A36" s="10">
        <v>2008</v>
      </c>
      <c r="B36" s="90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</row>
    <row r="37" spans="1:14" s="10" customFormat="1" ht="15">
      <c r="A37" s="10">
        <v>2009</v>
      </c>
      <c r="B37" s="90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</row>
    <row r="38" spans="1:14" s="10" customFormat="1" ht="15">
      <c r="A38" s="10">
        <v>2010</v>
      </c>
      <c r="B38" s="90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</row>
    <row r="39" spans="1:14" s="10" customFormat="1" ht="15"/>
    <row r="40" spans="1:14" s="10" customFormat="1" ht="15"/>
    <row r="41" spans="1:14" s="10" customFormat="1" ht="15"/>
    <row r="42" spans="1:14" s="10" customFormat="1" ht="15"/>
    <row r="43" spans="1:14" s="10" customFormat="1" ht="15"/>
    <row r="44" spans="1:14" s="10" customFormat="1" ht="15"/>
    <row r="45" spans="1:14" s="10" customFormat="1" ht="15"/>
    <row r="46" spans="1:14" s="10" customFormat="1" ht="15"/>
    <row r="47" spans="1:14" s="10" customFormat="1" ht="15"/>
    <row r="48" spans="1:14" s="10" customFormat="1" ht="15"/>
    <row r="49" s="10" customFormat="1" ht="15"/>
    <row r="50" s="10" customFormat="1" ht="15"/>
    <row r="51" s="10" customFormat="1" ht="15"/>
    <row r="52" s="10" customFormat="1" ht="15"/>
    <row r="53" s="10" customFormat="1" ht="15"/>
  </sheetData>
  <mergeCells count="23">
    <mergeCell ref="L1:L2"/>
    <mergeCell ref="F1:F2"/>
    <mergeCell ref="A1:A2"/>
    <mergeCell ref="B1:B2"/>
    <mergeCell ref="C1:C2"/>
    <mergeCell ref="D1:D2"/>
    <mergeCell ref="E1:E2"/>
    <mergeCell ref="B25:G25"/>
    <mergeCell ref="B26:Q26"/>
    <mergeCell ref="U22:AB22"/>
    <mergeCell ref="A23:Q23"/>
    <mergeCell ref="M1:M2"/>
    <mergeCell ref="N1:Q1"/>
    <mergeCell ref="U1:AB2"/>
    <mergeCell ref="V3:V18"/>
    <mergeCell ref="X3:X18"/>
    <mergeCell ref="Z3:Z18"/>
    <mergeCell ref="AB3:AB18"/>
    <mergeCell ref="G1:G2"/>
    <mergeCell ref="H1:H2"/>
    <mergeCell ref="I1:I2"/>
    <mergeCell ref="J1:J2"/>
    <mergeCell ref="K1:K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05"/>
  <sheetViews>
    <sheetView workbookViewId="0">
      <pane ySplit="2" topLeftCell="A15" activePane="bottomLeft" state="frozen"/>
      <selection pane="bottomLeft" activeCell="Q4" sqref="Q4"/>
    </sheetView>
  </sheetViews>
  <sheetFormatPr defaultRowHeight="12.75"/>
  <cols>
    <col min="1" max="1" width="5" style="2" bestFit="1" customWidth="1"/>
    <col min="2" max="2" width="7" style="2" bestFit="1" customWidth="1"/>
    <col min="3" max="3" width="8" style="2" bestFit="1" customWidth="1"/>
    <col min="4" max="4" width="8.6640625" style="2" customWidth="1"/>
    <col min="5" max="5" width="7.77734375" style="2" customWidth="1"/>
    <col min="6" max="6" width="8.44140625" style="2" customWidth="1"/>
    <col min="7" max="7" width="8.6640625" style="2" customWidth="1"/>
    <col min="8" max="8" width="8.33203125" style="2" bestFit="1" customWidth="1"/>
    <col min="9" max="9" width="8" style="2" bestFit="1" customWidth="1"/>
    <col min="10" max="10" width="9" style="2" bestFit="1" customWidth="1"/>
    <col min="11" max="11" width="8.44140625" style="2" bestFit="1" customWidth="1"/>
    <col min="12" max="13" width="9" style="2" bestFit="1" customWidth="1"/>
    <col min="14" max="15" width="6.44140625" style="2" bestFit="1" customWidth="1"/>
    <col min="16" max="17" width="7.21875" style="2" bestFit="1" customWidth="1"/>
    <col min="18" max="18" width="6.33203125" style="2" bestFit="1" customWidth="1"/>
    <col min="19" max="19" width="9" style="2" bestFit="1" customWidth="1"/>
    <col min="20" max="20" width="8.88671875" style="2"/>
    <col min="21" max="21" width="6.33203125" style="2" customWidth="1"/>
    <col min="22" max="22" width="11.44140625" style="2" bestFit="1" customWidth="1"/>
    <col min="23" max="23" width="5.21875" style="2" bestFit="1" customWidth="1"/>
    <col min="24" max="24" width="8.44140625" style="2" bestFit="1" customWidth="1"/>
    <col min="25" max="25" width="5.44140625" style="2" bestFit="1" customWidth="1"/>
    <col min="26" max="26" width="9.21875" style="2" bestFit="1" customWidth="1"/>
    <col min="27" max="27" width="7.33203125" style="2" customWidth="1"/>
    <col min="28" max="28" width="9" style="2" bestFit="1" customWidth="1"/>
    <col min="29" max="16384" width="8.88671875" style="2"/>
  </cols>
  <sheetData>
    <row r="1" spans="1:29" ht="15">
      <c r="A1" s="442" t="s">
        <v>18</v>
      </c>
      <c r="B1" s="444" t="s">
        <v>4</v>
      </c>
      <c r="C1" s="366" t="s">
        <v>5</v>
      </c>
      <c r="D1" s="446" t="s">
        <v>6</v>
      </c>
      <c r="E1" s="366" t="s">
        <v>7</v>
      </c>
      <c r="F1" s="444" t="s">
        <v>2</v>
      </c>
      <c r="G1" s="366" t="s">
        <v>8</v>
      </c>
      <c r="H1" s="463" t="s">
        <v>9</v>
      </c>
      <c r="I1" s="366" t="s">
        <v>10</v>
      </c>
      <c r="J1" s="444" t="s">
        <v>11</v>
      </c>
      <c r="K1" s="366" t="s">
        <v>12</v>
      </c>
      <c r="L1" s="463" t="s">
        <v>13</v>
      </c>
      <c r="M1" s="465" t="s">
        <v>14</v>
      </c>
      <c r="N1" s="515" t="s">
        <v>16</v>
      </c>
      <c r="O1" s="516"/>
      <c r="P1" s="516"/>
      <c r="Q1" s="517"/>
      <c r="T1" s="362" t="s">
        <v>71</v>
      </c>
      <c r="U1" s="362"/>
      <c r="V1" s="362"/>
      <c r="W1" s="362"/>
      <c r="X1" s="362"/>
      <c r="Y1" s="362"/>
      <c r="Z1" s="362"/>
      <c r="AA1" s="362"/>
      <c r="AB1" s="90"/>
      <c r="AC1" s="90"/>
    </row>
    <row r="2" spans="1:29" ht="15.75" customHeight="1" thickBot="1">
      <c r="A2" s="443"/>
      <c r="B2" s="445"/>
      <c r="C2" s="368"/>
      <c r="D2" s="447"/>
      <c r="E2" s="368"/>
      <c r="F2" s="445"/>
      <c r="G2" s="368"/>
      <c r="H2" s="464"/>
      <c r="I2" s="368"/>
      <c r="J2" s="445"/>
      <c r="K2" s="368"/>
      <c r="L2" s="464"/>
      <c r="M2" s="466"/>
      <c r="N2" s="87" t="s">
        <v>63</v>
      </c>
      <c r="O2" s="87" t="s">
        <v>56</v>
      </c>
      <c r="P2" s="87" t="s">
        <v>34</v>
      </c>
      <c r="Q2" s="88" t="s">
        <v>29</v>
      </c>
      <c r="T2" s="362"/>
      <c r="U2" s="362"/>
      <c r="V2" s="362"/>
      <c r="W2" s="362"/>
      <c r="X2" s="362"/>
      <c r="Y2" s="362"/>
      <c r="Z2" s="362"/>
      <c r="AA2" s="362"/>
      <c r="AB2" s="90"/>
      <c r="AC2" s="90"/>
    </row>
    <row r="3" spans="1:29" ht="12.75" customHeight="1">
      <c r="A3" s="7">
        <v>1998</v>
      </c>
      <c r="B3" s="9"/>
      <c r="C3" s="9"/>
      <c r="D3" s="9"/>
      <c r="E3" s="9"/>
      <c r="F3" s="9"/>
      <c r="G3" s="9"/>
      <c r="H3" s="9"/>
      <c r="I3" s="123"/>
      <c r="J3" s="123">
        <v>143.80000000000001</v>
      </c>
      <c r="K3" s="123">
        <v>173.15</v>
      </c>
      <c r="L3" s="123">
        <v>252.38</v>
      </c>
      <c r="M3" s="123">
        <v>217.17</v>
      </c>
      <c r="N3" s="123">
        <f>Q3*5%</f>
        <v>39.325000000000003</v>
      </c>
      <c r="O3" s="123">
        <f>Q3*6%</f>
        <v>47.19</v>
      </c>
      <c r="P3" s="123">
        <f>Q3*89%</f>
        <v>699.98500000000001</v>
      </c>
      <c r="Q3" s="123">
        <f>SUM(B3:M3)</f>
        <v>786.5</v>
      </c>
      <c r="T3" s="101"/>
      <c r="U3" s="451" t="s">
        <v>59</v>
      </c>
      <c r="V3" s="101">
        <f>T3*5%</f>
        <v>0</v>
      </c>
      <c r="W3" s="451" t="s">
        <v>60</v>
      </c>
      <c r="X3" s="102">
        <f>T3*6%</f>
        <v>0</v>
      </c>
      <c r="Y3" s="451" t="s">
        <v>61</v>
      </c>
      <c r="Z3" s="101">
        <f>T3*89%</f>
        <v>0</v>
      </c>
      <c r="AA3" s="451" t="s">
        <v>46</v>
      </c>
    </row>
    <row r="4" spans="1:29">
      <c r="A4" s="1">
        <v>1999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9"/>
      <c r="O4" s="59"/>
      <c r="P4" s="59"/>
      <c r="Q4" s="59"/>
      <c r="T4" s="101"/>
      <c r="U4" s="451"/>
      <c r="V4" s="101">
        <f t="shared" ref="V4:V18" si="0">T4*5%</f>
        <v>0</v>
      </c>
      <c r="W4" s="451"/>
      <c r="X4" s="102">
        <f t="shared" ref="X4:X18" si="1">T4*6%</f>
        <v>0</v>
      </c>
      <c r="Y4" s="451"/>
      <c r="Z4" s="101">
        <f t="shared" ref="Z4:Z18" si="2">T4*89%</f>
        <v>0</v>
      </c>
      <c r="AA4" s="451"/>
    </row>
    <row r="5" spans="1:29">
      <c r="A5" s="1">
        <v>2000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59"/>
      <c r="O5" s="59"/>
      <c r="P5" s="59"/>
      <c r="Q5" s="59"/>
      <c r="T5" s="101"/>
      <c r="U5" s="451"/>
      <c r="V5" s="101">
        <f t="shared" si="0"/>
        <v>0</v>
      </c>
      <c r="W5" s="451"/>
      <c r="X5" s="102">
        <f t="shared" si="1"/>
        <v>0</v>
      </c>
      <c r="Y5" s="451"/>
      <c r="Z5" s="101">
        <f t="shared" si="2"/>
        <v>0</v>
      </c>
      <c r="AA5" s="451"/>
    </row>
    <row r="6" spans="1:29">
      <c r="A6" s="1">
        <v>2001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59"/>
      <c r="O6" s="59"/>
      <c r="P6" s="59"/>
      <c r="Q6" s="59"/>
      <c r="T6" s="101"/>
      <c r="U6" s="451"/>
      <c r="V6" s="101">
        <f t="shared" si="0"/>
        <v>0</v>
      </c>
      <c r="W6" s="451"/>
      <c r="X6" s="102">
        <f t="shared" si="1"/>
        <v>0</v>
      </c>
      <c r="Y6" s="451"/>
      <c r="Z6" s="101">
        <f t="shared" si="2"/>
        <v>0</v>
      </c>
      <c r="AA6" s="451"/>
    </row>
    <row r="7" spans="1:29">
      <c r="A7" s="1">
        <v>2002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59"/>
      <c r="O7" s="59"/>
      <c r="P7" s="59"/>
      <c r="Q7" s="59"/>
      <c r="T7" s="101"/>
      <c r="U7" s="451"/>
      <c r="V7" s="101">
        <f t="shared" si="0"/>
        <v>0</v>
      </c>
      <c r="W7" s="451"/>
      <c r="X7" s="102">
        <f t="shared" si="1"/>
        <v>0</v>
      </c>
      <c r="Y7" s="451"/>
      <c r="Z7" s="101">
        <f t="shared" si="2"/>
        <v>0</v>
      </c>
      <c r="AA7" s="451"/>
    </row>
    <row r="8" spans="1:29">
      <c r="A8" s="1">
        <v>2003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59"/>
      <c r="O8" s="59"/>
      <c r="P8" s="59"/>
      <c r="Q8" s="59"/>
      <c r="T8" s="101"/>
      <c r="U8" s="451"/>
      <c r="V8" s="101">
        <f t="shared" si="0"/>
        <v>0</v>
      </c>
      <c r="W8" s="451"/>
      <c r="X8" s="102">
        <f t="shared" si="1"/>
        <v>0</v>
      </c>
      <c r="Y8" s="451"/>
      <c r="Z8" s="101">
        <f t="shared" si="2"/>
        <v>0</v>
      </c>
      <c r="AA8" s="451"/>
    </row>
    <row r="9" spans="1:29" ht="15" customHeight="1">
      <c r="A9" s="1">
        <v>2004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59"/>
      <c r="O9" s="59"/>
      <c r="P9" s="59"/>
      <c r="Q9" s="59"/>
      <c r="T9" s="101"/>
      <c r="U9" s="451"/>
      <c r="V9" s="101">
        <f t="shared" si="0"/>
        <v>0</v>
      </c>
      <c r="W9" s="451"/>
      <c r="X9" s="102">
        <f t="shared" si="1"/>
        <v>0</v>
      </c>
      <c r="Y9" s="451"/>
      <c r="Z9" s="101">
        <f t="shared" si="2"/>
        <v>0</v>
      </c>
      <c r="AA9" s="451"/>
    </row>
    <row r="10" spans="1:29" ht="15" customHeight="1">
      <c r="A10" s="1">
        <v>2005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59"/>
      <c r="O10" s="59"/>
      <c r="P10" s="59"/>
      <c r="Q10" s="59"/>
      <c r="T10" s="101"/>
      <c r="U10" s="451"/>
      <c r="V10" s="101">
        <f t="shared" si="0"/>
        <v>0</v>
      </c>
      <c r="W10" s="451"/>
      <c r="X10" s="102">
        <f t="shared" si="1"/>
        <v>0</v>
      </c>
      <c r="Y10" s="451"/>
      <c r="Z10" s="101">
        <f t="shared" si="2"/>
        <v>0</v>
      </c>
      <c r="AA10" s="451"/>
    </row>
    <row r="11" spans="1:29" ht="15" customHeight="1">
      <c r="A11" s="1">
        <v>2006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59"/>
      <c r="O11" s="59"/>
      <c r="P11" s="59"/>
      <c r="Q11" s="59"/>
      <c r="T11" s="101"/>
      <c r="U11" s="451"/>
      <c r="V11" s="101">
        <f t="shared" si="0"/>
        <v>0</v>
      </c>
      <c r="W11" s="451"/>
      <c r="X11" s="102">
        <f t="shared" si="1"/>
        <v>0</v>
      </c>
      <c r="Y11" s="451"/>
      <c r="Z11" s="101">
        <f t="shared" si="2"/>
        <v>0</v>
      </c>
      <c r="AA11" s="451"/>
    </row>
    <row r="12" spans="1:29">
      <c r="A12" s="1">
        <v>2007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59"/>
      <c r="O12" s="59"/>
      <c r="P12" s="59"/>
      <c r="Q12" s="59"/>
      <c r="T12" s="101"/>
      <c r="U12" s="451"/>
      <c r="V12" s="101">
        <f t="shared" si="0"/>
        <v>0</v>
      </c>
      <c r="W12" s="451"/>
      <c r="X12" s="102">
        <f t="shared" si="1"/>
        <v>0</v>
      </c>
      <c r="Y12" s="451"/>
      <c r="Z12" s="101">
        <f t="shared" si="2"/>
        <v>0</v>
      </c>
      <c r="AA12" s="451"/>
    </row>
    <row r="13" spans="1:29">
      <c r="A13" s="1">
        <v>2008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59"/>
      <c r="O13" s="59"/>
      <c r="P13" s="59"/>
      <c r="Q13" s="59"/>
      <c r="T13" s="101"/>
      <c r="U13" s="451"/>
      <c r="V13" s="101">
        <f t="shared" si="0"/>
        <v>0</v>
      </c>
      <c r="W13" s="451"/>
      <c r="X13" s="102">
        <f t="shared" si="1"/>
        <v>0</v>
      </c>
      <c r="Y13" s="451"/>
      <c r="Z13" s="101">
        <f t="shared" si="2"/>
        <v>0</v>
      </c>
      <c r="AA13" s="451"/>
    </row>
    <row r="14" spans="1:29">
      <c r="A14" s="1">
        <v>2009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59"/>
      <c r="O14" s="59"/>
      <c r="P14" s="59"/>
      <c r="Q14" s="59"/>
      <c r="T14" s="101"/>
      <c r="U14" s="451"/>
      <c r="V14" s="101">
        <f t="shared" si="0"/>
        <v>0</v>
      </c>
      <c r="W14" s="451"/>
      <c r="X14" s="102">
        <f t="shared" si="1"/>
        <v>0</v>
      </c>
      <c r="Y14" s="451"/>
      <c r="Z14" s="101">
        <f t="shared" si="2"/>
        <v>0</v>
      </c>
      <c r="AA14" s="451"/>
    </row>
    <row r="15" spans="1:29">
      <c r="A15" s="1">
        <v>2010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59"/>
      <c r="O15" s="59"/>
      <c r="P15" s="59"/>
      <c r="Q15" s="59"/>
      <c r="T15" s="101"/>
      <c r="U15" s="451"/>
      <c r="V15" s="101">
        <f t="shared" si="0"/>
        <v>0</v>
      </c>
      <c r="W15" s="451"/>
      <c r="X15" s="102">
        <f t="shared" si="1"/>
        <v>0</v>
      </c>
      <c r="Y15" s="451"/>
      <c r="Z15" s="101">
        <f t="shared" si="2"/>
        <v>0</v>
      </c>
      <c r="AA15" s="451"/>
    </row>
    <row r="16" spans="1:29">
      <c r="A16" s="1">
        <v>2011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59"/>
      <c r="O16" s="59"/>
      <c r="P16" s="59"/>
      <c r="Q16" s="59"/>
      <c r="T16" s="101"/>
      <c r="U16" s="451"/>
      <c r="V16" s="101">
        <f t="shared" si="0"/>
        <v>0</v>
      </c>
      <c r="W16" s="451"/>
      <c r="X16" s="102">
        <f t="shared" si="1"/>
        <v>0</v>
      </c>
      <c r="Y16" s="451"/>
      <c r="Z16" s="101">
        <f t="shared" si="2"/>
        <v>0</v>
      </c>
      <c r="AA16" s="451"/>
    </row>
    <row r="17" spans="1:27">
      <c r="A17" s="1">
        <v>2012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59"/>
      <c r="O17" s="59"/>
      <c r="P17" s="59"/>
      <c r="Q17" s="59"/>
      <c r="T17" s="101"/>
      <c r="U17" s="451"/>
      <c r="V17" s="101">
        <f t="shared" si="0"/>
        <v>0</v>
      </c>
      <c r="W17" s="451"/>
      <c r="X17" s="102">
        <f t="shared" si="1"/>
        <v>0</v>
      </c>
      <c r="Y17" s="451"/>
      <c r="Z17" s="101">
        <f t="shared" si="2"/>
        <v>0</v>
      </c>
      <c r="AA17" s="451"/>
    </row>
    <row r="18" spans="1:27">
      <c r="A18" s="1">
        <v>2013</v>
      </c>
      <c r="B18" s="3"/>
      <c r="C18" s="3"/>
      <c r="D18" s="3"/>
      <c r="E18" s="3"/>
      <c r="F18" s="3"/>
      <c r="G18" s="8"/>
      <c r="H18" s="8"/>
      <c r="I18" s="8"/>
      <c r="J18" s="8"/>
      <c r="K18" s="8"/>
      <c r="L18" s="8"/>
      <c r="M18" s="8"/>
      <c r="N18" s="59"/>
      <c r="O18" s="59"/>
      <c r="P18" s="59"/>
      <c r="Q18" s="59"/>
      <c r="R18" s="5" t="s">
        <v>1</v>
      </c>
      <c r="S18" s="5" t="s">
        <v>2</v>
      </c>
      <c r="T18" s="101"/>
      <c r="U18" s="451"/>
      <c r="V18" s="101">
        <f t="shared" si="0"/>
        <v>0</v>
      </c>
      <c r="W18" s="451"/>
      <c r="X18" s="102">
        <f t="shared" si="1"/>
        <v>0</v>
      </c>
      <c r="Y18" s="451"/>
      <c r="Z18" s="101">
        <f t="shared" si="2"/>
        <v>0</v>
      </c>
      <c r="AA18" s="451"/>
    </row>
    <row r="19" spans="1:27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3">
        <f>SUM(N3:N18)</f>
        <v>39.325000000000003</v>
      </c>
      <c r="O19" s="3">
        <f t="shared" ref="O19:Q19" si="3">SUM(O3:O18)</f>
        <v>47.19</v>
      </c>
      <c r="P19" s="3">
        <f t="shared" si="3"/>
        <v>699.98500000000001</v>
      </c>
      <c r="Q19" s="3">
        <f t="shared" si="3"/>
        <v>786.5</v>
      </c>
      <c r="V19" s="4">
        <f>SUM(V3:V18)</f>
        <v>0</v>
      </c>
      <c r="X19" s="48">
        <f>SUM(X3:X18)</f>
        <v>0</v>
      </c>
      <c r="Z19" s="48">
        <f>SUM(Z3:Z18)</f>
        <v>0</v>
      </c>
    </row>
    <row r="22" spans="1:27" s="10" customFormat="1" ht="15">
      <c r="A22"/>
      <c r="T22" s="489" t="s">
        <v>73</v>
      </c>
      <c r="U22" s="489"/>
      <c r="V22" s="489"/>
      <c r="W22" s="489"/>
      <c r="X22" s="489"/>
      <c r="Y22" s="489"/>
      <c r="Z22" s="489"/>
      <c r="AA22" s="489"/>
    </row>
    <row r="23" spans="1:27" s="10" customFormat="1" ht="15.75">
      <c r="A23" s="426" t="s">
        <v>78</v>
      </c>
      <c r="B23" s="426"/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60"/>
      <c r="S23" s="60"/>
      <c r="T23" s="60"/>
      <c r="U23" s="60"/>
      <c r="V23" s="60"/>
      <c r="W23" s="60"/>
      <c r="X23" s="60"/>
      <c r="Y23" s="60"/>
    </row>
    <row r="24" spans="1:27" s="10" customFormat="1" ht="15.7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</row>
    <row r="25" spans="1:27" s="10" customFormat="1" ht="15"/>
    <row r="26" spans="1:27" s="10" customFormat="1" ht="15">
      <c r="A26" s="427" t="s">
        <v>18</v>
      </c>
      <c r="B26" s="429" t="s">
        <v>20</v>
      </c>
      <c r="C26" s="431" t="s">
        <v>22</v>
      </c>
      <c r="D26" s="425" t="s">
        <v>21</v>
      </c>
      <c r="E26" s="425"/>
      <c r="F26" s="425"/>
      <c r="G26" s="425"/>
      <c r="H26" s="425"/>
      <c r="I26" s="425"/>
      <c r="J26" s="425"/>
      <c r="K26" s="425"/>
      <c r="L26" s="431" t="s">
        <v>23</v>
      </c>
      <c r="M26" s="502" t="s">
        <v>81</v>
      </c>
      <c r="N26" s="503"/>
      <c r="O26" s="504"/>
      <c r="P26" s="452" t="s">
        <v>35</v>
      </c>
      <c r="Q26" s="453"/>
      <c r="R26" s="454"/>
      <c r="S26" s="128"/>
    </row>
    <row r="27" spans="1:27" s="10" customFormat="1" ht="15">
      <c r="A27" s="428"/>
      <c r="B27" s="430"/>
      <c r="C27" s="432"/>
      <c r="D27" s="518" t="s">
        <v>80</v>
      </c>
      <c r="E27" s="519"/>
      <c r="F27" s="519"/>
      <c r="G27" s="520"/>
      <c r="H27" s="508" t="s">
        <v>34</v>
      </c>
      <c r="I27" s="509"/>
      <c r="J27" s="509"/>
      <c r="K27" s="510"/>
      <c r="L27" s="432"/>
      <c r="M27" s="49" t="s">
        <v>82</v>
      </c>
      <c r="N27" s="61" t="s">
        <v>34</v>
      </c>
      <c r="O27" s="105" t="s">
        <v>19</v>
      </c>
      <c r="P27" s="49" t="s">
        <v>63</v>
      </c>
      <c r="Q27" s="49" t="s">
        <v>56</v>
      </c>
      <c r="R27" s="61" t="s">
        <v>34</v>
      </c>
      <c r="S27" s="128"/>
      <c r="V27" s="55">
        <v>3550000</v>
      </c>
    </row>
    <row r="28" spans="1:27" s="10" customFormat="1" ht="15">
      <c r="A28" s="523">
        <v>1998</v>
      </c>
      <c r="B28" s="513">
        <v>44076</v>
      </c>
      <c r="C28" s="511">
        <v>19</v>
      </c>
      <c r="D28" s="448" t="s">
        <v>93</v>
      </c>
      <c r="E28" s="449"/>
      <c r="F28" s="449"/>
      <c r="G28" s="450"/>
      <c r="H28" s="505"/>
      <c r="I28" s="506"/>
      <c r="J28" s="506"/>
      <c r="K28" s="507"/>
      <c r="L28" s="104"/>
      <c r="M28" s="50">
        <v>70.400000000000006</v>
      </c>
      <c r="N28" s="58"/>
      <c r="O28" s="65">
        <f>M28-N28</f>
        <v>70.400000000000006</v>
      </c>
      <c r="P28" s="65">
        <f>O28*5%</f>
        <v>3.5200000000000005</v>
      </c>
      <c r="Q28" s="65">
        <f>O28*5%</f>
        <v>3.5200000000000005</v>
      </c>
      <c r="R28" s="65">
        <f>O28-P28-Q28</f>
        <v>63.360000000000007</v>
      </c>
      <c r="S28" s="128"/>
      <c r="V28" s="16">
        <f>V27/340.75</f>
        <v>10418.19515774028</v>
      </c>
      <c r="X28" t="s">
        <v>98</v>
      </c>
      <c r="Z28" s="10">
        <v>58.69</v>
      </c>
    </row>
    <row r="29" spans="1:27" s="10" customFormat="1" ht="15">
      <c r="A29" s="524"/>
      <c r="B29" s="514"/>
      <c r="C29" s="512"/>
      <c r="D29" s="448" t="s">
        <v>92</v>
      </c>
      <c r="E29" s="449"/>
      <c r="F29" s="449"/>
      <c r="G29" s="450"/>
      <c r="H29" s="448" t="s">
        <v>92</v>
      </c>
      <c r="I29" s="449"/>
      <c r="J29" s="449"/>
      <c r="K29" s="450"/>
      <c r="L29" s="104">
        <v>4695.5200000000004</v>
      </c>
      <c r="M29" s="50"/>
      <c r="N29" s="58"/>
      <c r="O29" s="65">
        <f t="shared" ref="O29:O56" si="4">M29-N29</f>
        <v>0</v>
      </c>
      <c r="P29" s="65">
        <f t="shared" ref="P29:P56" si="5">O29*5%</f>
        <v>0</v>
      </c>
      <c r="Q29" s="65">
        <f t="shared" ref="Q29:Q56" si="6">O29*5%</f>
        <v>0</v>
      </c>
      <c r="R29" s="65">
        <f t="shared" ref="R29:R56" si="7">O29-P29-Q29</f>
        <v>0</v>
      </c>
      <c r="S29" s="128"/>
      <c r="X29" t="s">
        <v>99</v>
      </c>
      <c r="Y29" s="10">
        <v>7</v>
      </c>
      <c r="Z29" s="10">
        <f>Y29*2.35</f>
        <v>16.45</v>
      </c>
    </row>
    <row r="30" spans="1:27" s="10" customFormat="1" ht="15">
      <c r="A30" s="524"/>
      <c r="B30" s="513">
        <v>44088</v>
      </c>
      <c r="C30" s="511">
        <v>50</v>
      </c>
      <c r="D30" s="448" t="s">
        <v>93</v>
      </c>
      <c r="E30" s="449"/>
      <c r="F30" s="449"/>
      <c r="G30" s="450"/>
      <c r="H30" s="505"/>
      <c r="I30" s="506"/>
      <c r="J30" s="506"/>
      <c r="K30" s="507"/>
      <c r="L30" s="104"/>
      <c r="M30" s="50">
        <v>68.09</v>
      </c>
      <c r="N30" s="62"/>
      <c r="O30" s="65">
        <f t="shared" si="4"/>
        <v>68.09</v>
      </c>
      <c r="P30" s="65">
        <f t="shared" si="5"/>
        <v>3.4045000000000005</v>
      </c>
      <c r="Q30" s="65">
        <f t="shared" si="6"/>
        <v>3.4045000000000005</v>
      </c>
      <c r="R30" s="65">
        <f t="shared" si="7"/>
        <v>61.281000000000006</v>
      </c>
      <c r="S30" s="128"/>
      <c r="Z30" s="10">
        <f>SUM(Z28:Z29)</f>
        <v>75.14</v>
      </c>
    </row>
    <row r="31" spans="1:27" s="10" customFormat="1" ht="15">
      <c r="A31" s="524"/>
      <c r="B31" s="514"/>
      <c r="C31" s="512"/>
      <c r="D31" s="448" t="s">
        <v>96</v>
      </c>
      <c r="E31" s="449"/>
      <c r="F31" s="449"/>
      <c r="G31" s="450"/>
      <c r="H31" s="448" t="s">
        <v>93</v>
      </c>
      <c r="I31" s="449"/>
      <c r="J31" s="449"/>
      <c r="K31" s="450"/>
      <c r="L31" s="104"/>
      <c r="M31" s="50"/>
      <c r="N31" s="62"/>
      <c r="O31" s="65">
        <f t="shared" si="4"/>
        <v>0</v>
      </c>
      <c r="P31" s="65">
        <f t="shared" si="5"/>
        <v>0</v>
      </c>
      <c r="Q31" s="65">
        <f t="shared" si="6"/>
        <v>0</v>
      </c>
      <c r="R31" s="65">
        <f t="shared" si="7"/>
        <v>0</v>
      </c>
      <c r="S31" s="129">
        <f>O28+O30</f>
        <v>138.49</v>
      </c>
    </row>
    <row r="32" spans="1:27" s="10" customFormat="1" ht="15">
      <c r="A32" s="524"/>
      <c r="B32" s="513">
        <v>44111</v>
      </c>
      <c r="C32" s="511">
        <v>66</v>
      </c>
      <c r="D32" s="448" t="s">
        <v>93</v>
      </c>
      <c r="E32" s="449"/>
      <c r="F32" s="449"/>
      <c r="G32" s="450"/>
      <c r="H32" s="505"/>
      <c r="I32" s="506"/>
      <c r="J32" s="506"/>
      <c r="K32" s="507"/>
      <c r="L32" s="104"/>
      <c r="M32" s="50">
        <v>70.44</v>
      </c>
      <c r="N32" s="62"/>
      <c r="O32" s="65">
        <f t="shared" si="4"/>
        <v>70.44</v>
      </c>
      <c r="P32" s="65">
        <f t="shared" si="5"/>
        <v>3.5220000000000002</v>
      </c>
      <c r="Q32" s="65">
        <f t="shared" si="6"/>
        <v>3.5220000000000002</v>
      </c>
      <c r="R32" s="65">
        <f t="shared" si="7"/>
        <v>63.395999999999994</v>
      </c>
      <c r="S32" s="128"/>
    </row>
    <row r="33" spans="1:19" s="10" customFormat="1" ht="15">
      <c r="A33" s="524"/>
      <c r="B33" s="514"/>
      <c r="C33" s="512"/>
      <c r="D33" s="448" t="s">
        <v>96</v>
      </c>
      <c r="E33" s="449"/>
      <c r="F33" s="449"/>
      <c r="G33" s="450"/>
      <c r="H33" s="448" t="s">
        <v>95</v>
      </c>
      <c r="I33" s="449"/>
      <c r="J33" s="449"/>
      <c r="K33" s="450"/>
      <c r="L33" s="104"/>
      <c r="M33" s="50"/>
      <c r="N33" s="62"/>
      <c r="O33" s="65">
        <f t="shared" si="4"/>
        <v>0</v>
      </c>
      <c r="P33" s="65">
        <f t="shared" si="5"/>
        <v>0</v>
      </c>
      <c r="Q33" s="65">
        <f t="shared" si="6"/>
        <v>0</v>
      </c>
      <c r="R33" s="65">
        <f t="shared" si="7"/>
        <v>0</v>
      </c>
      <c r="S33" s="128"/>
    </row>
    <row r="34" spans="1:19" s="10" customFormat="1" ht="15">
      <c r="A34" s="524"/>
      <c r="B34" s="513">
        <v>44113</v>
      </c>
      <c r="C34" s="511">
        <v>74</v>
      </c>
      <c r="D34" s="448" t="s">
        <v>97</v>
      </c>
      <c r="E34" s="449"/>
      <c r="F34" s="449"/>
      <c r="G34" s="450"/>
      <c r="H34" s="505"/>
      <c r="I34" s="506"/>
      <c r="J34" s="506"/>
      <c r="K34" s="507"/>
      <c r="L34" s="122">
        <v>2289.0700000000002</v>
      </c>
      <c r="M34" s="50">
        <v>31.75</v>
      </c>
      <c r="N34" s="51"/>
      <c r="O34" s="65">
        <f t="shared" si="4"/>
        <v>31.75</v>
      </c>
      <c r="P34" s="65">
        <f>O34*9%</f>
        <v>2.8574999999999999</v>
      </c>
      <c r="Q34" s="65">
        <f t="shared" si="6"/>
        <v>1.5875000000000001</v>
      </c>
      <c r="R34" s="65">
        <f t="shared" si="7"/>
        <v>27.305</v>
      </c>
      <c r="S34" s="128"/>
    </row>
    <row r="35" spans="1:19" s="10" customFormat="1" ht="15">
      <c r="A35" s="524"/>
      <c r="B35" s="514"/>
      <c r="C35" s="512"/>
      <c r="D35" s="448" t="s">
        <v>92</v>
      </c>
      <c r="E35" s="449"/>
      <c r="F35" s="449"/>
      <c r="G35" s="450"/>
      <c r="H35" s="448" t="s">
        <v>92</v>
      </c>
      <c r="I35" s="449"/>
      <c r="J35" s="449"/>
      <c r="K35" s="450"/>
      <c r="L35" s="122">
        <v>1526.05</v>
      </c>
      <c r="M35" s="50"/>
      <c r="N35" s="51"/>
      <c r="O35" s="65">
        <f t="shared" si="4"/>
        <v>0</v>
      </c>
      <c r="P35" s="65">
        <f t="shared" si="5"/>
        <v>0</v>
      </c>
      <c r="Q35" s="65">
        <f t="shared" si="6"/>
        <v>0</v>
      </c>
      <c r="R35" s="65">
        <f t="shared" si="7"/>
        <v>0</v>
      </c>
      <c r="S35" s="128"/>
    </row>
    <row r="36" spans="1:19" s="10" customFormat="1" ht="15">
      <c r="A36" s="524"/>
      <c r="B36" s="513">
        <v>44130</v>
      </c>
      <c r="C36" s="511">
        <v>99</v>
      </c>
      <c r="D36" s="448" t="s">
        <v>93</v>
      </c>
      <c r="E36" s="449"/>
      <c r="F36" s="449"/>
      <c r="G36" s="450"/>
      <c r="H36" s="505"/>
      <c r="I36" s="506"/>
      <c r="J36" s="506"/>
      <c r="K36" s="507"/>
      <c r="L36" s="104"/>
      <c r="M36" s="50">
        <v>77.489999999999995</v>
      </c>
      <c r="N36" s="51"/>
      <c r="O36" s="65">
        <f t="shared" si="4"/>
        <v>77.489999999999995</v>
      </c>
      <c r="P36" s="65">
        <f t="shared" si="5"/>
        <v>3.8744999999999998</v>
      </c>
      <c r="Q36" s="65">
        <f t="shared" si="6"/>
        <v>3.8744999999999998</v>
      </c>
      <c r="R36" s="65">
        <f t="shared" si="7"/>
        <v>69.741</v>
      </c>
      <c r="S36" s="128"/>
    </row>
    <row r="37" spans="1:19" s="10" customFormat="1" ht="15">
      <c r="A37" s="524"/>
      <c r="B37" s="514"/>
      <c r="C37" s="512"/>
      <c r="D37" s="448" t="s">
        <v>96</v>
      </c>
      <c r="E37" s="449"/>
      <c r="F37" s="449"/>
      <c r="G37" s="450"/>
      <c r="H37" s="448" t="s">
        <v>95</v>
      </c>
      <c r="I37" s="449"/>
      <c r="J37" s="449"/>
      <c r="K37" s="450"/>
      <c r="L37" s="104"/>
      <c r="M37" s="50"/>
      <c r="N37" s="51"/>
      <c r="O37" s="65">
        <f t="shared" si="4"/>
        <v>0</v>
      </c>
      <c r="P37" s="65">
        <f t="shared" si="5"/>
        <v>0</v>
      </c>
      <c r="Q37" s="65">
        <f t="shared" si="6"/>
        <v>0</v>
      </c>
      <c r="R37" s="65">
        <f t="shared" si="7"/>
        <v>0</v>
      </c>
      <c r="S37" s="129">
        <f>O32+O34+O36</f>
        <v>179.68</v>
      </c>
    </row>
    <row r="38" spans="1:19" s="10" customFormat="1" ht="15">
      <c r="A38" s="524"/>
      <c r="B38" s="513">
        <v>44139</v>
      </c>
      <c r="C38" s="511">
        <v>121</v>
      </c>
      <c r="D38" s="448" t="s">
        <v>120</v>
      </c>
      <c r="E38" s="449"/>
      <c r="F38" s="449"/>
      <c r="G38" s="450"/>
      <c r="H38" s="505"/>
      <c r="I38" s="506"/>
      <c r="J38" s="506"/>
      <c r="K38" s="507"/>
      <c r="L38" s="104"/>
      <c r="M38" s="50">
        <v>154.97999999999999</v>
      </c>
      <c r="N38" s="51"/>
      <c r="O38" s="65">
        <f t="shared" si="4"/>
        <v>154.97999999999999</v>
      </c>
      <c r="P38" s="65">
        <f t="shared" si="5"/>
        <v>7.7489999999999997</v>
      </c>
      <c r="Q38" s="65">
        <f t="shared" si="6"/>
        <v>7.7489999999999997</v>
      </c>
      <c r="R38" s="65">
        <f t="shared" si="7"/>
        <v>139.482</v>
      </c>
      <c r="S38" s="128"/>
    </row>
    <row r="39" spans="1:19" s="10" customFormat="1" ht="15">
      <c r="A39" s="524"/>
      <c r="B39" s="521"/>
      <c r="C39" s="522"/>
      <c r="D39" s="448" t="s">
        <v>117</v>
      </c>
      <c r="E39" s="449"/>
      <c r="F39" s="449"/>
      <c r="G39" s="450"/>
      <c r="H39" s="147"/>
      <c r="I39" s="148"/>
      <c r="J39" s="148"/>
      <c r="K39" s="149"/>
      <c r="L39" s="146"/>
      <c r="M39" s="50"/>
      <c r="N39" s="51"/>
      <c r="O39" s="65"/>
      <c r="P39" s="65"/>
      <c r="Q39" s="65"/>
      <c r="R39" s="65"/>
      <c r="S39" s="128"/>
    </row>
    <row r="40" spans="1:19" s="10" customFormat="1" ht="15">
      <c r="A40" s="524"/>
      <c r="B40" s="514"/>
      <c r="C40" s="512"/>
      <c r="D40" s="448" t="s">
        <v>96</v>
      </c>
      <c r="E40" s="449"/>
      <c r="F40" s="449"/>
      <c r="G40" s="450"/>
      <c r="H40" s="448" t="s">
        <v>96</v>
      </c>
      <c r="I40" s="449"/>
      <c r="J40" s="449"/>
      <c r="K40" s="450"/>
      <c r="L40" s="104">
        <v>17608.22</v>
      </c>
      <c r="M40" s="50"/>
      <c r="N40" s="51"/>
      <c r="O40" s="65">
        <f t="shared" si="4"/>
        <v>0</v>
      </c>
      <c r="P40" s="65">
        <f t="shared" si="5"/>
        <v>0</v>
      </c>
      <c r="Q40" s="65">
        <f t="shared" si="6"/>
        <v>0</v>
      </c>
      <c r="R40" s="65">
        <f t="shared" si="7"/>
        <v>0</v>
      </c>
      <c r="S40" s="128"/>
    </row>
    <row r="41" spans="1:19" s="10" customFormat="1" ht="15">
      <c r="A41" s="524"/>
      <c r="B41" s="513">
        <v>44140</v>
      </c>
      <c r="C41" s="511">
        <v>123</v>
      </c>
      <c r="D41" s="448" t="s">
        <v>93</v>
      </c>
      <c r="E41" s="449"/>
      <c r="F41" s="449"/>
      <c r="G41" s="450"/>
      <c r="H41" s="505"/>
      <c r="I41" s="506"/>
      <c r="J41" s="506"/>
      <c r="K41" s="507"/>
      <c r="L41" s="104"/>
      <c r="M41" s="50">
        <v>70.44</v>
      </c>
      <c r="N41" s="51"/>
      <c r="O41" s="65">
        <f t="shared" si="4"/>
        <v>70.44</v>
      </c>
      <c r="P41" s="65">
        <f t="shared" si="5"/>
        <v>3.5220000000000002</v>
      </c>
      <c r="Q41" s="65">
        <f t="shared" si="6"/>
        <v>3.5220000000000002</v>
      </c>
      <c r="R41" s="65">
        <f t="shared" si="7"/>
        <v>63.395999999999994</v>
      </c>
      <c r="S41" s="128"/>
    </row>
    <row r="42" spans="1:19" s="10" customFormat="1" ht="15">
      <c r="A42" s="524"/>
      <c r="B42" s="514"/>
      <c r="C42" s="512"/>
      <c r="D42" s="448" t="s">
        <v>92</v>
      </c>
      <c r="E42" s="449"/>
      <c r="F42" s="449"/>
      <c r="G42" s="450"/>
      <c r="H42" s="448" t="s">
        <v>92</v>
      </c>
      <c r="I42" s="449"/>
      <c r="J42" s="449"/>
      <c r="K42" s="450"/>
      <c r="L42" s="104">
        <v>10418.200000000001</v>
      </c>
      <c r="M42" s="50"/>
      <c r="N42" s="51"/>
      <c r="O42" s="65">
        <f t="shared" si="4"/>
        <v>0</v>
      </c>
      <c r="P42" s="65">
        <f t="shared" si="5"/>
        <v>0</v>
      </c>
      <c r="Q42" s="65">
        <f t="shared" si="6"/>
        <v>0</v>
      </c>
      <c r="R42" s="65">
        <f t="shared" si="7"/>
        <v>0</v>
      </c>
      <c r="S42" s="129">
        <f>M38+M41</f>
        <v>225.42</v>
      </c>
    </row>
    <row r="43" spans="1:19" s="10" customFormat="1" ht="15">
      <c r="A43" s="524"/>
      <c r="B43" s="513">
        <v>44173</v>
      </c>
      <c r="C43" s="511">
        <v>169</v>
      </c>
      <c r="D43" s="448" t="s">
        <v>117</v>
      </c>
      <c r="E43" s="449"/>
      <c r="F43" s="449"/>
      <c r="G43" s="450"/>
      <c r="H43" s="505"/>
      <c r="I43" s="506"/>
      <c r="J43" s="506"/>
      <c r="K43" s="507"/>
      <c r="L43" s="104"/>
      <c r="M43" s="50">
        <v>148.58000000000001</v>
      </c>
      <c r="N43" s="51"/>
      <c r="O43" s="65">
        <f t="shared" si="4"/>
        <v>148.58000000000001</v>
      </c>
      <c r="P43" s="65">
        <f t="shared" si="5"/>
        <v>7.4290000000000012</v>
      </c>
      <c r="Q43" s="65">
        <f t="shared" si="6"/>
        <v>7.4290000000000012</v>
      </c>
      <c r="R43" s="65">
        <f t="shared" si="7"/>
        <v>133.72200000000001</v>
      </c>
      <c r="S43" s="128"/>
    </row>
    <row r="44" spans="1:19" s="10" customFormat="1" ht="15">
      <c r="A44" s="524"/>
      <c r="B44" s="521"/>
      <c r="C44" s="522"/>
      <c r="D44" s="448" t="s">
        <v>119</v>
      </c>
      <c r="E44" s="449"/>
      <c r="F44" s="449"/>
      <c r="G44" s="450"/>
      <c r="H44" s="147"/>
      <c r="I44" s="148"/>
      <c r="J44" s="148"/>
      <c r="K44" s="149"/>
      <c r="L44" s="146"/>
      <c r="M44" s="50"/>
      <c r="N44" s="51"/>
      <c r="O44" s="65"/>
      <c r="P44" s="65"/>
      <c r="Q44" s="65"/>
      <c r="R44" s="65"/>
      <c r="S44" s="128"/>
    </row>
    <row r="45" spans="1:19" s="10" customFormat="1" ht="15">
      <c r="A45" s="524"/>
      <c r="B45" s="514"/>
      <c r="C45" s="512"/>
      <c r="D45" s="448" t="s">
        <v>118</v>
      </c>
      <c r="E45" s="449"/>
      <c r="F45" s="449"/>
      <c r="G45" s="450"/>
      <c r="H45" s="448" t="s">
        <v>94</v>
      </c>
      <c r="I45" s="449"/>
      <c r="J45" s="449"/>
      <c r="K45" s="450"/>
      <c r="L45" s="122">
        <v>13124.25</v>
      </c>
      <c r="M45" s="50"/>
      <c r="N45" s="51"/>
      <c r="O45" s="65">
        <f t="shared" si="4"/>
        <v>0</v>
      </c>
      <c r="P45" s="65">
        <f t="shared" si="5"/>
        <v>0</v>
      </c>
      <c r="Q45" s="65">
        <f t="shared" si="6"/>
        <v>0</v>
      </c>
      <c r="R45" s="65">
        <f t="shared" si="7"/>
        <v>0</v>
      </c>
      <c r="S45" s="128"/>
    </row>
    <row r="46" spans="1:19" s="10" customFormat="1" ht="15">
      <c r="A46" s="524"/>
      <c r="B46" s="513">
        <v>44195</v>
      </c>
      <c r="C46" s="511">
        <v>222</v>
      </c>
      <c r="D46" s="448" t="s">
        <v>117</v>
      </c>
      <c r="E46" s="449"/>
      <c r="F46" s="449"/>
      <c r="G46" s="450"/>
      <c r="H46" s="505"/>
      <c r="I46" s="506"/>
      <c r="J46" s="506"/>
      <c r="K46" s="507"/>
      <c r="L46" s="122"/>
      <c r="M46" s="50">
        <v>150.28</v>
      </c>
      <c r="N46" s="51"/>
      <c r="O46" s="65">
        <f t="shared" si="4"/>
        <v>150.28</v>
      </c>
      <c r="P46" s="65">
        <f t="shared" si="5"/>
        <v>7.5140000000000002</v>
      </c>
      <c r="Q46" s="65">
        <f t="shared" si="6"/>
        <v>7.5140000000000002</v>
      </c>
      <c r="R46" s="65">
        <f t="shared" si="7"/>
        <v>135.25199999999998</v>
      </c>
      <c r="S46" s="128"/>
    </row>
    <row r="47" spans="1:19" s="10" customFormat="1" ht="15">
      <c r="A47" s="524"/>
      <c r="B47" s="521"/>
      <c r="C47" s="522"/>
      <c r="D47" s="448" t="s">
        <v>116</v>
      </c>
      <c r="E47" s="449"/>
      <c r="F47" s="449"/>
      <c r="G47" s="450"/>
      <c r="H47" s="147"/>
      <c r="I47" s="148"/>
      <c r="J47" s="148"/>
      <c r="K47" s="149"/>
      <c r="L47" s="146"/>
      <c r="M47" s="50"/>
      <c r="N47" s="51"/>
      <c r="O47" s="65"/>
      <c r="P47" s="65"/>
      <c r="Q47" s="65"/>
      <c r="R47" s="65"/>
      <c r="S47" s="128"/>
    </row>
    <row r="48" spans="1:19" s="10" customFormat="1" ht="15">
      <c r="A48" s="525"/>
      <c r="B48" s="514"/>
      <c r="C48" s="512"/>
      <c r="D48" s="448" t="s">
        <v>115</v>
      </c>
      <c r="E48" s="449"/>
      <c r="F48" s="449"/>
      <c r="G48" s="450"/>
      <c r="H48" s="448" t="s">
        <v>92</v>
      </c>
      <c r="I48" s="449"/>
      <c r="J48" s="449"/>
      <c r="K48" s="450"/>
      <c r="L48" s="122">
        <v>56933.24</v>
      </c>
      <c r="M48" s="50"/>
      <c r="N48" s="51"/>
      <c r="O48" s="65">
        <f t="shared" si="4"/>
        <v>0</v>
      </c>
      <c r="P48" s="65">
        <f t="shared" si="5"/>
        <v>0</v>
      </c>
      <c r="Q48" s="65">
        <f t="shared" si="6"/>
        <v>0</v>
      </c>
      <c r="R48" s="65">
        <f t="shared" si="7"/>
        <v>0</v>
      </c>
      <c r="S48" s="129">
        <f>O43+O46</f>
        <v>298.86</v>
      </c>
    </row>
    <row r="49" spans="1:19" s="10" customFormat="1" ht="15">
      <c r="A49" s="13"/>
      <c r="B49" s="47"/>
      <c r="C49" s="52"/>
      <c r="D49" s="448"/>
      <c r="E49" s="449"/>
      <c r="F49" s="449"/>
      <c r="G49" s="450"/>
      <c r="H49" s="448"/>
      <c r="I49" s="449"/>
      <c r="J49" s="449"/>
      <c r="K49" s="450"/>
      <c r="L49" s="122"/>
      <c r="M49" s="50"/>
      <c r="N49" s="51"/>
      <c r="O49" s="65">
        <f t="shared" si="4"/>
        <v>0</v>
      </c>
      <c r="P49" s="65">
        <f t="shared" si="5"/>
        <v>0</v>
      </c>
      <c r="Q49" s="65">
        <f t="shared" si="6"/>
        <v>0</v>
      </c>
      <c r="R49" s="65">
        <f t="shared" si="7"/>
        <v>0</v>
      </c>
      <c r="S49" s="128"/>
    </row>
    <row r="50" spans="1:19" s="10" customFormat="1" ht="15">
      <c r="A50" s="13"/>
      <c r="B50" s="47"/>
      <c r="C50" s="52"/>
      <c r="D50" s="448"/>
      <c r="E50" s="449"/>
      <c r="F50" s="449"/>
      <c r="G50" s="450"/>
      <c r="H50" s="448"/>
      <c r="I50" s="449"/>
      <c r="J50" s="449"/>
      <c r="K50" s="450"/>
      <c r="L50" s="122"/>
      <c r="M50" s="50"/>
      <c r="N50" s="51"/>
      <c r="O50" s="65">
        <f t="shared" si="4"/>
        <v>0</v>
      </c>
      <c r="P50" s="65">
        <f t="shared" si="5"/>
        <v>0</v>
      </c>
      <c r="Q50" s="65">
        <f t="shared" si="6"/>
        <v>0</v>
      </c>
      <c r="R50" s="65">
        <f t="shared" si="7"/>
        <v>0</v>
      </c>
      <c r="S50" s="128"/>
    </row>
    <row r="51" spans="1:19" s="10" customFormat="1" ht="15">
      <c r="A51" s="13"/>
      <c r="B51" s="47"/>
      <c r="C51" s="52"/>
      <c r="D51" s="448"/>
      <c r="E51" s="449"/>
      <c r="F51" s="449"/>
      <c r="G51" s="450"/>
      <c r="H51" s="448"/>
      <c r="I51" s="449"/>
      <c r="J51" s="449"/>
      <c r="K51" s="450"/>
      <c r="L51" s="122"/>
      <c r="M51" s="50"/>
      <c r="N51" s="51"/>
      <c r="O51" s="65">
        <f t="shared" si="4"/>
        <v>0</v>
      </c>
      <c r="P51" s="65">
        <f t="shared" si="5"/>
        <v>0</v>
      </c>
      <c r="Q51" s="65">
        <f t="shared" si="6"/>
        <v>0</v>
      </c>
      <c r="R51" s="65">
        <f t="shared" si="7"/>
        <v>0</v>
      </c>
      <c r="S51" s="128"/>
    </row>
    <row r="52" spans="1:19" s="10" customFormat="1" ht="15">
      <c r="A52" s="13"/>
      <c r="B52" s="47"/>
      <c r="C52" s="52"/>
      <c r="D52" s="448"/>
      <c r="E52" s="449"/>
      <c r="F52" s="449"/>
      <c r="G52" s="450"/>
      <c r="H52" s="448"/>
      <c r="I52" s="449"/>
      <c r="J52" s="449"/>
      <c r="K52" s="450"/>
      <c r="L52" s="122"/>
      <c r="M52" s="50"/>
      <c r="N52" s="51"/>
      <c r="O52" s="65">
        <f t="shared" si="4"/>
        <v>0</v>
      </c>
      <c r="P52" s="65">
        <f t="shared" si="5"/>
        <v>0</v>
      </c>
      <c r="Q52" s="65">
        <f t="shared" si="6"/>
        <v>0</v>
      </c>
      <c r="R52" s="65">
        <f t="shared" si="7"/>
        <v>0</v>
      </c>
      <c r="S52" s="128"/>
    </row>
    <row r="53" spans="1:19" s="10" customFormat="1" ht="15">
      <c r="A53" s="13"/>
      <c r="B53" s="47"/>
      <c r="C53" s="52"/>
      <c r="D53" s="448"/>
      <c r="E53" s="449"/>
      <c r="F53" s="449"/>
      <c r="G53" s="450"/>
      <c r="H53" s="448"/>
      <c r="I53" s="449"/>
      <c r="J53" s="449"/>
      <c r="K53" s="450"/>
      <c r="L53" s="122"/>
      <c r="M53" s="50"/>
      <c r="N53" s="51"/>
      <c r="O53" s="65">
        <f t="shared" si="4"/>
        <v>0</v>
      </c>
      <c r="P53" s="65">
        <f t="shared" si="5"/>
        <v>0</v>
      </c>
      <c r="Q53" s="65">
        <f t="shared" si="6"/>
        <v>0</v>
      </c>
      <c r="R53" s="65">
        <f t="shared" si="7"/>
        <v>0</v>
      </c>
      <c r="S53" s="128"/>
    </row>
    <row r="54" spans="1:19" s="10" customFormat="1" ht="15">
      <c r="A54" s="13"/>
      <c r="B54" s="47"/>
      <c r="C54" s="52"/>
      <c r="D54" s="448"/>
      <c r="E54" s="449"/>
      <c r="F54" s="449"/>
      <c r="G54" s="450"/>
      <c r="H54" s="448"/>
      <c r="I54" s="449"/>
      <c r="J54" s="449"/>
      <c r="K54" s="450"/>
      <c r="L54" s="122"/>
      <c r="M54" s="50"/>
      <c r="N54" s="51"/>
      <c r="O54" s="65">
        <f t="shared" si="4"/>
        <v>0</v>
      </c>
      <c r="P54" s="65">
        <f t="shared" si="5"/>
        <v>0</v>
      </c>
      <c r="Q54" s="65">
        <f t="shared" si="6"/>
        <v>0</v>
      </c>
      <c r="R54" s="65">
        <f t="shared" si="7"/>
        <v>0</v>
      </c>
      <c r="S54" s="128"/>
    </row>
    <row r="55" spans="1:19" s="10" customFormat="1" ht="15">
      <c r="A55" s="13"/>
      <c r="B55" s="47"/>
      <c r="C55" s="52"/>
      <c r="D55" s="448"/>
      <c r="E55" s="449"/>
      <c r="F55" s="449"/>
      <c r="G55" s="450"/>
      <c r="H55" s="448"/>
      <c r="I55" s="449"/>
      <c r="J55" s="449"/>
      <c r="K55" s="450"/>
      <c r="L55" s="104"/>
      <c r="M55" s="50"/>
      <c r="N55" s="51"/>
      <c r="O55" s="65">
        <f t="shared" si="4"/>
        <v>0</v>
      </c>
      <c r="P55" s="65">
        <f t="shared" si="5"/>
        <v>0</v>
      </c>
      <c r="Q55" s="65">
        <f t="shared" si="6"/>
        <v>0</v>
      </c>
      <c r="R55" s="65">
        <f t="shared" si="7"/>
        <v>0</v>
      </c>
      <c r="S55" s="128"/>
    </row>
    <row r="56" spans="1:19" s="10" customFormat="1" ht="15">
      <c r="A56" s="13"/>
      <c r="B56" s="47"/>
      <c r="C56" s="53"/>
      <c r="D56" s="448"/>
      <c r="E56" s="449"/>
      <c r="F56" s="449"/>
      <c r="G56" s="450"/>
      <c r="H56" s="448"/>
      <c r="I56" s="449"/>
      <c r="J56" s="449"/>
      <c r="K56" s="450"/>
      <c r="L56" s="104"/>
      <c r="M56" s="65"/>
      <c r="N56" s="13"/>
      <c r="O56" s="65">
        <f t="shared" si="4"/>
        <v>0</v>
      </c>
      <c r="P56" s="65">
        <f t="shared" si="5"/>
        <v>0</v>
      </c>
      <c r="Q56" s="65">
        <f t="shared" si="6"/>
        <v>0</v>
      </c>
      <c r="R56" s="65">
        <f t="shared" si="7"/>
        <v>0</v>
      </c>
      <c r="S56" s="128"/>
    </row>
    <row r="57" spans="1:19" s="10" customFormat="1" ht="15">
      <c r="S57" s="128"/>
    </row>
    <row r="58" spans="1:19" s="10" customFormat="1" ht="15">
      <c r="S58" s="128"/>
    </row>
    <row r="59" spans="1:19" s="10" customFormat="1" ht="15">
      <c r="S59" s="128"/>
    </row>
    <row r="60" spans="1:19" s="10" customFormat="1" ht="15"/>
    <row r="61" spans="1:19" s="10" customFormat="1" ht="15"/>
    <row r="62" spans="1:19" s="10" customFormat="1" ht="15"/>
    <row r="63" spans="1:19" s="10" customFormat="1" ht="15"/>
    <row r="64" spans="1:19" s="10" customFormat="1" ht="15"/>
    <row r="65" s="10" customFormat="1" ht="15"/>
    <row r="66" s="10" customFormat="1" ht="15"/>
    <row r="67" s="10" customFormat="1" ht="15"/>
    <row r="68" s="10" customFormat="1" ht="15"/>
    <row r="69" s="10" customFormat="1" ht="15"/>
    <row r="70" s="10" customFormat="1" ht="15"/>
    <row r="71" s="10" customFormat="1" ht="15"/>
    <row r="72" s="10" customFormat="1" ht="15"/>
    <row r="73" s="10" customFormat="1" ht="15"/>
    <row r="74" s="10" customFormat="1" ht="15"/>
    <row r="75" s="10" customFormat="1" ht="15"/>
    <row r="76" s="10" customFormat="1" ht="15"/>
    <row r="77" s="10" customFormat="1" ht="15"/>
    <row r="78" s="10" customFormat="1" ht="15"/>
    <row r="79" s="10" customFormat="1" ht="15"/>
    <row r="80" s="10" customFormat="1" ht="15"/>
    <row r="81" s="10" customFormat="1" ht="15"/>
    <row r="82" s="10" customFormat="1" ht="15"/>
    <row r="83" s="10" customFormat="1" ht="15"/>
    <row r="84" s="10" customFormat="1" ht="15"/>
    <row r="85" s="10" customFormat="1" ht="15"/>
    <row r="86" s="10" customFormat="1" ht="15"/>
    <row r="87" s="10" customFormat="1" ht="15"/>
    <row r="88" s="10" customFormat="1" ht="15"/>
    <row r="89" s="10" customFormat="1" ht="15"/>
    <row r="90" s="10" customFormat="1" ht="15"/>
    <row r="91" s="10" customFormat="1" ht="15"/>
    <row r="92" s="10" customFormat="1" ht="15"/>
    <row r="93" s="10" customFormat="1" ht="15"/>
    <row r="94" s="10" customFormat="1" ht="15"/>
    <row r="95" s="10" customFormat="1" ht="15"/>
    <row r="96" s="10" customFormat="1" ht="15"/>
    <row r="97" s="10" customFormat="1" ht="15"/>
    <row r="98" s="10" customFormat="1" ht="15"/>
    <row r="99" s="10" customFormat="1" ht="15"/>
    <row r="100" s="10" customFormat="1" ht="15"/>
    <row r="101" s="10" customFormat="1" ht="15"/>
    <row r="102" s="10" customFormat="1" ht="15"/>
    <row r="103" s="10" customFormat="1" ht="15"/>
    <row r="104" s="10" customFormat="1" ht="15"/>
    <row r="105" s="10" customFormat="1" ht="15"/>
  </sheetData>
  <mergeCells count="104">
    <mergeCell ref="B46:B48"/>
    <mergeCell ref="C46:C48"/>
    <mergeCell ref="A28:A48"/>
    <mergeCell ref="P26:R26"/>
    <mergeCell ref="D52:G52"/>
    <mergeCell ref="D53:G53"/>
    <mergeCell ref="D54:G54"/>
    <mergeCell ref="H45:K45"/>
    <mergeCell ref="H46:K46"/>
    <mergeCell ref="H48:K48"/>
    <mergeCell ref="H49:K49"/>
    <mergeCell ref="H50:K50"/>
    <mergeCell ref="H51:K51"/>
    <mergeCell ref="H52:K52"/>
    <mergeCell ref="H53:K53"/>
    <mergeCell ref="H54:K54"/>
    <mergeCell ref="D46:G46"/>
    <mergeCell ref="D48:G48"/>
    <mergeCell ref="D49:G49"/>
    <mergeCell ref="D50:G50"/>
    <mergeCell ref="D51:G51"/>
    <mergeCell ref="B38:B40"/>
    <mergeCell ref="C38:C40"/>
    <mergeCell ref="B41:B42"/>
    <mergeCell ref="L26:L27"/>
    <mergeCell ref="D27:G27"/>
    <mergeCell ref="C41:C42"/>
    <mergeCell ref="D45:G45"/>
    <mergeCell ref="B43:B45"/>
    <mergeCell ref="C43:C45"/>
    <mergeCell ref="C32:C33"/>
    <mergeCell ref="B32:B33"/>
    <mergeCell ref="B34:B35"/>
    <mergeCell ref="C34:C35"/>
    <mergeCell ref="B36:B37"/>
    <mergeCell ref="C36:C37"/>
    <mergeCell ref="D32:G32"/>
    <mergeCell ref="D36:G36"/>
    <mergeCell ref="H36:K36"/>
    <mergeCell ref="D30:G30"/>
    <mergeCell ref="H30:K30"/>
    <mergeCell ref="B30:B31"/>
    <mergeCell ref="C30:C31"/>
    <mergeCell ref="D31:G31"/>
    <mergeCell ref="H31:K31"/>
    <mergeCell ref="H34:K34"/>
    <mergeCell ref="D35:G35"/>
    <mergeCell ref="H35:K35"/>
    <mergeCell ref="T22:AA22"/>
    <mergeCell ref="A23:Q23"/>
    <mergeCell ref="M1:M2"/>
    <mergeCell ref="N1:Q1"/>
    <mergeCell ref="T1:AA2"/>
    <mergeCell ref="U3:U18"/>
    <mergeCell ref="W3:W18"/>
    <mergeCell ref="Y3:Y18"/>
    <mergeCell ref="AA3:AA18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  <mergeCell ref="A26:A27"/>
    <mergeCell ref="B26:B27"/>
    <mergeCell ref="C26:C27"/>
    <mergeCell ref="D26:K26"/>
    <mergeCell ref="H27:K27"/>
    <mergeCell ref="D28:G28"/>
    <mergeCell ref="H28:K28"/>
    <mergeCell ref="D29:G29"/>
    <mergeCell ref="H29:K29"/>
    <mergeCell ref="C28:C29"/>
    <mergeCell ref="B28:B29"/>
    <mergeCell ref="D47:G47"/>
    <mergeCell ref="D44:G44"/>
    <mergeCell ref="D39:G39"/>
    <mergeCell ref="D55:G55"/>
    <mergeCell ref="H55:K55"/>
    <mergeCell ref="D56:G56"/>
    <mergeCell ref="H56:K56"/>
    <mergeCell ref="M26:O26"/>
    <mergeCell ref="D41:G41"/>
    <mergeCell ref="H41:K41"/>
    <mergeCell ref="D42:G42"/>
    <mergeCell ref="H42:K42"/>
    <mergeCell ref="D43:G43"/>
    <mergeCell ref="H43:K43"/>
    <mergeCell ref="D37:G37"/>
    <mergeCell ref="H37:K37"/>
    <mergeCell ref="D38:G38"/>
    <mergeCell ref="H38:K38"/>
    <mergeCell ref="D40:G40"/>
    <mergeCell ref="H32:K32"/>
    <mergeCell ref="D33:G33"/>
    <mergeCell ref="H33:K33"/>
    <mergeCell ref="H40:K40"/>
    <mergeCell ref="D34:G3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2"/>
  <sheetViews>
    <sheetView workbookViewId="0">
      <selection activeCell="J36" sqref="J36"/>
    </sheetView>
  </sheetViews>
  <sheetFormatPr defaultRowHeight="15"/>
  <cols>
    <col min="1" max="1" width="5" style="10" bestFit="1" customWidth="1"/>
    <col min="2" max="2" width="7" style="10" bestFit="1" customWidth="1"/>
    <col min="3" max="3" width="3.88671875" style="10" bestFit="1" customWidth="1"/>
    <col min="4" max="4" width="7" style="10" bestFit="1" customWidth="1"/>
    <col min="5" max="6" width="3.88671875" style="10" bestFit="1" customWidth="1"/>
    <col min="7" max="8" width="7" style="10" bestFit="1" customWidth="1"/>
    <col min="9" max="10" width="3.88671875" style="10" bestFit="1" customWidth="1"/>
    <col min="11" max="12" width="4.88671875" style="10" bestFit="1" customWidth="1"/>
    <col min="13" max="13" width="8" style="10" bestFit="1" customWidth="1"/>
    <col min="14" max="14" width="8.109375" style="10" bestFit="1" customWidth="1"/>
    <col min="15" max="15" width="4.33203125" style="10" bestFit="1" customWidth="1"/>
    <col min="16" max="16" width="4" style="10" bestFit="1" customWidth="1"/>
    <col min="17" max="18" width="8.88671875" style="10"/>
    <col min="19" max="19" width="10.44140625" style="10" bestFit="1" customWidth="1"/>
    <col min="20" max="16384" width="8.88671875" style="10"/>
  </cols>
  <sheetData>
    <row r="1" spans="1:15" ht="12.75" customHeight="1">
      <c r="A1" s="103"/>
      <c r="B1" s="37" t="s">
        <v>4</v>
      </c>
      <c r="C1" s="110" t="s">
        <v>5</v>
      </c>
      <c r="D1" s="37" t="s">
        <v>6</v>
      </c>
      <c r="E1" s="111" t="s">
        <v>7</v>
      </c>
      <c r="F1" s="37" t="s">
        <v>2</v>
      </c>
      <c r="G1" s="110" t="s">
        <v>8</v>
      </c>
      <c r="H1" s="37" t="s">
        <v>9</v>
      </c>
      <c r="I1" s="111" t="s">
        <v>10</v>
      </c>
      <c r="J1" s="37" t="s">
        <v>11</v>
      </c>
      <c r="K1" s="110" t="s">
        <v>12</v>
      </c>
      <c r="L1" s="37" t="s">
        <v>13</v>
      </c>
      <c r="M1" s="111" t="s">
        <v>14</v>
      </c>
      <c r="N1" s="34" t="s">
        <v>3</v>
      </c>
    </row>
    <row r="2" spans="1:15">
      <c r="A2" s="11">
        <v>1998</v>
      </c>
      <c r="B2" s="12"/>
      <c r="C2" s="12"/>
      <c r="D2" s="12"/>
      <c r="E2" s="12"/>
      <c r="F2" s="12"/>
      <c r="G2" s="12"/>
      <c r="H2" s="12"/>
      <c r="I2" s="38"/>
      <c r="J2" s="19"/>
      <c r="K2" s="19"/>
      <c r="L2" s="19"/>
      <c r="M2" s="19"/>
      <c r="N2" s="19">
        <f t="shared" ref="N2:N17" si="0">SUM(B2:M2)</f>
        <v>0</v>
      </c>
    </row>
    <row r="3" spans="1:15">
      <c r="A3" s="13">
        <v>1999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9">
        <f t="shared" si="0"/>
        <v>0</v>
      </c>
      <c r="O3" s="16"/>
    </row>
    <row r="4" spans="1:15" ht="15" customHeight="1">
      <c r="A4" s="13">
        <v>2000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9">
        <f t="shared" si="0"/>
        <v>0</v>
      </c>
      <c r="O4" s="16"/>
    </row>
    <row r="5" spans="1:15">
      <c r="A5" s="13">
        <v>2001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9">
        <f t="shared" si="0"/>
        <v>0</v>
      </c>
      <c r="O5" s="16"/>
    </row>
    <row r="6" spans="1:15">
      <c r="A6" s="13">
        <v>2002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9">
        <f t="shared" si="0"/>
        <v>0</v>
      </c>
      <c r="O6" s="16"/>
    </row>
    <row r="7" spans="1:15" ht="15" customHeight="1">
      <c r="A7" s="13">
        <v>2003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>
        <f t="shared" si="0"/>
        <v>0</v>
      </c>
      <c r="O7" s="16"/>
    </row>
    <row r="8" spans="1:15">
      <c r="A8" s="13">
        <v>2004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>
        <f t="shared" si="0"/>
        <v>0</v>
      </c>
      <c r="O8" s="16"/>
    </row>
    <row r="9" spans="1:15">
      <c r="A9" s="13">
        <v>2005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9">
        <f t="shared" si="0"/>
        <v>0</v>
      </c>
      <c r="O9" s="16"/>
    </row>
    <row r="10" spans="1:15">
      <c r="A10" s="13">
        <v>2006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9">
        <f t="shared" si="0"/>
        <v>0</v>
      </c>
      <c r="O10" s="16"/>
    </row>
    <row r="11" spans="1:15">
      <c r="A11" s="13">
        <v>2007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9">
        <f t="shared" si="0"/>
        <v>0</v>
      </c>
      <c r="O11" s="16"/>
    </row>
    <row r="12" spans="1:15">
      <c r="A12" s="13">
        <v>2008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9">
        <f t="shared" si="0"/>
        <v>0</v>
      </c>
      <c r="O12" s="16"/>
    </row>
    <row r="13" spans="1:15">
      <c r="A13" s="13">
        <v>2009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9">
        <f t="shared" si="0"/>
        <v>0</v>
      </c>
      <c r="O13" s="16"/>
    </row>
    <row r="14" spans="1:15">
      <c r="A14" s="13">
        <v>2010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9">
        <f t="shared" si="0"/>
        <v>0</v>
      </c>
      <c r="O14" s="16"/>
    </row>
    <row r="15" spans="1:15">
      <c r="A15" s="13">
        <v>2011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9">
        <f t="shared" si="0"/>
        <v>0</v>
      </c>
      <c r="O15" s="16"/>
    </row>
    <row r="16" spans="1:15">
      <c r="A16" s="13">
        <v>2012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9">
        <f t="shared" si="0"/>
        <v>0</v>
      </c>
      <c r="O16" s="16"/>
    </row>
    <row r="17" spans="1:19" ht="15.75">
      <c r="A17" s="13">
        <v>2013</v>
      </c>
      <c r="B17" s="17"/>
      <c r="C17" s="17"/>
      <c r="D17" s="17"/>
      <c r="E17" s="17"/>
      <c r="F17" s="17"/>
      <c r="G17" s="14"/>
      <c r="H17" s="14"/>
      <c r="I17" s="14"/>
      <c r="J17" s="14"/>
      <c r="K17" s="14"/>
      <c r="L17" s="14"/>
      <c r="M17" s="14"/>
      <c r="N17" s="19">
        <f t="shared" si="0"/>
        <v>0</v>
      </c>
      <c r="O17" s="15" t="s">
        <v>1</v>
      </c>
      <c r="P17" s="15" t="s">
        <v>2</v>
      </c>
    </row>
    <row r="18" spans="1:19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>
        <f>SUM(N2:N17)</f>
        <v>0</v>
      </c>
      <c r="S18" s="20"/>
    </row>
    <row r="20" spans="1:19">
      <c r="N20" s="45"/>
      <c r="S20" s="20"/>
    </row>
    <row r="22" spans="1:19" ht="15.75" customHeight="1">
      <c r="A22" s="426" t="s">
        <v>85</v>
      </c>
      <c r="B22" s="426"/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</row>
    <row r="23" spans="1:19" ht="1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5" spans="1:19"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  <c r="N25" s="486"/>
    </row>
    <row r="26" spans="1:19">
      <c r="N26" s="16"/>
    </row>
    <row r="27" spans="1:19">
      <c r="N27" s="16"/>
    </row>
    <row r="28" spans="1:19">
      <c r="N28" s="16"/>
    </row>
    <row r="29" spans="1:19">
      <c r="N29" s="16"/>
    </row>
    <row r="30" spans="1:19">
      <c r="N30" s="16"/>
    </row>
    <row r="31" spans="1:19">
      <c r="N31" s="16"/>
    </row>
    <row r="32" spans="1:19">
      <c r="N32" s="16"/>
    </row>
  </sheetData>
  <mergeCells count="2">
    <mergeCell ref="B25:N25"/>
    <mergeCell ref="A22:N2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2"/>
  <sheetViews>
    <sheetView workbookViewId="0">
      <selection activeCell="J34" sqref="J34"/>
    </sheetView>
  </sheetViews>
  <sheetFormatPr defaultRowHeight="15"/>
  <cols>
    <col min="1" max="1" width="5" style="10" bestFit="1" customWidth="1"/>
    <col min="2" max="2" width="7" style="10" bestFit="1" customWidth="1"/>
    <col min="3" max="3" width="3.88671875" style="10" bestFit="1" customWidth="1"/>
    <col min="4" max="4" width="7" style="10" bestFit="1" customWidth="1"/>
    <col min="5" max="6" width="3.88671875" style="10" bestFit="1" customWidth="1"/>
    <col min="7" max="8" width="7" style="10" bestFit="1" customWidth="1"/>
    <col min="9" max="11" width="8" style="10" bestFit="1" customWidth="1"/>
    <col min="12" max="14" width="9" style="10" bestFit="1" customWidth="1"/>
    <col min="15" max="15" width="4.33203125" style="10" bestFit="1" customWidth="1"/>
    <col min="16" max="16" width="4" style="10" bestFit="1" customWidth="1"/>
    <col min="17" max="18" width="8.88671875" style="10"/>
    <col min="19" max="19" width="10.44140625" style="10" bestFit="1" customWidth="1"/>
    <col min="20" max="16384" width="8.88671875" style="10"/>
  </cols>
  <sheetData>
    <row r="1" spans="1:15" ht="12.75" customHeight="1">
      <c r="A1" s="103"/>
      <c r="B1" s="37" t="s">
        <v>4</v>
      </c>
      <c r="C1" s="110" t="s">
        <v>5</v>
      </c>
      <c r="D1" s="37" t="s">
        <v>6</v>
      </c>
      <c r="E1" s="111" t="s">
        <v>7</v>
      </c>
      <c r="F1" s="37" t="s">
        <v>2</v>
      </c>
      <c r="G1" s="110" t="s">
        <v>8</v>
      </c>
      <c r="H1" s="37" t="s">
        <v>9</v>
      </c>
      <c r="I1" s="111" t="s">
        <v>10</v>
      </c>
      <c r="J1" s="37" t="s">
        <v>11</v>
      </c>
      <c r="K1" s="110" t="s">
        <v>12</v>
      </c>
      <c r="L1" s="37" t="s">
        <v>13</v>
      </c>
      <c r="M1" s="111" t="s">
        <v>14</v>
      </c>
      <c r="N1" s="34" t="s">
        <v>3</v>
      </c>
    </row>
    <row r="2" spans="1:15">
      <c r="A2" s="11">
        <v>1998</v>
      </c>
      <c r="B2" s="12"/>
      <c r="C2" s="12"/>
      <c r="D2" s="12"/>
      <c r="E2" s="12"/>
      <c r="F2" s="12"/>
      <c r="G2" s="12"/>
      <c r="H2" s="12"/>
      <c r="I2" s="38">
        <v>17.61</v>
      </c>
      <c r="J2" s="38">
        <v>79.239999999999995</v>
      </c>
      <c r="K2" s="38">
        <v>23.48</v>
      </c>
      <c r="L2" s="38">
        <v>184.89</v>
      </c>
      <c r="M2" s="38">
        <v>205.43</v>
      </c>
      <c r="N2" s="38">
        <f t="shared" ref="N2:N17" si="0">SUM(B2:M2)</f>
        <v>510.65</v>
      </c>
    </row>
    <row r="3" spans="1:15">
      <c r="A3" s="13">
        <v>1999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9">
        <f t="shared" si="0"/>
        <v>0</v>
      </c>
      <c r="O3" s="16"/>
    </row>
    <row r="4" spans="1:15" ht="15" customHeight="1">
      <c r="A4" s="13">
        <v>2000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9">
        <f t="shared" si="0"/>
        <v>0</v>
      </c>
      <c r="O4" s="16"/>
    </row>
    <row r="5" spans="1:15">
      <c r="A5" s="13">
        <v>2001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9">
        <f t="shared" si="0"/>
        <v>0</v>
      </c>
      <c r="O5" s="16"/>
    </row>
    <row r="6" spans="1:15">
      <c r="A6" s="13">
        <v>2002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9">
        <f t="shared" si="0"/>
        <v>0</v>
      </c>
      <c r="O6" s="16"/>
    </row>
    <row r="7" spans="1:15" ht="15" customHeight="1">
      <c r="A7" s="13">
        <v>2003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>
        <f t="shared" si="0"/>
        <v>0</v>
      </c>
      <c r="O7" s="16"/>
    </row>
    <row r="8" spans="1:15">
      <c r="A8" s="13">
        <v>2004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>
        <f t="shared" si="0"/>
        <v>0</v>
      </c>
      <c r="O8" s="16"/>
    </row>
    <row r="9" spans="1:15">
      <c r="A9" s="13">
        <v>2005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9">
        <f t="shared" si="0"/>
        <v>0</v>
      </c>
      <c r="O9" s="16"/>
    </row>
    <row r="10" spans="1:15">
      <c r="A10" s="13">
        <v>2006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9">
        <f t="shared" si="0"/>
        <v>0</v>
      </c>
      <c r="O10" s="16"/>
    </row>
    <row r="11" spans="1:15">
      <c r="A11" s="13">
        <v>2007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9">
        <f t="shared" si="0"/>
        <v>0</v>
      </c>
      <c r="O11" s="16"/>
    </row>
    <row r="12" spans="1:15">
      <c r="A12" s="13">
        <v>2008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9">
        <f t="shared" si="0"/>
        <v>0</v>
      </c>
      <c r="O12" s="16"/>
    </row>
    <row r="13" spans="1:15">
      <c r="A13" s="13">
        <v>2009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9">
        <f t="shared" si="0"/>
        <v>0</v>
      </c>
      <c r="O13" s="16"/>
    </row>
    <row r="14" spans="1:15">
      <c r="A14" s="13">
        <v>2010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9">
        <f t="shared" si="0"/>
        <v>0</v>
      </c>
      <c r="O14" s="16"/>
    </row>
    <row r="15" spans="1:15">
      <c r="A15" s="13">
        <v>2011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9">
        <f t="shared" si="0"/>
        <v>0</v>
      </c>
      <c r="O15" s="16"/>
    </row>
    <row r="16" spans="1:15">
      <c r="A16" s="13">
        <v>2012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9">
        <f t="shared" si="0"/>
        <v>0</v>
      </c>
      <c r="O16" s="16"/>
    </row>
    <row r="17" spans="1:19" ht="15.75">
      <c r="A17" s="13">
        <v>2013</v>
      </c>
      <c r="B17" s="17"/>
      <c r="C17" s="17"/>
      <c r="D17" s="17"/>
      <c r="E17" s="17"/>
      <c r="F17" s="17"/>
      <c r="G17" s="14"/>
      <c r="H17" s="14"/>
      <c r="I17" s="14"/>
      <c r="J17" s="14"/>
      <c r="K17" s="14"/>
      <c r="L17" s="14"/>
      <c r="M17" s="14"/>
      <c r="N17" s="19">
        <f t="shared" si="0"/>
        <v>0</v>
      </c>
      <c r="O17" s="15" t="s">
        <v>1</v>
      </c>
      <c r="P17" s="15" t="s">
        <v>2</v>
      </c>
    </row>
    <row r="18" spans="1:19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>
        <f>SUM(N2:N17)</f>
        <v>510.65</v>
      </c>
      <c r="S18" s="20"/>
    </row>
    <row r="20" spans="1:19">
      <c r="N20" s="45"/>
      <c r="S20" s="20"/>
    </row>
    <row r="22" spans="1:19" ht="15.75" customHeight="1">
      <c r="A22" s="426" t="s">
        <v>86</v>
      </c>
      <c r="B22" s="426"/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</row>
    <row r="23" spans="1:19" ht="1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5" spans="1:19"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  <c r="N25" s="486"/>
    </row>
    <row r="26" spans="1:19">
      <c r="N26" s="16"/>
    </row>
    <row r="27" spans="1:19">
      <c r="N27" s="16"/>
    </row>
    <row r="28" spans="1:19">
      <c r="N28" s="16"/>
    </row>
    <row r="29" spans="1:19">
      <c r="N29" s="16"/>
    </row>
    <row r="30" spans="1:19">
      <c r="N30" s="16"/>
    </row>
    <row r="31" spans="1:19">
      <c r="N31" s="16"/>
    </row>
    <row r="32" spans="1:19">
      <c r="N32" s="16"/>
    </row>
  </sheetData>
  <mergeCells count="2">
    <mergeCell ref="B25:N25"/>
    <mergeCell ref="A22:N2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K81"/>
  <sheetViews>
    <sheetView topLeftCell="X1" workbookViewId="0">
      <selection activeCell="Q37" sqref="Q37"/>
    </sheetView>
  </sheetViews>
  <sheetFormatPr defaultRowHeight="12.75"/>
  <cols>
    <col min="1" max="1" width="3.88671875" style="2" bestFit="1" customWidth="1"/>
    <col min="2" max="2" width="3.6640625" style="2" customWidth="1"/>
    <col min="3" max="3" width="3.44140625" style="2" customWidth="1"/>
    <col min="4" max="4" width="5" style="2" bestFit="1" customWidth="1"/>
    <col min="5" max="5" width="6.109375" style="2" bestFit="1" customWidth="1"/>
    <col min="6" max="6" width="3.6640625" style="2" customWidth="1"/>
    <col min="7" max="7" width="3.44140625" style="2" customWidth="1"/>
    <col min="8" max="8" width="5" style="2" bestFit="1" customWidth="1"/>
    <col min="9" max="9" width="6.109375" style="2" bestFit="1" customWidth="1"/>
    <col min="10" max="10" width="3.6640625" style="2" customWidth="1"/>
    <col min="11" max="11" width="3.44140625" style="2" customWidth="1"/>
    <col min="12" max="12" width="5" style="2" bestFit="1" customWidth="1"/>
    <col min="13" max="13" width="6.109375" style="2" bestFit="1" customWidth="1"/>
    <col min="14" max="14" width="3.6640625" style="2" customWidth="1"/>
    <col min="15" max="15" width="3.44140625" style="2" customWidth="1"/>
    <col min="16" max="16" width="5" style="2" bestFit="1" customWidth="1"/>
    <col min="17" max="17" width="6.109375" style="2" bestFit="1" customWidth="1"/>
    <col min="18" max="18" width="3.6640625" style="2" customWidth="1"/>
    <col min="19" max="19" width="3.44140625" style="2" customWidth="1"/>
    <col min="20" max="20" width="5" style="2" bestFit="1" customWidth="1"/>
    <col min="21" max="21" width="6.109375" style="2" bestFit="1" customWidth="1"/>
    <col min="22" max="22" width="3.6640625" style="2" customWidth="1"/>
    <col min="23" max="23" width="3.44140625" style="2" customWidth="1"/>
    <col min="24" max="24" width="5" style="2" bestFit="1" customWidth="1"/>
    <col min="25" max="25" width="6.109375" style="2" bestFit="1" customWidth="1"/>
    <col min="26" max="26" width="3.6640625" style="2" customWidth="1"/>
    <col min="27" max="27" width="3.44140625" style="2" customWidth="1"/>
    <col min="28" max="28" width="5" style="2" bestFit="1" customWidth="1"/>
    <col min="29" max="29" width="6.109375" style="2" bestFit="1" customWidth="1"/>
    <col min="30" max="30" width="3.6640625" style="2" customWidth="1"/>
    <col min="31" max="31" width="3.44140625" style="2" customWidth="1"/>
    <col min="32" max="32" width="5" style="2" bestFit="1" customWidth="1"/>
    <col min="33" max="33" width="6.109375" style="2" bestFit="1" customWidth="1"/>
    <col min="34" max="34" width="3.6640625" style="2" customWidth="1"/>
    <col min="35" max="35" width="3.44140625" style="2" customWidth="1"/>
    <col min="36" max="36" width="5" style="2" bestFit="1" customWidth="1"/>
    <col min="37" max="37" width="6.109375" style="2" bestFit="1" customWidth="1"/>
    <col min="38" max="38" width="4.88671875" style="2" bestFit="1" customWidth="1"/>
    <col min="39" max="40" width="4.88671875" style="2" customWidth="1"/>
    <col min="41" max="41" width="6.109375" style="2" bestFit="1" customWidth="1"/>
    <col min="42" max="42" width="3.6640625" style="2" customWidth="1"/>
    <col min="43" max="43" width="3.44140625" style="2" customWidth="1"/>
    <col min="44" max="44" width="5" style="2" bestFit="1" customWidth="1"/>
    <col min="45" max="45" width="6.109375" style="2" bestFit="1" customWidth="1"/>
    <col min="46" max="46" width="3.6640625" style="2" customWidth="1"/>
    <col min="47" max="47" width="3.44140625" style="2" customWidth="1"/>
    <col min="48" max="48" width="5" style="2" bestFit="1" customWidth="1"/>
    <col min="49" max="49" width="6.109375" style="2" bestFit="1" customWidth="1"/>
    <col min="50" max="51" width="4.88671875" style="2" bestFit="1" customWidth="1"/>
    <col min="52" max="52" width="5" style="2" bestFit="1" customWidth="1"/>
    <col min="53" max="53" width="6.109375" style="2" bestFit="1" customWidth="1"/>
    <col min="54" max="54" width="3.5546875" style="2" bestFit="1" customWidth="1"/>
    <col min="55" max="55" width="3.21875" style="2" bestFit="1" customWidth="1"/>
    <col min="56" max="56" width="8.44140625" style="2" bestFit="1" customWidth="1"/>
    <col min="57" max="57" width="5.21875" style="2" bestFit="1" customWidth="1"/>
    <col min="58" max="58" width="8.44140625" style="2" bestFit="1" customWidth="1"/>
    <col min="59" max="59" width="5.44140625" style="2" bestFit="1" customWidth="1"/>
    <col min="60" max="60" width="9.21875" style="2" bestFit="1" customWidth="1"/>
    <col min="61" max="61" width="5.44140625" style="2" customWidth="1"/>
    <col min="62" max="62" width="9" style="2" bestFit="1" customWidth="1"/>
    <col min="63" max="63" width="6" style="2" customWidth="1"/>
    <col min="64" max="16384" width="8.88671875" style="2"/>
  </cols>
  <sheetData>
    <row r="1" spans="1:63" ht="15">
      <c r="A1" s="442" t="s">
        <v>18</v>
      </c>
      <c r="B1" s="527" t="s">
        <v>4</v>
      </c>
      <c r="C1" s="527"/>
      <c r="D1" s="527"/>
      <c r="E1" s="527"/>
      <c r="F1" s="526" t="s">
        <v>5</v>
      </c>
      <c r="G1" s="526"/>
      <c r="H1" s="526"/>
      <c r="I1" s="526"/>
      <c r="J1" s="527" t="s">
        <v>6</v>
      </c>
      <c r="K1" s="527"/>
      <c r="L1" s="527"/>
      <c r="M1" s="527"/>
      <c r="N1" s="526" t="s">
        <v>7</v>
      </c>
      <c r="O1" s="526"/>
      <c r="P1" s="526"/>
      <c r="Q1" s="526"/>
      <c r="R1" s="527" t="s">
        <v>2</v>
      </c>
      <c r="S1" s="527"/>
      <c r="T1" s="527"/>
      <c r="U1" s="527"/>
      <c r="V1" s="526" t="s">
        <v>8</v>
      </c>
      <c r="W1" s="526"/>
      <c r="X1" s="526"/>
      <c r="Y1" s="526"/>
      <c r="Z1" s="527" t="s">
        <v>9</v>
      </c>
      <c r="AA1" s="527"/>
      <c r="AB1" s="527"/>
      <c r="AC1" s="527"/>
      <c r="AD1" s="528" t="s">
        <v>10</v>
      </c>
      <c r="AE1" s="529"/>
      <c r="AF1" s="529"/>
      <c r="AG1" s="530"/>
      <c r="AH1" s="531" t="s">
        <v>11</v>
      </c>
      <c r="AI1" s="532"/>
      <c r="AJ1" s="532"/>
      <c r="AK1" s="533"/>
      <c r="AL1" s="528" t="s">
        <v>12</v>
      </c>
      <c r="AM1" s="529"/>
      <c r="AN1" s="529"/>
      <c r="AO1" s="530"/>
      <c r="AP1" s="531" t="s">
        <v>13</v>
      </c>
      <c r="AQ1" s="532"/>
      <c r="AR1" s="532"/>
      <c r="AS1" s="533"/>
      <c r="AT1" s="526" t="s">
        <v>14</v>
      </c>
      <c r="AU1" s="526"/>
      <c r="AV1" s="526"/>
      <c r="AW1" s="526"/>
      <c r="AX1" s="515" t="s">
        <v>16</v>
      </c>
      <c r="AY1" s="516"/>
      <c r="AZ1" s="516"/>
      <c r="BA1" s="517"/>
      <c r="BD1" s="107" t="s">
        <v>71</v>
      </c>
      <c r="BE1" s="107"/>
      <c r="BF1" s="107"/>
      <c r="BG1" s="107"/>
      <c r="BH1" s="107"/>
      <c r="BI1" s="107"/>
      <c r="BJ1" s="107"/>
      <c r="BK1" s="107"/>
    </row>
    <row r="2" spans="1:63" ht="15.75" customHeight="1" thickBot="1">
      <c r="A2" s="443"/>
      <c r="B2" s="87" t="s">
        <v>63</v>
      </c>
      <c r="C2" s="87" t="s">
        <v>56</v>
      </c>
      <c r="D2" s="87" t="s">
        <v>65</v>
      </c>
      <c r="E2" s="88" t="s">
        <v>64</v>
      </c>
      <c r="F2" s="87" t="s">
        <v>63</v>
      </c>
      <c r="G2" s="87" t="s">
        <v>56</v>
      </c>
      <c r="H2" s="87" t="s">
        <v>65</v>
      </c>
      <c r="I2" s="109" t="s">
        <v>64</v>
      </c>
      <c r="J2" s="87" t="s">
        <v>63</v>
      </c>
      <c r="K2" s="87" t="s">
        <v>56</v>
      </c>
      <c r="L2" s="87" t="s">
        <v>65</v>
      </c>
      <c r="M2" s="88" t="s">
        <v>64</v>
      </c>
      <c r="N2" s="87" t="s">
        <v>63</v>
      </c>
      <c r="O2" s="87" t="s">
        <v>56</v>
      </c>
      <c r="P2" s="87" t="s">
        <v>65</v>
      </c>
      <c r="Q2" s="109" t="s">
        <v>64</v>
      </c>
      <c r="R2" s="87" t="s">
        <v>63</v>
      </c>
      <c r="S2" s="87" t="s">
        <v>56</v>
      </c>
      <c r="T2" s="87" t="s">
        <v>65</v>
      </c>
      <c r="U2" s="88" t="s">
        <v>64</v>
      </c>
      <c r="V2" s="87" t="s">
        <v>63</v>
      </c>
      <c r="W2" s="87" t="s">
        <v>56</v>
      </c>
      <c r="X2" s="87" t="s">
        <v>65</v>
      </c>
      <c r="Y2" s="109" t="s">
        <v>64</v>
      </c>
      <c r="Z2" s="87" t="s">
        <v>63</v>
      </c>
      <c r="AA2" s="87" t="s">
        <v>56</v>
      </c>
      <c r="AB2" s="87" t="s">
        <v>65</v>
      </c>
      <c r="AC2" s="88" t="s">
        <v>64</v>
      </c>
      <c r="AD2" s="87" t="s">
        <v>63</v>
      </c>
      <c r="AE2" s="87" t="s">
        <v>56</v>
      </c>
      <c r="AF2" s="87" t="s">
        <v>65</v>
      </c>
      <c r="AG2" s="109" t="s">
        <v>64</v>
      </c>
      <c r="AH2" s="87" t="s">
        <v>63</v>
      </c>
      <c r="AI2" s="87" t="s">
        <v>56</v>
      </c>
      <c r="AJ2" s="87" t="s">
        <v>65</v>
      </c>
      <c r="AK2" s="88" t="s">
        <v>64</v>
      </c>
      <c r="AL2" s="87" t="s">
        <v>63</v>
      </c>
      <c r="AM2" s="87" t="s">
        <v>56</v>
      </c>
      <c r="AN2" s="87" t="s">
        <v>65</v>
      </c>
      <c r="AO2" s="109" t="s">
        <v>64</v>
      </c>
      <c r="AP2" s="87" t="s">
        <v>63</v>
      </c>
      <c r="AQ2" s="87" t="s">
        <v>56</v>
      </c>
      <c r="AR2" s="87" t="s">
        <v>65</v>
      </c>
      <c r="AS2" s="88" t="s">
        <v>64</v>
      </c>
      <c r="AT2" s="87" t="s">
        <v>63</v>
      </c>
      <c r="AU2" s="87" t="s">
        <v>56</v>
      </c>
      <c r="AV2" s="87" t="s">
        <v>65</v>
      </c>
      <c r="AW2" s="109" t="s">
        <v>64</v>
      </c>
      <c r="AX2" s="87" t="s">
        <v>63</v>
      </c>
      <c r="AY2" s="87" t="s">
        <v>56</v>
      </c>
      <c r="AZ2" s="87" t="s">
        <v>65</v>
      </c>
      <c r="BA2" s="88" t="s">
        <v>64</v>
      </c>
      <c r="BD2" s="107"/>
      <c r="BE2" s="107"/>
      <c r="BF2" s="107"/>
      <c r="BG2" s="107"/>
      <c r="BH2" s="107"/>
      <c r="BI2" s="107"/>
      <c r="BJ2" s="107"/>
      <c r="BK2" s="107"/>
    </row>
    <row r="3" spans="1:63" ht="12.75" customHeight="1">
      <c r="A3" s="7">
        <v>1998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59"/>
      <c r="AE3" s="59"/>
      <c r="AF3" s="59"/>
      <c r="AG3" s="59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59"/>
      <c r="AU3" s="59"/>
      <c r="AV3" s="59"/>
      <c r="AW3" s="59"/>
      <c r="AX3" s="59">
        <f>B3+F3+J3+N3+R3+V3+Z3+AD3+AH3+AL3+AP3+AT3</f>
        <v>0</v>
      </c>
      <c r="AY3" s="59">
        <f t="shared" ref="AY3:BA18" si="0">C3+G3+K3+O3+S3+W3+AA3+AE3+AI3+AM3+AQ3+AU3</f>
        <v>0</v>
      </c>
      <c r="AZ3" s="59">
        <f t="shared" si="0"/>
        <v>0</v>
      </c>
      <c r="BA3" s="59">
        <f t="shared" si="0"/>
        <v>0</v>
      </c>
      <c r="BD3" s="77"/>
      <c r="BE3" s="451" t="s">
        <v>67</v>
      </c>
      <c r="BF3" s="6"/>
      <c r="BG3" s="451" t="s">
        <v>68</v>
      </c>
      <c r="BH3" s="77"/>
      <c r="BI3" s="451" t="s">
        <v>69</v>
      </c>
      <c r="BJ3" s="77"/>
      <c r="BK3" s="451" t="s">
        <v>70</v>
      </c>
    </row>
    <row r="4" spans="1:63">
      <c r="A4" s="1">
        <v>1999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59"/>
      <c r="AV4" s="59"/>
      <c r="AW4" s="59"/>
      <c r="AX4" s="59">
        <f t="shared" ref="AX4:AX18" si="1">B4+F4+J4+N4+R4+V4+Z4+AD4+AH4+AL4+AP4+AT4</f>
        <v>0</v>
      </c>
      <c r="AY4" s="59">
        <f t="shared" si="0"/>
        <v>0</v>
      </c>
      <c r="AZ4" s="59">
        <f t="shared" si="0"/>
        <v>0</v>
      </c>
      <c r="BA4" s="59">
        <f t="shared" si="0"/>
        <v>0</v>
      </c>
      <c r="BD4" s="77"/>
      <c r="BE4" s="451"/>
      <c r="BF4" s="6"/>
      <c r="BG4" s="451"/>
      <c r="BH4" s="77"/>
      <c r="BI4" s="451"/>
      <c r="BJ4" s="77"/>
      <c r="BK4" s="451"/>
    </row>
    <row r="5" spans="1:63">
      <c r="A5" s="1">
        <v>2000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59"/>
      <c r="AV5" s="59"/>
      <c r="AW5" s="59"/>
      <c r="AX5" s="59">
        <f t="shared" si="1"/>
        <v>0</v>
      </c>
      <c r="AY5" s="59">
        <f t="shared" si="0"/>
        <v>0</v>
      </c>
      <c r="AZ5" s="59">
        <f t="shared" si="0"/>
        <v>0</v>
      </c>
      <c r="BA5" s="59">
        <f t="shared" si="0"/>
        <v>0</v>
      </c>
      <c r="BD5" s="77"/>
      <c r="BE5" s="451"/>
      <c r="BF5" s="6"/>
      <c r="BG5" s="451"/>
      <c r="BH5" s="77"/>
      <c r="BI5" s="451"/>
      <c r="BJ5" s="77"/>
      <c r="BK5" s="451"/>
    </row>
    <row r="6" spans="1:63">
      <c r="A6" s="1">
        <v>2001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59"/>
      <c r="AV6" s="59"/>
      <c r="AW6" s="59"/>
      <c r="AX6" s="59">
        <f t="shared" si="1"/>
        <v>0</v>
      </c>
      <c r="AY6" s="59">
        <f t="shared" si="0"/>
        <v>0</v>
      </c>
      <c r="AZ6" s="59">
        <f t="shared" si="0"/>
        <v>0</v>
      </c>
      <c r="BA6" s="59">
        <f t="shared" si="0"/>
        <v>0</v>
      </c>
      <c r="BD6" s="77"/>
      <c r="BE6" s="451"/>
      <c r="BF6" s="6"/>
      <c r="BG6" s="451"/>
      <c r="BH6" s="77"/>
      <c r="BI6" s="451"/>
      <c r="BJ6" s="77"/>
      <c r="BK6" s="451"/>
    </row>
    <row r="7" spans="1:63">
      <c r="A7" s="1">
        <v>2002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59"/>
      <c r="AV7" s="59"/>
      <c r="AW7" s="59"/>
      <c r="AX7" s="59">
        <f t="shared" si="1"/>
        <v>0</v>
      </c>
      <c r="AY7" s="59">
        <f t="shared" si="0"/>
        <v>0</v>
      </c>
      <c r="AZ7" s="59">
        <f t="shared" si="0"/>
        <v>0</v>
      </c>
      <c r="BA7" s="59">
        <f t="shared" si="0"/>
        <v>0</v>
      </c>
      <c r="BD7" s="77"/>
      <c r="BE7" s="451"/>
      <c r="BF7" s="6"/>
      <c r="BG7" s="451"/>
      <c r="BH7" s="77"/>
      <c r="BI7" s="451"/>
      <c r="BJ7" s="77"/>
      <c r="BK7" s="451"/>
    </row>
    <row r="8" spans="1:63">
      <c r="A8" s="1">
        <v>2003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112"/>
      <c r="AV8" s="112"/>
      <c r="AW8" s="112"/>
      <c r="AX8" s="59">
        <f t="shared" si="1"/>
        <v>0</v>
      </c>
      <c r="AY8" s="59">
        <f t="shared" si="0"/>
        <v>0</v>
      </c>
      <c r="AZ8" s="59">
        <f t="shared" si="0"/>
        <v>0</v>
      </c>
      <c r="BA8" s="59">
        <f t="shared" si="0"/>
        <v>0</v>
      </c>
      <c r="BD8" s="77"/>
      <c r="BE8" s="451"/>
      <c r="BF8" s="6"/>
      <c r="BG8" s="451"/>
      <c r="BH8" s="77"/>
      <c r="BI8" s="451"/>
      <c r="BJ8" s="77"/>
      <c r="BK8" s="451"/>
    </row>
    <row r="9" spans="1:63" ht="15" customHeight="1">
      <c r="A9" s="1">
        <v>2004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112"/>
      <c r="AV9" s="112"/>
      <c r="AW9" s="112"/>
      <c r="AX9" s="59">
        <f t="shared" si="1"/>
        <v>0</v>
      </c>
      <c r="AY9" s="59">
        <f t="shared" si="0"/>
        <v>0</v>
      </c>
      <c r="AZ9" s="59">
        <f t="shared" si="0"/>
        <v>0</v>
      </c>
      <c r="BA9" s="59">
        <f t="shared" si="0"/>
        <v>0</v>
      </c>
      <c r="BD9" s="77"/>
      <c r="BE9" s="451"/>
      <c r="BF9" s="6"/>
      <c r="BG9" s="451"/>
      <c r="BH9" s="77"/>
      <c r="BI9" s="451"/>
      <c r="BJ9" s="77"/>
      <c r="BK9" s="451"/>
    </row>
    <row r="10" spans="1:63" ht="15" customHeight="1">
      <c r="A10" s="1">
        <v>2005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59"/>
      <c r="AV10" s="59"/>
      <c r="AW10" s="59"/>
      <c r="AX10" s="59">
        <f t="shared" si="1"/>
        <v>0</v>
      </c>
      <c r="AY10" s="59">
        <f t="shared" si="0"/>
        <v>0</v>
      </c>
      <c r="AZ10" s="59">
        <f t="shared" si="0"/>
        <v>0</v>
      </c>
      <c r="BA10" s="59">
        <f t="shared" si="0"/>
        <v>0</v>
      </c>
      <c r="BD10" s="77"/>
      <c r="BE10" s="451"/>
      <c r="BF10" s="6"/>
      <c r="BG10" s="451"/>
      <c r="BH10" s="77"/>
      <c r="BI10" s="451"/>
      <c r="BJ10" s="77"/>
      <c r="BK10" s="451"/>
    </row>
    <row r="11" spans="1:63" ht="15" customHeight="1">
      <c r="A11" s="1">
        <v>2006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59"/>
      <c r="AV11" s="59"/>
      <c r="AW11" s="59"/>
      <c r="AX11" s="59">
        <f t="shared" si="1"/>
        <v>0</v>
      </c>
      <c r="AY11" s="59">
        <f t="shared" si="0"/>
        <v>0</v>
      </c>
      <c r="AZ11" s="59">
        <f t="shared" si="0"/>
        <v>0</v>
      </c>
      <c r="BA11" s="59">
        <f t="shared" si="0"/>
        <v>0</v>
      </c>
      <c r="BD11" s="77"/>
      <c r="BE11" s="451"/>
      <c r="BF11" s="6"/>
      <c r="BG11" s="451"/>
      <c r="BH11" s="77"/>
      <c r="BI11" s="451"/>
      <c r="BJ11" s="77"/>
      <c r="BK11" s="451"/>
    </row>
    <row r="12" spans="1:63">
      <c r="A12" s="1">
        <v>2007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59"/>
      <c r="AV12" s="59"/>
      <c r="AW12" s="59"/>
      <c r="AX12" s="59">
        <f t="shared" si="1"/>
        <v>0</v>
      </c>
      <c r="AY12" s="59">
        <f t="shared" si="0"/>
        <v>0</v>
      </c>
      <c r="AZ12" s="59">
        <f t="shared" si="0"/>
        <v>0</v>
      </c>
      <c r="BA12" s="59">
        <f t="shared" si="0"/>
        <v>0</v>
      </c>
      <c r="BD12" s="77"/>
      <c r="BE12" s="451"/>
      <c r="BF12" s="6"/>
      <c r="BG12" s="451"/>
      <c r="BH12" s="77"/>
      <c r="BI12" s="451"/>
      <c r="BJ12" s="78"/>
      <c r="BK12" s="451"/>
    </row>
    <row r="13" spans="1:63">
      <c r="A13" s="1">
        <v>2008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59"/>
      <c r="AV13" s="59"/>
      <c r="AW13" s="59"/>
      <c r="AX13" s="59">
        <f t="shared" si="1"/>
        <v>0</v>
      </c>
      <c r="AY13" s="59">
        <f t="shared" si="0"/>
        <v>0</v>
      </c>
      <c r="AZ13" s="59">
        <f t="shared" si="0"/>
        <v>0</v>
      </c>
      <c r="BA13" s="59">
        <f t="shared" si="0"/>
        <v>0</v>
      </c>
      <c r="BD13" s="77"/>
      <c r="BE13" s="451"/>
      <c r="BF13" s="6"/>
      <c r="BG13" s="451"/>
      <c r="BH13" s="77"/>
      <c r="BI13" s="451"/>
      <c r="BJ13" s="78"/>
      <c r="BK13" s="451"/>
    </row>
    <row r="14" spans="1:63">
      <c r="A14" s="1">
        <v>2009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59"/>
      <c r="AV14" s="59"/>
      <c r="AW14" s="59"/>
      <c r="AX14" s="59">
        <f t="shared" si="1"/>
        <v>0</v>
      </c>
      <c r="AY14" s="59">
        <f t="shared" si="0"/>
        <v>0</v>
      </c>
      <c r="AZ14" s="59">
        <f t="shared" si="0"/>
        <v>0</v>
      </c>
      <c r="BA14" s="59">
        <f t="shared" si="0"/>
        <v>0</v>
      </c>
      <c r="BD14" s="77"/>
      <c r="BE14" s="451"/>
      <c r="BF14" s="6"/>
      <c r="BG14" s="451"/>
      <c r="BH14" s="77"/>
      <c r="BI14" s="451"/>
      <c r="BJ14" s="78"/>
      <c r="BK14" s="451"/>
    </row>
    <row r="15" spans="1:63">
      <c r="A15" s="1">
        <v>2010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59"/>
      <c r="AV15" s="59"/>
      <c r="AW15" s="59"/>
      <c r="AX15" s="59">
        <f t="shared" si="1"/>
        <v>0</v>
      </c>
      <c r="AY15" s="59">
        <f t="shared" si="0"/>
        <v>0</v>
      </c>
      <c r="AZ15" s="59">
        <f t="shared" si="0"/>
        <v>0</v>
      </c>
      <c r="BA15" s="59">
        <f t="shared" si="0"/>
        <v>0</v>
      </c>
      <c r="BD15" s="77"/>
      <c r="BE15" s="451"/>
      <c r="BF15" s="6"/>
      <c r="BG15" s="451"/>
      <c r="BH15" s="77"/>
      <c r="BI15" s="451"/>
      <c r="BJ15" s="78"/>
      <c r="BK15" s="451"/>
    </row>
    <row r="16" spans="1:63">
      <c r="A16" s="1">
        <v>2011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59"/>
      <c r="AV16" s="59"/>
      <c r="AW16" s="59"/>
      <c r="AX16" s="59">
        <f t="shared" si="1"/>
        <v>0</v>
      </c>
      <c r="AY16" s="59">
        <f t="shared" si="0"/>
        <v>0</v>
      </c>
      <c r="AZ16" s="59">
        <f t="shared" si="0"/>
        <v>0</v>
      </c>
      <c r="BA16" s="59">
        <f t="shared" si="0"/>
        <v>0</v>
      </c>
      <c r="BD16" s="77"/>
      <c r="BE16" s="451"/>
      <c r="BF16" s="6"/>
      <c r="BG16" s="451"/>
      <c r="BH16" s="77"/>
      <c r="BI16" s="451"/>
      <c r="BJ16" s="78"/>
      <c r="BK16" s="451"/>
    </row>
    <row r="17" spans="1:63">
      <c r="A17" s="1">
        <v>2012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59"/>
      <c r="AV17" s="59"/>
      <c r="AW17" s="59"/>
      <c r="AX17" s="59">
        <f t="shared" si="1"/>
        <v>0</v>
      </c>
      <c r="AY17" s="59">
        <f t="shared" si="0"/>
        <v>0</v>
      </c>
      <c r="AZ17" s="59">
        <f t="shared" si="0"/>
        <v>0</v>
      </c>
      <c r="BA17" s="59">
        <f t="shared" si="0"/>
        <v>0</v>
      </c>
      <c r="BD17" s="77"/>
      <c r="BE17" s="451"/>
      <c r="BF17" s="6"/>
      <c r="BG17" s="451"/>
      <c r="BH17" s="77"/>
      <c r="BI17" s="451"/>
      <c r="BJ17" s="78"/>
      <c r="BK17" s="451"/>
    </row>
    <row r="18" spans="1:63">
      <c r="A18" s="1">
        <v>2013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9"/>
      <c r="AV18" s="9"/>
      <c r="AW18" s="9"/>
      <c r="AX18" s="59">
        <f t="shared" si="1"/>
        <v>0</v>
      </c>
      <c r="AY18" s="59">
        <f t="shared" si="0"/>
        <v>0</v>
      </c>
      <c r="AZ18" s="59">
        <f t="shared" si="0"/>
        <v>0</v>
      </c>
      <c r="BA18" s="59">
        <f t="shared" si="0"/>
        <v>0</v>
      </c>
      <c r="BB18" s="5" t="s">
        <v>1</v>
      </c>
      <c r="BC18" s="5" t="s">
        <v>2</v>
      </c>
      <c r="BD18" s="77"/>
      <c r="BE18" s="451"/>
      <c r="BF18" s="6"/>
      <c r="BG18" s="451"/>
      <c r="BH18" s="77"/>
      <c r="BI18" s="451"/>
      <c r="BJ18" s="78"/>
      <c r="BK18" s="451"/>
    </row>
    <row r="19" spans="1:63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3">
        <f>SUM(AX3:AX18)</f>
        <v>0</v>
      </c>
      <c r="AY19" s="3">
        <f t="shared" ref="AY19:BA19" si="2">SUM(AY3:AY18)</f>
        <v>0</v>
      </c>
      <c r="AZ19" s="3">
        <f t="shared" si="2"/>
        <v>0</v>
      </c>
      <c r="BA19" s="3">
        <f t="shared" si="2"/>
        <v>0</v>
      </c>
      <c r="BD19" s="4">
        <f>SUM(BD3:BD18)</f>
        <v>0</v>
      </c>
      <c r="BF19" s="48">
        <f>SUM(BF3:BF18)</f>
        <v>0</v>
      </c>
      <c r="BH19" s="48">
        <f>SUM(BH3:BH18)</f>
        <v>0</v>
      </c>
      <c r="BJ19" s="4">
        <f>SUM(BJ3:BJ18)</f>
        <v>0</v>
      </c>
    </row>
    <row r="22" spans="1:63" s="10" customFormat="1" ht="15">
      <c r="A22"/>
      <c r="BD22" s="108"/>
      <c r="BE22" s="489" t="s">
        <v>66</v>
      </c>
      <c r="BF22" s="489"/>
      <c r="BG22" s="489"/>
      <c r="BH22" s="489"/>
      <c r="BI22" s="489"/>
      <c r="BJ22" s="489"/>
      <c r="BK22" s="489"/>
    </row>
    <row r="23" spans="1:63" s="10" customFormat="1" ht="15.75" customHeight="1">
      <c r="A23" s="426" t="s">
        <v>87</v>
      </c>
      <c r="B23" s="426"/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6"/>
      <c r="W23" s="426"/>
      <c r="X23" s="426"/>
      <c r="Y23" s="426"/>
      <c r="Z23" s="426"/>
      <c r="AA23" s="426"/>
      <c r="AB23" s="426"/>
      <c r="AC23" s="426"/>
      <c r="AD23" s="426"/>
      <c r="AE23" s="426"/>
      <c r="AF23" s="426"/>
      <c r="AG23" s="426"/>
      <c r="AH23" s="426"/>
      <c r="AI23" s="426"/>
      <c r="AJ23" s="426"/>
      <c r="AK23" s="426"/>
      <c r="AL23" s="426"/>
      <c r="AM23" s="426"/>
      <c r="AN23" s="426"/>
      <c r="AO23" s="426"/>
      <c r="AP23" s="426"/>
      <c r="AQ23" s="426"/>
      <c r="AR23" s="426"/>
      <c r="AS23" s="426"/>
      <c r="AT23" s="426"/>
      <c r="AU23" s="426"/>
      <c r="AV23" s="426"/>
      <c r="AW23" s="426"/>
      <c r="AX23" s="426"/>
      <c r="AY23" s="426"/>
      <c r="AZ23" s="426"/>
      <c r="BA23" s="426"/>
      <c r="BB23" s="60"/>
      <c r="BC23" s="60"/>
      <c r="BD23" s="60"/>
      <c r="BE23" s="60"/>
      <c r="BF23" s="60"/>
      <c r="BG23" s="60"/>
    </row>
    <row r="24" spans="1:63" s="10" customFormat="1" ht="1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</row>
    <row r="25" spans="1:63" s="10" customFormat="1" ht="15"/>
    <row r="26" spans="1:63" s="10" customFormat="1" ht="15"/>
    <row r="27" spans="1:63" s="10" customFormat="1" ht="15"/>
    <row r="28" spans="1:63" s="10" customFormat="1" ht="15"/>
    <row r="29" spans="1:63" s="10" customFormat="1" ht="15"/>
    <row r="30" spans="1:63" s="10" customFormat="1" ht="15"/>
    <row r="31" spans="1:63" s="10" customFormat="1" ht="15"/>
    <row r="32" spans="1:63" s="10" customFormat="1" ht="15"/>
    <row r="33" s="10" customFormat="1" ht="15"/>
    <row r="34" s="10" customFormat="1" ht="15"/>
    <row r="35" s="10" customFormat="1" ht="15"/>
    <row r="36" s="10" customFormat="1" ht="15"/>
    <row r="37" s="10" customFormat="1" ht="15"/>
    <row r="38" s="10" customFormat="1" ht="15"/>
    <row r="39" s="10" customFormat="1" ht="15"/>
    <row r="40" s="10" customFormat="1" ht="15"/>
    <row r="41" s="10" customFormat="1" ht="15"/>
    <row r="42" s="10" customFormat="1" ht="15"/>
    <row r="43" s="10" customFormat="1" ht="15"/>
    <row r="44" s="10" customFormat="1" ht="15"/>
    <row r="45" s="10" customFormat="1" ht="15"/>
    <row r="46" s="10" customFormat="1" ht="15"/>
    <row r="47" s="10" customFormat="1" ht="15"/>
    <row r="48" s="10" customFormat="1" ht="15"/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  <row r="61" s="10" customFormat="1" ht="15"/>
    <row r="62" s="10" customFormat="1" ht="15"/>
    <row r="63" s="10" customFormat="1" ht="15"/>
    <row r="64" s="10" customFormat="1" ht="15"/>
    <row r="65" s="10" customFormat="1" ht="15"/>
    <row r="66" s="10" customFormat="1" ht="15"/>
    <row r="67" s="10" customFormat="1" ht="15"/>
    <row r="68" s="10" customFormat="1" ht="15"/>
    <row r="69" s="10" customFormat="1" ht="15"/>
    <row r="70" s="10" customFormat="1" ht="15"/>
    <row r="71" s="10" customFormat="1" ht="15"/>
    <row r="72" s="10" customFormat="1" ht="15"/>
    <row r="73" s="10" customFormat="1" ht="15"/>
    <row r="74" s="10" customFormat="1" ht="15"/>
    <row r="75" s="10" customFormat="1" ht="15"/>
    <row r="76" s="10" customFormat="1" ht="15"/>
    <row r="77" s="10" customFormat="1" ht="15"/>
    <row r="78" s="10" customFormat="1" ht="15"/>
    <row r="79" s="10" customFormat="1" ht="15"/>
    <row r="80" s="10" customFormat="1" ht="15"/>
    <row r="81" s="10" customFormat="1" ht="15"/>
  </sheetData>
  <mergeCells count="20">
    <mergeCell ref="F1:I1"/>
    <mergeCell ref="J1:M1"/>
    <mergeCell ref="N1:Q1"/>
    <mergeCell ref="R1:U1"/>
    <mergeCell ref="BE22:BK22"/>
    <mergeCell ref="BI3:BI18"/>
    <mergeCell ref="BK3:BK18"/>
    <mergeCell ref="A23:BA23"/>
    <mergeCell ref="AT1:AW1"/>
    <mergeCell ref="AX1:BA1"/>
    <mergeCell ref="BE3:BE18"/>
    <mergeCell ref="BG3:BG18"/>
    <mergeCell ref="V1:Y1"/>
    <mergeCell ref="Z1:AC1"/>
    <mergeCell ref="AD1:AG1"/>
    <mergeCell ref="AH1:AK1"/>
    <mergeCell ref="AL1:AO1"/>
    <mergeCell ref="AP1:AS1"/>
    <mergeCell ref="A1:A2"/>
    <mergeCell ref="B1:E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2"/>
  <sheetViews>
    <sheetView workbookViewId="0">
      <selection activeCell="K33" sqref="K33"/>
    </sheetView>
  </sheetViews>
  <sheetFormatPr defaultRowHeight="15"/>
  <cols>
    <col min="1" max="1" width="5" style="10" bestFit="1" customWidth="1"/>
    <col min="2" max="2" width="7" style="10" bestFit="1" customWidth="1"/>
    <col min="3" max="3" width="3.88671875" style="10" bestFit="1" customWidth="1"/>
    <col min="4" max="4" width="7" style="10" bestFit="1" customWidth="1"/>
    <col min="5" max="6" width="3.88671875" style="10" bestFit="1" customWidth="1"/>
    <col min="7" max="8" width="7" style="10" bestFit="1" customWidth="1"/>
    <col min="9" max="10" width="3.88671875" style="10" bestFit="1" customWidth="1"/>
    <col min="11" max="12" width="4.88671875" style="10" bestFit="1" customWidth="1"/>
    <col min="13" max="13" width="8" style="10" bestFit="1" customWidth="1"/>
    <col min="14" max="14" width="8.109375" style="10" bestFit="1" customWidth="1"/>
    <col min="15" max="15" width="4.33203125" style="10" bestFit="1" customWidth="1"/>
    <col min="16" max="16" width="4" style="10" bestFit="1" customWidth="1"/>
    <col min="17" max="18" width="8.88671875" style="10"/>
    <col min="19" max="19" width="10.44140625" style="10" bestFit="1" customWidth="1"/>
    <col min="20" max="16384" width="8.88671875" style="10"/>
  </cols>
  <sheetData>
    <row r="1" spans="1:15" ht="12.75" customHeight="1">
      <c r="A1" s="103"/>
      <c r="B1" s="37" t="s">
        <v>4</v>
      </c>
      <c r="C1" s="110" t="s">
        <v>5</v>
      </c>
      <c r="D1" s="37" t="s">
        <v>6</v>
      </c>
      <c r="E1" s="111" t="s">
        <v>7</v>
      </c>
      <c r="F1" s="37" t="s">
        <v>2</v>
      </c>
      <c r="G1" s="110" t="s">
        <v>8</v>
      </c>
      <c r="H1" s="37" t="s">
        <v>9</v>
      </c>
      <c r="I1" s="111" t="s">
        <v>10</v>
      </c>
      <c r="J1" s="37" t="s">
        <v>11</v>
      </c>
      <c r="K1" s="110" t="s">
        <v>12</v>
      </c>
      <c r="L1" s="37" t="s">
        <v>13</v>
      </c>
      <c r="M1" s="111" t="s">
        <v>14</v>
      </c>
      <c r="N1" s="34" t="s">
        <v>3</v>
      </c>
    </row>
    <row r="2" spans="1:15">
      <c r="A2" s="11">
        <v>1998</v>
      </c>
      <c r="B2" s="12"/>
      <c r="C2" s="12"/>
      <c r="D2" s="12"/>
      <c r="E2" s="12"/>
      <c r="F2" s="12"/>
      <c r="G2" s="12"/>
      <c r="H2" s="12"/>
      <c r="I2" s="19"/>
      <c r="J2" s="19"/>
      <c r="K2" s="19"/>
      <c r="L2" s="19"/>
      <c r="M2" s="19"/>
      <c r="N2" s="19">
        <f t="shared" ref="N2:N17" si="0">SUM(B2:M2)</f>
        <v>0</v>
      </c>
    </row>
    <row r="3" spans="1:15">
      <c r="A3" s="13">
        <v>1999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9">
        <f t="shared" si="0"/>
        <v>0</v>
      </c>
      <c r="O3" s="16"/>
    </row>
    <row r="4" spans="1:15" ht="15" customHeight="1">
      <c r="A4" s="13">
        <v>2000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9">
        <f t="shared" si="0"/>
        <v>0</v>
      </c>
      <c r="O4" s="16"/>
    </row>
    <row r="5" spans="1:15">
      <c r="A5" s="13">
        <v>2001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9">
        <f t="shared" si="0"/>
        <v>0</v>
      </c>
      <c r="O5" s="16"/>
    </row>
    <row r="6" spans="1:15">
      <c r="A6" s="13">
        <v>2002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9">
        <f t="shared" si="0"/>
        <v>0</v>
      </c>
      <c r="O6" s="16"/>
    </row>
    <row r="7" spans="1:15" ht="15" customHeight="1">
      <c r="A7" s="13">
        <v>2003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>
        <f t="shared" si="0"/>
        <v>0</v>
      </c>
      <c r="O7" s="16"/>
    </row>
    <row r="8" spans="1:15">
      <c r="A8" s="13">
        <v>2004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>
        <f t="shared" si="0"/>
        <v>0</v>
      </c>
      <c r="O8" s="16"/>
    </row>
    <row r="9" spans="1:15">
      <c r="A9" s="13">
        <v>2005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9">
        <f t="shared" si="0"/>
        <v>0</v>
      </c>
      <c r="O9" s="16"/>
    </row>
    <row r="10" spans="1:15">
      <c r="A10" s="13">
        <v>2006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9">
        <f t="shared" si="0"/>
        <v>0</v>
      </c>
      <c r="O10" s="16"/>
    </row>
    <row r="11" spans="1:15">
      <c r="A11" s="13">
        <v>2007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9">
        <f t="shared" si="0"/>
        <v>0</v>
      </c>
      <c r="O11" s="16"/>
    </row>
    <row r="12" spans="1:15">
      <c r="A12" s="13">
        <v>2008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9">
        <f t="shared" si="0"/>
        <v>0</v>
      </c>
      <c r="O12" s="16"/>
    </row>
    <row r="13" spans="1:15">
      <c r="A13" s="13">
        <v>2009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9">
        <f t="shared" si="0"/>
        <v>0</v>
      </c>
      <c r="O13" s="16"/>
    </row>
    <row r="14" spans="1:15">
      <c r="A14" s="13">
        <v>2010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9">
        <f t="shared" si="0"/>
        <v>0</v>
      </c>
      <c r="O14" s="16"/>
    </row>
    <row r="15" spans="1:15">
      <c r="A15" s="13">
        <v>2011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9">
        <f t="shared" si="0"/>
        <v>0</v>
      </c>
      <c r="O15" s="16"/>
    </row>
    <row r="16" spans="1:15">
      <c r="A16" s="13">
        <v>2012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9">
        <f t="shared" si="0"/>
        <v>0</v>
      </c>
      <c r="O16" s="16"/>
    </row>
    <row r="17" spans="1:19" ht="15.75">
      <c r="A17" s="13">
        <v>2013</v>
      </c>
      <c r="B17" s="17"/>
      <c r="C17" s="17"/>
      <c r="D17" s="17"/>
      <c r="E17" s="17"/>
      <c r="F17" s="17"/>
      <c r="G17" s="14"/>
      <c r="H17" s="14"/>
      <c r="I17" s="14"/>
      <c r="J17" s="14"/>
      <c r="K17" s="14"/>
      <c r="L17" s="14"/>
      <c r="M17" s="14"/>
      <c r="N17" s="19">
        <f t="shared" si="0"/>
        <v>0</v>
      </c>
      <c r="O17" s="15" t="s">
        <v>1</v>
      </c>
      <c r="P17" s="15" t="s">
        <v>2</v>
      </c>
    </row>
    <row r="18" spans="1:19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>
        <f>SUM(N2:N17)</f>
        <v>0</v>
      </c>
      <c r="S18" s="20"/>
    </row>
    <row r="20" spans="1:19">
      <c r="N20" s="45"/>
      <c r="S20" s="20"/>
    </row>
    <row r="22" spans="1:19" ht="15.75" customHeight="1">
      <c r="A22" s="426" t="s">
        <v>89</v>
      </c>
      <c r="B22" s="426"/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</row>
    <row r="23" spans="1:19" ht="1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5" spans="1:19"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  <c r="N25" s="486"/>
    </row>
    <row r="26" spans="1:19">
      <c r="N26" s="16"/>
    </row>
    <row r="27" spans="1:19">
      <c r="N27" s="16"/>
    </row>
    <row r="28" spans="1:19">
      <c r="N28" s="16"/>
    </row>
    <row r="29" spans="1:19">
      <c r="N29" s="16"/>
    </row>
    <row r="30" spans="1:19">
      <c r="N30" s="16"/>
    </row>
    <row r="31" spans="1:19">
      <c r="N31" s="16"/>
    </row>
    <row r="32" spans="1:19">
      <c r="N32" s="16"/>
    </row>
  </sheetData>
  <mergeCells count="2">
    <mergeCell ref="A22:N22"/>
    <mergeCell ref="B25:N2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43"/>
  <sheetViews>
    <sheetView workbookViewId="0">
      <selection activeCell="J32" sqref="J32"/>
    </sheetView>
  </sheetViews>
  <sheetFormatPr defaultRowHeight="15"/>
  <cols>
    <col min="1" max="1" width="5" style="10" bestFit="1" customWidth="1"/>
    <col min="2" max="2" width="4" style="10" bestFit="1" customWidth="1"/>
    <col min="3" max="3" width="7.109375" style="10" bestFit="1" customWidth="1"/>
    <col min="4" max="4" width="6.5546875" style="10" bestFit="1" customWidth="1"/>
    <col min="5" max="5" width="4.88671875" style="10" customWidth="1"/>
    <col min="6" max="6" width="5.33203125" style="10" customWidth="1"/>
    <col min="7" max="7" width="5.5546875" style="10" bestFit="1" customWidth="1"/>
    <col min="8" max="8" width="5.33203125" style="10" bestFit="1" customWidth="1"/>
    <col min="9" max="10" width="10.44140625" style="10" bestFit="1" customWidth="1"/>
    <col min="11" max="13" width="11.44140625" style="10" bestFit="1" customWidth="1"/>
    <col min="14" max="14" width="12.44140625" style="10" bestFit="1" customWidth="1"/>
    <col min="15" max="15" width="16.5546875" style="10" customWidth="1"/>
    <col min="16" max="16" width="11.44140625" style="10" bestFit="1" customWidth="1"/>
    <col min="17" max="17" width="14.109375" style="10" bestFit="1" customWidth="1"/>
    <col min="18" max="19" width="9.44140625" style="10" customWidth="1"/>
    <col min="20" max="20" width="12.44140625" style="10" bestFit="1" customWidth="1"/>
    <col min="21" max="16384" width="8.88671875" style="10"/>
  </cols>
  <sheetData>
    <row r="1" spans="1:20">
      <c r="A1" s="132"/>
      <c r="B1" s="37" t="s">
        <v>4</v>
      </c>
      <c r="C1" s="137" t="s">
        <v>5</v>
      </c>
      <c r="D1" s="37" t="s">
        <v>6</v>
      </c>
      <c r="E1" s="138" t="s">
        <v>7</v>
      </c>
      <c r="F1" s="37" t="s">
        <v>2</v>
      </c>
      <c r="G1" s="137" t="s">
        <v>8</v>
      </c>
      <c r="H1" s="37" t="s">
        <v>9</v>
      </c>
      <c r="I1" s="138" t="s">
        <v>10</v>
      </c>
      <c r="J1" s="37" t="s">
        <v>11</v>
      </c>
      <c r="K1" s="137" t="s">
        <v>12</v>
      </c>
      <c r="L1" s="37" t="s">
        <v>13</v>
      </c>
      <c r="M1" s="138" t="s">
        <v>14</v>
      </c>
      <c r="N1" s="145" t="s">
        <v>3</v>
      </c>
      <c r="Q1" s="128" t="s">
        <v>124</v>
      </c>
      <c r="R1" s="161" t="s">
        <v>1</v>
      </c>
      <c r="S1" s="161" t="s">
        <v>126</v>
      </c>
      <c r="T1" s="128" t="s">
        <v>125</v>
      </c>
    </row>
    <row r="2" spans="1:20">
      <c r="A2" s="11">
        <v>1998</v>
      </c>
      <c r="B2" s="12"/>
      <c r="C2" s="12"/>
      <c r="D2" s="12"/>
      <c r="E2" s="12"/>
      <c r="F2" s="12"/>
      <c r="G2" s="12"/>
      <c r="H2" s="12"/>
      <c r="I2" s="38">
        <v>129.13</v>
      </c>
      <c r="J2" s="38">
        <v>633.9</v>
      </c>
      <c r="K2" s="38">
        <v>500.37</v>
      </c>
      <c r="L2" s="38">
        <v>403.52</v>
      </c>
      <c r="M2" s="38">
        <v>1097.58</v>
      </c>
      <c r="N2" s="38">
        <f t="shared" ref="N2:N17" si="0">SUM(B2:M2)</f>
        <v>2764.5</v>
      </c>
      <c r="Q2" s="16">
        <f>N2/240</f>
        <v>11.518750000000001</v>
      </c>
      <c r="R2" s="160">
        <v>240</v>
      </c>
      <c r="S2" s="160"/>
      <c r="T2" s="20">
        <f>N2/4</f>
        <v>691.125</v>
      </c>
    </row>
    <row r="3" spans="1:20">
      <c r="A3" s="13">
        <v>1999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>
        <f>Q3</f>
        <v>6600.2437500000005</v>
      </c>
      <c r="N3" s="19">
        <f t="shared" si="0"/>
        <v>6600.2437500000005</v>
      </c>
      <c r="O3" s="16"/>
      <c r="Q3" s="16">
        <f>S3*Q2</f>
        <v>6600.2437500000005</v>
      </c>
      <c r="R3" s="55">
        <v>813</v>
      </c>
      <c r="S3" s="55">
        <f>R3-R2</f>
        <v>573</v>
      </c>
      <c r="T3" s="20">
        <f>T2*12</f>
        <v>8293.5</v>
      </c>
    </row>
    <row r="4" spans="1:20">
      <c r="A4" s="13">
        <v>2000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>
        <f t="shared" ref="M4:M9" si="1">Q4</f>
        <v>6577.2062500000002</v>
      </c>
      <c r="N4" s="19">
        <f t="shared" si="0"/>
        <v>6577.2062500000002</v>
      </c>
      <c r="O4" s="16"/>
      <c r="Q4" s="16">
        <f>S4*Q2</f>
        <v>6577.2062500000002</v>
      </c>
      <c r="R4" s="55">
        <v>1384</v>
      </c>
      <c r="S4" s="55">
        <f t="shared" ref="S4:S17" si="2">R4-R3</f>
        <v>571</v>
      </c>
      <c r="T4" s="20">
        <v>8293.5</v>
      </c>
    </row>
    <row r="5" spans="1:20">
      <c r="A5" s="13">
        <v>2001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>
        <f t="shared" si="1"/>
        <v>6600.2437500000005</v>
      </c>
      <c r="N5" s="19">
        <f t="shared" si="0"/>
        <v>6600.2437500000005</v>
      </c>
      <c r="O5" s="16"/>
      <c r="Q5" s="16">
        <f>S5*Q2</f>
        <v>6600.2437500000005</v>
      </c>
      <c r="R5" s="55">
        <v>1957</v>
      </c>
      <c r="S5" s="55">
        <f t="shared" si="2"/>
        <v>573</v>
      </c>
      <c r="T5" s="20">
        <v>8293.5</v>
      </c>
    </row>
    <row r="6" spans="1:20">
      <c r="A6" s="13">
        <v>2002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>
        <f t="shared" si="1"/>
        <v>7498.7062500000002</v>
      </c>
      <c r="N6" s="19">
        <f t="shared" si="0"/>
        <v>7498.7062500000002</v>
      </c>
      <c r="O6" s="16"/>
      <c r="Q6" s="16">
        <f>S6*Q2</f>
        <v>7498.7062500000002</v>
      </c>
      <c r="R6" s="55">
        <v>2608</v>
      </c>
      <c r="S6" s="55">
        <f t="shared" si="2"/>
        <v>651</v>
      </c>
      <c r="T6" s="20">
        <v>8293.5</v>
      </c>
    </row>
    <row r="7" spans="1:20">
      <c r="A7" s="13">
        <v>2003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7"/>
      <c r="M7" s="17">
        <f t="shared" si="1"/>
        <v>11092.556250000001</v>
      </c>
      <c r="N7" s="19">
        <f t="shared" si="0"/>
        <v>11092.556250000001</v>
      </c>
      <c r="O7" s="16"/>
      <c r="Q7" s="16">
        <f>S7*Q2</f>
        <v>11092.556250000001</v>
      </c>
      <c r="R7" s="55">
        <v>3571</v>
      </c>
      <c r="S7" s="55">
        <f t="shared" si="2"/>
        <v>963</v>
      </c>
      <c r="T7" s="20">
        <v>8293.5</v>
      </c>
    </row>
    <row r="8" spans="1:20">
      <c r="A8" s="13">
        <v>2004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7"/>
      <c r="M8" s="17">
        <f t="shared" si="1"/>
        <v>11334.45</v>
      </c>
      <c r="N8" s="19">
        <f t="shared" si="0"/>
        <v>11334.45</v>
      </c>
      <c r="O8" s="16"/>
      <c r="Q8" s="16">
        <f>S8*Q2</f>
        <v>11334.45</v>
      </c>
      <c r="R8" s="55">
        <v>4555</v>
      </c>
      <c r="S8" s="55">
        <f t="shared" si="2"/>
        <v>984</v>
      </c>
      <c r="T8" s="20">
        <v>8293.5</v>
      </c>
    </row>
    <row r="9" spans="1:20">
      <c r="A9" s="13">
        <v>2005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>
        <f t="shared" si="1"/>
        <v>12152.28125</v>
      </c>
      <c r="N9" s="19">
        <f t="shared" si="0"/>
        <v>12152.28125</v>
      </c>
      <c r="O9" s="162" t="s">
        <v>130</v>
      </c>
      <c r="Q9" s="16">
        <f>S9*Q2</f>
        <v>12152.28125</v>
      </c>
      <c r="R9" s="55">
        <v>5610</v>
      </c>
      <c r="S9" s="55">
        <f t="shared" si="2"/>
        <v>1055</v>
      </c>
      <c r="T9" s="20">
        <v>8293.5</v>
      </c>
    </row>
    <row r="10" spans="1:20">
      <c r="A10" s="13">
        <v>2006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>
        <f>P10</f>
        <v>30516.394000000004</v>
      </c>
      <c r="N10" s="19">
        <f t="shared" si="0"/>
        <v>30516.394000000004</v>
      </c>
      <c r="O10" s="16">
        <f>4/1.47</f>
        <v>2.7210884353741496</v>
      </c>
      <c r="P10" s="16">
        <f>Q10*2.72</f>
        <v>30516.394000000004</v>
      </c>
      <c r="Q10" s="16">
        <f>S10*Q2</f>
        <v>11219.262500000001</v>
      </c>
      <c r="R10" s="55">
        <v>6584</v>
      </c>
      <c r="S10" s="55">
        <f t="shared" si="2"/>
        <v>974</v>
      </c>
      <c r="T10" s="20">
        <f>T7*2.72</f>
        <v>22558.320000000003</v>
      </c>
    </row>
    <row r="11" spans="1:20">
      <c r="A11" s="13">
        <v>2007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>
        <f t="shared" ref="M11:M13" si="3">P11</f>
        <v>29231.823000000008</v>
      </c>
      <c r="N11" s="19">
        <f t="shared" si="0"/>
        <v>29231.823000000008</v>
      </c>
      <c r="O11" s="16"/>
      <c r="P11" s="16">
        <f t="shared" ref="P11:P13" si="4">Q11*2.72</f>
        <v>29231.823000000008</v>
      </c>
      <c r="Q11" s="16">
        <f>S11*Q2</f>
        <v>10746.993750000001</v>
      </c>
      <c r="R11" s="55">
        <v>7517</v>
      </c>
      <c r="S11" s="55">
        <f t="shared" si="2"/>
        <v>933</v>
      </c>
      <c r="T11" s="20">
        <f t="shared" ref="T11" si="5">T8*2.72</f>
        <v>22558.320000000003</v>
      </c>
    </row>
    <row r="12" spans="1:20">
      <c r="A12" s="13">
        <v>2008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>
        <f t="shared" si="3"/>
        <v>27571.280000000002</v>
      </c>
      <c r="N12" s="19">
        <f t="shared" si="0"/>
        <v>27571.280000000002</v>
      </c>
      <c r="O12" s="16"/>
      <c r="P12" s="16">
        <f t="shared" si="4"/>
        <v>27571.280000000002</v>
      </c>
      <c r="Q12" s="16">
        <f>S12*Q2</f>
        <v>10136.5</v>
      </c>
      <c r="R12" s="55">
        <v>8397</v>
      </c>
      <c r="S12" s="55">
        <f t="shared" si="2"/>
        <v>880</v>
      </c>
      <c r="T12" s="20">
        <v>22558.32</v>
      </c>
    </row>
    <row r="13" spans="1:20">
      <c r="A13" s="13">
        <v>2009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>
        <f t="shared" si="3"/>
        <v>28291.893000000007</v>
      </c>
      <c r="N13" s="19">
        <f t="shared" si="0"/>
        <v>28291.893000000007</v>
      </c>
      <c r="O13" s="162" t="s">
        <v>131</v>
      </c>
      <c r="P13" s="16">
        <f t="shared" si="4"/>
        <v>28291.893000000007</v>
      </c>
      <c r="Q13" s="16">
        <f>S13*Q2</f>
        <v>10401.431250000001</v>
      </c>
      <c r="R13" s="55">
        <v>9300</v>
      </c>
      <c r="S13" s="55">
        <f t="shared" si="2"/>
        <v>903</v>
      </c>
      <c r="T13" s="20">
        <v>22558.32</v>
      </c>
    </row>
    <row r="14" spans="1:20">
      <c r="A14" s="13">
        <v>2010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>
        <f>P14</f>
        <v>28385.886000000002</v>
      </c>
      <c r="N14" s="19">
        <f t="shared" si="0"/>
        <v>28385.886000000002</v>
      </c>
      <c r="O14" s="16">
        <f>6/1.47</f>
        <v>4.0816326530612246</v>
      </c>
      <c r="P14" s="16">
        <f>Q14*4.08</f>
        <v>28385.886000000002</v>
      </c>
      <c r="Q14" s="16">
        <f>S14*Q2</f>
        <v>6957.3250000000007</v>
      </c>
      <c r="R14" s="55">
        <v>9904</v>
      </c>
      <c r="S14" s="55">
        <f t="shared" si="2"/>
        <v>604</v>
      </c>
      <c r="T14" s="20">
        <f>T6*4.08</f>
        <v>33837.480000000003</v>
      </c>
    </row>
    <row r="15" spans="1:20">
      <c r="A15" s="13">
        <v>2011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>
        <f t="shared" ref="M15:M17" si="6">P15</f>
        <v>27163.977000000003</v>
      </c>
      <c r="N15" s="19">
        <f t="shared" si="0"/>
        <v>27163.977000000003</v>
      </c>
      <c r="O15" s="16"/>
      <c r="P15" s="16">
        <f t="shared" ref="P15:P17" si="7">Q15*4.08</f>
        <v>27163.977000000003</v>
      </c>
      <c r="Q15" s="16">
        <f>S15*Q2</f>
        <v>6657.8375000000005</v>
      </c>
      <c r="R15" s="55">
        <v>10482</v>
      </c>
      <c r="S15" s="55">
        <f t="shared" si="2"/>
        <v>578</v>
      </c>
      <c r="T15" s="20">
        <v>33837.480000000003</v>
      </c>
    </row>
    <row r="16" spans="1:20">
      <c r="A16" s="13">
        <v>2012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>
        <f t="shared" si="6"/>
        <v>21853.372500000001</v>
      </c>
      <c r="N16" s="19">
        <f t="shared" si="0"/>
        <v>21853.372500000001</v>
      </c>
      <c r="O16" s="16"/>
      <c r="P16" s="16">
        <f t="shared" si="7"/>
        <v>21853.372500000001</v>
      </c>
      <c r="Q16" s="16">
        <f>S16*Q2</f>
        <v>5356.21875</v>
      </c>
      <c r="R16" s="55">
        <v>10947</v>
      </c>
      <c r="S16" s="55">
        <f t="shared" si="2"/>
        <v>465</v>
      </c>
      <c r="T16" s="20">
        <v>33837.480000000003</v>
      </c>
    </row>
    <row r="17" spans="1:25" ht="15.75">
      <c r="A17" s="13">
        <v>2013</v>
      </c>
      <c r="B17" s="17"/>
      <c r="C17" s="17"/>
      <c r="D17" s="17"/>
      <c r="E17" s="17"/>
      <c r="F17" s="17"/>
      <c r="G17" s="14"/>
      <c r="H17" s="14"/>
      <c r="I17" s="14"/>
      <c r="J17" s="14"/>
      <c r="K17" s="14"/>
      <c r="L17" s="14"/>
      <c r="M17" s="14">
        <f t="shared" si="6"/>
        <v>10997.181</v>
      </c>
      <c r="N17" s="19">
        <f t="shared" si="0"/>
        <v>10997.181</v>
      </c>
      <c r="O17" s="15" t="s">
        <v>132</v>
      </c>
      <c r="P17" s="16">
        <f t="shared" si="7"/>
        <v>10997.181</v>
      </c>
      <c r="Q17" s="16">
        <f>S17*Q2</f>
        <v>2695.3875000000003</v>
      </c>
      <c r="R17" s="55">
        <v>11181</v>
      </c>
      <c r="S17" s="55">
        <f t="shared" si="2"/>
        <v>234</v>
      </c>
      <c r="T17" s="20">
        <v>11500</v>
      </c>
    </row>
    <row r="18" spans="1:2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25">
        <f>SUM(N2:N17)</f>
        <v>268631.99400000001</v>
      </c>
      <c r="Q18" s="16"/>
      <c r="T18" s="20"/>
    </row>
    <row r="19" spans="1:25">
      <c r="Y19"/>
    </row>
    <row r="20" spans="1:25" ht="15.75" customHeight="1">
      <c r="A20" s="426" t="s">
        <v>113</v>
      </c>
      <c r="B20" s="426"/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Y20"/>
    </row>
    <row r="21" spans="1:25">
      <c r="A21" s="426"/>
      <c r="B21" s="426"/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X21"/>
      <c r="Y21"/>
    </row>
    <row r="22" spans="1:25">
      <c r="C22" s="159" t="s">
        <v>127</v>
      </c>
      <c r="D22" s="159"/>
      <c r="E22" s="159"/>
      <c r="Y22"/>
    </row>
    <row r="23" spans="1:25">
      <c r="A23"/>
      <c r="C23" s="159" t="s">
        <v>128</v>
      </c>
    </row>
    <row r="24" spans="1:25" ht="15.75">
      <c r="A24"/>
      <c r="C24" s="159" t="s">
        <v>129</v>
      </c>
      <c r="K24" s="15" t="s">
        <v>134</v>
      </c>
    </row>
    <row r="25" spans="1:25">
      <c r="B25"/>
    </row>
    <row r="27" spans="1:25">
      <c r="A27" s="133" t="s">
        <v>18</v>
      </c>
      <c r="B27" s="134" t="s">
        <v>105</v>
      </c>
      <c r="C27" s="143" t="s">
        <v>106</v>
      </c>
      <c r="D27" s="135" t="s">
        <v>110</v>
      </c>
      <c r="E27" s="425" t="s">
        <v>107</v>
      </c>
      <c r="F27" s="425"/>
      <c r="G27" s="144" t="s">
        <v>111</v>
      </c>
      <c r="H27" s="136" t="s">
        <v>112</v>
      </c>
      <c r="I27" s="136" t="s">
        <v>109</v>
      </c>
      <c r="J27" s="140" t="s">
        <v>108</v>
      </c>
      <c r="K27" s="140"/>
      <c r="L27" s="144"/>
      <c r="M27" s="144"/>
      <c r="N27" s="144"/>
    </row>
    <row r="28" spans="1:25">
      <c r="A28" s="13">
        <v>1998</v>
      </c>
      <c r="B28" s="47"/>
      <c r="C28" s="64"/>
      <c r="D28" s="64"/>
      <c r="E28" s="534"/>
      <c r="F28" s="534"/>
      <c r="G28" s="141"/>
      <c r="H28" s="50"/>
      <c r="I28" s="142"/>
      <c r="J28" s="65"/>
      <c r="K28" s="65"/>
      <c r="L28" s="65"/>
      <c r="M28" s="65"/>
      <c r="N28" s="65"/>
      <c r="T28" s="16"/>
    </row>
    <row r="29" spans="1:25">
      <c r="A29" s="13"/>
      <c r="B29" s="47"/>
      <c r="C29" s="64"/>
      <c r="D29" s="64"/>
      <c r="E29" s="534"/>
      <c r="F29" s="534"/>
      <c r="G29" s="141"/>
      <c r="H29" s="50"/>
      <c r="I29" s="21"/>
      <c r="J29" s="33"/>
      <c r="K29" s="33"/>
      <c r="L29" s="65"/>
      <c r="M29" s="65"/>
      <c r="N29" s="65"/>
    </row>
    <row r="30" spans="1:25">
      <c r="A30" s="13"/>
      <c r="B30" s="47"/>
      <c r="C30" s="64"/>
      <c r="D30" s="64"/>
      <c r="E30" s="534"/>
      <c r="F30" s="534"/>
      <c r="G30" s="141"/>
      <c r="H30" s="51"/>
      <c r="I30" s="21"/>
      <c r="J30" s="33"/>
      <c r="K30" s="33"/>
      <c r="L30" s="65"/>
      <c r="M30" s="65"/>
      <c r="N30" s="65"/>
    </row>
    <row r="31" spans="1:25">
      <c r="A31" s="13"/>
      <c r="B31" s="47"/>
      <c r="C31" s="64"/>
      <c r="D31" s="64"/>
      <c r="E31" s="534"/>
      <c r="F31" s="534"/>
      <c r="G31" s="141"/>
      <c r="H31" s="51"/>
      <c r="I31" s="21"/>
      <c r="J31" s="33"/>
      <c r="K31" s="33"/>
      <c r="L31" s="65"/>
      <c r="M31" s="65"/>
      <c r="N31" s="65"/>
    </row>
    <row r="32" spans="1:25">
      <c r="A32" s="13"/>
      <c r="B32" s="47"/>
      <c r="C32" s="64"/>
      <c r="D32" s="64"/>
      <c r="E32" s="534"/>
      <c r="F32" s="534"/>
      <c r="G32" s="141"/>
      <c r="H32" s="51"/>
      <c r="I32" s="21"/>
      <c r="J32" s="33"/>
      <c r="K32" s="33"/>
      <c r="L32" s="65"/>
      <c r="M32" s="65"/>
      <c r="N32" s="65"/>
    </row>
    <row r="33" spans="1:14">
      <c r="A33" s="13">
        <v>2005</v>
      </c>
      <c r="B33" s="47"/>
      <c r="C33" s="64"/>
      <c r="D33" s="64"/>
      <c r="E33" s="534"/>
      <c r="F33" s="534"/>
      <c r="G33" s="141"/>
      <c r="H33" s="51"/>
      <c r="I33" s="21"/>
      <c r="J33" s="33"/>
      <c r="K33" s="33"/>
      <c r="L33" s="65"/>
      <c r="M33" s="65"/>
      <c r="N33" s="65"/>
    </row>
    <row r="34" spans="1:14">
      <c r="A34" s="13"/>
      <c r="B34" s="47"/>
      <c r="C34" s="64"/>
      <c r="D34" s="64"/>
      <c r="E34" s="534"/>
      <c r="F34" s="534"/>
      <c r="G34" s="141"/>
      <c r="H34" s="51"/>
      <c r="I34" s="21"/>
      <c r="J34" s="33"/>
      <c r="K34" s="33"/>
      <c r="L34" s="65"/>
      <c r="M34" s="65"/>
      <c r="N34" s="65"/>
    </row>
    <row r="35" spans="1:14">
      <c r="A35" s="13"/>
      <c r="B35" s="47"/>
      <c r="C35" s="64"/>
      <c r="D35" s="64"/>
      <c r="E35" s="534"/>
      <c r="F35" s="534"/>
      <c r="G35" s="141"/>
      <c r="H35" s="51"/>
      <c r="I35" s="33"/>
      <c r="J35" s="33"/>
      <c r="K35" s="33"/>
      <c r="L35" s="65"/>
      <c r="M35" s="65"/>
      <c r="N35" s="65"/>
    </row>
    <row r="36" spans="1:14">
      <c r="A36" s="13"/>
      <c r="B36" s="47"/>
      <c r="C36" s="64"/>
      <c r="D36" s="64"/>
      <c r="E36" s="534"/>
      <c r="F36" s="534"/>
      <c r="G36" s="141"/>
      <c r="H36" s="51"/>
      <c r="I36" s="33"/>
      <c r="J36" s="33"/>
      <c r="K36" s="33"/>
      <c r="L36" s="65"/>
      <c r="M36" s="65"/>
      <c r="N36" s="65"/>
    </row>
    <row r="37" spans="1:14">
      <c r="A37" s="13"/>
      <c r="B37" s="47"/>
      <c r="C37" s="64"/>
      <c r="D37" s="64"/>
      <c r="E37" s="534"/>
      <c r="F37" s="534"/>
      <c r="G37" s="141"/>
      <c r="H37" s="51"/>
      <c r="I37" s="33"/>
      <c r="J37" s="33"/>
      <c r="K37" s="33"/>
      <c r="L37" s="65"/>
      <c r="M37" s="65"/>
      <c r="N37" s="65"/>
    </row>
    <row r="38" spans="1:14">
      <c r="A38" s="13"/>
      <c r="B38" s="47"/>
      <c r="C38" s="64"/>
      <c r="D38" s="64"/>
      <c r="E38" s="534"/>
      <c r="F38" s="534"/>
      <c r="G38" s="141"/>
      <c r="H38" s="51"/>
      <c r="I38" s="33"/>
      <c r="J38" s="33"/>
      <c r="K38" s="33"/>
      <c r="L38" s="65"/>
      <c r="M38" s="65"/>
      <c r="N38" s="65"/>
    </row>
    <row r="39" spans="1:14">
      <c r="A39" s="13"/>
      <c r="B39" s="47"/>
      <c r="C39" s="64"/>
      <c r="D39" s="64"/>
      <c r="E39" s="534"/>
      <c r="F39" s="534"/>
      <c r="G39" s="141"/>
      <c r="H39" s="51"/>
      <c r="I39" s="33"/>
      <c r="J39" s="33"/>
      <c r="K39" s="33"/>
      <c r="L39" s="65"/>
      <c r="M39" s="65"/>
      <c r="N39" s="65"/>
    </row>
    <row r="40" spans="1:14">
      <c r="A40" s="13"/>
      <c r="B40" s="47"/>
      <c r="C40" s="64"/>
      <c r="D40" s="64"/>
      <c r="E40" s="534"/>
      <c r="F40" s="534"/>
      <c r="G40" s="141"/>
      <c r="H40" s="51"/>
      <c r="I40" s="33"/>
      <c r="J40" s="33"/>
      <c r="K40" s="33"/>
      <c r="L40" s="65"/>
      <c r="M40" s="65"/>
      <c r="N40" s="65"/>
    </row>
    <row r="41" spans="1:14">
      <c r="A41" s="13"/>
      <c r="B41" s="47"/>
      <c r="C41" s="64"/>
      <c r="D41" s="64"/>
      <c r="E41" s="534"/>
      <c r="F41" s="534"/>
      <c r="G41" s="141"/>
      <c r="H41" s="51"/>
      <c r="I41" s="33"/>
      <c r="J41" s="33"/>
      <c r="K41" s="33"/>
      <c r="L41" s="65"/>
      <c r="M41" s="65"/>
      <c r="N41" s="65"/>
    </row>
    <row r="42" spans="1:14">
      <c r="A42" s="13"/>
      <c r="B42" s="47"/>
      <c r="C42" s="64"/>
      <c r="D42" s="64"/>
      <c r="E42" s="534"/>
      <c r="F42" s="534"/>
      <c r="G42" s="141"/>
      <c r="H42" s="51"/>
      <c r="I42" s="33"/>
      <c r="J42" s="33"/>
      <c r="K42" s="33"/>
      <c r="L42" s="65"/>
      <c r="M42" s="65"/>
      <c r="N42" s="65"/>
    </row>
    <row r="43" spans="1:14">
      <c r="A43" s="13"/>
      <c r="B43" s="47"/>
      <c r="C43" s="64"/>
      <c r="D43" s="64"/>
      <c r="E43" s="534"/>
      <c r="F43" s="534"/>
      <c r="G43" s="141"/>
      <c r="H43" s="13"/>
      <c r="I43" s="33"/>
      <c r="J43" s="33"/>
      <c r="K43" s="33"/>
      <c r="L43" s="65"/>
      <c r="M43" s="65"/>
      <c r="N43" s="65"/>
    </row>
  </sheetData>
  <mergeCells count="18">
    <mergeCell ref="E42:F42"/>
    <mergeCell ref="E43:F43"/>
    <mergeCell ref="E35:F35"/>
    <mergeCell ref="E36:F36"/>
    <mergeCell ref="E37:F37"/>
    <mergeCell ref="E38:F38"/>
    <mergeCell ref="E39:F39"/>
    <mergeCell ref="E40:F40"/>
    <mergeCell ref="E33:F33"/>
    <mergeCell ref="E41:F41"/>
    <mergeCell ref="E34:F34"/>
    <mergeCell ref="A20:N21"/>
    <mergeCell ref="E27:F27"/>
    <mergeCell ref="E28:F28"/>
    <mergeCell ref="E29:F29"/>
    <mergeCell ref="E30:F30"/>
    <mergeCell ref="E31:F31"/>
    <mergeCell ref="E32:F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workbookViewId="0">
      <pane ySplit="1" topLeftCell="A2" activePane="bottomLeft" state="frozen"/>
      <selection pane="bottomLeft" activeCell="D33" sqref="D33:G33"/>
    </sheetView>
  </sheetViews>
  <sheetFormatPr defaultRowHeight="15"/>
  <cols>
    <col min="1" max="1" width="5" style="10" bestFit="1" customWidth="1"/>
    <col min="2" max="2" width="7" style="10" bestFit="1" customWidth="1"/>
    <col min="3" max="3" width="6.5546875" style="10" bestFit="1" customWidth="1"/>
    <col min="4" max="6" width="3.88671875" style="10" bestFit="1" customWidth="1"/>
    <col min="7" max="7" width="7" style="10" bestFit="1" customWidth="1"/>
    <col min="8" max="8" width="8.33203125" style="10" bestFit="1" customWidth="1"/>
    <col min="9" max="9" width="8.5546875" style="10" bestFit="1" customWidth="1"/>
    <col min="10" max="10" width="10.44140625" style="10" bestFit="1" customWidth="1"/>
    <col min="11" max="11" width="9" style="10" bestFit="1" customWidth="1"/>
    <col min="12" max="12" width="10" style="10" customWidth="1"/>
    <col min="13" max="14" width="9" style="10" bestFit="1" customWidth="1"/>
    <col min="15" max="15" width="7.21875" style="10" bestFit="1" customWidth="1"/>
    <col min="16" max="16" width="3.21875" style="10" bestFit="1" customWidth="1"/>
    <col min="17" max="17" width="21.33203125" style="10" bestFit="1" customWidth="1"/>
    <col min="18" max="18" width="14" style="10" bestFit="1" customWidth="1"/>
    <col min="19" max="16384" width="8.88671875" style="10"/>
  </cols>
  <sheetData>
    <row r="1" spans="1:17" ht="12.75" customHeight="1">
      <c r="A1" s="22"/>
      <c r="B1" s="26" t="s">
        <v>4</v>
      </c>
      <c r="C1" s="27" t="s">
        <v>5</v>
      </c>
      <c r="D1" s="26" t="s">
        <v>6</v>
      </c>
      <c r="E1" s="28" t="s">
        <v>7</v>
      </c>
      <c r="F1" s="26" t="s">
        <v>2</v>
      </c>
      <c r="G1" s="27" t="s">
        <v>8</v>
      </c>
      <c r="H1" s="26" t="s">
        <v>9</v>
      </c>
      <c r="I1" s="28" t="s">
        <v>10</v>
      </c>
      <c r="J1" s="26" t="s">
        <v>11</v>
      </c>
      <c r="K1" s="27" t="s">
        <v>12</v>
      </c>
      <c r="L1" s="26" t="s">
        <v>13</v>
      </c>
      <c r="M1" s="28" t="s">
        <v>14</v>
      </c>
      <c r="N1" s="23" t="s">
        <v>3</v>
      </c>
      <c r="Q1" s="70" t="s">
        <v>71</v>
      </c>
    </row>
    <row r="2" spans="1:17">
      <c r="A2" s="11">
        <v>1998</v>
      </c>
      <c r="B2" s="12"/>
      <c r="C2" s="12"/>
      <c r="D2" s="12"/>
      <c r="E2" s="12"/>
      <c r="F2" s="12"/>
      <c r="G2" s="12"/>
      <c r="H2" s="12"/>
      <c r="I2" s="38"/>
      <c r="J2" s="19"/>
      <c r="K2" s="19"/>
      <c r="L2" s="19"/>
      <c r="M2" s="19"/>
      <c r="N2" s="19">
        <f t="shared" ref="N2:N17" si="0">SUM(B2:M2)</f>
        <v>0</v>
      </c>
    </row>
    <row r="3" spans="1:17">
      <c r="A3" s="13">
        <v>1999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9">
        <f t="shared" si="0"/>
        <v>0</v>
      </c>
      <c r="O3" s="16"/>
    </row>
    <row r="4" spans="1:17">
      <c r="A4" s="13">
        <v>2000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9">
        <f t="shared" si="0"/>
        <v>0</v>
      </c>
      <c r="O4" s="16"/>
    </row>
    <row r="5" spans="1:17">
      <c r="A5" s="13">
        <v>2001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9">
        <f t="shared" si="0"/>
        <v>0</v>
      </c>
      <c r="O5" s="16"/>
    </row>
    <row r="6" spans="1:17">
      <c r="A6" s="13">
        <v>2002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9">
        <f t="shared" si="0"/>
        <v>0</v>
      </c>
      <c r="O6" s="16"/>
    </row>
    <row r="7" spans="1:17">
      <c r="A7" s="13">
        <v>2003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>
        <f t="shared" si="0"/>
        <v>0</v>
      </c>
      <c r="O7" s="16"/>
    </row>
    <row r="8" spans="1:17">
      <c r="A8" s="13">
        <v>2004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>
        <f t="shared" si="0"/>
        <v>0</v>
      </c>
      <c r="O8" s="16"/>
    </row>
    <row r="9" spans="1:17">
      <c r="A9" s="13">
        <v>2005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9">
        <f t="shared" si="0"/>
        <v>0</v>
      </c>
      <c r="O9" s="16"/>
      <c r="Q9" s="75">
        <v>15.3</v>
      </c>
    </row>
    <row r="10" spans="1:17">
      <c r="A10" s="13">
        <v>2006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9">
        <f t="shared" si="0"/>
        <v>0</v>
      </c>
      <c r="O10" s="16"/>
    </row>
    <row r="11" spans="1:17">
      <c r="A11" s="13">
        <v>2007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9">
        <f t="shared" si="0"/>
        <v>0</v>
      </c>
      <c r="O11" s="16"/>
    </row>
    <row r="12" spans="1:17">
      <c r="A12" s="13">
        <v>2008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9">
        <f t="shared" si="0"/>
        <v>0</v>
      </c>
      <c r="O12" s="16"/>
    </row>
    <row r="13" spans="1:17">
      <c r="A13" s="13">
        <v>2009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9">
        <f t="shared" si="0"/>
        <v>0</v>
      </c>
      <c r="O13" s="16"/>
    </row>
    <row r="14" spans="1:17">
      <c r="A14" s="13">
        <v>2010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9">
        <f t="shared" si="0"/>
        <v>0</v>
      </c>
      <c r="O14" s="16"/>
    </row>
    <row r="15" spans="1:17">
      <c r="A15" s="13">
        <v>2011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9">
        <f t="shared" si="0"/>
        <v>0</v>
      </c>
      <c r="O15" s="16"/>
    </row>
    <row r="16" spans="1:17">
      <c r="A16" s="13">
        <v>2012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9">
        <f t="shared" si="0"/>
        <v>0</v>
      </c>
      <c r="O16" s="16"/>
    </row>
    <row r="17" spans="1:18" ht="15.75">
      <c r="A17" s="13">
        <v>2013</v>
      </c>
      <c r="B17" s="17"/>
      <c r="C17" s="17"/>
      <c r="D17" s="17"/>
      <c r="E17" s="17"/>
      <c r="F17" s="17"/>
      <c r="G17" s="14"/>
      <c r="H17" s="14"/>
      <c r="I17" s="14"/>
      <c r="J17" s="14"/>
      <c r="K17" s="14"/>
      <c r="L17" s="14"/>
      <c r="M17" s="14"/>
      <c r="N17" s="19">
        <f t="shared" si="0"/>
        <v>0</v>
      </c>
      <c r="O17" s="15" t="s">
        <v>1</v>
      </c>
      <c r="P17" s="15" t="s">
        <v>2</v>
      </c>
    </row>
    <row r="18" spans="1:18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25">
        <f>SUM(N2:N17)</f>
        <v>0</v>
      </c>
    </row>
    <row r="20" spans="1:18" ht="15.75" customHeight="1">
      <c r="A20" s="426" t="s">
        <v>31</v>
      </c>
      <c r="B20" s="426"/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</row>
    <row r="21" spans="1:18">
      <c r="A21" s="426"/>
      <c r="B21" s="426"/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</row>
    <row r="23" spans="1:18">
      <c r="A23"/>
    </row>
    <row r="24" spans="1:18">
      <c r="B24"/>
    </row>
    <row r="26" spans="1:18">
      <c r="A26" s="427" t="s">
        <v>18</v>
      </c>
      <c r="B26" s="429" t="s">
        <v>20</v>
      </c>
      <c r="C26" s="431" t="s">
        <v>22</v>
      </c>
      <c r="D26" s="433" t="s">
        <v>21</v>
      </c>
      <c r="E26" s="434"/>
      <c r="F26" s="434"/>
      <c r="G26" s="435"/>
      <c r="H26" s="425" t="s">
        <v>23</v>
      </c>
      <c r="I26" s="439">
        <v>1.2999999999999999E-2</v>
      </c>
      <c r="J26" s="441" t="s">
        <v>32</v>
      </c>
      <c r="K26" s="441"/>
      <c r="L26" s="441"/>
    </row>
    <row r="27" spans="1:18">
      <c r="A27" s="428"/>
      <c r="B27" s="430"/>
      <c r="C27" s="432"/>
      <c r="D27" s="436"/>
      <c r="E27" s="437"/>
      <c r="F27" s="437"/>
      <c r="G27" s="438"/>
      <c r="H27" s="425"/>
      <c r="I27" s="440"/>
      <c r="J27" s="72">
        <v>6.4999999999999997E-3</v>
      </c>
      <c r="K27" s="73">
        <v>1.25E-3</v>
      </c>
      <c r="L27" s="71" t="s">
        <v>29</v>
      </c>
      <c r="R27" s="55">
        <v>102</v>
      </c>
    </row>
    <row r="28" spans="1:18">
      <c r="A28" s="13">
        <v>1998</v>
      </c>
      <c r="B28" s="47"/>
      <c r="C28" s="64"/>
      <c r="D28" s="422"/>
      <c r="E28" s="423"/>
      <c r="F28" s="423"/>
      <c r="G28" s="424"/>
      <c r="H28" s="50"/>
      <c r="I28" s="74"/>
      <c r="J28" s="65"/>
      <c r="K28" s="65"/>
      <c r="L28" s="65">
        <f>J28+K28</f>
        <v>0</v>
      </c>
      <c r="R28" s="16">
        <f>R27/340.75</f>
        <v>0.29933969185619957</v>
      </c>
    </row>
    <row r="29" spans="1:18">
      <c r="A29" s="13"/>
      <c r="B29" s="47"/>
      <c r="C29" s="64"/>
      <c r="D29" s="422"/>
      <c r="E29" s="423"/>
      <c r="F29" s="423"/>
      <c r="G29" s="424"/>
      <c r="H29" s="50"/>
      <c r="I29" s="44"/>
      <c r="J29" s="33"/>
      <c r="K29" s="33"/>
      <c r="L29" s="65">
        <f t="shared" ref="L29:L43" si="1">J29+K29</f>
        <v>0</v>
      </c>
    </row>
    <row r="30" spans="1:18">
      <c r="A30" s="13"/>
      <c r="B30" s="47"/>
      <c r="C30" s="64"/>
      <c r="D30" s="422"/>
      <c r="E30" s="423"/>
      <c r="F30" s="423"/>
      <c r="G30" s="424"/>
      <c r="H30" s="51"/>
      <c r="I30" s="44"/>
      <c r="J30" s="33"/>
      <c r="K30" s="33"/>
      <c r="L30" s="65">
        <f t="shared" si="1"/>
        <v>0</v>
      </c>
    </row>
    <row r="31" spans="1:18">
      <c r="A31" s="13"/>
      <c r="B31" s="47"/>
      <c r="C31" s="64"/>
      <c r="D31" s="422"/>
      <c r="E31" s="423"/>
      <c r="F31" s="423"/>
      <c r="G31" s="424"/>
      <c r="H31" s="51"/>
      <c r="I31" s="44"/>
      <c r="J31" s="33"/>
      <c r="K31" s="33"/>
      <c r="L31" s="65">
        <f t="shared" si="1"/>
        <v>0</v>
      </c>
    </row>
    <row r="32" spans="1:18">
      <c r="A32" s="13"/>
      <c r="B32" s="47"/>
      <c r="C32" s="64"/>
      <c r="D32" s="422"/>
      <c r="E32" s="423"/>
      <c r="F32" s="423"/>
      <c r="G32" s="424"/>
      <c r="H32" s="51"/>
      <c r="I32" s="44"/>
      <c r="J32" s="33"/>
      <c r="K32" s="33"/>
      <c r="L32" s="65">
        <f t="shared" si="1"/>
        <v>0</v>
      </c>
    </row>
    <row r="33" spans="1:12">
      <c r="A33" s="13">
        <v>2005</v>
      </c>
      <c r="B33" s="47"/>
      <c r="C33" s="64"/>
      <c r="D33" s="422"/>
      <c r="E33" s="423"/>
      <c r="F33" s="423"/>
      <c r="G33" s="424"/>
      <c r="H33" s="51"/>
      <c r="I33" s="44">
        <v>15.3</v>
      </c>
      <c r="J33" s="33"/>
      <c r="K33" s="33"/>
      <c r="L33" s="65">
        <f t="shared" si="1"/>
        <v>0</v>
      </c>
    </row>
    <row r="34" spans="1:12">
      <c r="A34" s="13"/>
      <c r="B34" s="47"/>
      <c r="C34" s="64"/>
      <c r="D34" s="422"/>
      <c r="E34" s="423"/>
      <c r="F34" s="423"/>
      <c r="G34" s="424"/>
      <c r="H34" s="51"/>
      <c r="I34" s="33"/>
      <c r="J34" s="33"/>
      <c r="K34" s="33"/>
      <c r="L34" s="65">
        <f t="shared" si="1"/>
        <v>0</v>
      </c>
    </row>
    <row r="35" spans="1:12">
      <c r="A35" s="13"/>
      <c r="B35" s="47"/>
      <c r="C35" s="64"/>
      <c r="D35" s="422"/>
      <c r="E35" s="423"/>
      <c r="F35" s="423"/>
      <c r="G35" s="424"/>
      <c r="H35" s="51"/>
      <c r="I35" s="33"/>
      <c r="J35" s="33"/>
      <c r="K35" s="33"/>
      <c r="L35" s="65">
        <f t="shared" si="1"/>
        <v>0</v>
      </c>
    </row>
    <row r="36" spans="1:12">
      <c r="A36" s="13"/>
      <c r="B36" s="47"/>
      <c r="C36" s="64"/>
      <c r="D36" s="422"/>
      <c r="E36" s="423"/>
      <c r="F36" s="423"/>
      <c r="G36" s="424"/>
      <c r="H36" s="51"/>
      <c r="I36" s="33"/>
      <c r="J36" s="33"/>
      <c r="K36" s="33"/>
      <c r="L36" s="65">
        <f t="shared" si="1"/>
        <v>0</v>
      </c>
    </row>
    <row r="37" spans="1:12">
      <c r="A37" s="13"/>
      <c r="B37" s="47"/>
      <c r="C37" s="64"/>
      <c r="D37" s="422"/>
      <c r="E37" s="423"/>
      <c r="F37" s="423"/>
      <c r="G37" s="424"/>
      <c r="H37" s="51"/>
      <c r="I37" s="33"/>
      <c r="J37" s="33"/>
      <c r="K37" s="33"/>
      <c r="L37" s="65">
        <f t="shared" si="1"/>
        <v>0</v>
      </c>
    </row>
    <row r="38" spans="1:12">
      <c r="A38" s="13"/>
      <c r="B38" s="47"/>
      <c r="C38" s="64"/>
      <c r="D38" s="422"/>
      <c r="E38" s="423"/>
      <c r="F38" s="423"/>
      <c r="G38" s="424"/>
      <c r="H38" s="51"/>
      <c r="I38" s="33"/>
      <c r="J38" s="33"/>
      <c r="K38" s="33"/>
      <c r="L38" s="65">
        <f t="shared" si="1"/>
        <v>0</v>
      </c>
    </row>
    <row r="39" spans="1:12">
      <c r="A39" s="13"/>
      <c r="B39" s="47"/>
      <c r="C39" s="64"/>
      <c r="D39" s="422"/>
      <c r="E39" s="423"/>
      <c r="F39" s="423"/>
      <c r="G39" s="424"/>
      <c r="H39" s="51"/>
      <c r="I39" s="33"/>
      <c r="J39" s="33"/>
      <c r="K39" s="33"/>
      <c r="L39" s="65">
        <f t="shared" si="1"/>
        <v>0</v>
      </c>
    </row>
    <row r="40" spans="1:12">
      <c r="A40" s="13"/>
      <c r="B40" s="47"/>
      <c r="C40" s="64"/>
      <c r="D40" s="422"/>
      <c r="E40" s="423"/>
      <c r="F40" s="423"/>
      <c r="G40" s="424"/>
      <c r="H40" s="51"/>
      <c r="I40" s="33"/>
      <c r="J40" s="33"/>
      <c r="K40" s="33"/>
      <c r="L40" s="65">
        <f t="shared" si="1"/>
        <v>0</v>
      </c>
    </row>
    <row r="41" spans="1:12">
      <c r="A41" s="13"/>
      <c r="B41" s="47"/>
      <c r="C41" s="64"/>
      <c r="D41" s="422"/>
      <c r="E41" s="423"/>
      <c r="F41" s="423"/>
      <c r="G41" s="424"/>
      <c r="H41" s="51"/>
      <c r="I41" s="33"/>
      <c r="J41" s="33"/>
      <c r="K41" s="33"/>
      <c r="L41" s="65">
        <f t="shared" si="1"/>
        <v>0</v>
      </c>
    </row>
    <row r="42" spans="1:12">
      <c r="A42" s="13"/>
      <c r="B42" s="47"/>
      <c r="C42" s="64"/>
      <c r="D42" s="422"/>
      <c r="E42" s="423"/>
      <c r="F42" s="423"/>
      <c r="G42" s="424"/>
      <c r="H42" s="51"/>
      <c r="I42" s="33"/>
      <c r="J42" s="33"/>
      <c r="K42" s="33"/>
      <c r="L42" s="65">
        <f t="shared" si="1"/>
        <v>0</v>
      </c>
    </row>
    <row r="43" spans="1:12">
      <c r="A43" s="13"/>
      <c r="B43" s="47"/>
      <c r="C43" s="46"/>
      <c r="D43" s="422"/>
      <c r="E43" s="423"/>
      <c r="F43" s="423"/>
      <c r="G43" s="424"/>
      <c r="H43" s="13"/>
      <c r="I43" s="33"/>
      <c r="J43" s="33"/>
      <c r="K43" s="33"/>
      <c r="L43" s="65">
        <f t="shared" si="1"/>
        <v>0</v>
      </c>
    </row>
  </sheetData>
  <mergeCells count="24">
    <mergeCell ref="D37:G37"/>
    <mergeCell ref="A20:N21"/>
    <mergeCell ref="A26:A27"/>
    <mergeCell ref="B26:B27"/>
    <mergeCell ref="C26:C27"/>
    <mergeCell ref="D26:G27"/>
    <mergeCell ref="I26:I27"/>
    <mergeCell ref="J26:L26"/>
    <mergeCell ref="D38:G38"/>
    <mergeCell ref="D43:G43"/>
    <mergeCell ref="H26:H27"/>
    <mergeCell ref="D31:G31"/>
    <mergeCell ref="D32:G32"/>
    <mergeCell ref="D33:G33"/>
    <mergeCell ref="D39:G39"/>
    <mergeCell ref="D40:G40"/>
    <mergeCell ref="D41:G41"/>
    <mergeCell ref="D42:G42"/>
    <mergeCell ref="D34:G34"/>
    <mergeCell ref="D35:G35"/>
    <mergeCell ref="D28:G28"/>
    <mergeCell ref="D29:G29"/>
    <mergeCell ref="D30:G30"/>
    <mergeCell ref="D36:G36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42"/>
  <sheetViews>
    <sheetView workbookViewId="0">
      <selection activeCell="Q29" sqref="Q29"/>
    </sheetView>
  </sheetViews>
  <sheetFormatPr defaultRowHeight="15"/>
  <cols>
    <col min="1" max="1" width="5" style="10" bestFit="1" customWidth="1"/>
    <col min="2" max="2" width="4" style="10" bestFit="1" customWidth="1"/>
    <col min="3" max="3" width="7.109375" style="10" bestFit="1" customWidth="1"/>
    <col min="4" max="4" width="6.5546875" style="10" bestFit="1" customWidth="1"/>
    <col min="5" max="5" width="4.88671875" style="10" customWidth="1"/>
    <col min="6" max="6" width="5.33203125" style="10" customWidth="1"/>
    <col min="7" max="7" width="5.5546875" style="10" bestFit="1" customWidth="1"/>
    <col min="8" max="8" width="5.33203125" style="10" bestFit="1" customWidth="1"/>
    <col min="9" max="10" width="10.44140625" style="10" bestFit="1" customWidth="1"/>
    <col min="11" max="13" width="11.44140625" style="10" bestFit="1" customWidth="1"/>
    <col min="14" max="14" width="12.44140625" style="10" bestFit="1" customWidth="1"/>
    <col min="15" max="15" width="16.5546875" style="10" customWidth="1"/>
    <col min="16" max="16" width="11.44140625" style="10" bestFit="1" customWidth="1"/>
    <col min="17" max="17" width="14.109375" style="10" bestFit="1" customWidth="1"/>
    <col min="18" max="19" width="9.44140625" style="10" customWidth="1"/>
    <col min="20" max="20" width="12.44140625" style="10" bestFit="1" customWidth="1"/>
    <col min="21" max="16384" width="8.88671875" style="10"/>
  </cols>
  <sheetData>
    <row r="1" spans="1:20">
      <c r="A1" s="152"/>
      <c r="B1" s="37" t="s">
        <v>4</v>
      </c>
      <c r="C1" s="158" t="s">
        <v>5</v>
      </c>
      <c r="D1" s="37" t="s">
        <v>6</v>
      </c>
      <c r="E1" s="157" t="s">
        <v>7</v>
      </c>
      <c r="F1" s="37" t="s">
        <v>2</v>
      </c>
      <c r="G1" s="158" t="s">
        <v>8</v>
      </c>
      <c r="H1" s="37" t="s">
        <v>9</v>
      </c>
      <c r="I1" s="157" t="s">
        <v>10</v>
      </c>
      <c r="J1" s="37" t="s">
        <v>11</v>
      </c>
      <c r="K1" s="158" t="s">
        <v>12</v>
      </c>
      <c r="L1" s="37" t="s">
        <v>13</v>
      </c>
      <c r="M1" s="157" t="s">
        <v>14</v>
      </c>
      <c r="N1" s="145" t="s">
        <v>3</v>
      </c>
      <c r="Q1" s="128" t="s">
        <v>124</v>
      </c>
      <c r="R1" s="161" t="s">
        <v>1</v>
      </c>
      <c r="S1" s="161" t="s">
        <v>126</v>
      </c>
      <c r="T1" s="128" t="s">
        <v>125</v>
      </c>
    </row>
    <row r="2" spans="1:20">
      <c r="A2" s="11">
        <v>1998</v>
      </c>
      <c r="B2" s="12"/>
      <c r="C2" s="12"/>
      <c r="D2" s="12"/>
      <c r="E2" s="12"/>
      <c r="F2" s="12"/>
      <c r="G2" s="12"/>
      <c r="H2" s="12"/>
      <c r="I2" s="38">
        <v>44</v>
      </c>
      <c r="J2" s="38">
        <v>216</v>
      </c>
      <c r="K2" s="38">
        <v>170.5</v>
      </c>
      <c r="L2" s="38">
        <v>137.5</v>
      </c>
      <c r="M2" s="38">
        <v>374</v>
      </c>
      <c r="N2" s="38">
        <f t="shared" ref="N2:N17" si="0">SUM(B2:M2)</f>
        <v>942</v>
      </c>
      <c r="Q2" s="16">
        <f>N2/240</f>
        <v>3.9249999999999998</v>
      </c>
      <c r="R2" s="160">
        <v>240</v>
      </c>
      <c r="S2" s="160"/>
      <c r="T2" s="20">
        <f>N2/4</f>
        <v>235.5</v>
      </c>
    </row>
    <row r="3" spans="1:20">
      <c r="A3" s="13">
        <v>1999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>
        <f>Q3</f>
        <v>2249.0250000000001</v>
      </c>
      <c r="N3" s="19">
        <f t="shared" si="0"/>
        <v>2249.0250000000001</v>
      </c>
      <c r="O3" s="16"/>
      <c r="Q3" s="16">
        <f>S3*Q2</f>
        <v>2249.0250000000001</v>
      </c>
      <c r="R3" s="55">
        <v>813</v>
      </c>
      <c r="S3" s="55">
        <f>R3-R2</f>
        <v>573</v>
      </c>
      <c r="T3" s="20">
        <f>T2*12</f>
        <v>2826</v>
      </c>
    </row>
    <row r="4" spans="1:20">
      <c r="A4" s="13">
        <v>2000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>
        <f t="shared" ref="M4:M9" si="1">Q4</f>
        <v>2241.1749999999997</v>
      </c>
      <c r="N4" s="19">
        <f t="shared" si="0"/>
        <v>2241.1749999999997</v>
      </c>
      <c r="O4" s="16"/>
      <c r="Q4" s="16">
        <f>S4*Q2</f>
        <v>2241.1749999999997</v>
      </c>
      <c r="R4" s="55">
        <v>1384</v>
      </c>
      <c r="S4" s="55">
        <f t="shared" ref="S4:S17" si="2">R4-R3</f>
        <v>571</v>
      </c>
      <c r="T4" s="20">
        <v>8293.5</v>
      </c>
    </row>
    <row r="5" spans="1:20">
      <c r="A5" s="13">
        <v>2001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>
        <f t="shared" si="1"/>
        <v>2249.0250000000001</v>
      </c>
      <c r="N5" s="19">
        <f t="shared" si="0"/>
        <v>2249.0250000000001</v>
      </c>
      <c r="O5" s="16"/>
      <c r="Q5" s="16">
        <f>S5*Q2</f>
        <v>2249.0250000000001</v>
      </c>
      <c r="R5" s="55">
        <v>1957</v>
      </c>
      <c r="S5" s="55">
        <f t="shared" si="2"/>
        <v>573</v>
      </c>
      <c r="T5" s="20">
        <v>8293.5</v>
      </c>
    </row>
    <row r="6" spans="1:20">
      <c r="A6" s="13">
        <v>2002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>
        <f t="shared" si="1"/>
        <v>2555.1749999999997</v>
      </c>
      <c r="N6" s="19">
        <f t="shared" si="0"/>
        <v>2555.1749999999997</v>
      </c>
      <c r="O6" s="16"/>
      <c r="Q6" s="16">
        <f>S6*Q2</f>
        <v>2555.1749999999997</v>
      </c>
      <c r="R6" s="55">
        <v>2608</v>
      </c>
      <c r="S6" s="55">
        <f t="shared" si="2"/>
        <v>651</v>
      </c>
      <c r="T6" s="20">
        <v>8293.5</v>
      </c>
    </row>
    <row r="7" spans="1:20">
      <c r="A7" s="13">
        <v>2003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7"/>
      <c r="M7" s="17">
        <f t="shared" si="1"/>
        <v>3779.7749999999996</v>
      </c>
      <c r="N7" s="19">
        <f t="shared" si="0"/>
        <v>3779.7749999999996</v>
      </c>
      <c r="O7" s="16"/>
      <c r="Q7" s="16">
        <f>S7*Q2</f>
        <v>3779.7749999999996</v>
      </c>
      <c r="R7" s="55">
        <v>3571</v>
      </c>
      <c r="S7" s="55">
        <f t="shared" si="2"/>
        <v>963</v>
      </c>
      <c r="T7" s="20">
        <v>8293.5</v>
      </c>
    </row>
    <row r="8" spans="1:20">
      <c r="A8" s="13">
        <v>2004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7"/>
      <c r="M8" s="17">
        <f t="shared" si="1"/>
        <v>3862.2</v>
      </c>
      <c r="N8" s="19">
        <f t="shared" si="0"/>
        <v>3862.2</v>
      </c>
      <c r="O8" s="16"/>
      <c r="Q8" s="16">
        <f>S8*Q2</f>
        <v>3862.2</v>
      </c>
      <c r="R8" s="55">
        <v>4555</v>
      </c>
      <c r="S8" s="55">
        <f t="shared" si="2"/>
        <v>984</v>
      </c>
      <c r="T8" s="20">
        <v>8293.5</v>
      </c>
    </row>
    <row r="9" spans="1:20">
      <c r="A9" s="13">
        <v>2005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>
        <f t="shared" si="1"/>
        <v>4140.875</v>
      </c>
      <c r="N9" s="19">
        <f t="shared" si="0"/>
        <v>4140.875</v>
      </c>
      <c r="O9" s="162" t="s">
        <v>130</v>
      </c>
      <c r="Q9" s="16">
        <f>S9*Q2</f>
        <v>4140.875</v>
      </c>
      <c r="R9" s="55">
        <v>5610</v>
      </c>
      <c r="S9" s="55">
        <f t="shared" si="2"/>
        <v>1055</v>
      </c>
      <c r="T9" s="20">
        <v>8293.5</v>
      </c>
    </row>
    <row r="10" spans="1:20">
      <c r="A10" s="13">
        <v>2006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>
        <f>P10</f>
        <v>10398.424000000001</v>
      </c>
      <c r="N10" s="19">
        <f t="shared" si="0"/>
        <v>10398.424000000001</v>
      </c>
      <c r="O10" s="16">
        <f>4/1.47</f>
        <v>2.7210884353741496</v>
      </c>
      <c r="P10" s="16">
        <f>Q10*2.72</f>
        <v>10398.424000000001</v>
      </c>
      <c r="Q10" s="16">
        <f>S10*Q2</f>
        <v>3822.95</v>
      </c>
      <c r="R10" s="55">
        <v>6584</v>
      </c>
      <c r="S10" s="55">
        <f t="shared" si="2"/>
        <v>974</v>
      </c>
      <c r="T10" s="20">
        <f>T7*2.72</f>
        <v>22558.320000000003</v>
      </c>
    </row>
    <row r="11" spans="1:20">
      <c r="A11" s="13">
        <v>2007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>
        <f t="shared" ref="M11:M13" si="3">P11</f>
        <v>9960.7080000000005</v>
      </c>
      <c r="N11" s="19">
        <f t="shared" si="0"/>
        <v>9960.7080000000005</v>
      </c>
      <c r="O11" s="16"/>
      <c r="P11" s="16">
        <f t="shared" ref="P11:P13" si="4">Q11*2.72</f>
        <v>9960.7080000000005</v>
      </c>
      <c r="Q11" s="16">
        <f>S11*Q2</f>
        <v>3662.0249999999996</v>
      </c>
      <c r="R11" s="55">
        <v>7517</v>
      </c>
      <c r="S11" s="55">
        <f t="shared" si="2"/>
        <v>933</v>
      </c>
      <c r="T11" s="20">
        <f t="shared" ref="T11" si="5">T8*2.72</f>
        <v>22558.320000000003</v>
      </c>
    </row>
    <row r="12" spans="1:20">
      <c r="A12" s="13">
        <v>2008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>
        <f t="shared" si="3"/>
        <v>9394.880000000001</v>
      </c>
      <c r="N12" s="19">
        <f t="shared" si="0"/>
        <v>9394.880000000001</v>
      </c>
      <c r="O12" s="16"/>
      <c r="P12" s="16">
        <f t="shared" si="4"/>
        <v>9394.880000000001</v>
      </c>
      <c r="Q12" s="16">
        <f>S12*Q2</f>
        <v>3454</v>
      </c>
      <c r="R12" s="55">
        <v>8397</v>
      </c>
      <c r="S12" s="55">
        <f t="shared" si="2"/>
        <v>880</v>
      </c>
      <c r="T12" s="20">
        <v>22558.32</v>
      </c>
    </row>
    <row r="13" spans="1:20">
      <c r="A13" s="13">
        <v>2009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>
        <f t="shared" si="3"/>
        <v>9640.4279999999999</v>
      </c>
      <c r="N13" s="19">
        <f t="shared" si="0"/>
        <v>9640.4279999999999</v>
      </c>
      <c r="O13" s="162" t="s">
        <v>131</v>
      </c>
      <c r="P13" s="16">
        <f t="shared" si="4"/>
        <v>9640.4279999999999</v>
      </c>
      <c r="Q13" s="16">
        <f>S13*Q2</f>
        <v>3544.2749999999996</v>
      </c>
      <c r="R13" s="55">
        <v>9300</v>
      </c>
      <c r="S13" s="55">
        <f t="shared" si="2"/>
        <v>903</v>
      </c>
      <c r="T13" s="20">
        <v>22558.32</v>
      </c>
    </row>
    <row r="14" spans="1:20">
      <c r="A14" s="13">
        <v>2010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>
        <f>P14</f>
        <v>9672.4560000000001</v>
      </c>
      <c r="N14" s="19">
        <f t="shared" si="0"/>
        <v>9672.4560000000001</v>
      </c>
      <c r="O14" s="16">
        <f>6/1.47</f>
        <v>4.0816326530612246</v>
      </c>
      <c r="P14" s="16">
        <f>Q14*4.08</f>
        <v>9672.4560000000001</v>
      </c>
      <c r="Q14" s="16">
        <f>S14*Q2</f>
        <v>2370.6999999999998</v>
      </c>
      <c r="R14" s="55">
        <v>9904</v>
      </c>
      <c r="S14" s="55">
        <f t="shared" si="2"/>
        <v>604</v>
      </c>
      <c r="T14" s="20">
        <f>T6*4.08</f>
        <v>33837.480000000003</v>
      </c>
    </row>
    <row r="15" spans="1:20">
      <c r="A15" s="13">
        <v>2011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>
        <f t="shared" ref="M15:M17" si="6">P15</f>
        <v>9256.0920000000006</v>
      </c>
      <c r="N15" s="19">
        <f t="shared" si="0"/>
        <v>9256.0920000000006</v>
      </c>
      <c r="O15" s="16"/>
      <c r="P15" s="16">
        <f t="shared" ref="P15:P17" si="7">Q15*4.08</f>
        <v>9256.0920000000006</v>
      </c>
      <c r="Q15" s="16">
        <f>S15*Q2</f>
        <v>2268.65</v>
      </c>
      <c r="R15" s="55">
        <v>10482</v>
      </c>
      <c r="S15" s="55">
        <f t="shared" si="2"/>
        <v>578</v>
      </c>
      <c r="T15" s="20">
        <v>33837.480000000003</v>
      </c>
    </row>
    <row r="16" spans="1:20">
      <c r="A16" s="13">
        <v>2012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>
        <f t="shared" si="6"/>
        <v>7446.51</v>
      </c>
      <c r="N16" s="19">
        <f t="shared" si="0"/>
        <v>7446.51</v>
      </c>
      <c r="O16" s="16"/>
      <c r="P16" s="16">
        <f t="shared" si="7"/>
        <v>7446.51</v>
      </c>
      <c r="Q16" s="16">
        <f>S16*Q2</f>
        <v>1825.125</v>
      </c>
      <c r="R16" s="55">
        <v>10947</v>
      </c>
      <c r="S16" s="55">
        <f t="shared" si="2"/>
        <v>465</v>
      </c>
      <c r="T16" s="20">
        <v>33837.480000000003</v>
      </c>
    </row>
    <row r="17" spans="1:25" ht="15.75">
      <c r="A17" s="13">
        <v>2013</v>
      </c>
      <c r="B17" s="17"/>
      <c r="C17" s="17"/>
      <c r="D17" s="17"/>
      <c r="E17" s="17"/>
      <c r="F17" s="17"/>
      <c r="G17" s="14"/>
      <c r="H17" s="14"/>
      <c r="I17" s="14"/>
      <c r="J17" s="14"/>
      <c r="K17" s="14"/>
      <c r="L17" s="14"/>
      <c r="M17" s="14">
        <f t="shared" si="6"/>
        <v>3747.2759999999998</v>
      </c>
      <c r="N17" s="19">
        <f t="shared" si="0"/>
        <v>3747.2759999999998</v>
      </c>
      <c r="O17" s="15" t="s">
        <v>132</v>
      </c>
      <c r="P17" s="16">
        <f t="shared" si="7"/>
        <v>3747.2759999999998</v>
      </c>
      <c r="Q17" s="16">
        <f>S17*Q2</f>
        <v>918.44999999999993</v>
      </c>
      <c r="R17" s="55">
        <v>11181</v>
      </c>
      <c r="S17" s="55">
        <f t="shared" si="2"/>
        <v>234</v>
      </c>
      <c r="T17" s="20">
        <v>11500</v>
      </c>
    </row>
    <row r="18" spans="1:2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25">
        <f>SUM(N2:N17)</f>
        <v>91536.024000000005</v>
      </c>
      <c r="Q18" s="16"/>
      <c r="T18" s="20"/>
    </row>
    <row r="19" spans="1:25">
      <c r="Y19"/>
    </row>
    <row r="20" spans="1:25" ht="15.75" customHeight="1">
      <c r="A20" s="426" t="s">
        <v>133</v>
      </c>
      <c r="B20" s="426"/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Y20"/>
    </row>
    <row r="21" spans="1:25">
      <c r="C21" s="159" t="s">
        <v>127</v>
      </c>
      <c r="D21" s="159"/>
      <c r="E21" s="159"/>
      <c r="Y21"/>
    </row>
    <row r="22" spans="1:25">
      <c r="A22"/>
      <c r="C22" s="159" t="s">
        <v>128</v>
      </c>
    </row>
    <row r="23" spans="1:25" ht="15.75">
      <c r="A23"/>
      <c r="C23" s="159" t="s">
        <v>129</v>
      </c>
      <c r="K23" s="15" t="s">
        <v>134</v>
      </c>
    </row>
    <row r="24" spans="1:25">
      <c r="B24"/>
    </row>
    <row r="26" spans="1:25">
      <c r="A26" s="153" t="s">
        <v>18</v>
      </c>
      <c r="B26" s="154" t="s">
        <v>105</v>
      </c>
      <c r="C26" s="143" t="s">
        <v>106</v>
      </c>
      <c r="D26" s="155" t="s">
        <v>110</v>
      </c>
      <c r="E26" s="425" t="s">
        <v>107</v>
      </c>
      <c r="F26" s="425"/>
      <c r="G26" s="144" t="s">
        <v>111</v>
      </c>
      <c r="H26" s="156" t="s">
        <v>112</v>
      </c>
      <c r="I26" s="156" t="s">
        <v>109</v>
      </c>
      <c r="J26" s="140" t="s">
        <v>108</v>
      </c>
      <c r="K26" s="140"/>
      <c r="L26" s="144"/>
      <c r="M26" s="144"/>
      <c r="N26" s="144"/>
    </row>
    <row r="27" spans="1:25">
      <c r="A27" s="13">
        <v>1998</v>
      </c>
      <c r="B27" s="47"/>
      <c r="C27" s="64"/>
      <c r="D27" s="64"/>
      <c r="E27" s="534"/>
      <c r="F27" s="534"/>
      <c r="G27" s="141"/>
      <c r="H27" s="50"/>
      <c r="I27" s="142"/>
      <c r="J27" s="65"/>
      <c r="K27" s="65"/>
      <c r="L27" s="65"/>
      <c r="M27" s="65"/>
      <c r="N27" s="65"/>
      <c r="T27" s="16"/>
    </row>
    <row r="28" spans="1:25">
      <c r="A28" s="13"/>
      <c r="B28" s="47"/>
      <c r="C28" s="64"/>
      <c r="D28" s="64"/>
      <c r="E28" s="534"/>
      <c r="F28" s="534"/>
      <c r="G28" s="141"/>
      <c r="H28" s="50"/>
      <c r="I28" s="21"/>
      <c r="J28" s="33"/>
      <c r="K28" s="33"/>
      <c r="L28" s="65"/>
      <c r="M28" s="65"/>
      <c r="N28" s="65"/>
    </row>
    <row r="29" spans="1:25">
      <c r="A29" s="13"/>
      <c r="B29" s="47"/>
      <c r="C29" s="64"/>
      <c r="D29" s="64"/>
      <c r="E29" s="534"/>
      <c r="F29" s="534"/>
      <c r="G29" s="141"/>
      <c r="H29" s="51"/>
      <c r="I29" s="21"/>
      <c r="J29" s="33"/>
      <c r="K29" s="33"/>
      <c r="L29" s="65"/>
      <c r="M29" s="65"/>
      <c r="N29" s="65"/>
    </row>
    <row r="30" spans="1:25">
      <c r="A30" s="13"/>
      <c r="B30" s="47"/>
      <c r="C30" s="64"/>
      <c r="D30" s="64"/>
      <c r="E30" s="534"/>
      <c r="F30" s="534"/>
      <c r="G30" s="141"/>
      <c r="H30" s="51"/>
      <c r="I30" s="21"/>
      <c r="J30" s="33"/>
      <c r="K30" s="33"/>
      <c r="L30" s="65"/>
      <c r="M30" s="65"/>
      <c r="N30" s="65"/>
    </row>
    <row r="31" spans="1:25">
      <c r="A31" s="13"/>
      <c r="B31" s="47"/>
      <c r="C31" s="64"/>
      <c r="D31" s="64"/>
      <c r="E31" s="534"/>
      <c r="F31" s="534"/>
      <c r="G31" s="141"/>
      <c r="H31" s="51"/>
      <c r="I31" s="21"/>
      <c r="J31" s="33"/>
      <c r="K31" s="33"/>
      <c r="L31" s="65"/>
      <c r="M31" s="65"/>
      <c r="N31" s="65"/>
    </row>
    <row r="32" spans="1:25">
      <c r="A32" s="13">
        <v>2005</v>
      </c>
      <c r="B32" s="47"/>
      <c r="C32" s="64"/>
      <c r="D32" s="64"/>
      <c r="E32" s="534"/>
      <c r="F32" s="534"/>
      <c r="G32" s="141"/>
      <c r="H32" s="51"/>
      <c r="I32" s="21"/>
      <c r="J32" s="33"/>
      <c r="K32" s="33"/>
      <c r="L32" s="65"/>
      <c r="M32" s="65"/>
      <c r="N32" s="65"/>
    </row>
    <row r="33" spans="1:14">
      <c r="A33" s="13"/>
      <c r="B33" s="47"/>
      <c r="C33" s="64"/>
      <c r="D33" s="64"/>
      <c r="E33" s="534"/>
      <c r="F33" s="534"/>
      <c r="G33" s="141"/>
      <c r="H33" s="51"/>
      <c r="I33" s="21"/>
      <c r="J33" s="33"/>
      <c r="K33" s="33"/>
      <c r="L33" s="65"/>
      <c r="M33" s="65"/>
      <c r="N33" s="65"/>
    </row>
    <row r="34" spans="1:14">
      <c r="A34" s="13"/>
      <c r="B34" s="47"/>
      <c r="C34" s="64"/>
      <c r="D34" s="64"/>
      <c r="E34" s="534"/>
      <c r="F34" s="534"/>
      <c r="G34" s="141"/>
      <c r="H34" s="51"/>
      <c r="I34" s="33"/>
      <c r="J34" s="33"/>
      <c r="K34" s="33"/>
      <c r="L34" s="65"/>
      <c r="M34" s="65"/>
      <c r="N34" s="65"/>
    </row>
    <row r="35" spans="1:14">
      <c r="A35" s="13"/>
      <c r="B35" s="47"/>
      <c r="C35" s="64"/>
      <c r="D35" s="64"/>
      <c r="E35" s="534"/>
      <c r="F35" s="534"/>
      <c r="G35" s="141"/>
      <c r="H35" s="51"/>
      <c r="I35" s="33"/>
      <c r="J35" s="33"/>
      <c r="K35" s="33"/>
      <c r="L35" s="65"/>
      <c r="M35" s="65"/>
      <c r="N35" s="65"/>
    </row>
    <row r="36" spans="1:14">
      <c r="A36" s="13"/>
      <c r="B36" s="47"/>
      <c r="C36" s="64"/>
      <c r="D36" s="64"/>
      <c r="E36" s="534"/>
      <c r="F36" s="534"/>
      <c r="G36" s="141"/>
      <c r="H36" s="51"/>
      <c r="I36" s="33"/>
      <c r="J36" s="33"/>
      <c r="K36" s="33"/>
      <c r="L36" s="65"/>
      <c r="M36" s="65"/>
      <c r="N36" s="65"/>
    </row>
    <row r="37" spans="1:14">
      <c r="A37" s="13"/>
      <c r="B37" s="47"/>
      <c r="C37" s="64"/>
      <c r="D37" s="64"/>
      <c r="E37" s="534"/>
      <c r="F37" s="534"/>
      <c r="G37" s="141"/>
      <c r="H37" s="51"/>
      <c r="I37" s="33"/>
      <c r="J37" s="33"/>
      <c r="K37" s="33"/>
      <c r="L37" s="65"/>
      <c r="M37" s="65"/>
      <c r="N37" s="65"/>
    </row>
    <row r="38" spans="1:14">
      <c r="A38" s="13"/>
      <c r="B38" s="47"/>
      <c r="C38" s="64"/>
      <c r="D38" s="64"/>
      <c r="E38" s="534"/>
      <c r="F38" s="534"/>
      <c r="G38" s="141"/>
      <c r="H38" s="51"/>
      <c r="I38" s="33"/>
      <c r="J38" s="33"/>
      <c r="K38" s="33"/>
      <c r="L38" s="65"/>
      <c r="M38" s="65"/>
      <c r="N38" s="65"/>
    </row>
    <row r="39" spans="1:14">
      <c r="A39" s="13"/>
      <c r="B39" s="47"/>
      <c r="C39" s="64"/>
      <c r="D39" s="64"/>
      <c r="E39" s="534"/>
      <c r="F39" s="534"/>
      <c r="G39" s="141"/>
      <c r="H39" s="51"/>
      <c r="I39" s="33"/>
      <c r="J39" s="33"/>
      <c r="K39" s="33"/>
      <c r="L39" s="65"/>
      <c r="M39" s="65"/>
      <c r="N39" s="65"/>
    </row>
    <row r="40" spans="1:14">
      <c r="A40" s="13"/>
      <c r="B40" s="47"/>
      <c r="C40" s="64"/>
      <c r="D40" s="64"/>
      <c r="E40" s="534"/>
      <c r="F40" s="534"/>
      <c r="G40" s="141"/>
      <c r="H40" s="51"/>
      <c r="I40" s="33"/>
      <c r="J40" s="33"/>
      <c r="K40" s="33"/>
      <c r="L40" s="65"/>
      <c r="M40" s="65"/>
      <c r="N40" s="65"/>
    </row>
    <row r="41" spans="1:14">
      <c r="A41" s="13"/>
      <c r="B41" s="47"/>
      <c r="C41" s="64"/>
      <c r="D41" s="64"/>
      <c r="E41" s="534"/>
      <c r="F41" s="534"/>
      <c r="G41" s="141"/>
      <c r="H41" s="51"/>
      <c r="I41" s="33"/>
      <c r="J41" s="33"/>
      <c r="K41" s="33"/>
      <c r="L41" s="65"/>
      <c r="M41" s="65"/>
      <c r="N41" s="65"/>
    </row>
    <row r="42" spans="1:14">
      <c r="A42" s="13"/>
      <c r="B42" s="47"/>
      <c r="C42" s="64"/>
      <c r="D42" s="64"/>
      <c r="E42" s="534"/>
      <c r="F42" s="534"/>
      <c r="G42" s="141"/>
      <c r="H42" s="13"/>
      <c r="I42" s="33"/>
      <c r="J42" s="33"/>
      <c r="K42" s="33"/>
      <c r="L42" s="65"/>
      <c r="M42" s="65"/>
      <c r="N42" s="65"/>
    </row>
  </sheetData>
  <mergeCells count="18">
    <mergeCell ref="E42:F42"/>
    <mergeCell ref="E34:F34"/>
    <mergeCell ref="E35:F35"/>
    <mergeCell ref="E36:F36"/>
    <mergeCell ref="E37:F37"/>
    <mergeCell ref="E38:F38"/>
    <mergeCell ref="E39:F39"/>
    <mergeCell ref="E26:F26"/>
    <mergeCell ref="E27:F27"/>
    <mergeCell ref="E40:F40"/>
    <mergeCell ref="E41:F41"/>
    <mergeCell ref="A20:N20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42"/>
  <sheetViews>
    <sheetView workbookViewId="0">
      <selection activeCell="K31" sqref="K31"/>
    </sheetView>
  </sheetViews>
  <sheetFormatPr defaultRowHeight="15"/>
  <cols>
    <col min="1" max="1" width="5" style="10" bestFit="1" customWidth="1"/>
    <col min="2" max="2" width="4" style="10" bestFit="1" customWidth="1"/>
    <col min="3" max="3" width="7.109375" style="10" bestFit="1" customWidth="1"/>
    <col min="4" max="4" width="6.5546875" style="10" bestFit="1" customWidth="1"/>
    <col min="5" max="5" width="4.88671875" style="10" customWidth="1"/>
    <col min="6" max="6" width="5.33203125" style="10" customWidth="1"/>
    <col min="7" max="7" width="5.5546875" style="10" bestFit="1" customWidth="1"/>
    <col min="8" max="8" width="5.33203125" style="10" bestFit="1" customWidth="1"/>
    <col min="9" max="10" width="10.44140625" style="10" bestFit="1" customWidth="1"/>
    <col min="11" max="13" width="11.44140625" style="10" bestFit="1" customWidth="1"/>
    <col min="14" max="14" width="12.44140625" style="10" bestFit="1" customWidth="1"/>
    <col min="15" max="15" width="16.5546875" style="10" customWidth="1"/>
    <col min="16" max="16" width="11.44140625" style="10" bestFit="1" customWidth="1"/>
    <col min="17" max="17" width="14.109375" style="10" bestFit="1" customWidth="1"/>
    <col min="18" max="19" width="9.44140625" style="10" customWidth="1"/>
    <col min="20" max="20" width="12.44140625" style="10" bestFit="1" customWidth="1"/>
    <col min="21" max="16384" width="8.88671875" style="10"/>
  </cols>
  <sheetData>
    <row r="1" spans="1:20">
      <c r="A1" s="152"/>
      <c r="B1" s="37" t="s">
        <v>4</v>
      </c>
      <c r="C1" s="158" t="s">
        <v>5</v>
      </c>
      <c r="D1" s="37" t="s">
        <v>6</v>
      </c>
      <c r="E1" s="157" t="s">
        <v>7</v>
      </c>
      <c r="F1" s="37" t="s">
        <v>2</v>
      </c>
      <c r="G1" s="158" t="s">
        <v>8</v>
      </c>
      <c r="H1" s="37" t="s">
        <v>9</v>
      </c>
      <c r="I1" s="157" t="s">
        <v>10</v>
      </c>
      <c r="J1" s="37" t="s">
        <v>11</v>
      </c>
      <c r="K1" s="158" t="s">
        <v>12</v>
      </c>
      <c r="L1" s="37" t="s">
        <v>13</v>
      </c>
      <c r="M1" s="157" t="s">
        <v>14</v>
      </c>
      <c r="N1" s="145" t="s">
        <v>3</v>
      </c>
      <c r="Q1" s="128" t="s">
        <v>124</v>
      </c>
      <c r="R1" s="161" t="s">
        <v>1</v>
      </c>
      <c r="S1" s="161" t="s">
        <v>126</v>
      </c>
      <c r="T1" s="128" t="s">
        <v>125</v>
      </c>
    </row>
    <row r="2" spans="1:20">
      <c r="A2" s="11">
        <v>1998</v>
      </c>
      <c r="B2" s="12"/>
      <c r="C2" s="12"/>
      <c r="D2" s="12"/>
      <c r="E2" s="12"/>
      <c r="F2" s="12"/>
      <c r="G2" s="12"/>
      <c r="H2" s="12"/>
      <c r="I2" s="38">
        <v>7.35</v>
      </c>
      <c r="J2" s="38">
        <v>213.15</v>
      </c>
      <c r="K2" s="38">
        <v>186.69</v>
      </c>
      <c r="L2" s="38">
        <v>141.12</v>
      </c>
      <c r="M2" s="38">
        <v>649.74</v>
      </c>
      <c r="N2" s="38">
        <f t="shared" ref="N2:N17" si="0">SUM(B2:M2)</f>
        <v>1198.05</v>
      </c>
      <c r="Q2" s="16">
        <f>N2/240</f>
        <v>4.9918749999999994</v>
      </c>
      <c r="R2" s="160">
        <v>240</v>
      </c>
      <c r="S2" s="160"/>
      <c r="T2" s="20">
        <f>N2/4</f>
        <v>299.51249999999999</v>
      </c>
    </row>
    <row r="3" spans="1:20">
      <c r="A3" s="13">
        <v>1999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>
        <f>Q3</f>
        <v>2860.3443749999997</v>
      </c>
      <c r="N3" s="19">
        <f t="shared" si="0"/>
        <v>2860.3443749999997</v>
      </c>
      <c r="O3" s="16"/>
      <c r="Q3" s="16">
        <f>S3*Q2</f>
        <v>2860.3443749999997</v>
      </c>
      <c r="R3" s="55">
        <v>813</v>
      </c>
      <c r="S3" s="55">
        <f>R3-R2</f>
        <v>573</v>
      </c>
      <c r="T3" s="20">
        <f>T2*12</f>
        <v>3594.1499999999996</v>
      </c>
    </row>
    <row r="4" spans="1:20">
      <c r="A4" s="13">
        <v>2000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>
        <f t="shared" ref="M4:M9" si="1">Q4</f>
        <v>2850.3606249999998</v>
      </c>
      <c r="N4" s="19">
        <f t="shared" si="0"/>
        <v>2850.3606249999998</v>
      </c>
      <c r="O4" s="16"/>
      <c r="Q4" s="16">
        <f>S4*Q2</f>
        <v>2850.3606249999998</v>
      </c>
      <c r="R4" s="55">
        <v>1384</v>
      </c>
      <c r="S4" s="55">
        <f t="shared" ref="S4:S17" si="2">R4-R3</f>
        <v>571</v>
      </c>
      <c r="T4" s="20">
        <v>8293.5</v>
      </c>
    </row>
    <row r="5" spans="1:20">
      <c r="A5" s="13">
        <v>2001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>
        <f t="shared" si="1"/>
        <v>2860.3443749999997</v>
      </c>
      <c r="N5" s="19">
        <f t="shared" si="0"/>
        <v>2860.3443749999997</v>
      </c>
      <c r="O5" s="16"/>
      <c r="Q5" s="16">
        <f>S5*Q2</f>
        <v>2860.3443749999997</v>
      </c>
      <c r="R5" s="55">
        <v>1957</v>
      </c>
      <c r="S5" s="55">
        <f t="shared" si="2"/>
        <v>573</v>
      </c>
      <c r="T5" s="20">
        <v>8293.5</v>
      </c>
    </row>
    <row r="6" spans="1:20">
      <c r="A6" s="13">
        <v>2002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>
        <f t="shared" si="1"/>
        <v>3249.7106249999997</v>
      </c>
      <c r="N6" s="19">
        <f t="shared" si="0"/>
        <v>3249.7106249999997</v>
      </c>
      <c r="O6" s="16"/>
      <c r="Q6" s="16">
        <f>S6*Q2</f>
        <v>3249.7106249999997</v>
      </c>
      <c r="R6" s="55">
        <v>2608</v>
      </c>
      <c r="S6" s="55">
        <f t="shared" si="2"/>
        <v>651</v>
      </c>
      <c r="T6" s="20">
        <v>8293.5</v>
      </c>
    </row>
    <row r="7" spans="1:20">
      <c r="A7" s="13">
        <v>2003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7"/>
      <c r="M7" s="17">
        <f t="shared" si="1"/>
        <v>4807.1756249999999</v>
      </c>
      <c r="N7" s="19">
        <f t="shared" si="0"/>
        <v>4807.1756249999999</v>
      </c>
      <c r="O7" s="16"/>
      <c r="Q7" s="16">
        <f>S7*Q2</f>
        <v>4807.1756249999999</v>
      </c>
      <c r="R7" s="55">
        <v>3571</v>
      </c>
      <c r="S7" s="55">
        <f t="shared" si="2"/>
        <v>963</v>
      </c>
      <c r="T7" s="20">
        <v>8293.5</v>
      </c>
    </row>
    <row r="8" spans="1:20">
      <c r="A8" s="13">
        <v>2004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7"/>
      <c r="M8" s="17">
        <f t="shared" si="1"/>
        <v>4912.0049999999992</v>
      </c>
      <c r="N8" s="19">
        <f t="shared" si="0"/>
        <v>4912.0049999999992</v>
      </c>
      <c r="O8" s="16"/>
      <c r="Q8" s="16">
        <f>S8*Q2</f>
        <v>4912.0049999999992</v>
      </c>
      <c r="R8" s="55">
        <v>4555</v>
      </c>
      <c r="S8" s="55">
        <f t="shared" si="2"/>
        <v>984</v>
      </c>
      <c r="T8" s="20">
        <v>8293.5</v>
      </c>
    </row>
    <row r="9" spans="1:20">
      <c r="A9" s="13">
        <v>2005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>
        <f t="shared" si="1"/>
        <v>5266.4281249999995</v>
      </c>
      <c r="N9" s="19">
        <f t="shared" si="0"/>
        <v>5266.4281249999995</v>
      </c>
      <c r="O9" s="162" t="s">
        <v>130</v>
      </c>
      <c r="Q9" s="16">
        <f>S9*Q2</f>
        <v>5266.4281249999995</v>
      </c>
      <c r="R9" s="55">
        <v>5610</v>
      </c>
      <c r="S9" s="55">
        <f t="shared" si="2"/>
        <v>1055</v>
      </c>
      <c r="T9" s="20">
        <v>8293.5</v>
      </c>
    </row>
    <row r="10" spans="1:20">
      <c r="A10" s="13">
        <v>2006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>
        <f>P10</f>
        <v>13224.874599999999</v>
      </c>
      <c r="N10" s="19">
        <f t="shared" si="0"/>
        <v>13224.874599999999</v>
      </c>
      <c r="O10" s="16">
        <f>4/1.47</f>
        <v>2.7210884353741496</v>
      </c>
      <c r="P10" s="16">
        <f>Q10*2.72</f>
        <v>13224.874599999999</v>
      </c>
      <c r="Q10" s="16">
        <f>S10*Q2</f>
        <v>4862.0862499999994</v>
      </c>
      <c r="R10" s="55">
        <v>6584</v>
      </c>
      <c r="S10" s="55">
        <f t="shared" si="2"/>
        <v>974</v>
      </c>
      <c r="T10" s="20">
        <f>T7*2.72</f>
        <v>22558.320000000003</v>
      </c>
    </row>
    <row r="11" spans="1:20">
      <c r="A11" s="13">
        <v>2007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>
        <f t="shared" ref="M11:M13" si="3">P11</f>
        <v>12668.180699999999</v>
      </c>
      <c r="N11" s="19">
        <f t="shared" si="0"/>
        <v>12668.180699999999</v>
      </c>
      <c r="O11" s="16"/>
      <c r="P11" s="16">
        <f t="shared" ref="P11:P13" si="4">Q11*2.72</f>
        <v>12668.180699999999</v>
      </c>
      <c r="Q11" s="16">
        <f>S11*Q2</f>
        <v>4657.4193749999995</v>
      </c>
      <c r="R11" s="55">
        <v>7517</v>
      </c>
      <c r="S11" s="55">
        <f t="shared" si="2"/>
        <v>933</v>
      </c>
      <c r="T11" s="20">
        <f t="shared" ref="T11" si="5">T8*2.72</f>
        <v>22558.320000000003</v>
      </c>
    </row>
    <row r="12" spans="1:20">
      <c r="A12" s="13">
        <v>2008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>
        <f t="shared" si="3"/>
        <v>11948.552</v>
      </c>
      <c r="N12" s="19">
        <f t="shared" si="0"/>
        <v>11948.552</v>
      </c>
      <c r="O12" s="16"/>
      <c r="P12" s="16">
        <f t="shared" si="4"/>
        <v>11948.552</v>
      </c>
      <c r="Q12" s="16">
        <f>S12*Q2</f>
        <v>4392.8499999999995</v>
      </c>
      <c r="R12" s="55">
        <v>8397</v>
      </c>
      <c r="S12" s="55">
        <f t="shared" si="2"/>
        <v>880</v>
      </c>
      <c r="T12" s="20">
        <v>22558.32</v>
      </c>
    </row>
    <row r="13" spans="1:20">
      <c r="A13" s="13">
        <v>2009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>
        <f t="shared" si="3"/>
        <v>12260.843699999998</v>
      </c>
      <c r="N13" s="19">
        <f t="shared" si="0"/>
        <v>12260.843699999998</v>
      </c>
      <c r="O13" s="162" t="s">
        <v>131</v>
      </c>
      <c r="P13" s="16">
        <f t="shared" si="4"/>
        <v>12260.843699999998</v>
      </c>
      <c r="Q13" s="16">
        <f>S13*Q2</f>
        <v>4507.6631249999991</v>
      </c>
      <c r="R13" s="55">
        <v>9300</v>
      </c>
      <c r="S13" s="55">
        <f t="shared" si="2"/>
        <v>903</v>
      </c>
      <c r="T13" s="20">
        <v>22558.32</v>
      </c>
    </row>
    <row r="14" spans="1:20">
      <c r="A14" s="13">
        <v>2010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>
        <f>P14</f>
        <v>12301.577399999998</v>
      </c>
      <c r="N14" s="19">
        <f t="shared" si="0"/>
        <v>12301.577399999998</v>
      </c>
      <c r="O14" s="16">
        <f>6/1.47</f>
        <v>4.0816326530612246</v>
      </c>
      <c r="P14" s="16">
        <f>Q14*4.08</f>
        <v>12301.577399999998</v>
      </c>
      <c r="Q14" s="16">
        <f>S14*Q2</f>
        <v>3015.0924999999997</v>
      </c>
      <c r="R14" s="55">
        <v>9904</v>
      </c>
      <c r="S14" s="55">
        <f t="shared" si="2"/>
        <v>604</v>
      </c>
      <c r="T14" s="20">
        <f>T6*4.08</f>
        <v>33837.480000000003</v>
      </c>
    </row>
    <row r="15" spans="1:20">
      <c r="A15" s="13">
        <v>2011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>
        <f t="shared" ref="M15:M17" si="6">P15</f>
        <v>11772.039299999999</v>
      </c>
      <c r="N15" s="19">
        <f t="shared" si="0"/>
        <v>11772.039299999999</v>
      </c>
      <c r="O15" s="16"/>
      <c r="P15" s="16">
        <f t="shared" ref="P15:P17" si="7">Q15*4.08</f>
        <v>11772.039299999999</v>
      </c>
      <c r="Q15" s="16">
        <f>S15*Q2</f>
        <v>2885.3037499999996</v>
      </c>
      <c r="R15" s="55">
        <v>10482</v>
      </c>
      <c r="S15" s="55">
        <f t="shared" si="2"/>
        <v>578</v>
      </c>
      <c r="T15" s="20">
        <v>33837.480000000003</v>
      </c>
    </row>
    <row r="16" spans="1:20">
      <c r="A16" s="13">
        <v>2012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>
        <f t="shared" si="6"/>
        <v>9470.5852499999983</v>
      </c>
      <c r="N16" s="19">
        <f t="shared" si="0"/>
        <v>9470.5852499999983</v>
      </c>
      <c r="O16" s="16"/>
      <c r="P16" s="16">
        <f t="shared" si="7"/>
        <v>9470.5852499999983</v>
      </c>
      <c r="Q16" s="16">
        <f>S16*Q2</f>
        <v>2321.2218749999997</v>
      </c>
      <c r="R16" s="55">
        <v>10947</v>
      </c>
      <c r="S16" s="55">
        <f t="shared" si="2"/>
        <v>465</v>
      </c>
      <c r="T16" s="20">
        <v>33837.480000000003</v>
      </c>
    </row>
    <row r="17" spans="1:25" ht="15.75">
      <c r="A17" s="13">
        <v>2013</v>
      </c>
      <c r="B17" s="17"/>
      <c r="C17" s="17"/>
      <c r="D17" s="17"/>
      <c r="E17" s="17"/>
      <c r="F17" s="17"/>
      <c r="G17" s="14"/>
      <c r="H17" s="14"/>
      <c r="I17" s="14"/>
      <c r="J17" s="14"/>
      <c r="K17" s="14"/>
      <c r="L17" s="14"/>
      <c r="M17" s="14">
        <f t="shared" si="6"/>
        <v>4765.8428999999996</v>
      </c>
      <c r="N17" s="19">
        <f t="shared" si="0"/>
        <v>4765.8428999999996</v>
      </c>
      <c r="O17" s="15" t="s">
        <v>132</v>
      </c>
      <c r="P17" s="16">
        <f t="shared" si="7"/>
        <v>4765.8428999999996</v>
      </c>
      <c r="Q17" s="16">
        <f>S17*Q2</f>
        <v>1168.0987499999999</v>
      </c>
      <c r="R17" s="55">
        <v>11181</v>
      </c>
      <c r="S17" s="55">
        <f t="shared" si="2"/>
        <v>234</v>
      </c>
      <c r="T17" s="20">
        <v>11500</v>
      </c>
    </row>
    <row r="18" spans="1:2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25">
        <f>SUM(N2:N17)</f>
        <v>116416.91459999999</v>
      </c>
      <c r="Q18" s="16"/>
      <c r="T18" s="20"/>
    </row>
    <row r="19" spans="1:25">
      <c r="Y19"/>
    </row>
    <row r="20" spans="1:25" ht="15.75" customHeight="1">
      <c r="A20" s="426" t="s">
        <v>135</v>
      </c>
      <c r="B20" s="426"/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Y20"/>
    </row>
    <row r="21" spans="1:25">
      <c r="C21" s="159" t="s">
        <v>127</v>
      </c>
      <c r="D21" s="159"/>
      <c r="E21" s="159"/>
      <c r="Y21"/>
    </row>
    <row r="22" spans="1:25">
      <c r="A22"/>
      <c r="C22" s="159" t="s">
        <v>128</v>
      </c>
    </row>
    <row r="23" spans="1:25" ht="15.75">
      <c r="A23"/>
      <c r="C23" s="159" t="s">
        <v>129</v>
      </c>
      <c r="K23" s="15" t="s">
        <v>134</v>
      </c>
    </row>
    <row r="24" spans="1:25">
      <c r="B24"/>
    </row>
    <row r="26" spans="1:25">
      <c r="A26" s="153" t="s">
        <v>18</v>
      </c>
      <c r="B26" s="154" t="s">
        <v>105</v>
      </c>
      <c r="C26" s="143" t="s">
        <v>106</v>
      </c>
      <c r="D26" s="155" t="s">
        <v>110</v>
      </c>
      <c r="E26" s="425" t="s">
        <v>107</v>
      </c>
      <c r="F26" s="425"/>
      <c r="G26" s="144" t="s">
        <v>111</v>
      </c>
      <c r="H26" s="156" t="s">
        <v>112</v>
      </c>
      <c r="I26" s="156" t="s">
        <v>109</v>
      </c>
      <c r="J26" s="140" t="s">
        <v>108</v>
      </c>
      <c r="K26" s="140"/>
      <c r="L26" s="144"/>
      <c r="M26" s="144"/>
      <c r="N26" s="144"/>
    </row>
    <row r="27" spans="1:25">
      <c r="A27" s="13">
        <v>1998</v>
      </c>
      <c r="B27" s="47"/>
      <c r="C27" s="64"/>
      <c r="D27" s="64"/>
      <c r="E27" s="534"/>
      <c r="F27" s="534"/>
      <c r="G27" s="141"/>
      <c r="H27" s="50"/>
      <c r="I27" s="142"/>
      <c r="J27" s="65"/>
      <c r="K27" s="65"/>
      <c r="L27" s="65"/>
      <c r="M27" s="65"/>
      <c r="N27" s="65"/>
      <c r="T27" s="16"/>
    </row>
    <row r="28" spans="1:25">
      <c r="A28" s="13"/>
      <c r="B28" s="47"/>
      <c r="C28" s="64"/>
      <c r="D28" s="64"/>
      <c r="E28" s="534"/>
      <c r="F28" s="534"/>
      <c r="G28" s="141"/>
      <c r="H28" s="50"/>
      <c r="I28" s="21"/>
      <c r="J28" s="33"/>
      <c r="K28" s="33"/>
      <c r="L28" s="65"/>
      <c r="M28" s="65"/>
      <c r="N28" s="65"/>
    </row>
    <row r="29" spans="1:25">
      <c r="A29" s="13"/>
      <c r="B29" s="47"/>
      <c r="C29" s="64"/>
      <c r="D29" s="64"/>
      <c r="E29" s="534"/>
      <c r="F29" s="534"/>
      <c r="G29" s="141"/>
      <c r="H29" s="51"/>
      <c r="I29" s="21"/>
      <c r="J29" s="33"/>
      <c r="K29" s="33"/>
      <c r="L29" s="65"/>
      <c r="M29" s="65"/>
      <c r="N29" s="65"/>
    </row>
    <row r="30" spans="1:25">
      <c r="A30" s="13"/>
      <c r="B30" s="47"/>
      <c r="C30" s="64"/>
      <c r="D30" s="64"/>
      <c r="E30" s="534"/>
      <c r="F30" s="534"/>
      <c r="G30" s="141"/>
      <c r="H30" s="51"/>
      <c r="I30" s="21"/>
      <c r="J30" s="33"/>
      <c r="K30" s="33"/>
      <c r="L30" s="65"/>
      <c r="M30" s="65"/>
      <c r="N30" s="65"/>
    </row>
    <row r="31" spans="1:25">
      <c r="A31" s="13"/>
      <c r="B31" s="47"/>
      <c r="C31" s="64"/>
      <c r="D31" s="64"/>
      <c r="E31" s="534"/>
      <c r="F31" s="534"/>
      <c r="G31" s="141"/>
      <c r="H31" s="51"/>
      <c r="I31" s="21"/>
      <c r="J31" s="33"/>
      <c r="K31" s="33"/>
      <c r="L31" s="65"/>
      <c r="M31" s="65"/>
      <c r="N31" s="65"/>
    </row>
    <row r="32" spans="1:25">
      <c r="A32" s="13">
        <v>2005</v>
      </c>
      <c r="B32" s="47"/>
      <c r="C32" s="64"/>
      <c r="D32" s="64"/>
      <c r="E32" s="534"/>
      <c r="F32" s="534"/>
      <c r="G32" s="141"/>
      <c r="H32" s="51"/>
      <c r="I32" s="21"/>
      <c r="J32" s="33"/>
      <c r="K32" s="33"/>
      <c r="L32" s="65"/>
      <c r="M32" s="65"/>
      <c r="N32" s="65"/>
    </row>
    <row r="33" spans="1:14">
      <c r="A33" s="13"/>
      <c r="B33" s="47"/>
      <c r="C33" s="64"/>
      <c r="D33" s="64"/>
      <c r="E33" s="534"/>
      <c r="F33" s="534"/>
      <c r="G33" s="141"/>
      <c r="H33" s="51"/>
      <c r="I33" s="21"/>
      <c r="J33" s="33"/>
      <c r="K33" s="33"/>
      <c r="L33" s="65"/>
      <c r="M33" s="65"/>
      <c r="N33" s="65"/>
    </row>
    <row r="34" spans="1:14">
      <c r="A34" s="13"/>
      <c r="B34" s="47"/>
      <c r="C34" s="64"/>
      <c r="D34" s="64"/>
      <c r="E34" s="534"/>
      <c r="F34" s="534"/>
      <c r="G34" s="141"/>
      <c r="H34" s="51"/>
      <c r="I34" s="33"/>
      <c r="J34" s="33"/>
      <c r="K34" s="33"/>
      <c r="L34" s="65"/>
      <c r="M34" s="65"/>
      <c r="N34" s="65"/>
    </row>
    <row r="35" spans="1:14">
      <c r="A35" s="13"/>
      <c r="B35" s="47"/>
      <c r="C35" s="64"/>
      <c r="D35" s="64"/>
      <c r="E35" s="534"/>
      <c r="F35" s="534"/>
      <c r="G35" s="141"/>
      <c r="H35" s="51"/>
      <c r="I35" s="33"/>
      <c r="J35" s="33"/>
      <c r="K35" s="33"/>
      <c r="L35" s="65"/>
      <c r="M35" s="65"/>
      <c r="N35" s="65"/>
    </row>
    <row r="36" spans="1:14">
      <c r="A36" s="13"/>
      <c r="B36" s="47"/>
      <c r="C36" s="64"/>
      <c r="D36" s="64"/>
      <c r="E36" s="534"/>
      <c r="F36" s="534"/>
      <c r="G36" s="141"/>
      <c r="H36" s="51"/>
      <c r="I36" s="33"/>
      <c r="J36" s="33"/>
      <c r="K36" s="33"/>
      <c r="L36" s="65"/>
      <c r="M36" s="65"/>
      <c r="N36" s="65"/>
    </row>
    <row r="37" spans="1:14">
      <c r="A37" s="13"/>
      <c r="B37" s="47"/>
      <c r="C37" s="64"/>
      <c r="D37" s="64"/>
      <c r="E37" s="534"/>
      <c r="F37" s="534"/>
      <c r="G37" s="141"/>
      <c r="H37" s="51"/>
      <c r="I37" s="33"/>
      <c r="J37" s="33"/>
      <c r="K37" s="33"/>
      <c r="L37" s="65"/>
      <c r="M37" s="65"/>
      <c r="N37" s="65"/>
    </row>
    <row r="38" spans="1:14">
      <c r="A38" s="13"/>
      <c r="B38" s="47"/>
      <c r="C38" s="64"/>
      <c r="D38" s="64"/>
      <c r="E38" s="534"/>
      <c r="F38" s="534"/>
      <c r="G38" s="141"/>
      <c r="H38" s="51"/>
      <c r="I38" s="33"/>
      <c r="J38" s="33"/>
      <c r="K38" s="33"/>
      <c r="L38" s="65"/>
      <c r="M38" s="65"/>
      <c r="N38" s="65"/>
    </row>
    <row r="39" spans="1:14">
      <c r="A39" s="13"/>
      <c r="B39" s="47"/>
      <c r="C39" s="64"/>
      <c r="D39" s="64"/>
      <c r="E39" s="534"/>
      <c r="F39" s="534"/>
      <c r="G39" s="141"/>
      <c r="H39" s="51"/>
      <c r="I39" s="33"/>
      <c r="J39" s="33"/>
      <c r="K39" s="33"/>
      <c r="L39" s="65"/>
      <c r="M39" s="65"/>
      <c r="N39" s="65"/>
    </row>
    <row r="40" spans="1:14">
      <c r="A40" s="13"/>
      <c r="B40" s="47"/>
      <c r="C40" s="64"/>
      <c r="D40" s="64"/>
      <c r="E40" s="534"/>
      <c r="F40" s="534"/>
      <c r="G40" s="141"/>
      <c r="H40" s="51"/>
      <c r="I40" s="33"/>
      <c r="J40" s="33"/>
      <c r="K40" s="33"/>
      <c r="L40" s="65"/>
      <c r="M40" s="65"/>
      <c r="N40" s="65"/>
    </row>
    <row r="41" spans="1:14">
      <c r="A41" s="13"/>
      <c r="B41" s="47"/>
      <c r="C41" s="64"/>
      <c r="D41" s="64"/>
      <c r="E41" s="534"/>
      <c r="F41" s="534"/>
      <c r="G41" s="141"/>
      <c r="H41" s="51"/>
      <c r="I41" s="33"/>
      <c r="J41" s="33"/>
      <c r="K41" s="33"/>
      <c r="L41" s="65"/>
      <c r="M41" s="65"/>
      <c r="N41" s="65"/>
    </row>
    <row r="42" spans="1:14">
      <c r="A42" s="13"/>
      <c r="B42" s="47"/>
      <c r="C42" s="64"/>
      <c r="D42" s="64"/>
      <c r="E42" s="534"/>
      <c r="F42" s="534"/>
      <c r="G42" s="141"/>
      <c r="H42" s="13"/>
      <c r="I42" s="33"/>
      <c r="J42" s="33"/>
      <c r="K42" s="33"/>
      <c r="L42" s="65"/>
      <c r="M42" s="65"/>
      <c r="N42" s="65"/>
    </row>
  </sheetData>
  <mergeCells count="18">
    <mergeCell ref="E42:F42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30:F30"/>
    <mergeCell ref="A20:N20"/>
    <mergeCell ref="E26:F26"/>
    <mergeCell ref="E27:F27"/>
    <mergeCell ref="E28:F28"/>
    <mergeCell ref="E29:F29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N26"/>
  <sheetViews>
    <sheetView topLeftCell="J1" workbookViewId="0">
      <pane ySplit="1" topLeftCell="A2" activePane="bottomLeft" state="frozen"/>
      <selection pane="bottomLeft" activeCell="AN9" sqref="AN9:AN10"/>
    </sheetView>
  </sheetViews>
  <sheetFormatPr defaultRowHeight="12.75"/>
  <cols>
    <col min="1" max="1" width="3.88671875" style="2" bestFit="1" customWidth="1"/>
    <col min="2" max="3" width="6.21875" style="2" bestFit="1" customWidth="1"/>
    <col min="4" max="4" width="5.109375" style="2" bestFit="1" customWidth="1"/>
    <col min="5" max="6" width="6.21875" style="2" bestFit="1" customWidth="1"/>
    <col min="7" max="7" width="5.109375" style="2" bestFit="1" customWidth="1"/>
    <col min="8" max="10" width="6.21875" style="2" bestFit="1" customWidth="1"/>
    <col min="11" max="11" width="7" style="2" bestFit="1" customWidth="1"/>
    <col min="12" max="12" width="6.21875" style="2" bestFit="1" customWidth="1"/>
    <col min="13" max="13" width="5.109375" style="2" bestFit="1" customWidth="1"/>
    <col min="14" max="14" width="6.21875" style="2" bestFit="1" customWidth="1"/>
    <col min="15" max="15" width="6.6640625" style="2" customWidth="1"/>
    <col min="16" max="16" width="5.109375" style="2" bestFit="1" customWidth="1"/>
    <col min="17" max="18" width="6.21875" style="2" bestFit="1" customWidth="1"/>
    <col min="19" max="19" width="5.109375" style="2" bestFit="1" customWidth="1"/>
    <col min="20" max="21" width="6.21875" style="2" bestFit="1" customWidth="1"/>
    <col min="22" max="22" width="5.109375" style="2" bestFit="1" customWidth="1"/>
    <col min="23" max="23" width="7" style="2" bestFit="1" customWidth="1"/>
    <col min="24" max="25" width="6.21875" style="2" bestFit="1" customWidth="1"/>
    <col min="26" max="26" width="7" style="2" bestFit="1" customWidth="1"/>
    <col min="27" max="28" width="6.21875" style="2" bestFit="1" customWidth="1"/>
    <col min="29" max="29" width="7" style="2" bestFit="1" customWidth="1"/>
    <col min="30" max="31" width="6.21875" style="2" bestFit="1" customWidth="1"/>
    <col min="32" max="32" width="7" style="2" bestFit="1" customWidth="1"/>
    <col min="33" max="33" width="6.21875" style="2" bestFit="1" customWidth="1"/>
    <col min="34" max="34" width="5.44140625" style="2" bestFit="1" customWidth="1"/>
    <col min="35" max="35" width="7" style="2" bestFit="1" customWidth="1"/>
    <col min="36" max="37" width="6.21875" style="2" bestFit="1" customWidth="1"/>
    <col min="38" max="38" width="7.77734375" style="2" bestFit="1" customWidth="1"/>
    <col min="39" max="39" width="7" style="2" bestFit="1" customWidth="1"/>
    <col min="40" max="40" width="6.5546875" style="2" bestFit="1" customWidth="1"/>
    <col min="41" max="41" width="6.77734375" style="2" customWidth="1"/>
    <col min="42" max="16384" width="8.88671875" style="2"/>
  </cols>
  <sheetData>
    <row r="1" spans="1:40" ht="13.5" thickBot="1">
      <c r="A1" s="166"/>
      <c r="B1" s="167" t="s">
        <v>4</v>
      </c>
      <c r="C1" s="167" t="s">
        <v>147</v>
      </c>
      <c r="D1" s="167" t="s">
        <v>179</v>
      </c>
      <c r="E1" s="168" t="s">
        <v>5</v>
      </c>
      <c r="F1" s="168" t="s">
        <v>147</v>
      </c>
      <c r="G1" s="168" t="s">
        <v>179</v>
      </c>
      <c r="H1" s="167" t="s">
        <v>6</v>
      </c>
      <c r="I1" s="167" t="s">
        <v>147</v>
      </c>
      <c r="J1" s="167" t="s">
        <v>179</v>
      </c>
      <c r="K1" s="214" t="s">
        <v>7</v>
      </c>
      <c r="L1" s="214" t="s">
        <v>147</v>
      </c>
      <c r="M1" s="214" t="s">
        <v>179</v>
      </c>
      <c r="N1" s="167" t="s">
        <v>2</v>
      </c>
      <c r="O1" s="167" t="s">
        <v>147</v>
      </c>
      <c r="P1" s="167" t="s">
        <v>179</v>
      </c>
      <c r="Q1" s="168" t="s">
        <v>8</v>
      </c>
      <c r="R1" s="168" t="s">
        <v>147</v>
      </c>
      <c r="S1" s="168" t="s">
        <v>179</v>
      </c>
      <c r="T1" s="167" t="s">
        <v>9</v>
      </c>
      <c r="U1" s="167" t="s">
        <v>147</v>
      </c>
      <c r="V1" s="167" t="s">
        <v>179</v>
      </c>
      <c r="W1" s="214" t="s">
        <v>10</v>
      </c>
      <c r="X1" s="214" t="s">
        <v>147</v>
      </c>
      <c r="Y1" s="214" t="s">
        <v>179</v>
      </c>
      <c r="Z1" s="167" t="s">
        <v>11</v>
      </c>
      <c r="AA1" s="167" t="s">
        <v>147</v>
      </c>
      <c r="AB1" s="167" t="s">
        <v>179</v>
      </c>
      <c r="AC1" s="168" t="s">
        <v>12</v>
      </c>
      <c r="AD1" s="168" t="s">
        <v>147</v>
      </c>
      <c r="AE1" s="168" t="s">
        <v>179</v>
      </c>
      <c r="AF1" s="167" t="s">
        <v>13</v>
      </c>
      <c r="AG1" s="167" t="s">
        <v>147</v>
      </c>
      <c r="AH1" s="167" t="s">
        <v>179</v>
      </c>
      <c r="AI1" s="214" t="s">
        <v>14</v>
      </c>
      <c r="AJ1" s="214" t="s">
        <v>147</v>
      </c>
      <c r="AK1" s="214" t="s">
        <v>179</v>
      </c>
      <c r="AL1" s="215" t="s">
        <v>157</v>
      </c>
      <c r="AM1" s="215" t="s">
        <v>147</v>
      </c>
      <c r="AN1" s="215" t="s">
        <v>139</v>
      </c>
    </row>
    <row r="2" spans="1:40">
      <c r="A2" s="216">
        <v>1998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>
        <v>3100</v>
      </c>
      <c r="X2" s="219">
        <f>W2/340.75</f>
        <v>9.0975788701393991</v>
      </c>
      <c r="Y2" s="218">
        <v>107</v>
      </c>
      <c r="Z2" s="218">
        <v>18300</v>
      </c>
      <c r="AA2" s="219">
        <f>Z2/340.75</f>
        <v>53.705062362435804</v>
      </c>
      <c r="AB2" s="218">
        <v>622</v>
      </c>
      <c r="AC2" s="218">
        <v>21500</v>
      </c>
      <c r="AD2" s="219">
        <f>AC2/340.75</f>
        <v>63.096111518708732</v>
      </c>
      <c r="AE2" s="218">
        <v>717</v>
      </c>
      <c r="AF2" s="218">
        <v>7200</v>
      </c>
      <c r="AG2" s="219">
        <f>AF2/340.75</f>
        <v>21.129860601614087</v>
      </c>
      <c r="AH2" s="218">
        <v>236</v>
      </c>
      <c r="AI2" s="218">
        <v>31500</v>
      </c>
      <c r="AJ2" s="219">
        <f>AI2/340.75</f>
        <v>92.443140132061629</v>
      </c>
      <c r="AK2" s="218">
        <v>1011</v>
      </c>
      <c r="AL2" s="220">
        <f>W2+Z2+AC2+AF2+AI2</f>
        <v>81600</v>
      </c>
      <c r="AM2" s="221">
        <f>X2+AA2+AD2+AG2+AJ2</f>
        <v>239.47175348495966</v>
      </c>
      <c r="AN2" s="220">
        <f>Y2+AB2+AE2+AH2+AK2</f>
        <v>2693</v>
      </c>
    </row>
    <row r="3" spans="1:40">
      <c r="A3" s="249">
        <v>1999</v>
      </c>
      <c r="B3" s="220">
        <v>5400</v>
      </c>
      <c r="C3" s="219">
        <f t="shared" ref="C3:C6" si="0">B3/340.75</f>
        <v>15.847395451210565</v>
      </c>
      <c r="D3" s="220">
        <v>170</v>
      </c>
      <c r="E3" s="220">
        <v>6500</v>
      </c>
      <c r="F3" s="219">
        <f t="shared" ref="F3:F6" si="1">E3/340.75</f>
        <v>19.075568598679382</v>
      </c>
      <c r="G3" s="220">
        <v>201</v>
      </c>
      <c r="H3" s="220">
        <v>8910</v>
      </c>
      <c r="I3" s="219">
        <f t="shared" ref="I3:I5" si="2">H3/340.75</f>
        <v>26.148202494497433</v>
      </c>
      <c r="J3" s="220">
        <v>271</v>
      </c>
      <c r="K3" s="220">
        <v>12600</v>
      </c>
      <c r="L3" s="219">
        <f t="shared" ref="L3:L6" si="3">K3/340.75</f>
        <v>36.97725605282465</v>
      </c>
      <c r="M3" s="220">
        <v>376</v>
      </c>
      <c r="N3" s="220">
        <v>7200</v>
      </c>
      <c r="O3" s="219">
        <f t="shared" ref="O3:O5" si="4">N3/340.75</f>
        <v>21.129860601614087</v>
      </c>
      <c r="P3" s="220">
        <v>211</v>
      </c>
      <c r="Q3" s="220">
        <v>4500</v>
      </c>
      <c r="R3" s="219">
        <f t="shared" ref="R3:R5" si="5">Q3/340.75</f>
        <v>13.206162876008804</v>
      </c>
      <c r="S3" s="220">
        <v>130</v>
      </c>
      <c r="T3" s="220">
        <v>7400</v>
      </c>
      <c r="U3" s="219">
        <f t="shared" ref="U3:U5" si="6">T3/340.75</f>
        <v>21.716801173881144</v>
      </c>
      <c r="V3" s="220">
        <v>210</v>
      </c>
      <c r="W3" s="220">
        <v>18900</v>
      </c>
      <c r="X3" s="219">
        <f t="shared" ref="X3:X5" si="7">W3/340.75</f>
        <v>55.465884079236979</v>
      </c>
      <c r="Y3" s="220">
        <v>526</v>
      </c>
      <c r="Z3" s="220">
        <v>10800</v>
      </c>
      <c r="AA3" s="219">
        <f t="shared" ref="AA3:AA5" si="8">Z3/340.75</f>
        <v>31.694790902421129</v>
      </c>
      <c r="AB3" s="220">
        <v>294</v>
      </c>
      <c r="AC3" s="220">
        <v>12600</v>
      </c>
      <c r="AD3" s="219">
        <f t="shared" ref="AD3:AD5" si="9">AC3/340.75</f>
        <v>36.97725605282465</v>
      </c>
      <c r="AE3" s="220">
        <v>339</v>
      </c>
      <c r="AF3" s="220">
        <v>5400</v>
      </c>
      <c r="AG3" s="219">
        <f t="shared" ref="AG3:AG5" si="10">AF3/340.75</f>
        <v>15.847395451210565</v>
      </c>
      <c r="AH3" s="220">
        <v>143</v>
      </c>
      <c r="AI3" s="220">
        <v>900</v>
      </c>
      <c r="AJ3" s="219">
        <f t="shared" ref="AJ3:AJ5" si="11">AI3/340.75</f>
        <v>2.6412325752017609</v>
      </c>
      <c r="AK3" s="220">
        <v>23</v>
      </c>
      <c r="AL3" s="220">
        <f>B3+E3+H3+K3+N3+Q3+T3+W3+Z3+AC3+AF3+AI3</f>
        <v>101110</v>
      </c>
      <c r="AM3" s="221">
        <f>C3+F3+I3+L3+O3+R3+U3+X3+AA3+AD3+AG3+AJ3</f>
        <v>296.72780630961114</v>
      </c>
      <c r="AN3" s="220">
        <f>D3+G3+J3+M3+P3+S3+V3+Y3+AB3+AE3+AH3+AK3</f>
        <v>2894</v>
      </c>
    </row>
    <row r="4" spans="1:40" s="203" customFormat="1">
      <c r="A4" s="286">
        <v>2000</v>
      </c>
      <c r="B4" s="220">
        <v>0</v>
      </c>
      <c r="C4" s="219">
        <f t="shared" si="0"/>
        <v>0</v>
      </c>
      <c r="D4" s="220"/>
      <c r="E4" s="220">
        <v>0</v>
      </c>
      <c r="F4" s="219">
        <f t="shared" si="1"/>
        <v>0</v>
      </c>
      <c r="G4" s="220"/>
      <c r="H4" s="220">
        <v>0</v>
      </c>
      <c r="I4" s="219">
        <f t="shared" si="2"/>
        <v>0</v>
      </c>
      <c r="J4" s="220"/>
      <c r="K4" s="220">
        <v>0</v>
      </c>
      <c r="L4" s="219">
        <f t="shared" si="3"/>
        <v>0</v>
      </c>
      <c r="M4" s="220"/>
      <c r="N4" s="220">
        <v>0</v>
      </c>
      <c r="O4" s="219">
        <f t="shared" si="4"/>
        <v>0</v>
      </c>
      <c r="P4" s="220"/>
      <c r="Q4" s="220">
        <v>1844</v>
      </c>
      <c r="R4" s="219">
        <f t="shared" si="5"/>
        <v>5.4115920763022745</v>
      </c>
      <c r="S4" s="220">
        <v>44</v>
      </c>
      <c r="T4" s="220">
        <v>0</v>
      </c>
      <c r="U4" s="219">
        <f t="shared" si="6"/>
        <v>0</v>
      </c>
      <c r="V4" s="220"/>
      <c r="W4" s="220">
        <v>172</v>
      </c>
      <c r="X4" s="219">
        <f t="shared" si="7"/>
        <v>0.5047688921496698</v>
      </c>
      <c r="Y4" s="220">
        <v>4</v>
      </c>
      <c r="Z4" s="220">
        <v>80</v>
      </c>
      <c r="AA4" s="219">
        <f t="shared" si="8"/>
        <v>0.23477622890682318</v>
      </c>
      <c r="AB4" s="220">
        <v>2</v>
      </c>
      <c r="AC4" s="220">
        <v>0</v>
      </c>
      <c r="AD4" s="219">
        <f t="shared" si="9"/>
        <v>0</v>
      </c>
      <c r="AE4" s="220"/>
      <c r="AF4" s="220">
        <v>5542</v>
      </c>
      <c r="AG4" s="219">
        <f t="shared" si="10"/>
        <v>16.264123257520176</v>
      </c>
      <c r="AH4" s="220">
        <v>124</v>
      </c>
      <c r="AI4" s="220">
        <v>410</v>
      </c>
      <c r="AJ4" s="219">
        <f t="shared" si="11"/>
        <v>1.2032281731474688</v>
      </c>
      <c r="AK4" s="220">
        <v>9</v>
      </c>
      <c r="AL4" s="220">
        <f t="shared" ref="AL4:AN6" si="12">B4+E4+H4+K4+N4+Q4+T4+W4+Z4+AC4+AF4+AI4</f>
        <v>8048</v>
      </c>
      <c r="AM4" s="221">
        <f t="shared" si="12"/>
        <v>23.618488628026412</v>
      </c>
      <c r="AN4" s="220">
        <f t="shared" si="12"/>
        <v>183</v>
      </c>
    </row>
    <row r="5" spans="1:40" s="203" customFormat="1">
      <c r="A5" s="287">
        <v>2001</v>
      </c>
      <c r="B5" s="220">
        <v>60</v>
      </c>
      <c r="C5" s="219">
        <f t="shared" si="0"/>
        <v>0.17608217168011739</v>
      </c>
      <c r="D5" s="220">
        <v>1</v>
      </c>
      <c r="E5" s="220">
        <v>0</v>
      </c>
      <c r="F5" s="219">
        <f t="shared" si="1"/>
        <v>0</v>
      </c>
      <c r="G5" s="220"/>
      <c r="H5" s="220">
        <v>10</v>
      </c>
      <c r="I5" s="219">
        <f t="shared" si="2"/>
        <v>2.9347028613352897E-2</v>
      </c>
      <c r="J5" s="220">
        <v>0</v>
      </c>
      <c r="K5" s="220">
        <v>100</v>
      </c>
      <c r="L5" s="219">
        <f t="shared" si="3"/>
        <v>0.29347028613352899</v>
      </c>
      <c r="M5" s="220">
        <v>2</v>
      </c>
      <c r="N5" s="220">
        <v>20</v>
      </c>
      <c r="O5" s="219">
        <f t="shared" si="4"/>
        <v>5.8694057226705794E-2</v>
      </c>
      <c r="P5" s="220">
        <v>0</v>
      </c>
      <c r="Q5" s="220">
        <v>2100</v>
      </c>
      <c r="R5" s="219">
        <f t="shared" si="5"/>
        <v>6.1628760088041084</v>
      </c>
      <c r="S5" s="220">
        <v>43</v>
      </c>
      <c r="T5" s="221"/>
      <c r="U5" s="219">
        <f t="shared" si="6"/>
        <v>0</v>
      </c>
      <c r="V5" s="221"/>
      <c r="W5" s="220">
        <v>920</v>
      </c>
      <c r="X5" s="219">
        <f t="shared" si="7"/>
        <v>2.6999266324284665</v>
      </c>
      <c r="Y5" s="221">
        <v>19</v>
      </c>
      <c r="Z5" s="220">
        <v>900</v>
      </c>
      <c r="AA5" s="219">
        <f t="shared" si="8"/>
        <v>2.6412325752017609</v>
      </c>
      <c r="AB5" s="221">
        <v>18</v>
      </c>
      <c r="AC5" s="221"/>
      <c r="AD5" s="219">
        <f t="shared" si="9"/>
        <v>0</v>
      </c>
      <c r="AE5" s="221"/>
      <c r="AF5" s="220">
        <v>440</v>
      </c>
      <c r="AG5" s="219">
        <f t="shared" si="10"/>
        <v>1.2912692589875274</v>
      </c>
      <c r="AH5" s="221">
        <v>9</v>
      </c>
      <c r="AI5" s="220">
        <v>220</v>
      </c>
      <c r="AJ5" s="219">
        <f t="shared" si="11"/>
        <v>0.64563462949376371</v>
      </c>
      <c r="AK5" s="221">
        <v>3</v>
      </c>
      <c r="AL5" s="220">
        <f t="shared" si="12"/>
        <v>4770</v>
      </c>
      <c r="AM5" s="221">
        <f t="shared" si="12"/>
        <v>13.998532648569331</v>
      </c>
      <c r="AN5" s="220">
        <f t="shared" si="12"/>
        <v>95</v>
      </c>
    </row>
    <row r="6" spans="1:40">
      <c r="A6" s="222">
        <v>2002</v>
      </c>
      <c r="B6" s="220">
        <v>160</v>
      </c>
      <c r="C6" s="219">
        <f t="shared" si="0"/>
        <v>0.46955245781364635</v>
      </c>
      <c r="D6" s="220">
        <v>3</v>
      </c>
      <c r="E6" s="220">
        <v>80</v>
      </c>
      <c r="F6" s="219">
        <f t="shared" si="1"/>
        <v>0.23477622890682318</v>
      </c>
      <c r="G6" s="220">
        <v>1</v>
      </c>
      <c r="H6" s="223"/>
      <c r="I6" s="219">
        <v>1.1100000000000001</v>
      </c>
      <c r="J6" s="221">
        <v>7</v>
      </c>
      <c r="K6" s="223"/>
      <c r="L6" s="219">
        <f t="shared" si="3"/>
        <v>0</v>
      </c>
      <c r="M6" s="221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0">
        <f t="shared" si="12"/>
        <v>240</v>
      </c>
      <c r="AM6" s="221">
        <f t="shared" si="12"/>
        <v>1.8143286867204695</v>
      </c>
      <c r="AN6" s="220">
        <f t="shared" si="12"/>
        <v>11</v>
      </c>
    </row>
    <row r="7" spans="1:40">
      <c r="A7" s="1">
        <v>2003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3"/>
      <c r="AM7" s="224">
        <f t="shared" ref="AM7" si="13">SUM(B7:AL7)</f>
        <v>0</v>
      </c>
      <c r="AN7" s="233"/>
    </row>
    <row r="8" spans="1:40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220">
        <f>SUM(AL2:AL7)</f>
        <v>195768</v>
      </c>
      <c r="AM8" s="221">
        <f>SUM(AM2:AM7)</f>
        <v>575.63090975788714</v>
      </c>
      <c r="AN8" s="220">
        <f>SUM(AN2:AN7)</f>
        <v>5876</v>
      </c>
    </row>
    <row r="9" spans="1:40" ht="18">
      <c r="O9" s="234" t="s">
        <v>158</v>
      </c>
      <c r="AD9" s="234" t="s">
        <v>158</v>
      </c>
      <c r="AL9" s="228"/>
      <c r="AM9" s="228"/>
      <c r="AN9" s="269">
        <v>45324</v>
      </c>
    </row>
    <row r="10" spans="1:40">
      <c r="AL10" s="228"/>
      <c r="AM10" s="228"/>
      <c r="AN10" s="266" t="s">
        <v>184</v>
      </c>
    </row>
    <row r="11" spans="1:40" ht="18">
      <c r="O11" s="227" t="s">
        <v>159</v>
      </c>
      <c r="AD11" s="227" t="s">
        <v>159</v>
      </c>
      <c r="AL11" s="228"/>
      <c r="AM11" s="228"/>
      <c r="AN11" s="295"/>
    </row>
    <row r="12" spans="1:40">
      <c r="AM12" s="211"/>
      <c r="AN12" s="296"/>
    </row>
    <row r="13" spans="1:40">
      <c r="A13" s="229">
        <v>1998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20">
        <f>W2*30%</f>
        <v>930</v>
      </c>
      <c r="X13" s="221">
        <f t="shared" ref="X13:X16" si="14">W13/340.75</f>
        <v>2.7292736610418196</v>
      </c>
      <c r="Y13" s="220">
        <f>Y2*30%</f>
        <v>32.1</v>
      </c>
      <c r="Z13" s="220">
        <f>Z2*30%</f>
        <v>5490</v>
      </c>
      <c r="AA13" s="221">
        <f t="shared" ref="AA13:AA16" si="15">Z13/340.75</f>
        <v>16.111518708730742</v>
      </c>
      <c r="AB13" s="220">
        <f>AB2*30%</f>
        <v>186.6</v>
      </c>
      <c r="AC13" s="220">
        <f>AC2*30%</f>
        <v>6450</v>
      </c>
      <c r="AD13" s="221">
        <f t="shared" ref="AD13:AD16" si="16">AC13/340.75</f>
        <v>18.928833455612619</v>
      </c>
      <c r="AE13" s="220">
        <f>AE2*30%</f>
        <v>215.1</v>
      </c>
      <c r="AF13" s="220">
        <f>AF2*30%</f>
        <v>2160</v>
      </c>
      <c r="AG13" s="221">
        <f t="shared" ref="AG13:AG16" si="17">AF13/340.75</f>
        <v>6.3389581804842257</v>
      </c>
      <c r="AH13" s="220">
        <f>AH2*30%</f>
        <v>70.8</v>
      </c>
      <c r="AI13" s="220">
        <f>AI2*30%</f>
        <v>9450</v>
      </c>
      <c r="AJ13" s="221">
        <f t="shared" ref="AJ13:AJ16" si="18">AI13/340.75</f>
        <v>27.732942039618489</v>
      </c>
      <c r="AK13" s="220">
        <f>AK2*30%</f>
        <v>303.3</v>
      </c>
      <c r="AL13" s="220">
        <f>W13+Z13+AC13+AF13+AI13</f>
        <v>24480</v>
      </c>
      <c r="AM13" s="221">
        <f>X13+AA13+AD13+AG13+AJ13</f>
        <v>71.841526045487896</v>
      </c>
      <c r="AN13" s="220">
        <f>Y13+AB13+AE13+AH13+AK13</f>
        <v>807.9</v>
      </c>
    </row>
    <row r="14" spans="1:40" s="203" customFormat="1">
      <c r="A14" s="231">
        <v>1999</v>
      </c>
      <c r="B14" s="220">
        <f>B3*30%</f>
        <v>1620</v>
      </c>
      <c r="C14" s="221">
        <f t="shared" ref="C14:C17" si="19">B14/340.75</f>
        <v>4.7542186353631699</v>
      </c>
      <c r="D14" s="220">
        <f>D3*30%</f>
        <v>51</v>
      </c>
      <c r="E14" s="220">
        <f>E3*30%</f>
        <v>1950</v>
      </c>
      <c r="F14" s="221">
        <f t="shared" ref="F14:F17" si="20">E14/340.75</f>
        <v>5.7226705796038155</v>
      </c>
      <c r="G14" s="220">
        <f>G3*30%</f>
        <v>60.3</v>
      </c>
      <c r="H14" s="220">
        <f>H3*30%</f>
        <v>2673</v>
      </c>
      <c r="I14" s="221">
        <f t="shared" ref="I14:I16" si="21">H14/340.75</f>
        <v>7.8444607483492295</v>
      </c>
      <c r="J14" s="220">
        <f>J3*30%</f>
        <v>81.3</v>
      </c>
      <c r="K14" s="220">
        <f>K3*30%</f>
        <v>3780</v>
      </c>
      <c r="L14" s="221">
        <f t="shared" ref="L14:L17" si="22">K14/340.75</f>
        <v>11.093176815847395</v>
      </c>
      <c r="M14" s="220">
        <f>M3*30%</f>
        <v>112.8</v>
      </c>
      <c r="N14" s="220">
        <f>N3*30%</f>
        <v>2160</v>
      </c>
      <c r="O14" s="221">
        <f t="shared" ref="O14:O16" si="23">N14/340.75</f>
        <v>6.3389581804842257</v>
      </c>
      <c r="P14" s="220">
        <f>P3*30%</f>
        <v>63.3</v>
      </c>
      <c r="Q14" s="220">
        <f>Q3*30%</f>
        <v>1350</v>
      </c>
      <c r="R14" s="221">
        <f t="shared" ref="R14:R16" si="24">Q14/340.75</f>
        <v>3.9618488628026411</v>
      </c>
      <c r="S14" s="220">
        <f>S3*30%</f>
        <v>39</v>
      </c>
      <c r="T14" s="220">
        <f>T3*30%</f>
        <v>2220</v>
      </c>
      <c r="U14" s="221">
        <f t="shared" ref="U14:U16" si="25">T14/340.75</f>
        <v>6.515040352164343</v>
      </c>
      <c r="V14" s="220">
        <f>V3*30%</f>
        <v>63</v>
      </c>
      <c r="W14" s="220">
        <f t="shared" ref="W14:W16" si="26">W3*30%</f>
        <v>5670</v>
      </c>
      <c r="X14" s="221">
        <f t="shared" si="14"/>
        <v>16.639765223771093</v>
      </c>
      <c r="Y14" s="220">
        <f t="shared" ref="Y14:Z17" si="27">Y3*30%</f>
        <v>157.79999999999998</v>
      </c>
      <c r="Z14" s="220">
        <f t="shared" si="27"/>
        <v>3240</v>
      </c>
      <c r="AA14" s="221">
        <f t="shared" si="15"/>
        <v>9.5084372707263398</v>
      </c>
      <c r="AB14" s="220">
        <f t="shared" ref="AB14:AC16" si="28">AB3*30%</f>
        <v>88.2</v>
      </c>
      <c r="AC14" s="220">
        <f t="shared" si="28"/>
        <v>3780</v>
      </c>
      <c r="AD14" s="221">
        <f t="shared" si="16"/>
        <v>11.093176815847395</v>
      </c>
      <c r="AE14" s="220">
        <f t="shared" ref="AE14:AF16" si="29">AE3*30%</f>
        <v>101.7</v>
      </c>
      <c r="AF14" s="220">
        <f t="shared" si="29"/>
        <v>1620</v>
      </c>
      <c r="AG14" s="221">
        <f t="shared" si="17"/>
        <v>4.7542186353631699</v>
      </c>
      <c r="AH14" s="220">
        <f t="shared" ref="AH14:AI16" si="30">AH3*30%</f>
        <v>42.9</v>
      </c>
      <c r="AI14" s="220">
        <f t="shared" si="30"/>
        <v>270</v>
      </c>
      <c r="AJ14" s="221">
        <f t="shared" si="18"/>
        <v>0.79236977256052821</v>
      </c>
      <c r="AK14" s="220">
        <f t="shared" ref="AK14:AK16" si="31">AK3*30%</f>
        <v>6.8999999999999995</v>
      </c>
      <c r="AL14" s="220">
        <f>B14+E14+H14+K14+N14+Q14+T14+W14+Z14+AC14+AF14+AI14</f>
        <v>30333</v>
      </c>
      <c r="AM14" s="221">
        <f>C14+F14+I14+L14+O14+R14+U14+X14+AA14+AD14+AG14+AJ14</f>
        <v>89.018341892883356</v>
      </c>
      <c r="AN14" s="220">
        <f>D14+G14+J14+M14+P14+S14+V14+Y14+AB14+AE14+AH14+AK14</f>
        <v>868.2</v>
      </c>
    </row>
    <row r="15" spans="1:40" s="203" customFormat="1">
      <c r="A15" s="232">
        <v>2000</v>
      </c>
      <c r="B15" s="220">
        <f t="shared" ref="B15:B17" si="32">B4*30%</f>
        <v>0</v>
      </c>
      <c r="C15" s="219">
        <f t="shared" si="19"/>
        <v>0</v>
      </c>
      <c r="D15" s="220">
        <f t="shared" ref="D15:E17" si="33">D4*30%</f>
        <v>0</v>
      </c>
      <c r="E15" s="220">
        <f t="shared" si="33"/>
        <v>0</v>
      </c>
      <c r="F15" s="219">
        <f t="shared" si="20"/>
        <v>0</v>
      </c>
      <c r="G15" s="220">
        <f t="shared" ref="G15:H17" si="34">G4*30%</f>
        <v>0</v>
      </c>
      <c r="H15" s="220">
        <f t="shared" si="34"/>
        <v>0</v>
      </c>
      <c r="I15" s="219">
        <f t="shared" si="21"/>
        <v>0</v>
      </c>
      <c r="J15" s="220">
        <f t="shared" ref="J15:K17" si="35">J4*30%</f>
        <v>0</v>
      </c>
      <c r="K15" s="220">
        <f t="shared" si="35"/>
        <v>0</v>
      </c>
      <c r="L15" s="219">
        <f t="shared" si="22"/>
        <v>0</v>
      </c>
      <c r="M15" s="220">
        <f t="shared" ref="M15:N17" si="36">M4*30%</f>
        <v>0</v>
      </c>
      <c r="N15" s="220">
        <f t="shared" si="36"/>
        <v>0</v>
      </c>
      <c r="O15" s="219">
        <f t="shared" si="23"/>
        <v>0</v>
      </c>
      <c r="P15" s="220">
        <f t="shared" ref="P15:Q16" si="37">P4*30%</f>
        <v>0</v>
      </c>
      <c r="Q15" s="220">
        <f t="shared" si="37"/>
        <v>553.19999999999993</v>
      </c>
      <c r="R15" s="219">
        <f t="shared" si="24"/>
        <v>1.6234776228906822</v>
      </c>
      <c r="S15" s="220">
        <f t="shared" ref="S15:T16" si="38">S4*30%</f>
        <v>13.2</v>
      </c>
      <c r="T15" s="220">
        <f t="shared" si="38"/>
        <v>0</v>
      </c>
      <c r="U15" s="219">
        <f t="shared" si="25"/>
        <v>0</v>
      </c>
      <c r="V15" s="220">
        <f t="shared" ref="V15:V16" si="39">V4*30%</f>
        <v>0</v>
      </c>
      <c r="W15" s="220">
        <f t="shared" si="26"/>
        <v>51.6</v>
      </c>
      <c r="X15" s="219">
        <f t="shared" si="14"/>
        <v>0.15143066764490096</v>
      </c>
      <c r="Y15" s="220">
        <f t="shared" si="27"/>
        <v>1.2</v>
      </c>
      <c r="Z15" s="220">
        <f t="shared" si="27"/>
        <v>24</v>
      </c>
      <c r="AA15" s="219">
        <f t="shared" si="15"/>
        <v>7.0432868672046955E-2</v>
      </c>
      <c r="AB15" s="220">
        <f t="shared" si="28"/>
        <v>0.6</v>
      </c>
      <c r="AC15" s="220">
        <f t="shared" si="28"/>
        <v>0</v>
      </c>
      <c r="AD15" s="219">
        <f t="shared" si="16"/>
        <v>0</v>
      </c>
      <c r="AE15" s="220">
        <f t="shared" si="29"/>
        <v>0</v>
      </c>
      <c r="AF15" s="220">
        <f t="shared" si="29"/>
        <v>1662.6</v>
      </c>
      <c r="AG15" s="219">
        <f t="shared" si="17"/>
        <v>4.8792369772560527</v>
      </c>
      <c r="AH15" s="220">
        <f t="shared" si="30"/>
        <v>37.199999999999996</v>
      </c>
      <c r="AI15" s="220">
        <f t="shared" si="30"/>
        <v>123</v>
      </c>
      <c r="AJ15" s="219">
        <f t="shared" si="18"/>
        <v>0.36096845194424065</v>
      </c>
      <c r="AK15" s="220">
        <f t="shared" si="31"/>
        <v>2.6999999999999997</v>
      </c>
      <c r="AL15" s="220">
        <f t="shared" ref="AL15:AN17" si="40">B15+E15+H15+K15+N15+Q15+T15+W15+Z15+AC15+AF15+AI15</f>
        <v>2414.3999999999996</v>
      </c>
      <c r="AM15" s="221">
        <f t="shared" si="40"/>
        <v>7.0855465884079232</v>
      </c>
      <c r="AN15" s="220">
        <f t="shared" si="40"/>
        <v>54.9</v>
      </c>
    </row>
    <row r="16" spans="1:40" s="203" customFormat="1">
      <c r="A16" s="232">
        <v>2001</v>
      </c>
      <c r="B16" s="220">
        <f t="shared" si="32"/>
        <v>18</v>
      </c>
      <c r="C16" s="219">
        <f t="shared" si="19"/>
        <v>5.2824651504035217E-2</v>
      </c>
      <c r="D16" s="220">
        <f t="shared" si="33"/>
        <v>0.3</v>
      </c>
      <c r="E16" s="220">
        <f t="shared" si="33"/>
        <v>0</v>
      </c>
      <c r="F16" s="219">
        <f t="shared" si="20"/>
        <v>0</v>
      </c>
      <c r="G16" s="220">
        <f t="shared" si="34"/>
        <v>0</v>
      </c>
      <c r="H16" s="220">
        <f t="shared" si="34"/>
        <v>3</v>
      </c>
      <c r="I16" s="219">
        <f t="shared" si="21"/>
        <v>8.8041085840058694E-3</v>
      </c>
      <c r="J16" s="220">
        <f t="shared" si="35"/>
        <v>0</v>
      </c>
      <c r="K16" s="220">
        <f t="shared" si="35"/>
        <v>30</v>
      </c>
      <c r="L16" s="219">
        <f t="shared" si="22"/>
        <v>8.8041085840058694E-2</v>
      </c>
      <c r="M16" s="220">
        <f t="shared" si="36"/>
        <v>0.6</v>
      </c>
      <c r="N16" s="220">
        <f t="shared" si="36"/>
        <v>6</v>
      </c>
      <c r="O16" s="219">
        <f t="shared" si="23"/>
        <v>1.7608217168011739E-2</v>
      </c>
      <c r="P16" s="220">
        <f t="shared" si="37"/>
        <v>0</v>
      </c>
      <c r="Q16" s="220">
        <f t="shared" si="37"/>
        <v>630</v>
      </c>
      <c r="R16" s="219">
        <f t="shared" si="24"/>
        <v>1.8488628026412326</v>
      </c>
      <c r="S16" s="220">
        <f t="shared" si="38"/>
        <v>12.9</v>
      </c>
      <c r="T16" s="220">
        <f t="shared" si="38"/>
        <v>0</v>
      </c>
      <c r="U16" s="219">
        <f t="shared" si="25"/>
        <v>0</v>
      </c>
      <c r="V16" s="220">
        <f t="shared" si="39"/>
        <v>0</v>
      </c>
      <c r="W16" s="220">
        <f t="shared" si="26"/>
        <v>276</v>
      </c>
      <c r="X16" s="219">
        <f t="shared" si="14"/>
        <v>0.80997798972853996</v>
      </c>
      <c r="Y16" s="220">
        <f t="shared" si="27"/>
        <v>5.7</v>
      </c>
      <c r="Z16" s="220">
        <f t="shared" si="27"/>
        <v>270</v>
      </c>
      <c r="AA16" s="219">
        <f t="shared" si="15"/>
        <v>0.79236977256052821</v>
      </c>
      <c r="AB16" s="220">
        <f t="shared" si="28"/>
        <v>5.3999999999999995</v>
      </c>
      <c r="AC16" s="220">
        <f t="shared" si="28"/>
        <v>0</v>
      </c>
      <c r="AD16" s="219">
        <f t="shared" si="16"/>
        <v>0</v>
      </c>
      <c r="AE16" s="220">
        <f t="shared" si="29"/>
        <v>0</v>
      </c>
      <c r="AF16" s="220">
        <f t="shared" si="29"/>
        <v>132</v>
      </c>
      <c r="AG16" s="219">
        <f t="shared" si="17"/>
        <v>0.38738077769625823</v>
      </c>
      <c r="AH16" s="220">
        <f t="shared" si="30"/>
        <v>2.6999999999999997</v>
      </c>
      <c r="AI16" s="220">
        <f t="shared" si="30"/>
        <v>66</v>
      </c>
      <c r="AJ16" s="219">
        <f t="shared" si="18"/>
        <v>0.19369038884812911</v>
      </c>
      <c r="AK16" s="220">
        <f t="shared" si="31"/>
        <v>0.89999999999999991</v>
      </c>
      <c r="AL16" s="220">
        <f t="shared" si="40"/>
        <v>1431</v>
      </c>
      <c r="AM16" s="221">
        <f t="shared" si="40"/>
        <v>4.1995597945707992</v>
      </c>
      <c r="AN16" s="220">
        <f t="shared" si="40"/>
        <v>28.499999999999996</v>
      </c>
    </row>
    <row r="17" spans="1:40" s="203" customFormat="1">
      <c r="A17" s="232">
        <v>2002</v>
      </c>
      <c r="B17" s="220">
        <f t="shared" si="32"/>
        <v>48</v>
      </c>
      <c r="C17" s="219">
        <f t="shared" si="19"/>
        <v>0.14086573734409391</v>
      </c>
      <c r="D17" s="220">
        <f t="shared" si="33"/>
        <v>0.89999999999999991</v>
      </c>
      <c r="E17" s="220">
        <f t="shared" si="33"/>
        <v>24</v>
      </c>
      <c r="F17" s="219">
        <f t="shared" si="20"/>
        <v>7.0432868672046955E-2</v>
      </c>
      <c r="G17" s="220">
        <f t="shared" si="34"/>
        <v>0.3</v>
      </c>
      <c r="H17" s="220"/>
      <c r="I17" s="219">
        <f>I6*30%</f>
        <v>0.33300000000000002</v>
      </c>
      <c r="J17" s="220">
        <f t="shared" si="35"/>
        <v>2.1</v>
      </c>
      <c r="K17" s="218"/>
      <c r="L17" s="219">
        <f t="shared" si="22"/>
        <v>0</v>
      </c>
      <c r="M17" s="220">
        <f t="shared" si="36"/>
        <v>0</v>
      </c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9">
        <f t="shared" si="27"/>
        <v>0</v>
      </c>
      <c r="Z17" s="238"/>
      <c r="AA17" s="238"/>
      <c r="AB17" s="239"/>
      <c r="AC17" s="238"/>
      <c r="AD17" s="238"/>
      <c r="AE17" s="239"/>
      <c r="AF17" s="238"/>
      <c r="AG17" s="238"/>
      <c r="AH17" s="239"/>
      <c r="AI17" s="238"/>
      <c r="AJ17" s="238"/>
      <c r="AK17" s="239"/>
      <c r="AL17" s="220">
        <f t="shared" ref="AL17:AM17" si="41">B18+E18+H18+K18+N18+Q18+T18+W18+Z18+AC18+AF18+AI18</f>
        <v>0</v>
      </c>
      <c r="AM17" s="221">
        <f t="shared" si="41"/>
        <v>0</v>
      </c>
      <c r="AN17" s="220">
        <f t="shared" si="40"/>
        <v>3.3</v>
      </c>
    </row>
    <row r="18" spans="1:40">
      <c r="A18" s="1">
        <v>2003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3"/>
      <c r="AM18" s="224">
        <f t="shared" ref="AM18" si="42">SUM(B18:AL18)</f>
        <v>0</v>
      </c>
      <c r="AN18" s="233"/>
    </row>
    <row r="19" spans="1:40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220">
        <f>SUM(AL13:AL18)</f>
        <v>58658.400000000001</v>
      </c>
      <c r="AM19" s="221">
        <f>SUM(AM13:AM18)</f>
        <v>172.14497432134999</v>
      </c>
      <c r="AN19" s="220">
        <f>SUM(AN13:AN18)</f>
        <v>1762.8</v>
      </c>
    </row>
    <row r="23" spans="1:40" ht="15.75">
      <c r="A23" s="535" t="s">
        <v>162</v>
      </c>
      <c r="B23" s="535"/>
      <c r="C23" s="535"/>
      <c r="D23" s="535"/>
      <c r="E23" s="535"/>
      <c r="F23" s="535"/>
      <c r="G23" s="535"/>
      <c r="H23" s="535"/>
      <c r="I23" s="535"/>
      <c r="J23" s="535"/>
      <c r="K23" s="535"/>
      <c r="L23" s="535"/>
      <c r="M23" s="535"/>
      <c r="N23" s="535"/>
      <c r="O23" s="535"/>
      <c r="P23" s="535"/>
      <c r="Q23" s="535"/>
      <c r="R23" s="535"/>
      <c r="S23" s="535"/>
      <c r="T23" s="535"/>
      <c r="U23" s="535"/>
      <c r="V23" s="535"/>
      <c r="W23" s="535"/>
      <c r="X23" s="535"/>
      <c r="Y23" s="535"/>
      <c r="Z23" s="535"/>
      <c r="AA23" s="535"/>
      <c r="AB23" s="535"/>
      <c r="AC23" s="535"/>
      <c r="AD23" s="535"/>
      <c r="AE23" s="535"/>
      <c r="AF23" s="535"/>
      <c r="AG23" s="535"/>
      <c r="AH23" s="535"/>
      <c r="AI23" s="535"/>
      <c r="AJ23" s="535"/>
      <c r="AK23" s="535"/>
      <c r="AL23" s="535"/>
      <c r="AM23" s="535"/>
      <c r="AN23" s="535"/>
    </row>
    <row r="24" spans="1:40">
      <c r="AM24" s="211"/>
      <c r="AN24" s="211"/>
    </row>
    <row r="26" spans="1:40" ht="15.75">
      <c r="A26" s="535" t="s">
        <v>183</v>
      </c>
      <c r="B26" s="535"/>
      <c r="C26" s="535"/>
      <c r="D26" s="535"/>
      <c r="E26" s="535"/>
      <c r="F26" s="535"/>
      <c r="G26" s="535"/>
      <c r="H26" s="535"/>
      <c r="I26" s="535"/>
      <c r="J26" s="535"/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5"/>
      <c r="Z26" s="535"/>
      <c r="AA26" s="535"/>
      <c r="AB26" s="535"/>
      <c r="AC26" s="535"/>
      <c r="AD26" s="535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</row>
  </sheetData>
  <mergeCells count="2">
    <mergeCell ref="A23:AN23"/>
    <mergeCell ref="A26:AN26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N26"/>
  <sheetViews>
    <sheetView topLeftCell="P1" workbookViewId="0">
      <pane ySplit="1" topLeftCell="A2" activePane="bottomLeft" state="frozen"/>
      <selection pane="bottomLeft" activeCell="AN9" sqref="AN9:AN10"/>
    </sheetView>
  </sheetViews>
  <sheetFormatPr defaultRowHeight="12.75"/>
  <cols>
    <col min="1" max="1" width="3.88671875" style="2" bestFit="1" customWidth="1"/>
    <col min="2" max="3" width="6.21875" style="2" bestFit="1" customWidth="1"/>
    <col min="4" max="4" width="5.109375" style="2" bestFit="1" customWidth="1"/>
    <col min="5" max="5" width="7" style="2" bestFit="1" customWidth="1"/>
    <col min="6" max="6" width="6.21875" style="2" bestFit="1" customWidth="1"/>
    <col min="7" max="7" width="5.109375" style="2" bestFit="1" customWidth="1"/>
    <col min="8" max="8" width="7" style="2" bestFit="1" customWidth="1"/>
    <col min="9" max="10" width="6.21875" style="2" bestFit="1" customWidth="1"/>
    <col min="11" max="11" width="7" style="2" bestFit="1" customWidth="1"/>
    <col min="12" max="13" width="6.21875" style="2" bestFit="1" customWidth="1"/>
    <col min="14" max="14" width="7" style="2" bestFit="1" customWidth="1"/>
    <col min="15" max="15" width="6.6640625" style="2" customWidth="1"/>
    <col min="16" max="22" width="6.88671875" style="2" customWidth="1"/>
    <col min="23" max="23" width="8.109375" style="2" bestFit="1" customWidth="1"/>
    <col min="24" max="26" width="6.88671875" style="2" customWidth="1"/>
    <col min="27" max="28" width="6.21875" style="2" bestFit="1" customWidth="1"/>
    <col min="29" max="30" width="7" style="2" bestFit="1" customWidth="1"/>
    <col min="31" max="31" width="6.21875" style="2" bestFit="1" customWidth="1"/>
    <col min="32" max="32" width="7" style="2" bestFit="1" customWidth="1"/>
    <col min="33" max="34" width="6.21875" style="2" bestFit="1" customWidth="1"/>
    <col min="35" max="36" width="7" style="2" bestFit="1" customWidth="1"/>
    <col min="37" max="37" width="6.21875" style="2" bestFit="1" customWidth="1"/>
    <col min="38" max="38" width="7.77734375" style="2" bestFit="1" customWidth="1"/>
    <col min="39" max="39" width="8.109375" style="2" bestFit="1" customWidth="1"/>
    <col min="40" max="40" width="8.88671875" style="2" bestFit="1" customWidth="1"/>
    <col min="41" max="41" width="6.77734375" style="2" customWidth="1"/>
    <col min="42" max="16384" width="8.88671875" style="2"/>
  </cols>
  <sheetData>
    <row r="1" spans="1:40" ht="13.5" thickBot="1">
      <c r="A1" s="166"/>
      <c r="B1" s="167" t="s">
        <v>4</v>
      </c>
      <c r="C1" s="167" t="s">
        <v>147</v>
      </c>
      <c r="D1" s="167" t="s">
        <v>179</v>
      </c>
      <c r="E1" s="168" t="s">
        <v>5</v>
      </c>
      <c r="F1" s="168" t="s">
        <v>147</v>
      </c>
      <c r="G1" s="168" t="s">
        <v>179</v>
      </c>
      <c r="H1" s="167" t="s">
        <v>6</v>
      </c>
      <c r="I1" s="167" t="s">
        <v>147</v>
      </c>
      <c r="J1" s="167" t="s">
        <v>179</v>
      </c>
      <c r="K1" s="214" t="s">
        <v>7</v>
      </c>
      <c r="L1" s="214" t="s">
        <v>147</v>
      </c>
      <c r="M1" s="214" t="s">
        <v>179</v>
      </c>
      <c r="N1" s="167" t="s">
        <v>2</v>
      </c>
      <c r="O1" s="167" t="s">
        <v>147</v>
      </c>
      <c r="P1" s="167" t="s">
        <v>179</v>
      </c>
      <c r="Q1" s="168" t="s">
        <v>8</v>
      </c>
      <c r="R1" s="168" t="s">
        <v>147</v>
      </c>
      <c r="S1" s="168" t="s">
        <v>179</v>
      </c>
      <c r="T1" s="167" t="s">
        <v>9</v>
      </c>
      <c r="U1" s="167" t="s">
        <v>147</v>
      </c>
      <c r="V1" s="167" t="s">
        <v>179</v>
      </c>
      <c r="W1" s="214" t="s">
        <v>10</v>
      </c>
      <c r="X1" s="214" t="s">
        <v>147</v>
      </c>
      <c r="Y1" s="214" t="s">
        <v>179</v>
      </c>
      <c r="Z1" s="167" t="s">
        <v>11</v>
      </c>
      <c r="AA1" s="167" t="s">
        <v>147</v>
      </c>
      <c r="AB1" s="167" t="s">
        <v>179</v>
      </c>
      <c r="AC1" s="168" t="s">
        <v>12</v>
      </c>
      <c r="AD1" s="168" t="s">
        <v>147</v>
      </c>
      <c r="AE1" s="168" t="s">
        <v>179</v>
      </c>
      <c r="AF1" s="167" t="s">
        <v>13</v>
      </c>
      <c r="AG1" s="167" t="s">
        <v>147</v>
      </c>
      <c r="AH1" s="167" t="s">
        <v>179</v>
      </c>
      <c r="AI1" s="214" t="s">
        <v>14</v>
      </c>
      <c r="AJ1" s="214" t="s">
        <v>147</v>
      </c>
      <c r="AK1" s="214" t="s">
        <v>179</v>
      </c>
      <c r="AL1" s="215" t="s">
        <v>157</v>
      </c>
      <c r="AM1" s="215" t="s">
        <v>147</v>
      </c>
      <c r="AN1" s="215" t="s">
        <v>139</v>
      </c>
    </row>
    <row r="2" spans="1:40">
      <c r="A2" s="216">
        <v>1998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>
        <v>10800</v>
      </c>
      <c r="X2" s="219">
        <f>W2/340.75</f>
        <v>31.694790902421129</v>
      </c>
      <c r="Y2" s="218">
        <v>376</v>
      </c>
      <c r="Z2" s="218">
        <v>21600</v>
      </c>
      <c r="AA2" s="219">
        <f>Z2/340.75</f>
        <v>63.389581804842258</v>
      </c>
      <c r="AB2" s="218">
        <v>738</v>
      </c>
      <c r="AC2" s="218">
        <v>36000</v>
      </c>
      <c r="AD2" s="219">
        <f>AC2/340.75</f>
        <v>105.64930300807043</v>
      </c>
      <c r="AE2" s="218">
        <v>1207</v>
      </c>
      <c r="AF2" s="218">
        <v>20500</v>
      </c>
      <c r="AG2" s="219">
        <f>AF2/340.75</f>
        <v>60.161408657373443</v>
      </c>
      <c r="AH2" s="218">
        <v>674</v>
      </c>
      <c r="AI2" s="218">
        <v>75000</v>
      </c>
      <c r="AJ2" s="219">
        <f>AI2/340.75</f>
        <v>220.10271460014673</v>
      </c>
      <c r="AK2" s="218">
        <v>2420</v>
      </c>
      <c r="AL2" s="220">
        <f>W2+Z2+AC2+AF2+AI2</f>
        <v>163900</v>
      </c>
      <c r="AM2" s="221">
        <f>X2+AA2+AD2+AG2+AJ2</f>
        <v>480.99779897285401</v>
      </c>
      <c r="AN2" s="221">
        <f>Y2+AB2+AE2+AH2+AK2</f>
        <v>5415</v>
      </c>
    </row>
    <row r="3" spans="1:40">
      <c r="A3" s="222">
        <v>1999</v>
      </c>
      <c r="B3" s="220">
        <v>6100</v>
      </c>
      <c r="C3" s="219">
        <f t="shared" ref="C3:C6" si="0">B3/340.75</f>
        <v>17.901687454145268</v>
      </c>
      <c r="D3" s="220">
        <v>193</v>
      </c>
      <c r="E3" s="220">
        <v>15600</v>
      </c>
      <c r="F3" s="219">
        <f t="shared" ref="F3:F6" si="1">E3/340.75</f>
        <v>45.781364636830524</v>
      </c>
      <c r="G3" s="220">
        <v>485</v>
      </c>
      <c r="H3" s="220">
        <v>14400</v>
      </c>
      <c r="I3" s="219">
        <f t="shared" ref="I3:I5" si="2">H3/340.75</f>
        <v>42.259721203228175</v>
      </c>
      <c r="J3" s="220">
        <v>440</v>
      </c>
      <c r="K3" s="220">
        <v>21600</v>
      </c>
      <c r="L3" s="219">
        <f t="shared" ref="L3:L6" si="3">K3/340.75</f>
        <v>63.389581804842258</v>
      </c>
      <c r="M3" s="220">
        <v>648</v>
      </c>
      <c r="N3" s="220">
        <v>25529</v>
      </c>
      <c r="O3" s="219">
        <f t="shared" ref="O3:O5" si="4">N3/340.75</f>
        <v>74.920029347028617</v>
      </c>
      <c r="P3" s="220">
        <v>753</v>
      </c>
      <c r="Q3" s="220">
        <v>3600</v>
      </c>
      <c r="R3" s="219">
        <f t="shared" ref="R3:R5" si="5">Q3/340.75</f>
        <v>10.564930300807044</v>
      </c>
      <c r="S3" s="220">
        <v>104</v>
      </c>
      <c r="T3" s="220">
        <v>10800</v>
      </c>
      <c r="U3" s="219">
        <f t="shared" ref="U3:U5" si="6">T3/340.75</f>
        <v>31.694790902421129</v>
      </c>
      <c r="V3" s="220">
        <v>308</v>
      </c>
      <c r="W3" s="220">
        <v>43603</v>
      </c>
      <c r="X3" s="219">
        <f t="shared" ref="X3:X5" si="7">W3/340.75</f>
        <v>127.96184886280264</v>
      </c>
      <c r="Y3" s="220">
        <v>1221</v>
      </c>
      <c r="Z3" s="220">
        <v>9780</v>
      </c>
      <c r="AA3" s="219">
        <f t="shared" ref="AA3:AA5" si="8">Z3/340.75</f>
        <v>28.701393983859134</v>
      </c>
      <c r="AB3" s="220">
        <v>269</v>
      </c>
      <c r="AC3" s="220">
        <v>16800</v>
      </c>
      <c r="AD3" s="219">
        <f t="shared" ref="AD3:AD5" si="9">AC3/340.75</f>
        <v>49.303008070432867</v>
      </c>
      <c r="AE3" s="220">
        <v>454</v>
      </c>
      <c r="AF3" s="220">
        <v>9600</v>
      </c>
      <c r="AG3" s="219">
        <f t="shared" ref="AG3:AG5" si="10">AF3/340.75</f>
        <v>28.173147468818783</v>
      </c>
      <c r="AH3" s="220">
        <v>255</v>
      </c>
      <c r="AI3" s="220">
        <v>2400</v>
      </c>
      <c r="AJ3" s="219">
        <f t="shared" ref="AJ3:AJ5" si="11">AI3/340.75</f>
        <v>7.0432868672046958</v>
      </c>
      <c r="AK3" s="220">
        <v>63</v>
      </c>
      <c r="AL3" s="220">
        <f>B3+E3+H3+K3+N3+Q3+T3+W3+Z3+AC3+AF3+AI3</f>
        <v>179812</v>
      </c>
      <c r="AM3" s="221">
        <f>C3+F3+I3+L3+O3+R3+U3+X3+AA3+AD3+AG3+AJ3</f>
        <v>527.69479090242112</v>
      </c>
      <c r="AN3" s="221">
        <f>D3+G3+J3+M3+P3+S3+V3+Y3+AB3+AE3+AH3+AK3</f>
        <v>5193</v>
      </c>
    </row>
    <row r="4" spans="1:40" s="203" customFormat="1">
      <c r="A4" s="286">
        <v>2000</v>
      </c>
      <c r="B4" s="220"/>
      <c r="C4" s="219">
        <f t="shared" si="0"/>
        <v>0</v>
      </c>
      <c r="D4" s="220"/>
      <c r="E4" s="220"/>
      <c r="F4" s="219">
        <f t="shared" si="1"/>
        <v>0</v>
      </c>
      <c r="G4" s="220"/>
      <c r="H4" s="220"/>
      <c r="I4" s="219">
        <f t="shared" si="2"/>
        <v>0</v>
      </c>
      <c r="J4" s="220"/>
      <c r="K4" s="220"/>
      <c r="L4" s="219">
        <f t="shared" si="3"/>
        <v>0</v>
      </c>
      <c r="M4" s="220"/>
      <c r="N4" s="220"/>
      <c r="O4" s="219">
        <f t="shared" si="4"/>
        <v>0</v>
      </c>
      <c r="P4" s="220"/>
      <c r="Q4" s="220"/>
      <c r="R4" s="219">
        <f t="shared" si="5"/>
        <v>0</v>
      </c>
      <c r="S4" s="220"/>
      <c r="T4" s="220">
        <v>7200</v>
      </c>
      <c r="U4" s="219">
        <f t="shared" si="6"/>
        <v>21.129860601614087</v>
      </c>
      <c r="V4" s="220">
        <v>170</v>
      </c>
      <c r="W4" s="220">
        <v>21600</v>
      </c>
      <c r="X4" s="219">
        <f t="shared" si="7"/>
        <v>63.389581804842258</v>
      </c>
      <c r="Y4" s="220">
        <v>505</v>
      </c>
      <c r="Z4" s="220"/>
      <c r="AA4" s="219">
        <f t="shared" si="8"/>
        <v>0</v>
      </c>
      <c r="AB4" s="220"/>
      <c r="AC4" s="220"/>
      <c r="AD4" s="219">
        <f t="shared" si="9"/>
        <v>0</v>
      </c>
      <c r="AE4" s="220"/>
      <c r="AF4" s="220"/>
      <c r="AG4" s="219">
        <f t="shared" si="10"/>
        <v>0</v>
      </c>
      <c r="AH4" s="220"/>
      <c r="AI4" s="220"/>
      <c r="AJ4" s="219">
        <f t="shared" si="11"/>
        <v>0</v>
      </c>
      <c r="AK4" s="220"/>
      <c r="AL4" s="220">
        <f t="shared" ref="AL4:AN6" si="12">B4+E4+H4+K4+N4+Q4+T4+W4+Z4+AC4+AF4+AI4</f>
        <v>28800</v>
      </c>
      <c r="AM4" s="221">
        <f t="shared" si="12"/>
        <v>84.519442406456349</v>
      </c>
      <c r="AN4" s="221">
        <f t="shared" si="12"/>
        <v>675</v>
      </c>
    </row>
    <row r="5" spans="1:40" s="203" customFormat="1">
      <c r="A5" s="287">
        <v>2001</v>
      </c>
      <c r="B5" s="220"/>
      <c r="C5" s="219">
        <f t="shared" si="0"/>
        <v>0</v>
      </c>
      <c r="D5" s="220"/>
      <c r="E5" s="220"/>
      <c r="F5" s="219">
        <f t="shared" si="1"/>
        <v>0</v>
      </c>
      <c r="G5" s="220"/>
      <c r="H5" s="220">
        <v>3600</v>
      </c>
      <c r="I5" s="219">
        <f t="shared" si="2"/>
        <v>10.564930300807044</v>
      </c>
      <c r="J5" s="220">
        <v>77</v>
      </c>
      <c r="K5" s="220"/>
      <c r="L5" s="219">
        <f t="shared" si="3"/>
        <v>0</v>
      </c>
      <c r="M5" s="220"/>
      <c r="N5" s="220"/>
      <c r="O5" s="219">
        <f t="shared" si="4"/>
        <v>0</v>
      </c>
      <c r="P5" s="220"/>
      <c r="Q5" s="220"/>
      <c r="R5" s="219">
        <f t="shared" si="5"/>
        <v>0</v>
      </c>
      <c r="S5" s="220"/>
      <c r="T5" s="221"/>
      <c r="U5" s="219">
        <f t="shared" si="6"/>
        <v>0</v>
      </c>
      <c r="V5" s="221"/>
      <c r="W5" s="221">
        <v>1200</v>
      </c>
      <c r="X5" s="219">
        <f t="shared" si="7"/>
        <v>3.5216434336023479</v>
      </c>
      <c r="Y5" s="221">
        <v>24</v>
      </c>
      <c r="Z5" s="221"/>
      <c r="AA5" s="219">
        <f t="shared" si="8"/>
        <v>0</v>
      </c>
      <c r="AB5" s="221"/>
      <c r="AC5" s="221"/>
      <c r="AD5" s="219">
        <f t="shared" si="9"/>
        <v>0</v>
      </c>
      <c r="AE5" s="221"/>
      <c r="AF5" s="221"/>
      <c r="AG5" s="219">
        <f t="shared" si="10"/>
        <v>0</v>
      </c>
      <c r="AH5" s="221"/>
      <c r="AI5" s="221"/>
      <c r="AJ5" s="219">
        <f t="shared" si="11"/>
        <v>0</v>
      </c>
      <c r="AK5" s="221"/>
      <c r="AL5" s="220">
        <f t="shared" si="12"/>
        <v>4800</v>
      </c>
      <c r="AM5" s="221">
        <f t="shared" si="12"/>
        <v>14.086573734409392</v>
      </c>
      <c r="AN5" s="221">
        <f t="shared" si="12"/>
        <v>101</v>
      </c>
    </row>
    <row r="6" spans="1:40">
      <c r="A6" s="222">
        <v>2002</v>
      </c>
      <c r="B6" s="220"/>
      <c r="C6" s="219">
        <f t="shared" si="0"/>
        <v>0</v>
      </c>
      <c r="D6" s="220"/>
      <c r="E6" s="220"/>
      <c r="F6" s="219">
        <f t="shared" si="1"/>
        <v>0</v>
      </c>
      <c r="G6" s="220"/>
      <c r="H6" s="223"/>
      <c r="I6" s="219">
        <v>1.1100000000000001</v>
      </c>
      <c r="J6" s="221">
        <v>7</v>
      </c>
      <c r="K6" s="223"/>
      <c r="L6" s="219">
        <f t="shared" si="3"/>
        <v>0</v>
      </c>
      <c r="M6" s="221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0">
        <f t="shared" si="12"/>
        <v>0</v>
      </c>
      <c r="AM6" s="221">
        <f t="shared" si="12"/>
        <v>1.1100000000000001</v>
      </c>
      <c r="AN6" s="221">
        <f t="shared" si="12"/>
        <v>7</v>
      </c>
    </row>
    <row r="7" spans="1:40">
      <c r="A7" s="1">
        <v>2003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3"/>
      <c r="AM7" s="224">
        <f t="shared" ref="AM7" si="13">SUM(B7:AL7)</f>
        <v>0</v>
      </c>
      <c r="AN7" s="224"/>
    </row>
    <row r="8" spans="1:40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220">
        <f>SUM(AL2:AL7)</f>
        <v>377312</v>
      </c>
      <c r="AM8" s="221">
        <f>SUM(AM2:AM7)</f>
        <v>1108.4086060161408</v>
      </c>
      <c r="AN8" s="221">
        <f>SUM(AN2:AN7)</f>
        <v>11391</v>
      </c>
    </row>
    <row r="9" spans="1:40" ht="18">
      <c r="O9" s="234" t="s">
        <v>158</v>
      </c>
      <c r="AA9" s="234" t="s">
        <v>158</v>
      </c>
      <c r="AL9" s="228"/>
      <c r="AM9" s="228"/>
      <c r="AN9" s="269">
        <v>45324</v>
      </c>
    </row>
    <row r="10" spans="1:40">
      <c r="AL10" s="228"/>
      <c r="AM10" s="228"/>
      <c r="AN10" s="266" t="s">
        <v>184</v>
      </c>
    </row>
    <row r="11" spans="1:40" ht="18">
      <c r="O11" s="227" t="s">
        <v>159</v>
      </c>
      <c r="AA11" s="227" t="s">
        <v>159</v>
      </c>
      <c r="AL11" s="228"/>
      <c r="AM11" s="228"/>
      <c r="AN11" s="228"/>
    </row>
    <row r="12" spans="1:40">
      <c r="AM12" s="211"/>
      <c r="AN12" s="211"/>
    </row>
    <row r="13" spans="1:40">
      <c r="A13" s="229">
        <v>1998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20">
        <f>W2*30%</f>
        <v>3240</v>
      </c>
      <c r="X13" s="221">
        <f t="shared" ref="X13:X16" si="14">W13/340.75</f>
        <v>9.5084372707263398</v>
      </c>
      <c r="Y13" s="220">
        <f>Y2*30%</f>
        <v>112.8</v>
      </c>
      <c r="Z13" s="220">
        <f>Z2*30%</f>
        <v>6480</v>
      </c>
      <c r="AA13" s="221">
        <f t="shared" ref="AA13:AA16" si="15">Z13/340.75</f>
        <v>19.01687454145268</v>
      </c>
      <c r="AB13" s="220">
        <f>AB2*30%</f>
        <v>221.4</v>
      </c>
      <c r="AC13" s="220">
        <f>AC2*30%</f>
        <v>10800</v>
      </c>
      <c r="AD13" s="221">
        <f t="shared" ref="AD13:AD16" si="16">AC13/340.75</f>
        <v>31.694790902421129</v>
      </c>
      <c r="AE13" s="220">
        <f>AE2*30%</f>
        <v>362.09999999999997</v>
      </c>
      <c r="AF13" s="220">
        <f>AF2*30%</f>
        <v>6150</v>
      </c>
      <c r="AG13" s="221">
        <f t="shared" ref="AG13:AG16" si="17">AF13/340.75</f>
        <v>18.048422597212031</v>
      </c>
      <c r="AH13" s="220">
        <f>AH2*30%</f>
        <v>202.2</v>
      </c>
      <c r="AI13" s="220">
        <f>AI2*30%</f>
        <v>22500</v>
      </c>
      <c r="AJ13" s="221">
        <f t="shared" ref="AJ13:AJ16" si="18">AI13/340.75</f>
        <v>66.030814380044021</v>
      </c>
      <c r="AK13" s="220">
        <f>AK2*30%</f>
        <v>726</v>
      </c>
      <c r="AL13" s="220">
        <f>W13+Z13+AC13+AF13+AI13</f>
        <v>49170</v>
      </c>
      <c r="AM13" s="221">
        <f>X13+AA13+AD13+AG13+AJ13</f>
        <v>144.29933969185618</v>
      </c>
      <c r="AN13" s="221">
        <f>Y13+AB13+AE13+AH13+AK13</f>
        <v>1624.5</v>
      </c>
    </row>
    <row r="14" spans="1:40" s="203" customFormat="1">
      <c r="A14" s="231">
        <v>1999</v>
      </c>
      <c r="B14" s="220">
        <f>B3*30%</f>
        <v>1830</v>
      </c>
      <c r="C14" s="221">
        <f t="shared" ref="C14:C17" si="19">B14/340.75</f>
        <v>5.37050623624358</v>
      </c>
      <c r="D14" s="220">
        <f>D3*30%</f>
        <v>57.9</v>
      </c>
      <c r="E14" s="220">
        <f>E3*30%</f>
        <v>4680</v>
      </c>
      <c r="F14" s="221">
        <f t="shared" ref="F14:F17" si="20">E14/340.75</f>
        <v>13.734409391049157</v>
      </c>
      <c r="G14" s="220">
        <f>G3*30%</f>
        <v>145.5</v>
      </c>
      <c r="H14" s="220">
        <f>H3*30%</f>
        <v>4320</v>
      </c>
      <c r="I14" s="221">
        <f t="shared" ref="I14:I16" si="21">H14/340.75</f>
        <v>12.677916360968451</v>
      </c>
      <c r="J14" s="220">
        <f>J3*30%</f>
        <v>132</v>
      </c>
      <c r="K14" s="220">
        <f>K3*30%</f>
        <v>6480</v>
      </c>
      <c r="L14" s="221">
        <f t="shared" ref="L14:L17" si="22">K14/340.75</f>
        <v>19.01687454145268</v>
      </c>
      <c r="M14" s="220">
        <f>M3*30%</f>
        <v>194.4</v>
      </c>
      <c r="N14" s="220">
        <f>N3*30%</f>
        <v>7658.7</v>
      </c>
      <c r="O14" s="221">
        <f t="shared" ref="O14:O16" si="23">N14/340.75</f>
        <v>22.476008804108584</v>
      </c>
      <c r="P14" s="220">
        <f>P3*30%</f>
        <v>225.9</v>
      </c>
      <c r="Q14" s="220">
        <f>Q3*30%</f>
        <v>1080</v>
      </c>
      <c r="R14" s="221">
        <f t="shared" ref="R14:R16" si="24">Q14/340.75</f>
        <v>3.1694790902421128</v>
      </c>
      <c r="S14" s="220">
        <f>S3*30%</f>
        <v>31.2</v>
      </c>
      <c r="T14" s="220">
        <f>T3*30%</f>
        <v>3240</v>
      </c>
      <c r="U14" s="221">
        <f t="shared" ref="U14:U16" si="25">T14/340.75</f>
        <v>9.5084372707263398</v>
      </c>
      <c r="V14" s="220">
        <f>V3*30%</f>
        <v>92.399999999999991</v>
      </c>
      <c r="W14" s="220">
        <f t="shared" ref="W14:W16" si="26">W3*30%</f>
        <v>13080.9</v>
      </c>
      <c r="X14" s="221">
        <f t="shared" si="14"/>
        <v>38.388554658840789</v>
      </c>
      <c r="Y14" s="220">
        <f t="shared" ref="Y14:Z17" si="27">Y3*30%</f>
        <v>366.3</v>
      </c>
      <c r="Z14" s="220">
        <f t="shared" si="27"/>
        <v>2934</v>
      </c>
      <c r="AA14" s="221">
        <f t="shared" si="15"/>
        <v>8.6104181951577399</v>
      </c>
      <c r="AB14" s="220">
        <f t="shared" ref="AB14:AC16" si="28">AB3*30%</f>
        <v>80.7</v>
      </c>
      <c r="AC14" s="220">
        <f t="shared" si="28"/>
        <v>5040</v>
      </c>
      <c r="AD14" s="221">
        <f t="shared" si="16"/>
        <v>14.790902421129861</v>
      </c>
      <c r="AE14" s="220">
        <f t="shared" ref="AE14:AF16" si="29">AE3*30%</f>
        <v>136.19999999999999</v>
      </c>
      <c r="AF14" s="220">
        <f t="shared" si="29"/>
        <v>2880</v>
      </c>
      <c r="AG14" s="221">
        <f t="shared" si="17"/>
        <v>8.4519442406456342</v>
      </c>
      <c r="AH14" s="220">
        <f t="shared" ref="AH14:AI16" si="30">AH3*30%</f>
        <v>76.5</v>
      </c>
      <c r="AI14" s="220">
        <f t="shared" si="30"/>
        <v>720</v>
      </c>
      <c r="AJ14" s="221">
        <f t="shared" si="18"/>
        <v>2.1129860601614086</v>
      </c>
      <c r="AK14" s="220">
        <f t="shared" ref="AK14:AK16" si="31">AK3*30%</f>
        <v>18.899999999999999</v>
      </c>
      <c r="AL14" s="220">
        <f>B14+E14+H14+K14+N14+Q14+T14+W14+Z14+AC14+AF14+AI14</f>
        <v>53943.6</v>
      </c>
      <c r="AM14" s="221">
        <f>C14+F14+I14+L14+O14+R14+U14+X14+AA14+AD14+AG14+AJ14</f>
        <v>158.30843727072633</v>
      </c>
      <c r="AN14" s="221">
        <f>D14+G14+J14+M14+P14+S14+V14+Y14+AB14+AE14+AH14+AK14</f>
        <v>1557.9</v>
      </c>
    </row>
    <row r="15" spans="1:40" s="203" customFormat="1">
      <c r="A15" s="232">
        <v>2000</v>
      </c>
      <c r="B15" s="220">
        <f t="shared" ref="B15:B17" si="32">B4*30%</f>
        <v>0</v>
      </c>
      <c r="C15" s="219">
        <f t="shared" si="19"/>
        <v>0</v>
      </c>
      <c r="D15" s="220">
        <f t="shared" ref="D15:E17" si="33">D4*30%</f>
        <v>0</v>
      </c>
      <c r="E15" s="220">
        <f t="shared" si="33"/>
        <v>0</v>
      </c>
      <c r="F15" s="219">
        <f t="shared" si="20"/>
        <v>0</v>
      </c>
      <c r="G15" s="220">
        <f t="shared" ref="G15:H17" si="34">G4*30%</f>
        <v>0</v>
      </c>
      <c r="H15" s="220">
        <f t="shared" si="34"/>
        <v>0</v>
      </c>
      <c r="I15" s="219">
        <f t="shared" si="21"/>
        <v>0</v>
      </c>
      <c r="J15" s="220">
        <f t="shared" ref="J15:K17" si="35">J4*30%</f>
        <v>0</v>
      </c>
      <c r="K15" s="220">
        <f t="shared" si="35"/>
        <v>0</v>
      </c>
      <c r="L15" s="219">
        <f t="shared" si="22"/>
        <v>0</v>
      </c>
      <c r="M15" s="220">
        <f t="shared" ref="M15:N17" si="36">M4*30%</f>
        <v>0</v>
      </c>
      <c r="N15" s="220">
        <f t="shared" si="36"/>
        <v>0</v>
      </c>
      <c r="O15" s="219">
        <f t="shared" si="23"/>
        <v>0</v>
      </c>
      <c r="P15" s="220">
        <f t="shared" ref="P15:Q16" si="37">P4*30%</f>
        <v>0</v>
      </c>
      <c r="Q15" s="220">
        <f t="shared" si="37"/>
        <v>0</v>
      </c>
      <c r="R15" s="219">
        <f t="shared" si="24"/>
        <v>0</v>
      </c>
      <c r="S15" s="220">
        <f t="shared" ref="S15:T16" si="38">S4*30%</f>
        <v>0</v>
      </c>
      <c r="T15" s="220">
        <f t="shared" si="38"/>
        <v>2160</v>
      </c>
      <c r="U15" s="219">
        <f t="shared" si="25"/>
        <v>6.3389581804842257</v>
      </c>
      <c r="V15" s="220">
        <f t="shared" ref="V15:V16" si="39">V4*30%</f>
        <v>51</v>
      </c>
      <c r="W15" s="220">
        <f t="shared" si="26"/>
        <v>6480</v>
      </c>
      <c r="X15" s="219">
        <f t="shared" si="14"/>
        <v>19.01687454145268</v>
      </c>
      <c r="Y15" s="220">
        <f t="shared" si="27"/>
        <v>151.5</v>
      </c>
      <c r="Z15" s="220">
        <f t="shared" si="27"/>
        <v>0</v>
      </c>
      <c r="AA15" s="219">
        <f t="shared" si="15"/>
        <v>0</v>
      </c>
      <c r="AB15" s="220">
        <f t="shared" si="28"/>
        <v>0</v>
      </c>
      <c r="AC15" s="220">
        <f t="shared" si="28"/>
        <v>0</v>
      </c>
      <c r="AD15" s="219">
        <f t="shared" si="16"/>
        <v>0</v>
      </c>
      <c r="AE15" s="220">
        <f t="shared" si="29"/>
        <v>0</v>
      </c>
      <c r="AF15" s="220">
        <f t="shared" si="29"/>
        <v>0</v>
      </c>
      <c r="AG15" s="219">
        <f t="shared" si="17"/>
        <v>0</v>
      </c>
      <c r="AH15" s="220">
        <f t="shared" si="30"/>
        <v>0</v>
      </c>
      <c r="AI15" s="220">
        <f t="shared" si="30"/>
        <v>0</v>
      </c>
      <c r="AJ15" s="219">
        <f t="shared" si="18"/>
        <v>0</v>
      </c>
      <c r="AK15" s="220">
        <f t="shared" si="31"/>
        <v>0</v>
      </c>
      <c r="AL15" s="220">
        <f t="shared" ref="AL15:AN16" si="40">B15+E15+H15+K15+N15+Q15+T15+W15+Z15+AC15+AF15+AI15</f>
        <v>8640</v>
      </c>
      <c r="AM15" s="221">
        <f t="shared" si="40"/>
        <v>25.355832721936906</v>
      </c>
      <c r="AN15" s="221">
        <f t="shared" si="40"/>
        <v>202.5</v>
      </c>
    </row>
    <row r="16" spans="1:40" s="203" customFormat="1">
      <c r="A16" s="232">
        <v>2001</v>
      </c>
      <c r="B16" s="220">
        <f t="shared" si="32"/>
        <v>0</v>
      </c>
      <c r="C16" s="219">
        <f t="shared" si="19"/>
        <v>0</v>
      </c>
      <c r="D16" s="220">
        <f t="shared" si="33"/>
        <v>0</v>
      </c>
      <c r="E16" s="220">
        <f t="shared" si="33"/>
        <v>0</v>
      </c>
      <c r="F16" s="219">
        <f t="shared" si="20"/>
        <v>0</v>
      </c>
      <c r="G16" s="220">
        <f t="shared" si="34"/>
        <v>0</v>
      </c>
      <c r="H16" s="220">
        <f t="shared" si="34"/>
        <v>1080</v>
      </c>
      <c r="I16" s="219">
        <f t="shared" si="21"/>
        <v>3.1694790902421128</v>
      </c>
      <c r="J16" s="220">
        <f t="shared" si="35"/>
        <v>23.099999999999998</v>
      </c>
      <c r="K16" s="220">
        <f t="shared" si="35"/>
        <v>0</v>
      </c>
      <c r="L16" s="219">
        <f t="shared" si="22"/>
        <v>0</v>
      </c>
      <c r="M16" s="220">
        <f t="shared" si="36"/>
        <v>0</v>
      </c>
      <c r="N16" s="220">
        <f t="shared" si="36"/>
        <v>0</v>
      </c>
      <c r="O16" s="219">
        <f t="shared" si="23"/>
        <v>0</v>
      </c>
      <c r="P16" s="220">
        <f t="shared" si="37"/>
        <v>0</v>
      </c>
      <c r="Q16" s="220">
        <f t="shared" si="37"/>
        <v>0</v>
      </c>
      <c r="R16" s="219">
        <f t="shared" si="24"/>
        <v>0</v>
      </c>
      <c r="S16" s="220">
        <f t="shared" si="38"/>
        <v>0</v>
      </c>
      <c r="T16" s="220">
        <f t="shared" si="38"/>
        <v>0</v>
      </c>
      <c r="U16" s="219">
        <f t="shared" si="25"/>
        <v>0</v>
      </c>
      <c r="V16" s="220">
        <f t="shared" si="39"/>
        <v>0</v>
      </c>
      <c r="W16" s="220">
        <f t="shared" si="26"/>
        <v>360</v>
      </c>
      <c r="X16" s="219">
        <f t="shared" si="14"/>
        <v>1.0564930300807043</v>
      </c>
      <c r="Y16" s="220">
        <f t="shared" si="27"/>
        <v>7.1999999999999993</v>
      </c>
      <c r="Z16" s="220">
        <f t="shared" si="27"/>
        <v>0</v>
      </c>
      <c r="AA16" s="219">
        <f t="shared" si="15"/>
        <v>0</v>
      </c>
      <c r="AB16" s="220">
        <f t="shared" si="28"/>
        <v>0</v>
      </c>
      <c r="AC16" s="220">
        <f t="shared" si="28"/>
        <v>0</v>
      </c>
      <c r="AD16" s="219">
        <f t="shared" si="16"/>
        <v>0</v>
      </c>
      <c r="AE16" s="220">
        <f t="shared" si="29"/>
        <v>0</v>
      </c>
      <c r="AF16" s="220">
        <f t="shared" si="29"/>
        <v>0</v>
      </c>
      <c r="AG16" s="219">
        <f t="shared" si="17"/>
        <v>0</v>
      </c>
      <c r="AH16" s="220">
        <f t="shared" si="30"/>
        <v>0</v>
      </c>
      <c r="AI16" s="220">
        <f t="shared" si="30"/>
        <v>0</v>
      </c>
      <c r="AJ16" s="219">
        <f t="shared" si="18"/>
        <v>0</v>
      </c>
      <c r="AK16" s="220">
        <f t="shared" si="31"/>
        <v>0</v>
      </c>
      <c r="AL16" s="220">
        <f t="shared" si="40"/>
        <v>1440</v>
      </c>
      <c r="AM16" s="221">
        <f t="shared" si="40"/>
        <v>4.2259721203228171</v>
      </c>
      <c r="AN16" s="221">
        <f t="shared" si="40"/>
        <v>30.299999999999997</v>
      </c>
    </row>
    <row r="17" spans="1:40" s="203" customFormat="1">
      <c r="A17" s="232">
        <v>2002</v>
      </c>
      <c r="B17" s="220">
        <f t="shared" si="32"/>
        <v>0</v>
      </c>
      <c r="C17" s="219">
        <f t="shared" si="19"/>
        <v>0</v>
      </c>
      <c r="D17" s="220">
        <f t="shared" si="33"/>
        <v>0</v>
      </c>
      <c r="E17" s="220">
        <f t="shared" si="33"/>
        <v>0</v>
      </c>
      <c r="F17" s="219">
        <f t="shared" si="20"/>
        <v>0</v>
      </c>
      <c r="G17" s="220">
        <f t="shared" si="34"/>
        <v>0</v>
      </c>
      <c r="H17" s="220"/>
      <c r="I17" s="219">
        <f>I6*30%</f>
        <v>0.33300000000000002</v>
      </c>
      <c r="J17" s="220">
        <f t="shared" si="35"/>
        <v>2.1</v>
      </c>
      <c r="K17" s="218"/>
      <c r="L17" s="219">
        <f t="shared" si="22"/>
        <v>0</v>
      </c>
      <c r="M17" s="220">
        <f t="shared" si="36"/>
        <v>0</v>
      </c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9">
        <f t="shared" si="27"/>
        <v>0</v>
      </c>
      <c r="Z17" s="238"/>
      <c r="AA17" s="238"/>
      <c r="AB17" s="239"/>
      <c r="AC17" s="238"/>
      <c r="AD17" s="238"/>
      <c r="AE17" s="239"/>
      <c r="AF17" s="238"/>
      <c r="AG17" s="238"/>
      <c r="AH17" s="239"/>
      <c r="AI17" s="238"/>
      <c r="AJ17" s="238"/>
      <c r="AK17" s="239"/>
      <c r="AL17" s="220">
        <f t="shared" ref="AL17:AM17" si="41">B18+E18+H18+K18+N18+Q18+T18+W18+Z18+AC18+AF18+AI18</f>
        <v>0</v>
      </c>
      <c r="AM17" s="221">
        <f t="shared" si="41"/>
        <v>0</v>
      </c>
      <c r="AN17" s="219"/>
    </row>
    <row r="18" spans="1:40">
      <c r="A18" s="1">
        <v>2003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3"/>
      <c r="AM18" s="224">
        <f t="shared" ref="AM18" si="42">SUM(B18:AL18)</f>
        <v>0</v>
      </c>
      <c r="AN18" s="224"/>
    </row>
    <row r="19" spans="1:40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220">
        <f>SUM(AL13:AL18)</f>
        <v>113193.60000000001</v>
      </c>
      <c r="AM19" s="221">
        <f>SUM(AM13:AM18)</f>
        <v>332.18958180484225</v>
      </c>
      <c r="AN19" s="221">
        <f>SUM(AN13:AN18)</f>
        <v>3415.2000000000003</v>
      </c>
    </row>
    <row r="21" spans="1:40">
      <c r="AM21" s="211"/>
      <c r="AN21" s="211"/>
    </row>
    <row r="23" spans="1:40" ht="15.75">
      <c r="A23" s="536" t="s">
        <v>160</v>
      </c>
      <c r="B23" s="536"/>
      <c r="C23" s="536"/>
      <c r="D23" s="536"/>
      <c r="E23" s="536"/>
      <c r="F23" s="536"/>
      <c r="G23" s="536"/>
      <c r="H23" s="536"/>
      <c r="I23" s="536"/>
      <c r="J23" s="536"/>
      <c r="K23" s="536"/>
      <c r="L23" s="536"/>
      <c r="M23" s="536"/>
      <c r="N23" s="536"/>
      <c r="O23" s="536"/>
      <c r="P23" s="536"/>
      <c r="Q23" s="536"/>
      <c r="R23" s="536"/>
      <c r="S23" s="536"/>
      <c r="T23" s="536"/>
      <c r="U23" s="536"/>
      <c r="V23" s="536"/>
      <c r="W23" s="536"/>
    </row>
    <row r="24" spans="1:40">
      <c r="O24" s="211"/>
    </row>
    <row r="26" spans="1:40" ht="15.75">
      <c r="A26" s="536" t="s">
        <v>161</v>
      </c>
      <c r="B26" s="536"/>
      <c r="C26" s="536"/>
      <c r="D26" s="536"/>
      <c r="E26" s="536"/>
      <c r="F26" s="536"/>
      <c r="G26" s="536"/>
      <c r="H26" s="536"/>
      <c r="I26" s="536"/>
      <c r="J26" s="536"/>
      <c r="K26" s="536"/>
      <c r="L26" s="536"/>
      <c r="M26" s="536"/>
      <c r="N26" s="536"/>
      <c r="O26" s="536"/>
      <c r="P26" s="536"/>
      <c r="Q26" s="536"/>
      <c r="R26" s="536"/>
      <c r="S26" s="536"/>
      <c r="T26" s="536"/>
      <c r="U26" s="536"/>
      <c r="V26" s="536"/>
      <c r="W26" s="536"/>
    </row>
  </sheetData>
  <mergeCells count="2">
    <mergeCell ref="A23:W23"/>
    <mergeCell ref="A26:W2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N47"/>
  <sheetViews>
    <sheetView topLeftCell="U1" zoomScaleNormal="100" workbookViewId="0">
      <pane ySplit="1" topLeftCell="A2" activePane="bottomLeft" state="frozen"/>
      <selection pane="bottomLeft" activeCell="AN10" sqref="AN10:AN11"/>
    </sheetView>
  </sheetViews>
  <sheetFormatPr defaultRowHeight="12.75"/>
  <cols>
    <col min="1" max="1" width="3.88671875" style="2" bestFit="1" customWidth="1"/>
    <col min="2" max="2" width="6.21875" style="2" bestFit="1" customWidth="1"/>
    <col min="3" max="3" width="5.44140625" style="2" bestFit="1" customWidth="1"/>
    <col min="4" max="4" width="7.44140625" style="2" bestFit="1" customWidth="1"/>
    <col min="5" max="6" width="6.21875" style="2" bestFit="1" customWidth="1"/>
    <col min="7" max="7" width="7.44140625" style="2" bestFit="1" customWidth="1"/>
    <col min="8" max="9" width="6.21875" style="2" bestFit="1" customWidth="1"/>
    <col min="10" max="10" width="7.44140625" style="2" bestFit="1" customWidth="1"/>
    <col min="11" max="12" width="6.21875" style="2" bestFit="1" customWidth="1"/>
    <col min="13" max="13" width="7.44140625" style="2" bestFit="1" customWidth="1"/>
    <col min="14" max="14" width="5.109375" style="2" bestFit="1" customWidth="1"/>
    <col min="15" max="15" width="6" style="2" customWidth="1"/>
    <col min="16" max="16" width="7.44140625" style="2" bestFit="1" customWidth="1"/>
    <col min="17" max="17" width="5.109375" style="2" bestFit="1" customWidth="1"/>
    <col min="18" max="18" width="5.44140625" style="2" bestFit="1" customWidth="1"/>
    <col min="19" max="19" width="7.44140625" style="2" bestFit="1" customWidth="1"/>
    <col min="20" max="20" width="6.21875" style="2" bestFit="1" customWidth="1"/>
    <col min="21" max="21" width="5.44140625" style="2" bestFit="1" customWidth="1"/>
    <col min="22" max="22" width="7.44140625" style="2" bestFit="1" customWidth="1"/>
    <col min="23" max="23" width="7" style="2" bestFit="1" customWidth="1"/>
    <col min="24" max="24" width="5.44140625" style="2" bestFit="1" customWidth="1"/>
    <col min="25" max="25" width="7.44140625" style="2" bestFit="1" customWidth="1"/>
    <col min="26" max="27" width="6.21875" style="2" bestFit="1" customWidth="1"/>
    <col min="28" max="28" width="7.44140625" style="2" bestFit="1" customWidth="1"/>
    <col min="29" max="30" width="6.21875" style="2" bestFit="1" customWidth="1"/>
    <col min="31" max="31" width="7.44140625" style="2" bestFit="1" customWidth="1"/>
    <col min="32" max="32" width="8.109375" style="2" bestFit="1" customWidth="1"/>
    <col min="33" max="33" width="6.21875" style="2" bestFit="1" customWidth="1"/>
    <col min="34" max="34" width="7.44140625" style="2" bestFit="1" customWidth="1"/>
    <col min="35" max="35" width="7" style="2" bestFit="1" customWidth="1"/>
    <col min="36" max="36" width="6.21875" style="2" bestFit="1" customWidth="1"/>
    <col min="37" max="37" width="7.44140625" style="2" bestFit="1" customWidth="1"/>
    <col min="38" max="39" width="7" style="2" bestFit="1" customWidth="1"/>
    <col min="40" max="40" width="8.109375" style="2" bestFit="1" customWidth="1"/>
    <col min="41" max="41" width="6.77734375" style="2" customWidth="1"/>
    <col min="42" max="16384" width="8.88671875" style="2"/>
  </cols>
  <sheetData>
    <row r="1" spans="1:40" ht="13.5" thickBot="1">
      <c r="A1" s="166"/>
      <c r="B1" s="167" t="s">
        <v>4</v>
      </c>
      <c r="C1" s="167" t="s">
        <v>147</v>
      </c>
      <c r="D1" s="167" t="s">
        <v>139</v>
      </c>
      <c r="E1" s="168" t="s">
        <v>5</v>
      </c>
      <c r="F1" s="168" t="s">
        <v>147</v>
      </c>
      <c r="G1" s="168" t="s">
        <v>139</v>
      </c>
      <c r="H1" s="167" t="s">
        <v>6</v>
      </c>
      <c r="I1" s="167" t="s">
        <v>147</v>
      </c>
      <c r="J1" s="167" t="s">
        <v>139</v>
      </c>
      <c r="K1" s="214" t="s">
        <v>7</v>
      </c>
      <c r="L1" s="214" t="s">
        <v>147</v>
      </c>
      <c r="M1" s="214" t="s">
        <v>139</v>
      </c>
      <c r="N1" s="167" t="s">
        <v>2</v>
      </c>
      <c r="O1" s="167" t="s">
        <v>147</v>
      </c>
      <c r="P1" s="167" t="s">
        <v>139</v>
      </c>
      <c r="Q1" s="168" t="s">
        <v>8</v>
      </c>
      <c r="R1" s="168" t="s">
        <v>147</v>
      </c>
      <c r="S1" s="168" t="s">
        <v>139</v>
      </c>
      <c r="T1" s="167" t="s">
        <v>9</v>
      </c>
      <c r="U1" s="167" t="s">
        <v>147</v>
      </c>
      <c r="V1" s="167" t="s">
        <v>139</v>
      </c>
      <c r="W1" s="214" t="s">
        <v>10</v>
      </c>
      <c r="X1" s="214" t="s">
        <v>147</v>
      </c>
      <c r="Y1" s="214" t="s">
        <v>139</v>
      </c>
      <c r="Z1" s="167" t="s">
        <v>11</v>
      </c>
      <c r="AA1" s="167" t="s">
        <v>147</v>
      </c>
      <c r="AB1" s="167" t="s">
        <v>139</v>
      </c>
      <c r="AC1" s="168" t="s">
        <v>12</v>
      </c>
      <c r="AD1" s="168" t="s">
        <v>147</v>
      </c>
      <c r="AE1" s="168" t="s">
        <v>139</v>
      </c>
      <c r="AF1" s="167" t="s">
        <v>13</v>
      </c>
      <c r="AG1" s="167" t="s">
        <v>147</v>
      </c>
      <c r="AH1" s="167" t="s">
        <v>139</v>
      </c>
      <c r="AI1" s="214" t="s">
        <v>14</v>
      </c>
      <c r="AJ1" s="214" t="s">
        <v>147</v>
      </c>
      <c r="AK1" s="214" t="s">
        <v>139</v>
      </c>
      <c r="AL1" s="215" t="s">
        <v>157</v>
      </c>
      <c r="AM1" s="215" t="s">
        <v>147</v>
      </c>
      <c r="AN1" s="215" t="s">
        <v>139</v>
      </c>
    </row>
    <row r="2" spans="1:40">
      <c r="A2" s="216">
        <v>1998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>
        <v>2060</v>
      </c>
      <c r="X2" s="219">
        <f>W2/340.75</f>
        <v>6.0454878943506971</v>
      </c>
      <c r="Y2" s="218">
        <v>71</v>
      </c>
      <c r="Z2" s="218">
        <v>5644</v>
      </c>
      <c r="AA2" s="219">
        <f>Z2/340.75</f>
        <v>16.563462949376376</v>
      </c>
      <c r="AB2" s="218">
        <v>192</v>
      </c>
      <c r="AC2" s="218">
        <v>5830</v>
      </c>
      <c r="AD2" s="219">
        <f>AC2/340.75</f>
        <v>17.109317681584738</v>
      </c>
      <c r="AE2" s="218">
        <v>194</v>
      </c>
      <c r="AF2" s="218">
        <v>5160</v>
      </c>
      <c r="AG2" s="219">
        <f>AF2/340.75</f>
        <v>15.143066764490095</v>
      </c>
      <c r="AH2" s="218">
        <v>169</v>
      </c>
      <c r="AI2" s="218">
        <v>7200</v>
      </c>
      <c r="AJ2" s="219">
        <f>AI2/340.75</f>
        <v>21.129860601614087</v>
      </c>
      <c r="AK2" s="218">
        <v>231</v>
      </c>
      <c r="AL2" s="220">
        <f>W2+Z2+AC2+AF2+AI2</f>
        <v>25894</v>
      </c>
      <c r="AM2" s="221">
        <f>X2+AA2+AD2+AG2+AJ2</f>
        <v>75.991195891415998</v>
      </c>
      <c r="AN2" s="221">
        <f>Y2+AB2+AE2+AH2+AK2</f>
        <v>857</v>
      </c>
    </row>
    <row r="3" spans="1:40">
      <c r="A3" s="222">
        <v>1999</v>
      </c>
      <c r="B3" s="220">
        <v>3060</v>
      </c>
      <c r="C3" s="219">
        <f t="shared" ref="C3:C6" si="0">B3/340.75</f>
        <v>8.980190755685987</v>
      </c>
      <c r="D3" s="220">
        <v>95</v>
      </c>
      <c r="E3" s="220">
        <v>3860</v>
      </c>
      <c r="F3" s="219">
        <f t="shared" ref="F3:F6" si="1">E3/340.75</f>
        <v>11.327953044754219</v>
      </c>
      <c r="G3" s="220">
        <v>119</v>
      </c>
      <c r="H3" s="220">
        <v>8370</v>
      </c>
      <c r="I3" s="219">
        <f t="shared" ref="I3:I5" si="2">H3/340.75</f>
        <v>24.563462949376376</v>
      </c>
      <c r="J3" s="220">
        <v>254</v>
      </c>
      <c r="K3" s="220">
        <v>7810</v>
      </c>
      <c r="L3" s="219">
        <f t="shared" ref="L3:L5" si="3">K3/340.75</f>
        <v>22.920029347028613</v>
      </c>
      <c r="M3" s="220">
        <v>233</v>
      </c>
      <c r="N3" s="220">
        <v>610</v>
      </c>
      <c r="O3" s="219">
        <f t="shared" ref="O3:O5" si="4">N3/340.75</f>
        <v>1.7901687454145268</v>
      </c>
      <c r="P3" s="220">
        <v>18</v>
      </c>
      <c r="Q3" s="220">
        <v>700</v>
      </c>
      <c r="R3" s="219">
        <f t="shared" ref="R3:R5" si="5">Q3/340.75</f>
        <v>2.0542920029347029</v>
      </c>
      <c r="S3" s="220">
        <v>20</v>
      </c>
      <c r="T3" s="220">
        <v>1590</v>
      </c>
      <c r="U3" s="219">
        <f t="shared" ref="U3:U5" si="6">T3/340.75</f>
        <v>4.6661775495231108</v>
      </c>
      <c r="V3" s="220">
        <v>45</v>
      </c>
      <c r="W3" s="220">
        <v>600</v>
      </c>
      <c r="X3" s="219">
        <f t="shared" ref="X3:X5" si="7">W3/340.75</f>
        <v>1.7608217168011739</v>
      </c>
      <c r="Y3" s="220">
        <v>17</v>
      </c>
      <c r="Z3" s="220"/>
      <c r="AA3" s="219">
        <f t="shared" ref="AA3:AA5" si="8">Z3/340.75</f>
        <v>0</v>
      </c>
      <c r="AB3" s="220"/>
      <c r="AC3" s="220"/>
      <c r="AD3" s="219">
        <f t="shared" ref="AD3:AD5" si="9">AC3/340.75</f>
        <v>0</v>
      </c>
      <c r="AE3" s="220"/>
      <c r="AF3" s="220">
        <v>230</v>
      </c>
      <c r="AG3" s="219">
        <f t="shared" ref="AG3:AG5" si="10">AF3/340.75</f>
        <v>0.67498165810711663</v>
      </c>
      <c r="AH3" s="220">
        <v>6</v>
      </c>
      <c r="AI3" s="220"/>
      <c r="AJ3" s="219">
        <f t="shared" ref="AJ3:AJ5" si="11">AI3/340.75</f>
        <v>0</v>
      </c>
      <c r="AK3" s="220"/>
      <c r="AL3" s="220">
        <f>B3+E3+H3+K3+N3+Q3+T3+W3+Z3+AC3+AF3+AI3</f>
        <v>26830</v>
      </c>
      <c r="AM3" s="221">
        <f>C3+F3+I3+L3+O3+R3+U3+X3+AA3+AD3+AG3+AJ3</f>
        <v>78.738077769625832</v>
      </c>
      <c r="AN3" s="221">
        <f>D3+G3+J3+M3+P3+S3+V3+Y3+AB3+AE3+AH3+AK3</f>
        <v>807</v>
      </c>
    </row>
    <row r="4" spans="1:40">
      <c r="A4" s="222">
        <v>2000</v>
      </c>
      <c r="B4" s="220"/>
      <c r="C4" s="219">
        <f t="shared" si="0"/>
        <v>0</v>
      </c>
      <c r="D4" s="220"/>
      <c r="E4" s="220"/>
      <c r="F4" s="219">
        <f t="shared" si="1"/>
        <v>0</v>
      </c>
      <c r="G4" s="220"/>
      <c r="H4" s="220"/>
      <c r="I4" s="219">
        <f t="shared" si="2"/>
        <v>0</v>
      </c>
      <c r="J4" s="220"/>
      <c r="K4" s="220"/>
      <c r="L4" s="219">
        <f t="shared" si="3"/>
        <v>0</v>
      </c>
      <c r="M4" s="220"/>
      <c r="N4" s="220"/>
      <c r="O4" s="219">
        <f t="shared" si="4"/>
        <v>0</v>
      </c>
      <c r="P4" s="220"/>
      <c r="Q4" s="220">
        <v>206</v>
      </c>
      <c r="R4" s="219">
        <f t="shared" si="5"/>
        <v>0.60454878943506973</v>
      </c>
      <c r="S4" s="220">
        <v>5</v>
      </c>
      <c r="T4" s="220"/>
      <c r="U4" s="219">
        <f t="shared" si="6"/>
        <v>0</v>
      </c>
      <c r="V4" s="220"/>
      <c r="W4" s="220"/>
      <c r="X4" s="219">
        <f t="shared" si="7"/>
        <v>0</v>
      </c>
      <c r="Y4" s="220"/>
      <c r="Z4" s="220"/>
      <c r="AA4" s="219">
        <f t="shared" si="8"/>
        <v>0</v>
      </c>
      <c r="AB4" s="220"/>
      <c r="AC4" s="220"/>
      <c r="AD4" s="219">
        <f t="shared" si="9"/>
        <v>0</v>
      </c>
      <c r="AE4" s="220"/>
      <c r="AF4" s="220"/>
      <c r="AG4" s="219">
        <f t="shared" si="10"/>
        <v>0</v>
      </c>
      <c r="AH4" s="220"/>
      <c r="AI4" s="220"/>
      <c r="AJ4" s="219">
        <f t="shared" si="11"/>
        <v>0</v>
      </c>
      <c r="AK4" s="220"/>
      <c r="AL4" s="220">
        <f t="shared" ref="AL4:AN7" si="12">B4+E4+H4+K4+N4+Q4+T4+W4+Z4+AC4+AF4+AI4</f>
        <v>206</v>
      </c>
      <c r="AM4" s="221">
        <f t="shared" si="12"/>
        <v>0.60454878943506973</v>
      </c>
      <c r="AN4" s="221">
        <f t="shared" si="12"/>
        <v>5</v>
      </c>
    </row>
    <row r="5" spans="1:40" s="203" customFormat="1">
      <c r="A5" s="287">
        <v>2001</v>
      </c>
      <c r="B5" s="220">
        <v>545</v>
      </c>
      <c r="C5" s="219">
        <f t="shared" si="0"/>
        <v>1.5994130594277329</v>
      </c>
      <c r="D5" s="220">
        <v>12</v>
      </c>
      <c r="E5" s="220"/>
      <c r="F5" s="219">
        <f t="shared" si="1"/>
        <v>0</v>
      </c>
      <c r="G5" s="220"/>
      <c r="H5" s="220"/>
      <c r="I5" s="219">
        <f t="shared" si="2"/>
        <v>0</v>
      </c>
      <c r="J5" s="220"/>
      <c r="K5" s="220">
        <v>2286</v>
      </c>
      <c r="L5" s="219">
        <f t="shared" si="3"/>
        <v>6.7087307410124728</v>
      </c>
      <c r="M5" s="220">
        <v>48</v>
      </c>
      <c r="N5" s="220"/>
      <c r="O5" s="219">
        <f t="shared" si="4"/>
        <v>0</v>
      </c>
      <c r="P5" s="220"/>
      <c r="Q5" s="220"/>
      <c r="R5" s="219">
        <f t="shared" si="5"/>
        <v>0</v>
      </c>
      <c r="S5" s="220"/>
      <c r="T5" s="221"/>
      <c r="U5" s="219">
        <f t="shared" si="6"/>
        <v>0</v>
      </c>
      <c r="V5" s="221"/>
      <c r="W5" s="221">
        <v>860</v>
      </c>
      <c r="X5" s="219">
        <f t="shared" si="7"/>
        <v>2.5238444607483492</v>
      </c>
      <c r="Y5" s="221">
        <v>17</v>
      </c>
      <c r="Z5" s="221"/>
      <c r="AA5" s="219">
        <f t="shared" si="8"/>
        <v>0</v>
      </c>
      <c r="AB5" s="221"/>
      <c r="AC5" s="221"/>
      <c r="AD5" s="219">
        <f t="shared" si="9"/>
        <v>0</v>
      </c>
      <c r="AE5" s="221"/>
      <c r="AF5" s="221">
        <v>2170</v>
      </c>
      <c r="AG5" s="219">
        <f t="shared" si="10"/>
        <v>6.3683052090975787</v>
      </c>
      <c r="AH5" s="221">
        <v>43</v>
      </c>
      <c r="AI5" s="221">
        <v>970</v>
      </c>
      <c r="AJ5" s="219">
        <f t="shared" si="11"/>
        <v>2.8466617754952313</v>
      </c>
      <c r="AK5" s="221">
        <v>19</v>
      </c>
      <c r="AL5" s="220">
        <f t="shared" si="12"/>
        <v>6831</v>
      </c>
      <c r="AM5" s="221">
        <f t="shared" si="12"/>
        <v>20.046955245781366</v>
      </c>
      <c r="AN5" s="221">
        <f t="shared" si="12"/>
        <v>139</v>
      </c>
    </row>
    <row r="6" spans="1:40">
      <c r="A6" s="222">
        <v>2002</v>
      </c>
      <c r="B6" s="220">
        <v>440</v>
      </c>
      <c r="C6" s="219">
        <f t="shared" si="0"/>
        <v>1.2912692589875274</v>
      </c>
      <c r="D6" s="220">
        <v>8</v>
      </c>
      <c r="E6" s="220">
        <v>440</v>
      </c>
      <c r="F6" s="219">
        <f t="shared" si="1"/>
        <v>1.2912692589875274</v>
      </c>
      <c r="G6" s="220">
        <v>8</v>
      </c>
      <c r="H6" s="223"/>
      <c r="I6" s="219">
        <v>1.23</v>
      </c>
      <c r="J6" s="221">
        <v>8</v>
      </c>
      <c r="K6" s="223"/>
      <c r="L6" s="219">
        <v>1.1100000000000001</v>
      </c>
      <c r="M6" s="221">
        <v>7</v>
      </c>
      <c r="N6" s="223"/>
      <c r="O6" s="221">
        <v>1.1100000000000001</v>
      </c>
      <c r="P6" s="221">
        <v>7</v>
      </c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20"/>
      <c r="AM6" s="221">
        <f t="shared" si="12"/>
        <v>6.0325385179750555</v>
      </c>
      <c r="AN6" s="221">
        <f t="shared" si="12"/>
        <v>38</v>
      </c>
    </row>
    <row r="7" spans="1:40">
      <c r="A7" s="1">
        <v>2003</v>
      </c>
      <c r="B7" s="226"/>
      <c r="C7" s="237">
        <v>0.25</v>
      </c>
      <c r="D7" s="237">
        <v>1</v>
      </c>
      <c r="E7" s="226"/>
      <c r="F7" s="237">
        <v>1.1100000000000001</v>
      </c>
      <c r="G7" s="237">
        <v>8</v>
      </c>
      <c r="H7" s="226"/>
      <c r="I7" s="237">
        <v>1.1100000000000001</v>
      </c>
      <c r="J7" s="237">
        <v>7</v>
      </c>
      <c r="K7" s="226"/>
      <c r="L7" s="237">
        <v>1.1100000000000001</v>
      </c>
      <c r="M7" s="237">
        <v>6</v>
      </c>
      <c r="N7" s="226"/>
      <c r="O7" s="237">
        <v>1.1100000000000001</v>
      </c>
      <c r="P7" s="237">
        <v>6</v>
      </c>
      <c r="Q7" s="226"/>
      <c r="R7" s="237">
        <v>1.1100000000000001</v>
      </c>
      <c r="S7" s="237">
        <v>6</v>
      </c>
      <c r="T7" s="226"/>
      <c r="U7" s="237">
        <v>1.1100000000000001</v>
      </c>
      <c r="V7" s="237">
        <v>6</v>
      </c>
      <c r="W7" s="226"/>
      <c r="X7" s="237">
        <v>1.1100000000000001</v>
      </c>
      <c r="Y7" s="237">
        <v>6</v>
      </c>
      <c r="Z7" s="226"/>
      <c r="AA7" s="237">
        <v>1.1100000000000001</v>
      </c>
      <c r="AB7" s="237">
        <v>6</v>
      </c>
      <c r="AC7" s="226"/>
      <c r="AD7" s="237">
        <v>1.1100000000000001</v>
      </c>
      <c r="AE7" s="237">
        <v>5</v>
      </c>
      <c r="AF7" s="226"/>
      <c r="AG7" s="237">
        <v>1.1100000000000001</v>
      </c>
      <c r="AH7" s="237">
        <v>5</v>
      </c>
      <c r="AI7" s="226"/>
      <c r="AJ7" s="237">
        <v>1.1100000000000001</v>
      </c>
      <c r="AK7" s="237">
        <v>5</v>
      </c>
      <c r="AL7" s="221"/>
      <c r="AM7" s="219">
        <f t="shared" ref="AM7" si="13">SUM(B7:AL7)</f>
        <v>79.459999999999994</v>
      </c>
      <c r="AN7" s="221">
        <f t="shared" si="12"/>
        <v>67</v>
      </c>
    </row>
    <row r="8" spans="1:40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220">
        <f>SUM(AL2:AL7)</f>
        <v>59761</v>
      </c>
      <c r="AM8" s="221">
        <f>SUM(AM2:AM7)</f>
        <v>260.87331621423328</v>
      </c>
      <c r="AN8" s="221">
        <f>SUM(AN2:AN7)</f>
        <v>1913</v>
      </c>
    </row>
    <row r="9" spans="1:40" ht="18">
      <c r="O9" s="234" t="s">
        <v>158</v>
      </c>
      <c r="AL9" s="228"/>
      <c r="AM9" s="228"/>
      <c r="AN9" s="228"/>
    </row>
    <row r="10" spans="1:40">
      <c r="AL10" s="228"/>
      <c r="AM10" s="228"/>
      <c r="AN10" s="269">
        <v>45324</v>
      </c>
    </row>
    <row r="11" spans="1:40" ht="18">
      <c r="O11" s="227" t="s">
        <v>159</v>
      </c>
      <c r="AL11" s="228"/>
      <c r="AM11" s="228"/>
      <c r="AN11" s="266" t="s">
        <v>184</v>
      </c>
    </row>
    <row r="12" spans="1:40">
      <c r="AM12" s="211"/>
      <c r="AN12" s="211"/>
    </row>
    <row r="13" spans="1:40">
      <c r="A13" s="229">
        <v>1998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20">
        <f>W2*30%</f>
        <v>618</v>
      </c>
      <c r="X13" s="221">
        <f t="shared" ref="X13:X16" si="14">W13/340.75</f>
        <v>1.8136463683052091</v>
      </c>
      <c r="Y13" s="220">
        <f>Y2*30%</f>
        <v>21.3</v>
      </c>
      <c r="Z13" s="220">
        <f>Z2*30%</f>
        <v>1693.2</v>
      </c>
      <c r="AA13" s="221">
        <f t="shared" ref="AA13:AA16" si="15">Z13/340.75</f>
        <v>4.969038884812913</v>
      </c>
      <c r="AB13" s="220">
        <f>AB2*30%</f>
        <v>57.599999999999994</v>
      </c>
      <c r="AC13" s="220">
        <f>AC2*30%</f>
        <v>1749</v>
      </c>
      <c r="AD13" s="221">
        <f t="shared" ref="AD13:AD16" si="16">AC13/340.75</f>
        <v>5.1327953044754215</v>
      </c>
      <c r="AE13" s="220">
        <f>AE2*30%</f>
        <v>58.199999999999996</v>
      </c>
      <c r="AF13" s="220">
        <f>AF2*30%</f>
        <v>1548</v>
      </c>
      <c r="AG13" s="221">
        <f t="shared" ref="AG13:AG16" si="17">AF13/340.75</f>
        <v>4.5429200293470284</v>
      </c>
      <c r="AH13" s="220">
        <f>AH2*30%</f>
        <v>50.699999999999996</v>
      </c>
      <c r="AI13" s="220">
        <f>AI2*30%</f>
        <v>2160</v>
      </c>
      <c r="AJ13" s="221">
        <f t="shared" ref="AJ13:AJ16" si="18">AI13/340.75</f>
        <v>6.3389581804842257</v>
      </c>
      <c r="AK13" s="220">
        <f>AK2*30%</f>
        <v>69.3</v>
      </c>
      <c r="AL13" s="220">
        <f>W13+Z13+AC13+AF13+AI13</f>
        <v>7768.2</v>
      </c>
      <c r="AM13" s="221">
        <f>X13+AA13+AD13+AG13+AJ13</f>
        <v>22.797358767424797</v>
      </c>
      <c r="AN13" s="221">
        <f>Y13+AB13+AE13+AH13+AK13</f>
        <v>257.09999999999997</v>
      </c>
    </row>
    <row r="14" spans="1:40" s="203" customFormat="1">
      <c r="A14" s="231">
        <v>1999</v>
      </c>
      <c r="B14" s="220">
        <f>B3*30%</f>
        <v>918</v>
      </c>
      <c r="C14" s="221">
        <f t="shared" ref="C14:C17" si="19">B14/340.75</f>
        <v>2.6940572267057958</v>
      </c>
      <c r="D14" s="220">
        <f>D3*30%</f>
        <v>28.5</v>
      </c>
      <c r="E14" s="220">
        <f>E3*30%</f>
        <v>1158</v>
      </c>
      <c r="F14" s="221">
        <f t="shared" ref="F14:F17" si="20">E14/340.75</f>
        <v>3.3983859134262655</v>
      </c>
      <c r="G14" s="220">
        <f>G3*30%</f>
        <v>35.699999999999996</v>
      </c>
      <c r="H14" s="220">
        <f>H3*30%</f>
        <v>2511</v>
      </c>
      <c r="I14" s="221">
        <f t="shared" ref="I14:I16" si="21">H14/340.75</f>
        <v>7.3690388848129125</v>
      </c>
      <c r="J14" s="220">
        <f>J3*30%</f>
        <v>76.2</v>
      </c>
      <c r="K14" s="220">
        <f>K3*30%</f>
        <v>2343</v>
      </c>
      <c r="L14" s="221">
        <f t="shared" ref="L14:L17" si="22">K14/340.75</f>
        <v>6.8760088041085838</v>
      </c>
      <c r="M14" s="220">
        <f>M3*30%</f>
        <v>69.899999999999991</v>
      </c>
      <c r="N14" s="220">
        <f>N3*30%</f>
        <v>183</v>
      </c>
      <c r="O14" s="221">
        <f t="shared" ref="O14:O17" si="23">N14/340.75</f>
        <v>0.53705062362435807</v>
      </c>
      <c r="P14" s="220">
        <f>P3*30%</f>
        <v>5.3999999999999995</v>
      </c>
      <c r="Q14" s="220">
        <f>Q3*30%</f>
        <v>210</v>
      </c>
      <c r="R14" s="221">
        <f t="shared" ref="R14:R16" si="24">Q14/340.75</f>
        <v>0.6162876008804109</v>
      </c>
      <c r="S14" s="220">
        <f>S3*30%</f>
        <v>6</v>
      </c>
      <c r="T14" s="220">
        <f>T3*30%</f>
        <v>477</v>
      </c>
      <c r="U14" s="221">
        <f t="shared" ref="U14:U16" si="25">T14/340.75</f>
        <v>1.3998532648569333</v>
      </c>
      <c r="V14" s="220">
        <f>V3*30%</f>
        <v>13.5</v>
      </c>
      <c r="W14" s="220">
        <f t="shared" ref="W14:W16" si="26">W3*30%</f>
        <v>180</v>
      </c>
      <c r="X14" s="221">
        <f t="shared" si="14"/>
        <v>0.52824651504035214</v>
      </c>
      <c r="Y14" s="220">
        <f t="shared" ref="Y14:Z17" si="27">Y3*30%</f>
        <v>5.0999999999999996</v>
      </c>
      <c r="Z14" s="220">
        <f t="shared" si="27"/>
        <v>0</v>
      </c>
      <c r="AA14" s="221">
        <f t="shared" si="15"/>
        <v>0</v>
      </c>
      <c r="AB14" s="220">
        <f t="shared" ref="AB14:AC16" si="28">AB3*30%</f>
        <v>0</v>
      </c>
      <c r="AC14" s="220">
        <f t="shared" si="28"/>
        <v>0</v>
      </c>
      <c r="AD14" s="221">
        <f t="shared" si="16"/>
        <v>0</v>
      </c>
      <c r="AE14" s="220">
        <f t="shared" ref="AE14:AF16" si="29">AE3*30%</f>
        <v>0</v>
      </c>
      <c r="AF14" s="220">
        <f t="shared" si="29"/>
        <v>69</v>
      </c>
      <c r="AG14" s="221">
        <f t="shared" si="17"/>
        <v>0.20249449743213499</v>
      </c>
      <c r="AH14" s="220">
        <f t="shared" ref="AH14:AI16" si="30">AH3*30%</f>
        <v>1.7999999999999998</v>
      </c>
      <c r="AI14" s="220">
        <f t="shared" si="30"/>
        <v>0</v>
      </c>
      <c r="AJ14" s="221">
        <f t="shared" si="18"/>
        <v>0</v>
      </c>
      <c r="AK14" s="220">
        <f t="shared" ref="AK14:AK16" si="31">AK3*30%</f>
        <v>0</v>
      </c>
      <c r="AL14" s="220">
        <f>B14+E14+H14+K14+N14+Q14+T14+W14+Z14+AC14+AF14+AI14</f>
        <v>8049</v>
      </c>
      <c r="AM14" s="221">
        <f>C14+F14+I14+L14+O14+R14+U14+X14+AA14+AD14+AG14+AJ14</f>
        <v>23.621423330887744</v>
      </c>
      <c r="AN14" s="221">
        <f>D14+G14+J14+M14+P14+S14+V14+Y14+AB14+AE14+AH14+AK14</f>
        <v>242.09999999999997</v>
      </c>
    </row>
    <row r="15" spans="1:40" s="203" customFormat="1">
      <c r="A15" s="232">
        <v>2000</v>
      </c>
      <c r="B15" s="220">
        <f t="shared" ref="B15:Q18" si="32">B4*30%</f>
        <v>0</v>
      </c>
      <c r="C15" s="219">
        <f t="shared" si="19"/>
        <v>0</v>
      </c>
      <c r="D15" s="220">
        <f t="shared" ref="D15:E17" si="33">D4*30%</f>
        <v>0</v>
      </c>
      <c r="E15" s="220">
        <f t="shared" si="33"/>
        <v>0</v>
      </c>
      <c r="F15" s="219">
        <f t="shared" si="20"/>
        <v>0</v>
      </c>
      <c r="G15" s="220">
        <f t="shared" ref="G15:H17" si="34">G4*30%</f>
        <v>0</v>
      </c>
      <c r="H15" s="220">
        <f t="shared" si="34"/>
        <v>0</v>
      </c>
      <c r="I15" s="219">
        <f t="shared" si="21"/>
        <v>0</v>
      </c>
      <c r="J15" s="220">
        <f t="shared" ref="J15:K17" si="35">J4*30%</f>
        <v>0</v>
      </c>
      <c r="K15" s="220">
        <f t="shared" si="35"/>
        <v>0</v>
      </c>
      <c r="L15" s="219">
        <f t="shared" si="22"/>
        <v>0</v>
      </c>
      <c r="M15" s="220">
        <f t="shared" ref="M15:N17" si="36">M4*30%</f>
        <v>0</v>
      </c>
      <c r="N15" s="220">
        <f t="shared" si="36"/>
        <v>0</v>
      </c>
      <c r="O15" s="219">
        <f t="shared" si="23"/>
        <v>0</v>
      </c>
      <c r="P15" s="220">
        <f t="shared" ref="P15:Q16" si="37">P4*30%</f>
        <v>0</v>
      </c>
      <c r="Q15" s="220">
        <f t="shared" si="37"/>
        <v>61.8</v>
      </c>
      <c r="R15" s="219">
        <f t="shared" si="24"/>
        <v>0.1813646368305209</v>
      </c>
      <c r="S15" s="220">
        <f t="shared" ref="S15:T16" si="38">S4*30%</f>
        <v>1.5</v>
      </c>
      <c r="T15" s="220">
        <f t="shared" si="38"/>
        <v>0</v>
      </c>
      <c r="U15" s="219">
        <f t="shared" si="25"/>
        <v>0</v>
      </c>
      <c r="V15" s="220">
        <f t="shared" ref="V15:V16" si="39">V4*30%</f>
        <v>0</v>
      </c>
      <c r="W15" s="220">
        <f t="shared" si="26"/>
        <v>0</v>
      </c>
      <c r="X15" s="219">
        <f t="shared" si="14"/>
        <v>0</v>
      </c>
      <c r="Y15" s="220">
        <f t="shared" si="27"/>
        <v>0</v>
      </c>
      <c r="Z15" s="220">
        <f t="shared" si="27"/>
        <v>0</v>
      </c>
      <c r="AA15" s="219">
        <f t="shared" si="15"/>
        <v>0</v>
      </c>
      <c r="AB15" s="220">
        <f t="shared" si="28"/>
        <v>0</v>
      </c>
      <c r="AC15" s="220">
        <f t="shared" si="28"/>
        <v>0</v>
      </c>
      <c r="AD15" s="219">
        <f t="shared" si="16"/>
        <v>0</v>
      </c>
      <c r="AE15" s="220">
        <f t="shared" si="29"/>
        <v>0</v>
      </c>
      <c r="AF15" s="220">
        <f t="shared" si="29"/>
        <v>0</v>
      </c>
      <c r="AG15" s="219">
        <f t="shared" si="17"/>
        <v>0</v>
      </c>
      <c r="AH15" s="220">
        <f t="shared" si="30"/>
        <v>0</v>
      </c>
      <c r="AI15" s="220">
        <f t="shared" si="30"/>
        <v>0</v>
      </c>
      <c r="AJ15" s="219">
        <f t="shared" si="18"/>
        <v>0</v>
      </c>
      <c r="AK15" s="220">
        <f t="shared" si="31"/>
        <v>0</v>
      </c>
      <c r="AL15" s="220">
        <f t="shared" ref="AL15:AN18" si="40">B15+E15+H15+K15+N15+Q15+T15+W15+Z15+AC15+AF15+AI15</f>
        <v>61.8</v>
      </c>
      <c r="AM15" s="221">
        <f t="shared" si="40"/>
        <v>0.1813646368305209</v>
      </c>
      <c r="AN15" s="221">
        <f t="shared" si="40"/>
        <v>1.5</v>
      </c>
    </row>
    <row r="16" spans="1:40" s="203" customFormat="1">
      <c r="A16" s="232">
        <v>2001</v>
      </c>
      <c r="B16" s="220">
        <f t="shared" si="32"/>
        <v>163.5</v>
      </c>
      <c r="C16" s="219">
        <f t="shared" si="19"/>
        <v>0.4798239178283199</v>
      </c>
      <c r="D16" s="220">
        <f t="shared" si="33"/>
        <v>3.5999999999999996</v>
      </c>
      <c r="E16" s="220">
        <f t="shared" si="33"/>
        <v>0</v>
      </c>
      <c r="F16" s="219">
        <f t="shared" si="20"/>
        <v>0</v>
      </c>
      <c r="G16" s="220">
        <f t="shared" si="34"/>
        <v>0</v>
      </c>
      <c r="H16" s="220">
        <f t="shared" si="34"/>
        <v>0</v>
      </c>
      <c r="I16" s="219">
        <f t="shared" si="21"/>
        <v>0</v>
      </c>
      <c r="J16" s="220">
        <f t="shared" si="35"/>
        <v>0</v>
      </c>
      <c r="K16" s="220">
        <f t="shared" si="35"/>
        <v>685.8</v>
      </c>
      <c r="L16" s="219">
        <f t="shared" si="22"/>
        <v>2.0126192223037416</v>
      </c>
      <c r="M16" s="220">
        <f t="shared" si="36"/>
        <v>14.399999999999999</v>
      </c>
      <c r="N16" s="220">
        <f t="shared" si="36"/>
        <v>0</v>
      </c>
      <c r="O16" s="219">
        <f t="shared" si="23"/>
        <v>0</v>
      </c>
      <c r="P16" s="220">
        <f t="shared" si="37"/>
        <v>0</v>
      </c>
      <c r="Q16" s="220">
        <f t="shared" si="37"/>
        <v>0</v>
      </c>
      <c r="R16" s="219">
        <f t="shared" si="24"/>
        <v>0</v>
      </c>
      <c r="S16" s="220">
        <f t="shared" si="38"/>
        <v>0</v>
      </c>
      <c r="T16" s="220">
        <f t="shared" si="38"/>
        <v>0</v>
      </c>
      <c r="U16" s="219">
        <f t="shared" si="25"/>
        <v>0</v>
      </c>
      <c r="V16" s="220">
        <f t="shared" si="39"/>
        <v>0</v>
      </c>
      <c r="W16" s="220">
        <f t="shared" si="26"/>
        <v>258</v>
      </c>
      <c r="X16" s="219">
        <f t="shared" si="14"/>
        <v>0.75715333822450481</v>
      </c>
      <c r="Y16" s="220">
        <f t="shared" si="27"/>
        <v>5.0999999999999996</v>
      </c>
      <c r="Z16" s="220">
        <f t="shared" si="27"/>
        <v>0</v>
      </c>
      <c r="AA16" s="219">
        <f t="shared" si="15"/>
        <v>0</v>
      </c>
      <c r="AB16" s="220">
        <f t="shared" si="28"/>
        <v>0</v>
      </c>
      <c r="AC16" s="220">
        <f t="shared" si="28"/>
        <v>0</v>
      </c>
      <c r="AD16" s="219">
        <f t="shared" si="16"/>
        <v>0</v>
      </c>
      <c r="AE16" s="220">
        <f t="shared" si="29"/>
        <v>0</v>
      </c>
      <c r="AF16" s="220">
        <f t="shared" si="29"/>
        <v>651</v>
      </c>
      <c r="AG16" s="219">
        <f t="shared" si="17"/>
        <v>1.9104915627292736</v>
      </c>
      <c r="AH16" s="220">
        <f t="shared" si="30"/>
        <v>12.9</v>
      </c>
      <c r="AI16" s="220">
        <f t="shared" si="30"/>
        <v>291</v>
      </c>
      <c r="AJ16" s="219">
        <f t="shared" si="18"/>
        <v>0.85399853264856929</v>
      </c>
      <c r="AK16" s="220">
        <f t="shared" si="31"/>
        <v>5.7</v>
      </c>
      <c r="AL16" s="220">
        <f t="shared" si="40"/>
        <v>2049.3000000000002</v>
      </c>
      <c r="AM16" s="221">
        <f t="shared" si="40"/>
        <v>6.0140865737344091</v>
      </c>
      <c r="AN16" s="221">
        <f t="shared" si="40"/>
        <v>41.7</v>
      </c>
    </row>
    <row r="17" spans="1:40" s="203" customFormat="1">
      <c r="A17" s="232">
        <v>2002</v>
      </c>
      <c r="B17" s="220">
        <f t="shared" si="32"/>
        <v>132</v>
      </c>
      <c r="C17" s="219">
        <f t="shared" si="19"/>
        <v>0.38738077769625823</v>
      </c>
      <c r="D17" s="220">
        <f t="shared" si="33"/>
        <v>2.4</v>
      </c>
      <c r="E17" s="220">
        <f t="shared" si="33"/>
        <v>132</v>
      </c>
      <c r="F17" s="219">
        <f t="shared" si="20"/>
        <v>0.38738077769625823</v>
      </c>
      <c r="G17" s="220">
        <f t="shared" si="34"/>
        <v>2.4</v>
      </c>
      <c r="H17" s="225"/>
      <c r="I17" s="219">
        <f>I6*30%</f>
        <v>0.36899999999999999</v>
      </c>
      <c r="J17" s="220">
        <f t="shared" si="35"/>
        <v>2.4</v>
      </c>
      <c r="K17" s="233"/>
      <c r="L17" s="219">
        <f t="shared" si="22"/>
        <v>0</v>
      </c>
      <c r="M17" s="220">
        <f t="shared" si="36"/>
        <v>2.1</v>
      </c>
      <c r="N17" s="238"/>
      <c r="O17" s="219">
        <f t="shared" si="23"/>
        <v>0</v>
      </c>
      <c r="P17" s="236"/>
      <c r="Q17" s="236"/>
      <c r="R17" s="236"/>
      <c r="S17" s="236"/>
      <c r="T17" s="236"/>
      <c r="U17" s="236"/>
      <c r="V17" s="236"/>
      <c r="W17" s="236"/>
      <c r="X17" s="236"/>
      <c r="Y17" s="235">
        <f t="shared" si="27"/>
        <v>0</v>
      </c>
      <c r="Z17" s="236"/>
      <c r="AA17" s="236"/>
      <c r="AB17" s="235"/>
      <c r="AC17" s="236"/>
      <c r="AD17" s="236"/>
      <c r="AE17" s="235"/>
      <c r="AF17" s="236"/>
      <c r="AG17" s="236"/>
      <c r="AH17" s="235"/>
      <c r="AI17" s="236"/>
      <c r="AJ17" s="236"/>
      <c r="AK17" s="235"/>
      <c r="AL17" s="220">
        <f t="shared" ref="AL17:AM17" si="41">B18+E18+H18+K18+N18+Q18+T18+W18+Z18+AC18+AF18+AI18</f>
        <v>0</v>
      </c>
      <c r="AM17" s="221">
        <f t="shared" si="41"/>
        <v>3.7380000000000009</v>
      </c>
      <c r="AN17" s="221">
        <f t="shared" si="40"/>
        <v>9.2999999999999989</v>
      </c>
    </row>
    <row r="18" spans="1:40">
      <c r="A18" s="1">
        <v>2003</v>
      </c>
      <c r="B18" s="225">
        <f t="shared" si="32"/>
        <v>0</v>
      </c>
      <c r="C18" s="220">
        <f t="shared" si="32"/>
        <v>7.4999999999999997E-2</v>
      </c>
      <c r="D18" s="220">
        <f t="shared" si="32"/>
        <v>0.3</v>
      </c>
      <c r="E18" s="225">
        <f t="shared" si="32"/>
        <v>0</v>
      </c>
      <c r="F18" s="220">
        <f t="shared" si="32"/>
        <v>0.33300000000000002</v>
      </c>
      <c r="G18" s="220">
        <f t="shared" si="32"/>
        <v>2.4</v>
      </c>
      <c r="H18" s="225">
        <f t="shared" si="32"/>
        <v>0</v>
      </c>
      <c r="I18" s="220">
        <f t="shared" si="32"/>
        <v>0.33300000000000002</v>
      </c>
      <c r="J18" s="220">
        <f t="shared" si="32"/>
        <v>2.1</v>
      </c>
      <c r="K18" s="225">
        <f t="shared" si="32"/>
        <v>0</v>
      </c>
      <c r="L18" s="220">
        <f t="shared" si="32"/>
        <v>0.33300000000000002</v>
      </c>
      <c r="M18" s="220">
        <f t="shared" si="32"/>
        <v>1.7999999999999998</v>
      </c>
      <c r="N18" s="239">
        <f t="shared" si="32"/>
        <v>0</v>
      </c>
      <c r="O18" s="220">
        <f t="shared" si="32"/>
        <v>0.33300000000000002</v>
      </c>
      <c r="P18" s="220">
        <f t="shared" si="32"/>
        <v>1.7999999999999998</v>
      </c>
      <c r="Q18" s="220">
        <f t="shared" si="32"/>
        <v>0</v>
      </c>
      <c r="R18" s="220">
        <f t="shared" ref="R18:AK18" si="42">R7*30%</f>
        <v>0.33300000000000002</v>
      </c>
      <c r="S18" s="220">
        <f t="shared" si="42"/>
        <v>1.7999999999999998</v>
      </c>
      <c r="T18" s="220">
        <f t="shared" si="42"/>
        <v>0</v>
      </c>
      <c r="U18" s="220">
        <f t="shared" si="42"/>
        <v>0.33300000000000002</v>
      </c>
      <c r="V18" s="220">
        <f t="shared" si="42"/>
        <v>1.7999999999999998</v>
      </c>
      <c r="W18" s="220">
        <f t="shared" si="42"/>
        <v>0</v>
      </c>
      <c r="X18" s="220">
        <f t="shared" si="42"/>
        <v>0.33300000000000002</v>
      </c>
      <c r="Y18" s="220">
        <f t="shared" si="42"/>
        <v>1.7999999999999998</v>
      </c>
      <c r="Z18" s="220">
        <f t="shared" si="42"/>
        <v>0</v>
      </c>
      <c r="AA18" s="220">
        <f t="shared" si="42"/>
        <v>0.33300000000000002</v>
      </c>
      <c r="AB18" s="220">
        <f t="shared" si="42"/>
        <v>1.7999999999999998</v>
      </c>
      <c r="AC18" s="220">
        <f t="shared" si="42"/>
        <v>0</v>
      </c>
      <c r="AD18" s="220">
        <f t="shared" si="42"/>
        <v>0.33300000000000002</v>
      </c>
      <c r="AE18" s="220">
        <f t="shared" si="42"/>
        <v>1.5</v>
      </c>
      <c r="AF18" s="220">
        <f t="shared" si="42"/>
        <v>0</v>
      </c>
      <c r="AG18" s="220">
        <f t="shared" si="42"/>
        <v>0.33300000000000002</v>
      </c>
      <c r="AH18" s="220">
        <f t="shared" si="42"/>
        <v>1.5</v>
      </c>
      <c r="AI18" s="220">
        <f t="shared" si="42"/>
        <v>0</v>
      </c>
      <c r="AJ18" s="220">
        <f t="shared" si="42"/>
        <v>0.33300000000000002</v>
      </c>
      <c r="AK18" s="220">
        <f t="shared" si="42"/>
        <v>1.5</v>
      </c>
      <c r="AL18" s="221"/>
      <c r="AM18" s="219">
        <f t="shared" ref="AM18" si="43">SUM(B18:AL18)</f>
        <v>23.83799999999999</v>
      </c>
      <c r="AN18" s="221">
        <f t="shared" si="40"/>
        <v>20.100000000000001</v>
      </c>
    </row>
    <row r="19" spans="1:40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220">
        <f>SUM(AL13:AL18)</f>
        <v>17928.3</v>
      </c>
      <c r="AM19" s="221">
        <f>SUM(AM13:AM18)</f>
        <v>80.190233308877467</v>
      </c>
      <c r="AN19" s="221">
        <f>SUM(AN13:AN18)</f>
        <v>571.79999999999995</v>
      </c>
    </row>
    <row r="21" spans="1:40">
      <c r="AM21" s="211"/>
      <c r="AN21" s="211"/>
    </row>
    <row r="23" spans="1:40" ht="15.75">
      <c r="A23" s="537" t="s">
        <v>171</v>
      </c>
      <c r="B23" s="537"/>
      <c r="C23" s="537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  <c r="U23" s="537"/>
      <c r="V23" s="537"/>
      <c r="W23" s="537"/>
      <c r="X23" s="537"/>
      <c r="Y23" s="537"/>
      <c r="Z23" s="537"/>
      <c r="AA23" s="537"/>
    </row>
    <row r="24" spans="1:40" ht="15.75">
      <c r="A24" s="536" t="s">
        <v>172</v>
      </c>
      <c r="B24" s="536"/>
      <c r="C24" s="536"/>
      <c r="D24" s="536"/>
      <c r="E24" s="536"/>
      <c r="F24" s="536"/>
      <c r="G24" s="536"/>
      <c r="H24" s="536"/>
      <c r="I24" s="536"/>
      <c r="J24" s="536"/>
      <c r="K24" s="536"/>
      <c r="L24" s="536"/>
      <c r="M24" s="536"/>
      <c r="N24" s="536"/>
      <c r="O24" s="536"/>
      <c r="P24" s="536"/>
      <c r="Q24" s="536"/>
      <c r="R24" s="536"/>
      <c r="S24" s="536"/>
      <c r="T24" s="536"/>
      <c r="U24" s="536"/>
      <c r="V24" s="536"/>
      <c r="W24" s="536"/>
    </row>
    <row r="27" spans="1:40" ht="15.75">
      <c r="A27" s="537" t="s">
        <v>170</v>
      </c>
      <c r="B27" s="537"/>
      <c r="C27" s="537"/>
      <c r="D27" s="537"/>
      <c r="E27" s="537"/>
      <c r="F27" s="537"/>
      <c r="G27" s="537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  <c r="U27" s="537"/>
      <c r="V27" s="537"/>
      <c r="W27" s="537"/>
      <c r="X27" s="537"/>
      <c r="Y27" s="537"/>
      <c r="Z27" s="537"/>
      <c r="AA27" s="537"/>
    </row>
    <row r="28" spans="1:40" ht="15.75">
      <c r="A28" s="535" t="s">
        <v>173</v>
      </c>
      <c r="B28" s="535"/>
      <c r="C28" s="535"/>
      <c r="D28" s="535"/>
      <c r="E28" s="535"/>
      <c r="F28" s="535"/>
      <c r="G28" s="535"/>
      <c r="H28" s="535"/>
      <c r="I28" s="535"/>
      <c r="J28" s="535"/>
      <c r="K28" s="535"/>
      <c r="L28" s="535"/>
      <c r="M28" s="535"/>
      <c r="N28" s="535"/>
      <c r="O28" s="535"/>
      <c r="P28" s="535"/>
      <c r="Q28" s="535"/>
      <c r="R28" s="535"/>
      <c r="S28" s="535"/>
      <c r="T28" s="535"/>
      <c r="U28" s="535"/>
      <c r="V28" s="535"/>
      <c r="W28" s="535"/>
      <c r="X28" s="535"/>
      <c r="Y28" s="535"/>
    </row>
    <row r="29" spans="1:40" ht="13.5" thickBot="1"/>
    <row r="30" spans="1:40">
      <c r="A30" s="216">
        <v>1998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20"/>
      <c r="X30" s="221">
        <f>W30/340.75</f>
        <v>0</v>
      </c>
      <c r="Y30" s="220"/>
      <c r="Z30" s="220">
        <f>Z2</f>
        <v>5644</v>
      </c>
      <c r="AA30" s="221">
        <f t="shared" ref="AA30:AK30" si="44">AA2</f>
        <v>16.563462949376376</v>
      </c>
      <c r="AB30" s="220">
        <f t="shared" si="44"/>
        <v>192</v>
      </c>
      <c r="AC30" s="220">
        <f t="shared" si="44"/>
        <v>5830</v>
      </c>
      <c r="AD30" s="221">
        <f t="shared" si="44"/>
        <v>17.109317681584738</v>
      </c>
      <c r="AE30" s="220">
        <f t="shared" si="44"/>
        <v>194</v>
      </c>
      <c r="AF30" s="220">
        <f t="shared" si="44"/>
        <v>5160</v>
      </c>
      <c r="AG30" s="221">
        <f t="shared" si="44"/>
        <v>15.143066764490095</v>
      </c>
      <c r="AH30" s="220">
        <f t="shared" si="44"/>
        <v>169</v>
      </c>
      <c r="AI30" s="220">
        <f t="shared" si="44"/>
        <v>7200</v>
      </c>
      <c r="AJ30" s="221">
        <f t="shared" si="44"/>
        <v>21.129860601614087</v>
      </c>
      <c r="AK30" s="220">
        <f t="shared" si="44"/>
        <v>231</v>
      </c>
      <c r="AL30" s="220">
        <f>W30+Z30+AC30+AF30+AI30</f>
        <v>23834</v>
      </c>
      <c r="AM30" s="221">
        <f>X30+AA30+AD30+AG30+AJ30</f>
        <v>69.945707997065298</v>
      </c>
      <c r="AN30" s="221">
        <f>Y30+AB30+AE30+AH30+AK30</f>
        <v>786</v>
      </c>
    </row>
    <row r="31" spans="1:40">
      <c r="A31" s="222">
        <v>1999</v>
      </c>
      <c r="B31" s="220"/>
      <c r="C31" s="219"/>
      <c r="D31" s="220"/>
      <c r="E31" s="220">
        <f>E3</f>
        <v>3860</v>
      </c>
      <c r="F31" s="221">
        <f t="shared" ref="F31:G31" si="45">F3</f>
        <v>11.327953044754219</v>
      </c>
      <c r="G31" s="220">
        <f t="shared" si="45"/>
        <v>119</v>
      </c>
      <c r="H31" s="220"/>
      <c r="I31" s="219"/>
      <c r="J31" s="220"/>
      <c r="K31" s="220">
        <f>K3</f>
        <v>7810</v>
      </c>
      <c r="L31" s="221">
        <f t="shared" ref="L31:P31" si="46">L3</f>
        <v>22.920029347028613</v>
      </c>
      <c r="M31" s="220">
        <f t="shared" si="46"/>
        <v>233</v>
      </c>
      <c r="N31" s="220">
        <f t="shared" si="46"/>
        <v>610</v>
      </c>
      <c r="O31" s="221">
        <f t="shared" si="46"/>
        <v>1.7901687454145268</v>
      </c>
      <c r="P31" s="220">
        <f t="shared" si="46"/>
        <v>18</v>
      </c>
      <c r="Q31" s="220"/>
      <c r="R31" s="219">
        <f t="shared" ref="R31:R33" si="47">Q31/340.75</f>
        <v>0</v>
      </c>
      <c r="S31" s="220"/>
      <c r="T31" s="220"/>
      <c r="U31" s="219">
        <f t="shared" ref="U31:U33" si="48">T31/340.75</f>
        <v>0</v>
      </c>
      <c r="V31" s="220"/>
      <c r="W31" s="220"/>
      <c r="X31" s="219">
        <f t="shared" ref="X31:X33" si="49">W31/340.75</f>
        <v>0</v>
      </c>
      <c r="Y31" s="220"/>
      <c r="Z31" s="220"/>
      <c r="AA31" s="219">
        <f t="shared" ref="AA31:AA33" si="50">Z31/340.75</f>
        <v>0</v>
      </c>
      <c r="AB31" s="220"/>
      <c r="AC31" s="220">
        <f>AC3</f>
        <v>0</v>
      </c>
      <c r="AD31" s="220">
        <f t="shared" ref="AD31:AH31" si="51">AD3</f>
        <v>0</v>
      </c>
      <c r="AE31" s="220">
        <f t="shared" si="51"/>
        <v>0</v>
      </c>
      <c r="AF31" s="220">
        <f t="shared" si="51"/>
        <v>230</v>
      </c>
      <c r="AG31" s="221">
        <f t="shared" si="51"/>
        <v>0.67498165810711663</v>
      </c>
      <c r="AH31" s="220">
        <f t="shared" si="51"/>
        <v>6</v>
      </c>
      <c r="AI31" s="220"/>
      <c r="AJ31" s="219">
        <f t="shared" ref="AJ31:AJ33" si="52">AI31/340.75</f>
        <v>0</v>
      </c>
      <c r="AK31" s="220"/>
      <c r="AL31" s="220">
        <f>B31+E31+H31+K31+N31+Q31+T31+W31+Z31+AC31+AF31+AI31</f>
        <v>12510</v>
      </c>
      <c r="AM31" s="221">
        <f>C31+F31+I31+L31+O31+R31+U31+X31+AA31+AD31+AG31+AJ31</f>
        <v>36.713132795304475</v>
      </c>
      <c r="AN31" s="221">
        <f>D31+G31+J31+M31+P31+S31+V31+Y31+AB31+AE31+AH31+AK31</f>
        <v>376</v>
      </c>
    </row>
    <row r="32" spans="1:40">
      <c r="A32" s="222">
        <v>2000</v>
      </c>
      <c r="B32" s="220">
        <f>B4</f>
        <v>0</v>
      </c>
      <c r="C32" s="220">
        <f t="shared" ref="C32:M32" si="53">C4</f>
        <v>0</v>
      </c>
      <c r="D32" s="220">
        <f t="shared" si="53"/>
        <v>0</v>
      </c>
      <c r="E32" s="220">
        <f t="shared" si="53"/>
        <v>0</v>
      </c>
      <c r="F32" s="220">
        <f t="shared" si="53"/>
        <v>0</v>
      </c>
      <c r="G32" s="220">
        <f t="shared" si="53"/>
        <v>0</v>
      </c>
      <c r="H32" s="220">
        <f t="shared" si="53"/>
        <v>0</v>
      </c>
      <c r="I32" s="220">
        <f t="shared" si="53"/>
        <v>0</v>
      </c>
      <c r="J32" s="220">
        <f t="shared" si="53"/>
        <v>0</v>
      </c>
      <c r="K32" s="220">
        <f t="shared" si="53"/>
        <v>0</v>
      </c>
      <c r="L32" s="220">
        <f t="shared" si="53"/>
        <v>0</v>
      </c>
      <c r="M32" s="220">
        <f t="shared" si="53"/>
        <v>0</v>
      </c>
      <c r="N32" s="220"/>
      <c r="O32" s="219">
        <f t="shared" ref="O32:O33" si="54">N32/340.75</f>
        <v>0</v>
      </c>
      <c r="P32" s="220"/>
      <c r="Q32" s="220"/>
      <c r="R32" s="219">
        <f t="shared" si="47"/>
        <v>0</v>
      </c>
      <c r="S32" s="220"/>
      <c r="T32" s="220"/>
      <c r="U32" s="219">
        <f t="shared" si="48"/>
        <v>0</v>
      </c>
      <c r="V32" s="220"/>
      <c r="W32" s="220"/>
      <c r="X32" s="219">
        <f t="shared" si="49"/>
        <v>0</v>
      </c>
      <c r="Y32" s="220"/>
      <c r="Z32" s="220"/>
      <c r="AA32" s="219">
        <f t="shared" si="50"/>
        <v>0</v>
      </c>
      <c r="AB32" s="220"/>
      <c r="AC32" s="220"/>
      <c r="AD32" s="219">
        <f t="shared" ref="AD32:AD33" si="55">AC32/340.75</f>
        <v>0</v>
      </c>
      <c r="AE32" s="220"/>
      <c r="AF32" s="220"/>
      <c r="AG32" s="219">
        <f t="shared" ref="AG32:AG33" si="56">AF32/340.75</f>
        <v>0</v>
      </c>
      <c r="AH32" s="220"/>
      <c r="AI32" s="220"/>
      <c r="AJ32" s="219">
        <f t="shared" si="52"/>
        <v>0</v>
      </c>
      <c r="AK32" s="220"/>
      <c r="AL32" s="220">
        <f t="shared" ref="AL32:AL34" si="57">B32+E32+H32+K32+N32+Q32+T32+W32+Z32+AC32+AF32+AI32</f>
        <v>0</v>
      </c>
      <c r="AM32" s="221">
        <f t="shared" ref="AM32:AM34" si="58">C32+F32+I32+L32+O32+R32+U32+X32+AA32+AD32+AG32+AJ32</f>
        <v>0</v>
      </c>
      <c r="AN32" s="221">
        <f t="shared" ref="AN32:AN35" si="59">D32+G32+J32+M32+P32+S32+V32+Y32+AB32+AE32+AH32+AK32</f>
        <v>0</v>
      </c>
    </row>
    <row r="33" spans="1:40" s="203" customFormat="1">
      <c r="A33" s="287">
        <v>2001</v>
      </c>
      <c r="B33" s="220"/>
      <c r="C33" s="219">
        <f t="shared" ref="C33:C34" si="60">B33/340.75</f>
        <v>0</v>
      </c>
      <c r="D33" s="220"/>
      <c r="E33" s="220"/>
      <c r="F33" s="219">
        <f t="shared" ref="F33:F34" si="61">E33/340.75</f>
        <v>0</v>
      </c>
      <c r="G33" s="220"/>
      <c r="H33" s="220"/>
      <c r="I33" s="219">
        <f t="shared" ref="I33" si="62">H33/340.75</f>
        <v>0</v>
      </c>
      <c r="J33" s="220"/>
      <c r="K33" s="220"/>
      <c r="L33" s="219">
        <f t="shared" ref="L33" si="63">K33/340.75</f>
        <v>0</v>
      </c>
      <c r="M33" s="220"/>
      <c r="N33" s="220"/>
      <c r="O33" s="219">
        <f t="shared" si="54"/>
        <v>0</v>
      </c>
      <c r="P33" s="220"/>
      <c r="Q33" s="220"/>
      <c r="R33" s="219">
        <f t="shared" si="47"/>
        <v>0</v>
      </c>
      <c r="S33" s="220"/>
      <c r="T33" s="221"/>
      <c r="U33" s="219">
        <f t="shared" si="48"/>
        <v>0</v>
      </c>
      <c r="V33" s="221"/>
      <c r="W33" s="221"/>
      <c r="X33" s="219">
        <f t="shared" si="49"/>
        <v>0</v>
      </c>
      <c r="Y33" s="221"/>
      <c r="Z33" s="221"/>
      <c r="AA33" s="219">
        <f t="shared" si="50"/>
        <v>0</v>
      </c>
      <c r="AB33" s="221"/>
      <c r="AC33" s="221"/>
      <c r="AD33" s="219">
        <f t="shared" si="55"/>
        <v>0</v>
      </c>
      <c r="AE33" s="221"/>
      <c r="AF33" s="221"/>
      <c r="AG33" s="219">
        <f t="shared" si="56"/>
        <v>0</v>
      </c>
      <c r="AH33" s="221"/>
      <c r="AI33" s="221"/>
      <c r="AJ33" s="219">
        <f t="shared" si="52"/>
        <v>0</v>
      </c>
      <c r="AK33" s="221"/>
      <c r="AL33" s="220">
        <f t="shared" si="57"/>
        <v>0</v>
      </c>
      <c r="AM33" s="221">
        <f t="shared" si="58"/>
        <v>0</v>
      </c>
      <c r="AN33" s="221">
        <f t="shared" si="59"/>
        <v>0</v>
      </c>
    </row>
    <row r="34" spans="1:40">
      <c r="A34" s="222">
        <v>2002</v>
      </c>
      <c r="B34" s="220">
        <v>440</v>
      </c>
      <c r="C34" s="219">
        <f t="shared" si="60"/>
        <v>1.2912692589875274</v>
      </c>
      <c r="D34" s="220"/>
      <c r="E34" s="220">
        <v>440</v>
      </c>
      <c r="F34" s="219">
        <f t="shared" si="61"/>
        <v>1.2912692589875274</v>
      </c>
      <c r="G34" s="220"/>
      <c r="H34" s="223"/>
      <c r="I34" s="219">
        <v>1.23</v>
      </c>
      <c r="J34" s="221"/>
      <c r="K34" s="223"/>
      <c r="L34" s="219">
        <v>1.1100000000000001</v>
      </c>
      <c r="M34" s="221"/>
      <c r="N34" s="223"/>
      <c r="O34" s="221">
        <v>1.1100000000000001</v>
      </c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20">
        <f t="shared" si="57"/>
        <v>880</v>
      </c>
      <c r="AM34" s="221">
        <f t="shared" si="58"/>
        <v>6.0325385179750555</v>
      </c>
      <c r="AN34" s="221">
        <f t="shared" si="59"/>
        <v>0</v>
      </c>
    </row>
    <row r="35" spans="1:40">
      <c r="A35" s="1">
        <v>2003</v>
      </c>
      <c r="B35" s="226"/>
      <c r="C35" s="237">
        <v>0.25</v>
      </c>
      <c r="D35" s="237"/>
      <c r="E35" s="226"/>
      <c r="F35" s="237">
        <v>1.1100000000000001</v>
      </c>
      <c r="G35" s="237"/>
      <c r="H35" s="226"/>
      <c r="I35" s="237">
        <v>1.1100000000000001</v>
      </c>
      <c r="J35" s="237"/>
      <c r="K35" s="226"/>
      <c r="L35" s="237">
        <v>1.1100000000000001</v>
      </c>
      <c r="M35" s="237"/>
      <c r="N35" s="226"/>
      <c r="O35" s="237">
        <v>1.1100000000000001</v>
      </c>
      <c r="P35" s="237"/>
      <c r="Q35" s="226"/>
      <c r="R35" s="237">
        <v>1.1100000000000001</v>
      </c>
      <c r="S35" s="237"/>
      <c r="T35" s="226"/>
      <c r="U35" s="237">
        <v>1.1100000000000001</v>
      </c>
      <c r="V35" s="237"/>
      <c r="W35" s="226"/>
      <c r="X35" s="237">
        <v>1.1100000000000001</v>
      </c>
      <c r="Y35" s="237"/>
      <c r="Z35" s="226"/>
      <c r="AA35" s="237">
        <v>1.1100000000000001</v>
      </c>
      <c r="AB35" s="237"/>
      <c r="AC35" s="226"/>
      <c r="AD35" s="237">
        <v>1.1100000000000001</v>
      </c>
      <c r="AE35" s="237"/>
      <c r="AF35" s="226"/>
      <c r="AG35" s="237">
        <v>1.1100000000000001</v>
      </c>
      <c r="AH35" s="237"/>
      <c r="AI35" s="226"/>
      <c r="AJ35" s="237">
        <v>1.1100000000000001</v>
      </c>
      <c r="AK35" s="237"/>
      <c r="AL35" s="221"/>
      <c r="AM35" s="219">
        <f t="shared" ref="AM35" si="64">SUM(B35:AL35)</f>
        <v>12.459999999999999</v>
      </c>
      <c r="AN35" s="221">
        <f t="shared" si="59"/>
        <v>0</v>
      </c>
    </row>
    <row r="36" spans="1:40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220">
        <f>SUM(AL30:AL35)</f>
        <v>37224</v>
      </c>
      <c r="AM36" s="221">
        <f>SUM(AM30:AM35)</f>
        <v>125.15137931034482</v>
      </c>
      <c r="AN36" s="221">
        <f>SUM(AN30:AN35)</f>
        <v>1162</v>
      </c>
    </row>
    <row r="37" spans="1:40" ht="18">
      <c r="O37" s="234" t="s">
        <v>158</v>
      </c>
      <c r="AL37" s="228"/>
      <c r="AM37" s="228"/>
      <c r="AN37" s="228"/>
    </row>
    <row r="38" spans="1:40">
      <c r="AL38" s="228"/>
      <c r="AM38" s="228"/>
      <c r="AN38" s="228"/>
    </row>
    <row r="39" spans="1:40" ht="18">
      <c r="O39" s="227" t="s">
        <v>159</v>
      </c>
      <c r="AL39" s="228"/>
      <c r="AM39" s="228"/>
      <c r="AN39" s="228"/>
    </row>
    <row r="40" spans="1:40">
      <c r="AM40" s="211"/>
      <c r="AN40" s="211"/>
    </row>
    <row r="41" spans="1:40">
      <c r="A41" s="229">
        <v>1998</v>
      </c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20">
        <f>W30*30%</f>
        <v>0</v>
      </c>
      <c r="X41" s="221">
        <f t="shared" ref="X41:X44" si="65">W41/340.75</f>
        <v>0</v>
      </c>
      <c r="Y41" s="220">
        <f>Y30*30%</f>
        <v>0</v>
      </c>
      <c r="Z41" s="220">
        <f>Z30*30%</f>
        <v>1693.2</v>
      </c>
      <c r="AA41" s="221">
        <f t="shared" ref="AA41:AA44" si="66">Z41/340.75</f>
        <v>4.969038884812913</v>
      </c>
      <c r="AB41" s="220">
        <f>AB30*30%</f>
        <v>57.599999999999994</v>
      </c>
      <c r="AC41" s="220">
        <f>AC30*30%</f>
        <v>1749</v>
      </c>
      <c r="AD41" s="221">
        <f t="shared" ref="AD41:AD44" si="67">AC41/340.75</f>
        <v>5.1327953044754215</v>
      </c>
      <c r="AE41" s="220">
        <f>AE30*30%</f>
        <v>58.199999999999996</v>
      </c>
      <c r="AF41" s="220">
        <f>AF30*30%</f>
        <v>1548</v>
      </c>
      <c r="AG41" s="221">
        <f t="shared" ref="AG41:AG44" si="68">AF41/340.75</f>
        <v>4.5429200293470284</v>
      </c>
      <c r="AH41" s="220">
        <f>AH30*30%</f>
        <v>50.699999999999996</v>
      </c>
      <c r="AI41" s="220">
        <f>AI30*30%</f>
        <v>2160</v>
      </c>
      <c r="AJ41" s="221">
        <f t="shared" ref="AJ41:AJ44" si="69">AI41/340.75</f>
        <v>6.3389581804842257</v>
      </c>
      <c r="AK41" s="220">
        <f>AK30*30%</f>
        <v>69.3</v>
      </c>
      <c r="AL41" s="220">
        <f>W41+Z41+AC41+AF41+AI41</f>
        <v>7150.2</v>
      </c>
      <c r="AM41" s="221">
        <f>X41+AA41+AD41+AG41+AJ41</f>
        <v>20.98371239911959</v>
      </c>
      <c r="AN41" s="221">
        <f>Y41+AB41+AE41+AH41+AK41</f>
        <v>235.79999999999995</v>
      </c>
    </row>
    <row r="42" spans="1:40">
      <c r="A42" s="231">
        <v>1999</v>
      </c>
      <c r="B42" s="225">
        <f>B31*30%</f>
        <v>0</v>
      </c>
      <c r="C42" s="223">
        <f t="shared" ref="C42:C45" si="70">B42/340.75</f>
        <v>0</v>
      </c>
      <c r="D42" s="225">
        <f>D31*30%</f>
        <v>0</v>
      </c>
      <c r="E42" s="220">
        <f>E31*30%</f>
        <v>1158</v>
      </c>
      <c r="F42" s="221">
        <f t="shared" ref="F42:F45" si="71">E42/340.75</f>
        <v>3.3983859134262655</v>
      </c>
      <c r="G42" s="220">
        <f>G31*30%</f>
        <v>35.699999999999996</v>
      </c>
      <c r="H42" s="220">
        <f>H31*30%</f>
        <v>0</v>
      </c>
      <c r="I42" s="221">
        <f t="shared" ref="I42:I44" si="72">H42/340.75</f>
        <v>0</v>
      </c>
      <c r="J42" s="220">
        <f>J31*30%</f>
        <v>0</v>
      </c>
      <c r="K42" s="220">
        <f>K31*30%</f>
        <v>2343</v>
      </c>
      <c r="L42" s="221">
        <f t="shared" ref="L42:L45" si="73">K42/340.75</f>
        <v>6.8760088041085838</v>
      </c>
      <c r="M42" s="220">
        <f>M31*30%</f>
        <v>69.899999999999991</v>
      </c>
      <c r="N42" s="220">
        <f>N31*30%</f>
        <v>183</v>
      </c>
      <c r="O42" s="221">
        <f t="shared" ref="O42:O45" si="74">N42/340.75</f>
        <v>0.53705062362435807</v>
      </c>
      <c r="P42" s="220">
        <f>P31*30%</f>
        <v>5.3999999999999995</v>
      </c>
      <c r="Q42" s="220">
        <f>Q31*30%</f>
        <v>0</v>
      </c>
      <c r="R42" s="221">
        <f t="shared" ref="R42:R44" si="75">Q42/340.75</f>
        <v>0</v>
      </c>
      <c r="S42" s="220">
        <f>S31*30%</f>
        <v>0</v>
      </c>
      <c r="T42" s="220">
        <f>T31*30%</f>
        <v>0</v>
      </c>
      <c r="U42" s="221">
        <f t="shared" ref="U42:U44" si="76">T42/340.75</f>
        <v>0</v>
      </c>
      <c r="V42" s="220">
        <f>V31*30%</f>
        <v>0</v>
      </c>
      <c r="W42" s="220">
        <f t="shared" ref="W42:W44" si="77">W31*30%</f>
        <v>0</v>
      </c>
      <c r="X42" s="221">
        <f t="shared" si="65"/>
        <v>0</v>
      </c>
      <c r="Y42" s="220">
        <f t="shared" ref="Y42:Z42" si="78">Y31*30%</f>
        <v>0</v>
      </c>
      <c r="Z42" s="220">
        <f t="shared" si="78"/>
        <v>0</v>
      </c>
      <c r="AA42" s="221">
        <f t="shared" si="66"/>
        <v>0</v>
      </c>
      <c r="AB42" s="220">
        <f t="shared" ref="AB42:AC42" si="79">AB31*30%</f>
        <v>0</v>
      </c>
      <c r="AC42" s="220">
        <f t="shared" si="79"/>
        <v>0</v>
      </c>
      <c r="AD42" s="221">
        <f t="shared" si="67"/>
        <v>0</v>
      </c>
      <c r="AE42" s="220">
        <f t="shared" ref="AE42:AF42" si="80">AE31*30%</f>
        <v>0</v>
      </c>
      <c r="AF42" s="220">
        <f t="shared" si="80"/>
        <v>69</v>
      </c>
      <c r="AG42" s="221">
        <f t="shared" si="68"/>
        <v>0.20249449743213499</v>
      </c>
      <c r="AH42" s="220">
        <f t="shared" ref="AH42:AI42" si="81">AH31*30%</f>
        <v>1.7999999999999998</v>
      </c>
      <c r="AI42" s="220">
        <f t="shared" si="81"/>
        <v>0</v>
      </c>
      <c r="AJ42" s="221">
        <f t="shared" si="69"/>
        <v>0</v>
      </c>
      <c r="AK42" s="220">
        <f t="shared" ref="AK42:AK44" si="82">AK31*30%</f>
        <v>0</v>
      </c>
      <c r="AL42" s="220">
        <f>B42+E42+H42+K42+N42+Q42+T42+W42+Z42+AC42+AF42+AI42</f>
        <v>3753</v>
      </c>
      <c r="AM42" s="221">
        <f>C42+F42+I42+L42+O42+R42+U42+X42+AA42+AD42+AG42+AJ42</f>
        <v>11.013939838591343</v>
      </c>
      <c r="AN42" s="221">
        <f>D42+G42+J42+M42+P42+S42+V42+Y42+AB42+AE42+AH42+AK42</f>
        <v>112.8</v>
      </c>
    </row>
    <row r="43" spans="1:40">
      <c r="A43" s="232">
        <v>2000</v>
      </c>
      <c r="B43" s="220">
        <f t="shared" ref="B43" si="83">B32*30%</f>
        <v>0</v>
      </c>
      <c r="C43" s="219">
        <f t="shared" si="70"/>
        <v>0</v>
      </c>
      <c r="D43" s="220">
        <f t="shared" ref="D43:E43" si="84">D32*30%</f>
        <v>0</v>
      </c>
      <c r="E43" s="220">
        <f t="shared" si="84"/>
        <v>0</v>
      </c>
      <c r="F43" s="219">
        <f t="shared" si="71"/>
        <v>0</v>
      </c>
      <c r="G43" s="220">
        <f t="shared" ref="G43:H43" si="85">G32*30%</f>
        <v>0</v>
      </c>
      <c r="H43" s="220">
        <f t="shared" si="85"/>
        <v>0</v>
      </c>
      <c r="I43" s="219">
        <f t="shared" si="72"/>
        <v>0</v>
      </c>
      <c r="J43" s="220">
        <f t="shared" ref="J43:K43" si="86">J32*30%</f>
        <v>0</v>
      </c>
      <c r="K43" s="220">
        <f t="shared" si="86"/>
        <v>0</v>
      </c>
      <c r="L43" s="219">
        <f t="shared" si="73"/>
        <v>0</v>
      </c>
      <c r="M43" s="220">
        <f t="shared" ref="M43:N43" si="87">M32*30%</f>
        <v>0</v>
      </c>
      <c r="N43" s="220">
        <f t="shared" si="87"/>
        <v>0</v>
      </c>
      <c r="O43" s="219">
        <f t="shared" si="74"/>
        <v>0</v>
      </c>
      <c r="P43" s="220">
        <f t="shared" ref="P43:Q43" si="88">P32*30%</f>
        <v>0</v>
      </c>
      <c r="Q43" s="220">
        <f t="shared" si="88"/>
        <v>0</v>
      </c>
      <c r="R43" s="219">
        <f t="shared" si="75"/>
        <v>0</v>
      </c>
      <c r="S43" s="220">
        <f t="shared" ref="S43:T43" si="89">S32*30%</f>
        <v>0</v>
      </c>
      <c r="T43" s="220">
        <f t="shared" si="89"/>
        <v>0</v>
      </c>
      <c r="U43" s="219">
        <f t="shared" si="76"/>
        <v>0</v>
      </c>
      <c r="V43" s="220">
        <f t="shared" ref="V43:V44" si="90">V32*30%</f>
        <v>0</v>
      </c>
      <c r="W43" s="220">
        <f t="shared" si="77"/>
        <v>0</v>
      </c>
      <c r="X43" s="219">
        <f t="shared" si="65"/>
        <v>0</v>
      </c>
      <c r="Y43" s="220">
        <f t="shared" ref="Y43:Z43" si="91">Y32*30%</f>
        <v>0</v>
      </c>
      <c r="Z43" s="220">
        <f t="shared" si="91"/>
        <v>0</v>
      </c>
      <c r="AA43" s="219">
        <f t="shared" si="66"/>
        <v>0</v>
      </c>
      <c r="AB43" s="220">
        <f t="shared" ref="AB43:AC43" si="92">AB32*30%</f>
        <v>0</v>
      </c>
      <c r="AC43" s="220">
        <f t="shared" si="92"/>
        <v>0</v>
      </c>
      <c r="AD43" s="219">
        <f t="shared" si="67"/>
        <v>0</v>
      </c>
      <c r="AE43" s="220">
        <f t="shared" ref="AE43:AF43" si="93">AE32*30%</f>
        <v>0</v>
      </c>
      <c r="AF43" s="220">
        <f t="shared" si="93"/>
        <v>0</v>
      </c>
      <c r="AG43" s="219">
        <f t="shared" si="68"/>
        <v>0</v>
      </c>
      <c r="AH43" s="220">
        <f t="shared" ref="AH43:AI43" si="94">AH32*30%</f>
        <v>0</v>
      </c>
      <c r="AI43" s="220">
        <f t="shared" si="94"/>
        <v>0</v>
      </c>
      <c r="AJ43" s="219">
        <f t="shared" si="69"/>
        <v>0</v>
      </c>
      <c r="AK43" s="220">
        <f t="shared" si="82"/>
        <v>0</v>
      </c>
      <c r="AL43" s="220">
        <f t="shared" ref="AL43:AL44" si="95">B43+E43+H43+K43+N43+Q43+T43+W43+Z43+AC43+AF43+AI43</f>
        <v>0</v>
      </c>
      <c r="AM43" s="221">
        <f t="shared" ref="AM43:AM44" si="96">C43+F43+I43+L43+O43+R43+U43+X43+AA43+AD43+AG43+AJ43</f>
        <v>0</v>
      </c>
      <c r="AN43" s="221">
        <f t="shared" ref="AN43:AN46" si="97">D43+G43+J43+M43+P43+S43+V43+Y43+AB43+AE43+AH43+AK43</f>
        <v>0</v>
      </c>
    </row>
    <row r="44" spans="1:40">
      <c r="A44" s="232">
        <v>2001</v>
      </c>
      <c r="B44" s="220">
        <f t="shared" ref="B44" si="98">B33*30%</f>
        <v>0</v>
      </c>
      <c r="C44" s="219">
        <f t="shared" si="70"/>
        <v>0</v>
      </c>
      <c r="D44" s="220">
        <f t="shared" ref="D44:E44" si="99">D33*30%</f>
        <v>0</v>
      </c>
      <c r="E44" s="220">
        <f t="shared" si="99"/>
        <v>0</v>
      </c>
      <c r="F44" s="219">
        <f t="shared" si="71"/>
        <v>0</v>
      </c>
      <c r="G44" s="220">
        <f t="shared" ref="G44:H44" si="100">G33*30%</f>
        <v>0</v>
      </c>
      <c r="H44" s="220">
        <f t="shared" si="100"/>
        <v>0</v>
      </c>
      <c r="I44" s="219">
        <f t="shared" si="72"/>
        <v>0</v>
      </c>
      <c r="J44" s="220">
        <f t="shared" ref="J44:K44" si="101">J33*30%</f>
        <v>0</v>
      </c>
      <c r="K44" s="220">
        <f t="shared" si="101"/>
        <v>0</v>
      </c>
      <c r="L44" s="219">
        <f t="shared" si="73"/>
        <v>0</v>
      </c>
      <c r="M44" s="220">
        <f t="shared" ref="M44:N44" si="102">M33*30%</f>
        <v>0</v>
      </c>
      <c r="N44" s="220">
        <f t="shared" si="102"/>
        <v>0</v>
      </c>
      <c r="O44" s="219">
        <f t="shared" si="74"/>
        <v>0</v>
      </c>
      <c r="P44" s="220">
        <f t="shared" ref="P44:Q44" si="103">P33*30%</f>
        <v>0</v>
      </c>
      <c r="Q44" s="220">
        <f t="shared" si="103"/>
        <v>0</v>
      </c>
      <c r="R44" s="219">
        <f t="shared" si="75"/>
        <v>0</v>
      </c>
      <c r="S44" s="220">
        <f t="shared" ref="S44:T44" si="104">S33*30%</f>
        <v>0</v>
      </c>
      <c r="T44" s="220">
        <f t="shared" si="104"/>
        <v>0</v>
      </c>
      <c r="U44" s="219">
        <f t="shared" si="76"/>
        <v>0</v>
      </c>
      <c r="V44" s="220">
        <f t="shared" si="90"/>
        <v>0</v>
      </c>
      <c r="W44" s="220">
        <f t="shared" si="77"/>
        <v>0</v>
      </c>
      <c r="X44" s="219">
        <f t="shared" si="65"/>
        <v>0</v>
      </c>
      <c r="Y44" s="220">
        <f t="shared" ref="Y44:Z44" si="105">Y33*30%</f>
        <v>0</v>
      </c>
      <c r="Z44" s="220">
        <f t="shared" si="105"/>
        <v>0</v>
      </c>
      <c r="AA44" s="219">
        <f t="shared" si="66"/>
        <v>0</v>
      </c>
      <c r="AB44" s="220">
        <f t="shared" ref="AB44:AC44" si="106">AB33*30%</f>
        <v>0</v>
      </c>
      <c r="AC44" s="220">
        <f t="shared" si="106"/>
        <v>0</v>
      </c>
      <c r="AD44" s="219">
        <f t="shared" si="67"/>
        <v>0</v>
      </c>
      <c r="AE44" s="220">
        <f t="shared" ref="AE44:AF44" si="107">AE33*30%</f>
        <v>0</v>
      </c>
      <c r="AF44" s="220">
        <f t="shared" si="107"/>
        <v>0</v>
      </c>
      <c r="AG44" s="219">
        <f t="shared" si="68"/>
        <v>0</v>
      </c>
      <c r="AH44" s="220">
        <f t="shared" ref="AH44:AI44" si="108">AH33*30%</f>
        <v>0</v>
      </c>
      <c r="AI44" s="220">
        <f t="shared" si="108"/>
        <v>0</v>
      </c>
      <c r="AJ44" s="219">
        <f t="shared" si="69"/>
        <v>0</v>
      </c>
      <c r="AK44" s="220">
        <f t="shared" si="82"/>
        <v>0</v>
      </c>
      <c r="AL44" s="220">
        <f t="shared" si="95"/>
        <v>0</v>
      </c>
      <c r="AM44" s="221">
        <f t="shared" si="96"/>
        <v>0</v>
      </c>
      <c r="AN44" s="221">
        <f t="shared" si="97"/>
        <v>0</v>
      </c>
    </row>
    <row r="45" spans="1:40">
      <c r="A45" s="232">
        <v>2002</v>
      </c>
      <c r="B45" s="220">
        <f t="shared" ref="B45" si="109">B34*30%</f>
        <v>132</v>
      </c>
      <c r="C45" s="219">
        <f t="shared" si="70"/>
        <v>0.38738077769625823</v>
      </c>
      <c r="D45" s="220">
        <f t="shared" ref="D45:E45" si="110">D34*30%</f>
        <v>0</v>
      </c>
      <c r="E45" s="220">
        <f t="shared" si="110"/>
        <v>132</v>
      </c>
      <c r="F45" s="219">
        <f t="shared" si="71"/>
        <v>0.38738077769625823</v>
      </c>
      <c r="G45" s="220">
        <f t="shared" ref="G45" si="111">G34*30%</f>
        <v>0</v>
      </c>
      <c r="H45" s="225"/>
      <c r="I45" s="219">
        <f>I34*30%</f>
        <v>0.36899999999999999</v>
      </c>
      <c r="J45" s="220">
        <f t="shared" ref="J45" si="112">J34*30%</f>
        <v>0</v>
      </c>
      <c r="K45" s="233"/>
      <c r="L45" s="219">
        <f t="shared" si="73"/>
        <v>0</v>
      </c>
      <c r="M45" s="220">
        <f t="shared" ref="M45" si="113">M34*30%</f>
        <v>0</v>
      </c>
      <c r="N45" s="238"/>
      <c r="O45" s="219">
        <f t="shared" si="74"/>
        <v>0</v>
      </c>
      <c r="P45" s="236"/>
      <c r="Q45" s="236"/>
      <c r="R45" s="236"/>
      <c r="S45" s="236"/>
      <c r="T45" s="236"/>
      <c r="U45" s="236"/>
      <c r="V45" s="236"/>
      <c r="W45" s="236"/>
      <c r="X45" s="236"/>
      <c r="Y45" s="235">
        <f t="shared" ref="Y45" si="114">Y34*30%</f>
        <v>0</v>
      </c>
      <c r="Z45" s="236"/>
      <c r="AA45" s="236"/>
      <c r="AB45" s="235"/>
      <c r="AC45" s="236"/>
      <c r="AD45" s="236"/>
      <c r="AE45" s="235"/>
      <c r="AF45" s="236"/>
      <c r="AG45" s="236"/>
      <c r="AH45" s="235"/>
      <c r="AI45" s="236"/>
      <c r="AJ45" s="236"/>
      <c r="AK45" s="235"/>
      <c r="AL45" s="220">
        <f t="shared" ref="AL45" si="115">B46+E46+H46+K46+N46+Q46+T46+W46+Z46+AC46+AF46+AI46</f>
        <v>0</v>
      </c>
      <c r="AM45" s="221">
        <f t="shared" ref="AM45" si="116">C46+F46+I46+L46+O46+R46+U46+X46+AA46+AD46+AG46+AJ46</f>
        <v>3.7380000000000009</v>
      </c>
      <c r="AN45" s="221">
        <f t="shared" si="97"/>
        <v>0</v>
      </c>
    </row>
    <row r="46" spans="1:40">
      <c r="A46" s="1">
        <v>2003</v>
      </c>
      <c r="B46" s="225">
        <f t="shared" ref="B46:AK46" si="117">B35*30%</f>
        <v>0</v>
      </c>
      <c r="C46" s="220">
        <f t="shared" si="117"/>
        <v>7.4999999999999997E-2</v>
      </c>
      <c r="D46" s="220">
        <f t="shared" si="117"/>
        <v>0</v>
      </c>
      <c r="E46" s="225">
        <f t="shared" si="117"/>
        <v>0</v>
      </c>
      <c r="F46" s="220">
        <f t="shared" si="117"/>
        <v>0.33300000000000002</v>
      </c>
      <c r="G46" s="220">
        <f t="shared" si="117"/>
        <v>0</v>
      </c>
      <c r="H46" s="225">
        <f t="shared" si="117"/>
        <v>0</v>
      </c>
      <c r="I46" s="220">
        <f t="shared" si="117"/>
        <v>0.33300000000000002</v>
      </c>
      <c r="J46" s="220">
        <f t="shared" si="117"/>
        <v>0</v>
      </c>
      <c r="K46" s="225">
        <f t="shared" si="117"/>
        <v>0</v>
      </c>
      <c r="L46" s="220">
        <f t="shared" si="117"/>
        <v>0.33300000000000002</v>
      </c>
      <c r="M46" s="220">
        <f t="shared" si="117"/>
        <v>0</v>
      </c>
      <c r="N46" s="239">
        <f t="shared" si="117"/>
        <v>0</v>
      </c>
      <c r="O46" s="220">
        <f t="shared" si="117"/>
        <v>0.33300000000000002</v>
      </c>
      <c r="P46" s="220">
        <f t="shared" si="117"/>
        <v>0</v>
      </c>
      <c r="Q46" s="220">
        <f t="shared" si="117"/>
        <v>0</v>
      </c>
      <c r="R46" s="220">
        <f t="shared" si="117"/>
        <v>0.33300000000000002</v>
      </c>
      <c r="S46" s="220">
        <f t="shared" si="117"/>
        <v>0</v>
      </c>
      <c r="T46" s="220">
        <f t="shared" si="117"/>
        <v>0</v>
      </c>
      <c r="U46" s="220">
        <f t="shared" si="117"/>
        <v>0.33300000000000002</v>
      </c>
      <c r="V46" s="220">
        <f t="shared" si="117"/>
        <v>0</v>
      </c>
      <c r="W46" s="220">
        <f t="shared" si="117"/>
        <v>0</v>
      </c>
      <c r="X46" s="220">
        <f t="shared" si="117"/>
        <v>0.33300000000000002</v>
      </c>
      <c r="Y46" s="220">
        <f t="shared" si="117"/>
        <v>0</v>
      </c>
      <c r="Z46" s="220">
        <f t="shared" si="117"/>
        <v>0</v>
      </c>
      <c r="AA46" s="220">
        <f t="shared" si="117"/>
        <v>0.33300000000000002</v>
      </c>
      <c r="AB46" s="220">
        <f t="shared" si="117"/>
        <v>0</v>
      </c>
      <c r="AC46" s="220">
        <f t="shared" si="117"/>
        <v>0</v>
      </c>
      <c r="AD46" s="220">
        <f t="shared" si="117"/>
        <v>0.33300000000000002</v>
      </c>
      <c r="AE46" s="220">
        <f t="shared" si="117"/>
        <v>0</v>
      </c>
      <c r="AF46" s="220">
        <f t="shared" si="117"/>
        <v>0</v>
      </c>
      <c r="AG46" s="220">
        <f t="shared" si="117"/>
        <v>0.33300000000000002</v>
      </c>
      <c r="AH46" s="220">
        <f t="shared" si="117"/>
        <v>0</v>
      </c>
      <c r="AI46" s="220">
        <f t="shared" si="117"/>
        <v>0</v>
      </c>
      <c r="AJ46" s="220">
        <f t="shared" si="117"/>
        <v>0.33300000000000002</v>
      </c>
      <c r="AK46" s="220">
        <f t="shared" si="117"/>
        <v>0</v>
      </c>
      <c r="AL46" s="221"/>
      <c r="AM46" s="219">
        <f t="shared" ref="AM46" si="118">SUM(B46:AL46)</f>
        <v>3.7380000000000009</v>
      </c>
      <c r="AN46" s="221">
        <f t="shared" si="97"/>
        <v>0</v>
      </c>
    </row>
    <row r="47" spans="1:40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220">
        <f>SUM(AL41:AL46)</f>
        <v>10903.2</v>
      </c>
      <c r="AM47" s="221">
        <f>SUM(AM41:AM46)</f>
        <v>39.47365223771093</v>
      </c>
      <c r="AN47" s="221">
        <f>SUM(AN41:AN46)</f>
        <v>348.59999999999997</v>
      </c>
    </row>
  </sheetData>
  <mergeCells count="4">
    <mergeCell ref="A23:AA23"/>
    <mergeCell ref="A24:W24"/>
    <mergeCell ref="A27:AA27"/>
    <mergeCell ref="A28:Y2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N25"/>
  <sheetViews>
    <sheetView tabSelected="1" topLeftCell="M1" workbookViewId="0">
      <pane ySplit="1" topLeftCell="A2" activePane="bottomLeft" state="frozen"/>
      <selection pane="bottomLeft" activeCell="AN6" sqref="AN6"/>
    </sheetView>
  </sheetViews>
  <sheetFormatPr defaultRowHeight="12.75"/>
  <cols>
    <col min="1" max="1" width="3.88671875" style="2" bestFit="1" customWidth="1"/>
    <col min="2" max="3" width="6.21875" style="2" bestFit="1" customWidth="1"/>
    <col min="4" max="4" width="7.44140625" style="2" bestFit="1" customWidth="1"/>
    <col min="5" max="5" width="7" style="2" bestFit="1" customWidth="1"/>
    <col min="6" max="6" width="6.21875" style="2" bestFit="1" customWidth="1"/>
    <col min="7" max="7" width="7.44140625" style="2" bestFit="1" customWidth="1"/>
    <col min="8" max="8" width="7" style="2" bestFit="1" customWidth="1"/>
    <col min="9" max="9" width="6.21875" style="2" bestFit="1" customWidth="1"/>
    <col min="10" max="10" width="7.44140625" style="2" bestFit="1" customWidth="1"/>
    <col min="11" max="11" width="7" style="2" bestFit="1" customWidth="1"/>
    <col min="12" max="12" width="6.21875" style="2" bestFit="1" customWidth="1"/>
    <col min="13" max="13" width="7.44140625" style="2" bestFit="1" customWidth="1"/>
    <col min="14" max="14" width="6.21875" style="2" bestFit="1" customWidth="1"/>
    <col min="15" max="15" width="6.33203125" style="2" customWidth="1"/>
    <col min="16" max="16" width="7.44140625" style="2" bestFit="1" customWidth="1"/>
    <col min="17" max="18" width="6.21875" style="2" bestFit="1" customWidth="1"/>
    <col min="19" max="19" width="7.44140625" style="2" bestFit="1" customWidth="1"/>
    <col min="20" max="21" width="6.21875" style="2" bestFit="1" customWidth="1"/>
    <col min="22" max="22" width="7.44140625" style="2" bestFit="1" customWidth="1"/>
    <col min="23" max="23" width="7" style="2" bestFit="1" customWidth="1"/>
    <col min="24" max="24" width="6.21875" style="2" bestFit="1" customWidth="1"/>
    <col min="25" max="25" width="7.44140625" style="2" bestFit="1" customWidth="1"/>
    <col min="26" max="26" width="8.109375" style="2" bestFit="1" customWidth="1"/>
    <col min="27" max="27" width="6.21875" style="2" bestFit="1" customWidth="1"/>
    <col min="28" max="28" width="7.44140625" style="2" bestFit="1" customWidth="1"/>
    <col min="29" max="29" width="8.109375" style="2" bestFit="1" customWidth="1"/>
    <col min="30" max="30" width="6.21875" style="2" bestFit="1" customWidth="1"/>
    <col min="31" max="31" width="7.44140625" style="2" bestFit="1" customWidth="1"/>
    <col min="32" max="32" width="8.109375" style="2" bestFit="1" customWidth="1"/>
    <col min="33" max="33" width="6.21875" style="2" bestFit="1" customWidth="1"/>
    <col min="34" max="34" width="7.44140625" style="2" bestFit="1" customWidth="1"/>
    <col min="35" max="35" width="8.109375" style="2" bestFit="1" customWidth="1"/>
    <col min="36" max="36" width="6.21875" style="2" bestFit="1" customWidth="1"/>
    <col min="37" max="37" width="7.44140625" style="2" bestFit="1" customWidth="1"/>
    <col min="38" max="38" width="7.77734375" style="2" bestFit="1" customWidth="1"/>
    <col min="39" max="39" width="7" style="2" bestFit="1" customWidth="1"/>
    <col min="40" max="40" width="8.88671875" style="2" bestFit="1" customWidth="1"/>
    <col min="41" max="41" width="6.77734375" style="2" customWidth="1"/>
    <col min="42" max="16384" width="8.88671875" style="2"/>
  </cols>
  <sheetData>
    <row r="1" spans="1:40" ht="13.5" thickBot="1">
      <c r="A1" s="166"/>
      <c r="B1" s="167" t="s">
        <v>4</v>
      </c>
      <c r="C1" s="167" t="s">
        <v>147</v>
      </c>
      <c r="D1" s="167" t="s">
        <v>139</v>
      </c>
      <c r="E1" s="168" t="s">
        <v>5</v>
      </c>
      <c r="F1" s="168" t="s">
        <v>147</v>
      </c>
      <c r="G1" s="168" t="s">
        <v>139</v>
      </c>
      <c r="H1" s="167" t="s">
        <v>6</v>
      </c>
      <c r="I1" s="167" t="s">
        <v>147</v>
      </c>
      <c r="J1" s="167" t="s">
        <v>139</v>
      </c>
      <c r="K1" s="214" t="s">
        <v>7</v>
      </c>
      <c r="L1" s="214" t="s">
        <v>147</v>
      </c>
      <c r="M1" s="214" t="s">
        <v>139</v>
      </c>
      <c r="N1" s="167" t="s">
        <v>2</v>
      </c>
      <c r="O1" s="167" t="s">
        <v>147</v>
      </c>
      <c r="P1" s="167" t="s">
        <v>139</v>
      </c>
      <c r="Q1" s="168" t="s">
        <v>8</v>
      </c>
      <c r="R1" s="168" t="s">
        <v>147</v>
      </c>
      <c r="S1" s="168" t="s">
        <v>139</v>
      </c>
      <c r="T1" s="167" t="s">
        <v>9</v>
      </c>
      <c r="U1" s="167" t="s">
        <v>147</v>
      </c>
      <c r="V1" s="167" t="s">
        <v>139</v>
      </c>
      <c r="W1" s="214" t="s">
        <v>10</v>
      </c>
      <c r="X1" s="214" t="s">
        <v>147</v>
      </c>
      <c r="Y1" s="214" t="s">
        <v>139</v>
      </c>
      <c r="Z1" s="167" t="s">
        <v>11</v>
      </c>
      <c r="AA1" s="167" t="s">
        <v>147</v>
      </c>
      <c r="AB1" s="167" t="s">
        <v>139</v>
      </c>
      <c r="AC1" s="168" t="s">
        <v>12</v>
      </c>
      <c r="AD1" s="168" t="s">
        <v>147</v>
      </c>
      <c r="AE1" s="168" t="s">
        <v>139</v>
      </c>
      <c r="AF1" s="167" t="s">
        <v>13</v>
      </c>
      <c r="AG1" s="167" t="s">
        <v>147</v>
      </c>
      <c r="AH1" s="167" t="s">
        <v>139</v>
      </c>
      <c r="AI1" s="214" t="s">
        <v>14</v>
      </c>
      <c r="AJ1" s="214" t="s">
        <v>147</v>
      </c>
      <c r="AK1" s="214" t="s">
        <v>139</v>
      </c>
      <c r="AL1" s="215" t="s">
        <v>157</v>
      </c>
      <c r="AM1" s="215" t="s">
        <v>147</v>
      </c>
      <c r="AN1" s="215" t="s">
        <v>139</v>
      </c>
    </row>
    <row r="2" spans="1:40">
      <c r="A2" s="216">
        <v>1998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>
        <v>3918</v>
      </c>
      <c r="X2" s="219">
        <f>W2/340.75</f>
        <v>11.498165810711665</v>
      </c>
      <c r="Y2" s="218">
        <v>136</v>
      </c>
      <c r="Z2" s="218">
        <v>15562</v>
      </c>
      <c r="AA2" s="219">
        <f>Z2/340.75</f>
        <v>45.669845928099782</v>
      </c>
      <c r="AB2" s="218">
        <v>529</v>
      </c>
      <c r="AC2" s="218">
        <v>16840</v>
      </c>
      <c r="AD2" s="219">
        <f>AC2/340.75</f>
        <v>49.420396184886279</v>
      </c>
      <c r="AE2" s="218">
        <v>561</v>
      </c>
      <c r="AF2" s="218">
        <v>9922</v>
      </c>
      <c r="AG2" s="219">
        <f>AF2/340.75</f>
        <v>29.118121790168747</v>
      </c>
      <c r="AH2" s="218">
        <v>325</v>
      </c>
      <c r="AI2" s="218">
        <v>22788</v>
      </c>
      <c r="AJ2" s="219">
        <f>AI2/340.75</f>
        <v>66.876008804108579</v>
      </c>
      <c r="AK2" s="218">
        <v>731</v>
      </c>
      <c r="AL2" s="220">
        <f>W2+Z2+AC2+AF2+AI2</f>
        <v>69030</v>
      </c>
      <c r="AM2" s="221">
        <f>X2+AA2+AD2+AG2+AJ2</f>
        <v>202.58253851797505</v>
      </c>
      <c r="AN2" s="221">
        <f>Y2+AB2+AE2+AH2+AK2</f>
        <v>2282</v>
      </c>
    </row>
    <row r="3" spans="1:40">
      <c r="A3" s="222">
        <v>1999</v>
      </c>
      <c r="B3" s="220">
        <v>5124</v>
      </c>
      <c r="C3" s="219">
        <f t="shared" ref="C3:C6" si="0">B3/340.75</f>
        <v>15.037417461482026</v>
      </c>
      <c r="D3" s="220">
        <v>161</v>
      </c>
      <c r="E3" s="220">
        <v>10356</v>
      </c>
      <c r="F3" s="219">
        <f t="shared" ref="F3:F6" si="1">E3/340.75</f>
        <v>30.391782831988262</v>
      </c>
      <c r="G3" s="220">
        <v>320</v>
      </c>
      <c r="H3" s="220">
        <v>16136</v>
      </c>
      <c r="I3" s="219">
        <f t="shared" ref="I3:I5" si="2">H3/340.75</f>
        <v>47.354365370506237</v>
      </c>
      <c r="J3" s="220">
        <v>490</v>
      </c>
      <c r="K3" s="220">
        <v>14888</v>
      </c>
      <c r="L3" s="219">
        <f t="shared" ref="L3:L5" si="3">K3/340.75</f>
        <v>43.691856199559794</v>
      </c>
      <c r="M3" s="220">
        <v>444</v>
      </c>
      <c r="N3" s="220">
        <v>6364</v>
      </c>
      <c r="O3" s="219">
        <f t="shared" ref="O3:O5" si="4">N3/340.75</f>
        <v>18.676449009537784</v>
      </c>
      <c r="P3" s="220">
        <v>187</v>
      </c>
      <c r="Q3" s="220">
        <v>6394</v>
      </c>
      <c r="R3" s="219">
        <f t="shared" ref="R3:R5" si="5">Q3/340.75</f>
        <v>18.764490095377845</v>
      </c>
      <c r="S3" s="220">
        <v>184</v>
      </c>
      <c r="T3" s="220">
        <v>5926</v>
      </c>
      <c r="U3" s="219">
        <f t="shared" ref="U3:U5" si="6">T3/340.75</f>
        <v>17.391049156272928</v>
      </c>
      <c r="V3" s="220">
        <v>168</v>
      </c>
      <c r="W3" s="220">
        <v>17508</v>
      </c>
      <c r="X3" s="219">
        <f t="shared" ref="X3:X5" si="7">W3/340.75</f>
        <v>51.380777696258257</v>
      </c>
      <c r="Y3" s="220">
        <v>487</v>
      </c>
      <c r="Z3" s="220">
        <v>14280</v>
      </c>
      <c r="AA3" s="219">
        <f t="shared" ref="AA3:AA5" si="8">Z3/340.75</f>
        <v>41.907556859867938</v>
      </c>
      <c r="AB3" s="220">
        <v>391</v>
      </c>
      <c r="AC3" s="220">
        <v>12348</v>
      </c>
      <c r="AD3" s="219">
        <f t="shared" ref="AD3:AD5" si="9">AC3/340.75</f>
        <v>36.237710931768156</v>
      </c>
      <c r="AE3" s="220">
        <v>332</v>
      </c>
      <c r="AF3" s="220">
        <v>5976</v>
      </c>
      <c r="AG3" s="219">
        <f t="shared" ref="AG3:AG5" si="10">AF3/340.75</f>
        <v>17.537784299339691</v>
      </c>
      <c r="AH3" s="220">
        <v>158</v>
      </c>
      <c r="AI3" s="220">
        <v>288</v>
      </c>
      <c r="AJ3" s="219">
        <f t="shared" ref="AJ3:AJ5" si="11">AI3/340.75</f>
        <v>0.84519442406456347</v>
      </c>
      <c r="AK3" s="220">
        <v>8</v>
      </c>
      <c r="AL3" s="220">
        <f>B3+E3+H3+K3+N3+Q3+T3+W3+Z3+AC3+AF3+AI3</f>
        <v>115588</v>
      </c>
      <c r="AM3" s="221">
        <f>C3+F3+I3+L3+O3+R3+U3+X3+AA3+AD3+AG3+AJ3</f>
        <v>339.2164343360235</v>
      </c>
      <c r="AN3" s="221">
        <f>D3+G3+J3+M3+P3+S3+V3+Y3+AB3+AE3+AH3+AK3</f>
        <v>3330</v>
      </c>
    </row>
    <row r="4" spans="1:40" s="203" customFormat="1">
      <c r="A4" s="285">
        <v>2000</v>
      </c>
      <c r="B4" s="220"/>
      <c r="C4" s="219">
        <f t="shared" si="0"/>
        <v>0</v>
      </c>
      <c r="D4" s="220"/>
      <c r="E4" s="220"/>
      <c r="F4" s="219">
        <f t="shared" si="1"/>
        <v>0</v>
      </c>
      <c r="G4" s="220"/>
      <c r="H4" s="220">
        <v>120</v>
      </c>
      <c r="I4" s="219">
        <f t="shared" si="2"/>
        <v>0.35216434336023478</v>
      </c>
      <c r="J4" s="220">
        <v>3</v>
      </c>
      <c r="K4" s="220"/>
      <c r="L4" s="219">
        <f t="shared" si="3"/>
        <v>0</v>
      </c>
      <c r="M4" s="220"/>
      <c r="N4" s="220"/>
      <c r="O4" s="219">
        <f t="shared" si="4"/>
        <v>0</v>
      </c>
      <c r="P4" s="220"/>
      <c r="Q4" s="220">
        <v>1554</v>
      </c>
      <c r="R4" s="219">
        <f t="shared" si="5"/>
        <v>4.5605282465150401</v>
      </c>
      <c r="S4" s="220">
        <v>37</v>
      </c>
      <c r="T4" s="220">
        <v>3108</v>
      </c>
      <c r="U4" s="219">
        <f t="shared" si="6"/>
        <v>9.1210564930300801</v>
      </c>
      <c r="V4" s="220">
        <v>73</v>
      </c>
      <c r="W4" s="220">
        <v>11076</v>
      </c>
      <c r="X4" s="219">
        <f t="shared" si="7"/>
        <v>32.50476889214967</v>
      </c>
      <c r="Y4" s="220">
        <v>256</v>
      </c>
      <c r="Z4" s="220">
        <v>2424</v>
      </c>
      <c r="AA4" s="219">
        <f t="shared" si="8"/>
        <v>7.1137197358767423</v>
      </c>
      <c r="AB4" s="220">
        <v>55</v>
      </c>
      <c r="AC4" s="220">
        <v>3012</v>
      </c>
      <c r="AD4" s="219">
        <f t="shared" si="9"/>
        <v>8.8393250183418921</v>
      </c>
      <c r="AE4" s="220">
        <v>68</v>
      </c>
      <c r="AF4" s="220">
        <v>4958</v>
      </c>
      <c r="AG4" s="219">
        <f t="shared" si="10"/>
        <v>14.550256786500366</v>
      </c>
      <c r="AH4" s="220">
        <v>111</v>
      </c>
      <c r="AI4" s="220">
        <v>1500</v>
      </c>
      <c r="AJ4" s="219">
        <f t="shared" si="11"/>
        <v>4.4020542920029344</v>
      </c>
      <c r="AK4" s="220">
        <v>33</v>
      </c>
      <c r="AL4" s="220">
        <f t="shared" ref="AL4:AN6" si="12">B4+E4+H4+K4+N4+Q4+T4+W4+Z4+AC4+AF4+AI4</f>
        <v>27752</v>
      </c>
      <c r="AM4" s="221">
        <f t="shared" si="12"/>
        <v>81.443873807776967</v>
      </c>
      <c r="AN4" s="221">
        <f t="shared" si="12"/>
        <v>636</v>
      </c>
    </row>
    <row r="5" spans="1:40" s="203" customFormat="1">
      <c r="A5" s="287">
        <v>2001</v>
      </c>
      <c r="B5" s="220">
        <v>300</v>
      </c>
      <c r="C5" s="219">
        <f t="shared" si="0"/>
        <v>0.88041085840058697</v>
      </c>
      <c r="D5" s="220">
        <v>7</v>
      </c>
      <c r="E5" s="220">
        <v>1350</v>
      </c>
      <c r="F5" s="219">
        <f t="shared" si="1"/>
        <v>3.9618488628026411</v>
      </c>
      <c r="G5" s="220">
        <v>29</v>
      </c>
      <c r="H5" s="220">
        <v>540</v>
      </c>
      <c r="I5" s="219">
        <f t="shared" si="2"/>
        <v>1.5847395451210564</v>
      </c>
      <c r="J5" s="220">
        <v>11</v>
      </c>
      <c r="K5" s="220"/>
      <c r="L5" s="219">
        <f t="shared" si="3"/>
        <v>0</v>
      </c>
      <c r="M5" s="220"/>
      <c r="N5" s="220"/>
      <c r="O5" s="219">
        <f t="shared" si="4"/>
        <v>0</v>
      </c>
      <c r="P5" s="220"/>
      <c r="Q5" s="220">
        <v>300</v>
      </c>
      <c r="R5" s="219">
        <f t="shared" si="5"/>
        <v>0.88041085840058697</v>
      </c>
      <c r="S5" s="220">
        <v>6</v>
      </c>
      <c r="T5" s="221"/>
      <c r="U5" s="219">
        <f t="shared" si="6"/>
        <v>0</v>
      </c>
      <c r="V5" s="221"/>
      <c r="W5" s="221">
        <v>240</v>
      </c>
      <c r="X5" s="219">
        <f t="shared" si="7"/>
        <v>0.70432868672046955</v>
      </c>
      <c r="Y5" s="221">
        <v>5</v>
      </c>
      <c r="Z5" s="221">
        <v>4044</v>
      </c>
      <c r="AA5" s="219">
        <f t="shared" si="8"/>
        <v>11.867938371239912</v>
      </c>
      <c r="AB5" s="221">
        <v>81</v>
      </c>
      <c r="AC5" s="221">
        <v>6912</v>
      </c>
      <c r="AD5" s="219">
        <f t="shared" si="9"/>
        <v>20.284666177549521</v>
      </c>
      <c r="AE5" s="221">
        <v>137</v>
      </c>
      <c r="AF5" s="221">
        <v>6540</v>
      </c>
      <c r="AG5" s="219">
        <f t="shared" si="10"/>
        <v>19.192956713132794</v>
      </c>
      <c r="AH5" s="221">
        <v>128</v>
      </c>
      <c r="AI5" s="221">
        <v>4272</v>
      </c>
      <c r="AJ5" s="219">
        <f t="shared" si="11"/>
        <v>12.537050623624358</v>
      </c>
      <c r="AK5" s="221">
        <v>83</v>
      </c>
      <c r="AL5" s="220">
        <f t="shared" si="12"/>
        <v>24498</v>
      </c>
      <c r="AM5" s="221">
        <f t="shared" si="12"/>
        <v>71.894350696991921</v>
      </c>
      <c r="AN5" s="221">
        <f t="shared" si="12"/>
        <v>487</v>
      </c>
    </row>
    <row r="6" spans="1:40">
      <c r="A6" s="222">
        <v>2002</v>
      </c>
      <c r="B6" s="220">
        <v>360</v>
      </c>
      <c r="C6" s="219">
        <f t="shared" si="0"/>
        <v>1.0564930300807043</v>
      </c>
      <c r="D6" s="220">
        <v>7</v>
      </c>
      <c r="E6" s="220">
        <v>180</v>
      </c>
      <c r="F6" s="219">
        <f t="shared" si="1"/>
        <v>0.52824651504035214</v>
      </c>
      <c r="G6" s="220">
        <v>3</v>
      </c>
      <c r="H6" s="223"/>
      <c r="I6" s="219">
        <v>1.1100000000000001</v>
      </c>
      <c r="J6" s="221">
        <v>7</v>
      </c>
      <c r="K6" s="223"/>
      <c r="L6" s="224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0">
        <f t="shared" si="12"/>
        <v>540</v>
      </c>
      <c r="AM6" s="221">
        <f t="shared" si="12"/>
        <v>2.6947395451210565</v>
      </c>
      <c r="AN6" s="221">
        <f t="shared" si="12"/>
        <v>17</v>
      </c>
    </row>
    <row r="7" spans="1:40">
      <c r="A7" s="1">
        <v>2003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3"/>
      <c r="AM7" s="224">
        <f t="shared" ref="AM7" si="13">SUM(B7:AL7)</f>
        <v>0</v>
      </c>
      <c r="AN7" s="224"/>
    </row>
    <row r="8" spans="1:40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220">
        <f>SUM(AL2:AL7)</f>
        <v>237408</v>
      </c>
      <c r="AM8" s="221">
        <f>SUM(AM2:AM7)</f>
        <v>697.8319369038885</v>
      </c>
      <c r="AN8" s="221">
        <f>SUM(AN2:AN7)</f>
        <v>6752</v>
      </c>
    </row>
    <row r="9" spans="1:40" ht="18">
      <c r="O9" s="234" t="s">
        <v>158</v>
      </c>
      <c r="AL9" s="228"/>
      <c r="AM9" s="228"/>
      <c r="AN9" s="228"/>
    </row>
    <row r="10" spans="1:40">
      <c r="AL10" s="228"/>
      <c r="AM10" s="228"/>
      <c r="AN10" s="269">
        <v>45324</v>
      </c>
    </row>
    <row r="11" spans="1:40" ht="18">
      <c r="O11" s="227" t="s">
        <v>159</v>
      </c>
      <c r="AL11" s="228"/>
      <c r="AM11" s="228"/>
      <c r="AN11" s="266" t="s">
        <v>184</v>
      </c>
    </row>
    <row r="12" spans="1:40">
      <c r="AM12" s="211"/>
      <c r="AN12" s="211"/>
    </row>
    <row r="13" spans="1:40">
      <c r="A13" s="229">
        <v>1998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20">
        <f>W2*30%</f>
        <v>1175.3999999999999</v>
      </c>
      <c r="X13" s="221">
        <f t="shared" ref="X13:X16" si="14">W13/340.75</f>
        <v>3.4494497432134992</v>
      </c>
      <c r="Y13" s="220">
        <f>Y2*30%</f>
        <v>40.799999999999997</v>
      </c>
      <c r="Z13" s="220">
        <f>Z2*30%</f>
        <v>4668.5999999999995</v>
      </c>
      <c r="AA13" s="221">
        <f t="shared" ref="AA13:AA16" si="15">Z13/340.75</f>
        <v>13.700953778429932</v>
      </c>
      <c r="AB13" s="220">
        <f>AB2*30%</f>
        <v>158.69999999999999</v>
      </c>
      <c r="AC13" s="220">
        <f>AC2*30%</f>
        <v>5052</v>
      </c>
      <c r="AD13" s="221">
        <f t="shared" ref="AD13:AD16" si="16">AC13/340.75</f>
        <v>14.826118855465884</v>
      </c>
      <c r="AE13" s="220">
        <f>AE2*30%</f>
        <v>168.29999999999998</v>
      </c>
      <c r="AF13" s="220">
        <f>AF2*30%</f>
        <v>2976.6</v>
      </c>
      <c r="AG13" s="221">
        <f t="shared" ref="AG13:AG16" si="17">AF13/340.75</f>
        <v>8.7354365370506226</v>
      </c>
      <c r="AH13" s="220">
        <f>AH2*30%</f>
        <v>97.5</v>
      </c>
      <c r="AI13" s="220">
        <f>AI2*30%</f>
        <v>6836.4</v>
      </c>
      <c r="AJ13" s="221">
        <f t="shared" ref="AJ13:AJ16" si="18">AI13/340.75</f>
        <v>20.062802641232572</v>
      </c>
      <c r="AK13" s="220">
        <f>AK2*30%</f>
        <v>219.29999999999998</v>
      </c>
      <c r="AL13" s="220">
        <f>W13+Z13+AC13+AF13+AI13</f>
        <v>20709</v>
      </c>
      <c r="AM13" s="221">
        <f>X13+AA13+AD13+AG13+AJ13</f>
        <v>60.774761555392516</v>
      </c>
      <c r="AN13" s="221">
        <f>Y13+AB13+AE13+AH13+AK13</f>
        <v>684.59999999999991</v>
      </c>
    </row>
    <row r="14" spans="1:40" s="203" customFormat="1">
      <c r="A14" s="231">
        <v>1999</v>
      </c>
      <c r="B14" s="220">
        <f>B3*30%</f>
        <v>1537.2</v>
      </c>
      <c r="C14" s="221">
        <f t="shared" ref="C14:C17" si="19">B14/340.75</f>
        <v>4.5112252384446077</v>
      </c>
      <c r="D14" s="220">
        <f>D3*30%</f>
        <v>48.3</v>
      </c>
      <c r="E14" s="220">
        <f>E3*30%</f>
        <v>3106.7999999999997</v>
      </c>
      <c r="F14" s="221">
        <f t="shared" ref="F14:F17" si="20">E14/340.75</f>
        <v>9.1175348495964776</v>
      </c>
      <c r="G14" s="220">
        <f>G3*30%</f>
        <v>96</v>
      </c>
      <c r="H14" s="220">
        <f>H3*30%</f>
        <v>4840.8</v>
      </c>
      <c r="I14" s="221">
        <f t="shared" ref="I14:I16" si="21">H14/340.75</f>
        <v>14.206309611151871</v>
      </c>
      <c r="J14" s="220">
        <f>J3*30%</f>
        <v>147</v>
      </c>
      <c r="K14" s="220">
        <f>K3*30%</f>
        <v>4466.3999999999996</v>
      </c>
      <c r="L14" s="221">
        <f t="shared" ref="L14:L17" si="22">K14/340.75</f>
        <v>13.107556859867938</v>
      </c>
      <c r="M14" s="220">
        <f>M3*30%</f>
        <v>133.19999999999999</v>
      </c>
      <c r="N14" s="220">
        <f>N3*30%</f>
        <v>1909.1999999999998</v>
      </c>
      <c r="O14" s="221">
        <f t="shared" ref="O14:O17" si="23">N14/340.75</f>
        <v>5.6029347028613348</v>
      </c>
      <c r="P14" s="220">
        <f>P3*30%</f>
        <v>56.1</v>
      </c>
      <c r="Q14" s="220">
        <f>Q3*30%</f>
        <v>1918.1999999999998</v>
      </c>
      <c r="R14" s="221">
        <f t="shared" ref="R14:R16" si="24">Q14/340.75</f>
        <v>5.6293470286133527</v>
      </c>
      <c r="S14" s="220">
        <f>S3*30%</f>
        <v>55.199999999999996</v>
      </c>
      <c r="T14" s="220">
        <f>T3*30%</f>
        <v>1777.8</v>
      </c>
      <c r="U14" s="221">
        <f t="shared" ref="U14:U16" si="25">T14/340.75</f>
        <v>5.2173147468818781</v>
      </c>
      <c r="V14" s="220">
        <f>V3*30%</f>
        <v>50.4</v>
      </c>
      <c r="W14" s="220">
        <f t="shared" ref="W14:W16" si="26">W3*30%</f>
        <v>5252.4</v>
      </c>
      <c r="X14" s="221">
        <f t="shared" si="14"/>
        <v>15.414233308877476</v>
      </c>
      <c r="Y14" s="220">
        <f t="shared" ref="Y14:Z17" si="27">Y3*30%</f>
        <v>146.1</v>
      </c>
      <c r="Z14" s="220">
        <f t="shared" si="27"/>
        <v>4284</v>
      </c>
      <c r="AA14" s="221">
        <f t="shared" si="15"/>
        <v>12.572267057960381</v>
      </c>
      <c r="AB14" s="220">
        <f t="shared" ref="AB14:AC16" si="28">AB3*30%</f>
        <v>117.3</v>
      </c>
      <c r="AC14" s="220">
        <f t="shared" si="28"/>
        <v>3704.3999999999996</v>
      </c>
      <c r="AD14" s="221">
        <f t="shared" si="16"/>
        <v>10.871313279530446</v>
      </c>
      <c r="AE14" s="220">
        <f t="shared" ref="AE14:AF16" si="29">AE3*30%</f>
        <v>99.6</v>
      </c>
      <c r="AF14" s="220">
        <f t="shared" si="29"/>
        <v>1792.8</v>
      </c>
      <c r="AG14" s="221">
        <f t="shared" si="17"/>
        <v>5.2613352898019077</v>
      </c>
      <c r="AH14" s="220">
        <f t="shared" ref="AH14:AI16" si="30">AH3*30%</f>
        <v>47.4</v>
      </c>
      <c r="AI14" s="220">
        <f t="shared" si="30"/>
        <v>86.399999999999991</v>
      </c>
      <c r="AJ14" s="221">
        <f t="shared" si="18"/>
        <v>0.253558327219369</v>
      </c>
      <c r="AK14" s="220">
        <f t="shared" ref="AK14:AK16" si="31">AK3*30%</f>
        <v>2.4</v>
      </c>
      <c r="AL14" s="220">
        <f>B14+E14+H14+K14+N14+Q14+T14+W14+Z14+AC14+AF14+AI14</f>
        <v>34676.400000000001</v>
      </c>
      <c r="AM14" s="221">
        <f>C14+F14+I14+L14+O14+R14+U14+X14+AA14+AD14+AG14+AJ14</f>
        <v>101.76493030080702</v>
      </c>
      <c r="AN14" s="221">
        <f>D14+G14+J14+M14+P14+S14+V14+Y14+AB14+AE14+AH14+AK14</f>
        <v>999</v>
      </c>
    </row>
    <row r="15" spans="1:40" s="203" customFormat="1">
      <c r="A15" s="232">
        <v>2000</v>
      </c>
      <c r="B15" s="220">
        <f t="shared" ref="B15:Q18" si="32">B4*30%</f>
        <v>0</v>
      </c>
      <c r="C15" s="219">
        <f t="shared" si="19"/>
        <v>0</v>
      </c>
      <c r="D15" s="220">
        <f t="shared" ref="D15:E17" si="33">D4*30%</f>
        <v>0</v>
      </c>
      <c r="E15" s="220">
        <f t="shared" si="33"/>
        <v>0</v>
      </c>
      <c r="F15" s="219">
        <f t="shared" si="20"/>
        <v>0</v>
      </c>
      <c r="G15" s="220">
        <f t="shared" ref="G15:H17" si="34">G4*30%</f>
        <v>0</v>
      </c>
      <c r="H15" s="220">
        <f t="shared" si="34"/>
        <v>36</v>
      </c>
      <c r="I15" s="219">
        <f t="shared" si="21"/>
        <v>0.10564930300807043</v>
      </c>
      <c r="J15" s="220">
        <f t="shared" ref="J15:K17" si="35">J4*30%</f>
        <v>0.89999999999999991</v>
      </c>
      <c r="K15" s="220">
        <f t="shared" si="35"/>
        <v>0</v>
      </c>
      <c r="L15" s="219">
        <f t="shared" si="22"/>
        <v>0</v>
      </c>
      <c r="M15" s="220">
        <f t="shared" ref="M15:N17" si="36">M4*30%</f>
        <v>0</v>
      </c>
      <c r="N15" s="220">
        <f t="shared" si="36"/>
        <v>0</v>
      </c>
      <c r="O15" s="219">
        <f t="shared" si="23"/>
        <v>0</v>
      </c>
      <c r="P15" s="220">
        <f t="shared" ref="P15:Q16" si="37">P4*30%</f>
        <v>0</v>
      </c>
      <c r="Q15" s="220">
        <f t="shared" si="37"/>
        <v>466.2</v>
      </c>
      <c r="R15" s="219">
        <f t="shared" si="24"/>
        <v>1.3681584739545121</v>
      </c>
      <c r="S15" s="220">
        <f t="shared" ref="S15:T16" si="38">S4*30%</f>
        <v>11.1</v>
      </c>
      <c r="T15" s="220">
        <f t="shared" si="38"/>
        <v>932.4</v>
      </c>
      <c r="U15" s="219">
        <f t="shared" si="25"/>
        <v>2.7363169479090241</v>
      </c>
      <c r="V15" s="220">
        <f t="shared" ref="V15:V16" si="39">V4*30%</f>
        <v>21.9</v>
      </c>
      <c r="W15" s="220">
        <f t="shared" si="26"/>
        <v>3322.7999999999997</v>
      </c>
      <c r="X15" s="219">
        <f t="shared" si="14"/>
        <v>9.7514306676449003</v>
      </c>
      <c r="Y15" s="220">
        <f t="shared" si="27"/>
        <v>76.8</v>
      </c>
      <c r="Z15" s="220">
        <f t="shared" si="27"/>
        <v>727.19999999999993</v>
      </c>
      <c r="AA15" s="219">
        <f t="shared" si="15"/>
        <v>2.1341159207630227</v>
      </c>
      <c r="AB15" s="220">
        <f t="shared" si="28"/>
        <v>16.5</v>
      </c>
      <c r="AC15" s="220">
        <f t="shared" si="28"/>
        <v>903.6</v>
      </c>
      <c r="AD15" s="219">
        <f t="shared" si="16"/>
        <v>2.651797505502568</v>
      </c>
      <c r="AE15" s="220">
        <f t="shared" si="29"/>
        <v>20.399999999999999</v>
      </c>
      <c r="AF15" s="220">
        <f t="shared" si="29"/>
        <v>1487.3999999999999</v>
      </c>
      <c r="AG15" s="219">
        <f t="shared" si="17"/>
        <v>4.3650770359501099</v>
      </c>
      <c r="AH15" s="220">
        <f t="shared" si="30"/>
        <v>33.299999999999997</v>
      </c>
      <c r="AI15" s="220">
        <f t="shared" si="30"/>
        <v>450</v>
      </c>
      <c r="AJ15" s="219">
        <f t="shared" si="18"/>
        <v>1.3206162876008805</v>
      </c>
      <c r="AK15" s="220">
        <f t="shared" si="31"/>
        <v>9.9</v>
      </c>
      <c r="AL15" s="220">
        <f t="shared" ref="AL15:AN16" si="40">B15+E15+H15+K15+N15+Q15+T15+W15+Z15+AC15+AF15+AI15</f>
        <v>8325.5999999999985</v>
      </c>
      <c r="AM15" s="221">
        <f t="shared" si="40"/>
        <v>24.433162142333092</v>
      </c>
      <c r="AN15" s="221">
        <f t="shared" si="40"/>
        <v>190.79999999999998</v>
      </c>
    </row>
    <row r="16" spans="1:40" s="203" customFormat="1">
      <c r="A16" s="232">
        <v>2001</v>
      </c>
      <c r="B16" s="220">
        <f t="shared" si="32"/>
        <v>90</v>
      </c>
      <c r="C16" s="219">
        <f t="shared" si="19"/>
        <v>0.26412325752017607</v>
      </c>
      <c r="D16" s="220">
        <f t="shared" si="33"/>
        <v>2.1</v>
      </c>
      <c r="E16" s="220">
        <f t="shared" si="33"/>
        <v>405</v>
      </c>
      <c r="F16" s="219">
        <f t="shared" si="20"/>
        <v>1.1885546588407925</v>
      </c>
      <c r="G16" s="220">
        <f t="shared" si="34"/>
        <v>8.6999999999999993</v>
      </c>
      <c r="H16" s="220">
        <f t="shared" si="34"/>
        <v>162</v>
      </c>
      <c r="I16" s="219">
        <f t="shared" si="21"/>
        <v>0.47542186353631694</v>
      </c>
      <c r="J16" s="220">
        <f t="shared" si="35"/>
        <v>3.3</v>
      </c>
      <c r="K16" s="220">
        <f t="shared" si="35"/>
        <v>0</v>
      </c>
      <c r="L16" s="219">
        <f t="shared" si="22"/>
        <v>0</v>
      </c>
      <c r="M16" s="220">
        <f t="shared" si="36"/>
        <v>0</v>
      </c>
      <c r="N16" s="220">
        <f t="shared" si="36"/>
        <v>0</v>
      </c>
      <c r="O16" s="219">
        <f t="shared" si="23"/>
        <v>0</v>
      </c>
      <c r="P16" s="220">
        <f t="shared" si="37"/>
        <v>0</v>
      </c>
      <c r="Q16" s="220">
        <f t="shared" si="37"/>
        <v>90</v>
      </c>
      <c r="R16" s="219">
        <f t="shared" si="24"/>
        <v>0.26412325752017607</v>
      </c>
      <c r="S16" s="220">
        <f t="shared" si="38"/>
        <v>1.7999999999999998</v>
      </c>
      <c r="T16" s="220">
        <f t="shared" si="38"/>
        <v>0</v>
      </c>
      <c r="U16" s="219">
        <f t="shared" si="25"/>
        <v>0</v>
      </c>
      <c r="V16" s="220">
        <f t="shared" si="39"/>
        <v>0</v>
      </c>
      <c r="W16" s="220">
        <f t="shared" si="26"/>
        <v>72</v>
      </c>
      <c r="X16" s="219">
        <f t="shared" si="14"/>
        <v>0.21129860601614087</v>
      </c>
      <c r="Y16" s="220">
        <f t="shared" si="27"/>
        <v>1.5</v>
      </c>
      <c r="Z16" s="220">
        <f t="shared" si="27"/>
        <v>1213.2</v>
      </c>
      <c r="AA16" s="219">
        <f t="shared" si="15"/>
        <v>3.5603815113719737</v>
      </c>
      <c r="AB16" s="220">
        <f t="shared" si="28"/>
        <v>24.3</v>
      </c>
      <c r="AC16" s="220">
        <f t="shared" si="28"/>
        <v>2073.6</v>
      </c>
      <c r="AD16" s="219">
        <f t="shared" si="16"/>
        <v>6.0853998532648568</v>
      </c>
      <c r="AE16" s="220">
        <f t="shared" si="29"/>
        <v>41.1</v>
      </c>
      <c r="AF16" s="220">
        <f t="shared" si="29"/>
        <v>1962</v>
      </c>
      <c r="AG16" s="219">
        <f t="shared" si="17"/>
        <v>5.7578870139398388</v>
      </c>
      <c r="AH16" s="220">
        <f t="shared" si="30"/>
        <v>38.4</v>
      </c>
      <c r="AI16" s="220">
        <f t="shared" si="30"/>
        <v>1281.5999999999999</v>
      </c>
      <c r="AJ16" s="219">
        <f t="shared" si="18"/>
        <v>3.7611151870873072</v>
      </c>
      <c r="AK16" s="220">
        <f t="shared" si="31"/>
        <v>24.9</v>
      </c>
      <c r="AL16" s="220">
        <f t="shared" si="40"/>
        <v>7349.4</v>
      </c>
      <c r="AM16" s="221">
        <f t="shared" si="40"/>
        <v>21.568305209097577</v>
      </c>
      <c r="AN16" s="221">
        <f t="shared" si="40"/>
        <v>146.10000000000002</v>
      </c>
    </row>
    <row r="17" spans="1:40" s="203" customFormat="1">
      <c r="A17" s="232">
        <v>2002</v>
      </c>
      <c r="B17" s="220">
        <f t="shared" si="32"/>
        <v>108</v>
      </c>
      <c r="C17" s="219">
        <f t="shared" si="19"/>
        <v>0.31694790902421127</v>
      </c>
      <c r="D17" s="220">
        <f t="shared" si="33"/>
        <v>2.1</v>
      </c>
      <c r="E17" s="220">
        <f t="shared" si="33"/>
        <v>54</v>
      </c>
      <c r="F17" s="219">
        <f t="shared" si="20"/>
        <v>0.15847395451210564</v>
      </c>
      <c r="G17" s="220">
        <f t="shared" si="34"/>
        <v>0.89999999999999991</v>
      </c>
      <c r="H17" s="225"/>
      <c r="I17" s="219">
        <f>I6*30%</f>
        <v>0.33300000000000002</v>
      </c>
      <c r="J17" s="220">
        <f t="shared" si="35"/>
        <v>2.1</v>
      </c>
      <c r="K17" s="233"/>
      <c r="L17" s="224">
        <f t="shared" si="22"/>
        <v>0</v>
      </c>
      <c r="M17" s="225">
        <f t="shared" si="36"/>
        <v>0</v>
      </c>
      <c r="N17" s="223"/>
      <c r="O17" s="224">
        <f t="shared" si="23"/>
        <v>0</v>
      </c>
      <c r="P17" s="223"/>
      <c r="Q17" s="223"/>
      <c r="R17" s="223"/>
      <c r="S17" s="223"/>
      <c r="T17" s="223"/>
      <c r="U17" s="223"/>
      <c r="V17" s="223"/>
      <c r="W17" s="223"/>
      <c r="X17" s="223"/>
      <c r="Y17" s="225">
        <f t="shared" si="27"/>
        <v>0</v>
      </c>
      <c r="Z17" s="223"/>
      <c r="AA17" s="223"/>
      <c r="AB17" s="225"/>
      <c r="AC17" s="223"/>
      <c r="AD17" s="223"/>
      <c r="AE17" s="225"/>
      <c r="AF17" s="223"/>
      <c r="AG17" s="223"/>
      <c r="AH17" s="225"/>
      <c r="AI17" s="223"/>
      <c r="AJ17" s="223"/>
      <c r="AK17" s="225"/>
      <c r="AL17" s="220">
        <f t="shared" ref="AL17:AM17" si="41">B18+E18+H18+K18+N18+Q18+T18+W18+Z18+AC18+AF18+AI18</f>
        <v>0</v>
      </c>
      <c r="AM17" s="221">
        <f t="shared" si="41"/>
        <v>0</v>
      </c>
      <c r="AN17" s="219"/>
    </row>
    <row r="18" spans="1:40">
      <c r="A18" s="1">
        <v>2003</v>
      </c>
      <c r="B18" s="225">
        <f t="shared" si="32"/>
        <v>0</v>
      </c>
      <c r="C18" s="225">
        <f t="shared" si="32"/>
        <v>0</v>
      </c>
      <c r="D18" s="225">
        <f t="shared" si="32"/>
        <v>0</v>
      </c>
      <c r="E18" s="225">
        <f t="shared" si="32"/>
        <v>0</v>
      </c>
      <c r="F18" s="225">
        <f t="shared" si="32"/>
        <v>0</v>
      </c>
      <c r="G18" s="225">
        <f t="shared" si="32"/>
        <v>0</v>
      </c>
      <c r="H18" s="225">
        <f t="shared" si="32"/>
        <v>0</v>
      </c>
      <c r="I18" s="225">
        <f t="shared" si="32"/>
        <v>0</v>
      </c>
      <c r="J18" s="225">
        <f t="shared" si="32"/>
        <v>0</v>
      </c>
      <c r="K18" s="225">
        <f t="shared" si="32"/>
        <v>0</v>
      </c>
      <c r="L18" s="225">
        <f t="shared" si="32"/>
        <v>0</v>
      </c>
      <c r="M18" s="225">
        <f t="shared" si="32"/>
        <v>0</v>
      </c>
      <c r="N18" s="225">
        <f t="shared" si="32"/>
        <v>0</v>
      </c>
      <c r="O18" s="225">
        <f t="shared" si="32"/>
        <v>0</v>
      </c>
      <c r="P18" s="225">
        <f t="shared" si="32"/>
        <v>0</v>
      </c>
      <c r="Q18" s="225">
        <f t="shared" si="32"/>
        <v>0</v>
      </c>
      <c r="R18" s="225">
        <f t="shared" ref="R18:AK18" si="42">R7*30%</f>
        <v>0</v>
      </c>
      <c r="S18" s="225">
        <f t="shared" si="42"/>
        <v>0</v>
      </c>
      <c r="T18" s="225">
        <f t="shared" si="42"/>
        <v>0</v>
      </c>
      <c r="U18" s="225">
        <f t="shared" si="42"/>
        <v>0</v>
      </c>
      <c r="V18" s="225">
        <f t="shared" si="42"/>
        <v>0</v>
      </c>
      <c r="W18" s="225">
        <f t="shared" si="42"/>
        <v>0</v>
      </c>
      <c r="X18" s="225">
        <f t="shared" si="42"/>
        <v>0</v>
      </c>
      <c r="Y18" s="225">
        <f t="shared" si="42"/>
        <v>0</v>
      </c>
      <c r="Z18" s="225">
        <f t="shared" si="42"/>
        <v>0</v>
      </c>
      <c r="AA18" s="225">
        <f t="shared" si="42"/>
        <v>0</v>
      </c>
      <c r="AB18" s="225">
        <f t="shared" si="42"/>
        <v>0</v>
      </c>
      <c r="AC18" s="225">
        <f t="shared" si="42"/>
        <v>0</v>
      </c>
      <c r="AD18" s="225">
        <f t="shared" si="42"/>
        <v>0</v>
      </c>
      <c r="AE18" s="225">
        <f t="shared" si="42"/>
        <v>0</v>
      </c>
      <c r="AF18" s="225">
        <f t="shared" si="42"/>
        <v>0</v>
      </c>
      <c r="AG18" s="225">
        <f t="shared" si="42"/>
        <v>0</v>
      </c>
      <c r="AH18" s="225">
        <f t="shared" si="42"/>
        <v>0</v>
      </c>
      <c r="AI18" s="225">
        <f t="shared" si="42"/>
        <v>0</v>
      </c>
      <c r="AJ18" s="225">
        <f t="shared" si="42"/>
        <v>0</v>
      </c>
      <c r="AK18" s="225">
        <f t="shared" si="42"/>
        <v>0</v>
      </c>
      <c r="AL18" s="223"/>
      <c r="AM18" s="224">
        <f t="shared" ref="AM18" si="43">SUM(B18:AL18)</f>
        <v>0</v>
      </c>
      <c r="AN18" s="224"/>
    </row>
    <row r="19" spans="1:40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220">
        <f>SUM(AL13:AL18)</f>
        <v>71060.399999999994</v>
      </c>
      <c r="AM19" s="221">
        <f>SUM(AM13:AM18)</f>
        <v>208.54115920763022</v>
      </c>
      <c r="AN19" s="221">
        <f>SUM(AN13:AN18)</f>
        <v>2020.5</v>
      </c>
    </row>
    <row r="23" spans="1:40" ht="15.75">
      <c r="A23" s="535" t="s">
        <v>174</v>
      </c>
      <c r="B23" s="535"/>
      <c r="C23" s="535"/>
      <c r="D23" s="535"/>
      <c r="E23" s="535"/>
      <c r="F23" s="535"/>
      <c r="G23" s="535"/>
      <c r="H23" s="535"/>
      <c r="I23" s="535"/>
      <c r="J23" s="535"/>
      <c r="K23" s="535"/>
      <c r="L23" s="535"/>
      <c r="M23" s="535"/>
      <c r="N23" s="535"/>
      <c r="O23" s="535"/>
      <c r="P23" s="535"/>
      <c r="Q23" s="535"/>
      <c r="R23" s="535"/>
      <c r="S23" s="535"/>
      <c r="T23" s="535"/>
      <c r="U23" s="535"/>
      <c r="V23" s="535"/>
      <c r="W23" s="535"/>
      <c r="X23" s="535"/>
      <c r="Y23" s="535"/>
      <c r="Z23" s="535"/>
      <c r="AA23" s="535"/>
      <c r="AB23" s="535"/>
      <c r="AC23" s="535"/>
      <c r="AD23" s="535"/>
    </row>
    <row r="25" spans="1:40" ht="15.75">
      <c r="A25" s="535" t="s">
        <v>181</v>
      </c>
      <c r="B25" s="535"/>
      <c r="C25" s="535"/>
      <c r="D25" s="535"/>
      <c r="E25" s="535"/>
      <c r="F25" s="535"/>
      <c r="G25" s="535"/>
      <c r="H25" s="535"/>
      <c r="I25" s="535"/>
      <c r="J25" s="535"/>
      <c r="K25" s="535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35"/>
      <c r="AA25" s="535"/>
      <c r="AB25" s="535"/>
      <c r="AC25" s="535"/>
      <c r="AD25" s="535"/>
    </row>
  </sheetData>
  <mergeCells count="2">
    <mergeCell ref="A23:AD23"/>
    <mergeCell ref="A25:AD2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S64"/>
  <sheetViews>
    <sheetView workbookViewId="0">
      <pane ySplit="1" topLeftCell="A2" activePane="bottomLeft" state="frozen"/>
      <selection pane="bottomLeft" activeCell="P25" sqref="P25"/>
    </sheetView>
  </sheetViews>
  <sheetFormatPr defaultRowHeight="12.75"/>
  <cols>
    <col min="1" max="1" width="3.88671875" style="2" bestFit="1" customWidth="1"/>
    <col min="2" max="2" width="8.44140625" style="2" bestFit="1" customWidth="1"/>
    <col min="3" max="3" width="6.44140625" style="2" bestFit="1" customWidth="1"/>
    <col min="4" max="4" width="8.44140625" style="2" bestFit="1" customWidth="1"/>
    <col min="5" max="12" width="6.44140625" style="2" bestFit="1" customWidth="1"/>
    <col min="13" max="13" width="8.44140625" style="2" bestFit="1" customWidth="1"/>
    <col min="14" max="14" width="7.21875" style="2" bestFit="1" customWidth="1"/>
    <col min="15" max="15" width="10.21875" style="2" customWidth="1"/>
    <col min="16" max="16" width="9.21875" style="2" bestFit="1" customWidth="1"/>
    <col min="17" max="17" width="11.109375" style="2" bestFit="1" customWidth="1"/>
    <col min="18" max="18" width="9.21875" style="2" bestFit="1" customWidth="1"/>
    <col min="19" max="31" width="6.44140625" style="2" bestFit="1" customWidth="1"/>
    <col min="32" max="32" width="4.88671875" style="2" customWidth="1"/>
    <col min="33" max="44" width="3.6640625" style="2" bestFit="1" customWidth="1"/>
    <col min="45" max="45" width="4.44140625" style="2" bestFit="1" customWidth="1"/>
    <col min="46" max="16384" width="8.88671875" style="2"/>
  </cols>
  <sheetData>
    <row r="1" spans="1:45" ht="13.5" thickBot="1">
      <c r="A1" s="166"/>
      <c r="B1" s="171" t="s">
        <v>4</v>
      </c>
      <c r="C1" s="173" t="s">
        <v>5</v>
      </c>
      <c r="D1" s="171" t="s">
        <v>6</v>
      </c>
      <c r="E1" s="172" t="s">
        <v>7</v>
      </c>
      <c r="F1" s="171" t="s">
        <v>2</v>
      </c>
      <c r="G1" s="173" t="s">
        <v>8</v>
      </c>
      <c r="H1" s="171" t="s">
        <v>9</v>
      </c>
      <c r="I1" s="172" t="s">
        <v>10</v>
      </c>
      <c r="J1" s="171" t="s">
        <v>11</v>
      </c>
      <c r="K1" s="173" t="s">
        <v>12</v>
      </c>
      <c r="L1" s="171" t="s">
        <v>13</v>
      </c>
      <c r="M1" s="172" t="s">
        <v>14</v>
      </c>
      <c r="N1" s="185" t="s">
        <v>29</v>
      </c>
      <c r="O1" s="186" t="s">
        <v>147</v>
      </c>
      <c r="P1" s="186" t="s">
        <v>139</v>
      </c>
      <c r="Q1" s="212" t="s">
        <v>149</v>
      </c>
      <c r="R1" s="186" t="s">
        <v>139</v>
      </c>
    </row>
    <row r="2" spans="1:45">
      <c r="A2" s="7">
        <v>1998</v>
      </c>
      <c r="B2" s="130"/>
      <c r="C2" s="130"/>
      <c r="D2" s="130"/>
      <c r="E2" s="130"/>
      <c r="F2" s="130"/>
      <c r="G2" s="130"/>
      <c r="H2" s="130"/>
      <c r="I2" s="125">
        <v>1400</v>
      </c>
      <c r="J2" s="125">
        <v>4100</v>
      </c>
      <c r="K2" s="125">
        <v>4200</v>
      </c>
      <c r="L2" s="125">
        <v>2800</v>
      </c>
      <c r="M2" s="125">
        <v>6500</v>
      </c>
      <c r="N2" s="125">
        <f>SUM(I2:M2)</f>
        <v>19000</v>
      </c>
      <c r="O2" s="123">
        <f>N2/340.75</f>
        <v>55.759354365370505</v>
      </c>
      <c r="P2" s="125">
        <v>621</v>
      </c>
      <c r="Q2" s="123">
        <f>O2*30%</f>
        <v>16.72780630961115</v>
      </c>
      <c r="R2" s="278">
        <f>P2*30%</f>
        <v>186.29999999999998</v>
      </c>
      <c r="T2" s="6">
        <f>B2/340.75</f>
        <v>0</v>
      </c>
      <c r="U2" s="6">
        <f t="shared" ref="U2:AE5" si="0">C2/340.75</f>
        <v>0</v>
      </c>
      <c r="V2" s="6">
        <f t="shared" si="0"/>
        <v>0</v>
      </c>
      <c r="W2" s="6">
        <f t="shared" si="0"/>
        <v>0</v>
      </c>
      <c r="X2" s="6">
        <f t="shared" si="0"/>
        <v>0</v>
      </c>
      <c r="Y2" s="6">
        <f t="shared" si="0"/>
        <v>0</v>
      </c>
      <c r="Z2" s="6">
        <f t="shared" si="0"/>
        <v>0</v>
      </c>
      <c r="AA2" s="6">
        <f t="shared" si="0"/>
        <v>4.1085840058694059</v>
      </c>
      <c r="AB2" s="6">
        <f t="shared" si="0"/>
        <v>12.032281731474688</v>
      </c>
      <c r="AC2" s="6">
        <f t="shared" si="0"/>
        <v>12.325752017608217</v>
      </c>
      <c r="AD2" s="6">
        <f t="shared" si="0"/>
        <v>8.2171680117388117</v>
      </c>
      <c r="AE2" s="6">
        <f t="shared" si="0"/>
        <v>19.075568598679382</v>
      </c>
      <c r="AF2" s="6"/>
      <c r="AG2" s="169">
        <v>1</v>
      </c>
      <c r="AH2" s="169">
        <v>1</v>
      </c>
      <c r="AI2" s="169">
        <v>1</v>
      </c>
      <c r="AJ2" s="169">
        <v>1</v>
      </c>
      <c r="AK2" s="169">
        <v>1</v>
      </c>
      <c r="AL2" s="169">
        <v>1</v>
      </c>
      <c r="AM2" s="169">
        <v>1</v>
      </c>
      <c r="AN2" s="169">
        <v>1</v>
      </c>
      <c r="AO2" s="169">
        <v>1</v>
      </c>
      <c r="AP2" s="169">
        <v>1</v>
      </c>
      <c r="AQ2" s="169">
        <v>1</v>
      </c>
      <c r="AR2" s="169">
        <v>1</v>
      </c>
      <c r="AS2" s="274">
        <f>SUM(AG2:AR2)</f>
        <v>12</v>
      </c>
    </row>
    <row r="3" spans="1:45">
      <c r="A3" s="1">
        <v>1999</v>
      </c>
      <c r="B3" s="189">
        <v>1800</v>
      </c>
      <c r="C3" s="189">
        <v>2700</v>
      </c>
      <c r="D3" s="189">
        <v>5000</v>
      </c>
      <c r="E3" s="189">
        <v>4200</v>
      </c>
      <c r="F3" s="189">
        <v>3500</v>
      </c>
      <c r="G3" s="189">
        <v>1710</v>
      </c>
      <c r="H3" s="189">
        <v>700</v>
      </c>
      <c r="I3" s="189">
        <v>5300</v>
      </c>
      <c r="J3" s="189">
        <v>4400</v>
      </c>
      <c r="K3" s="189">
        <v>3800</v>
      </c>
      <c r="L3" s="189">
        <v>2600</v>
      </c>
      <c r="M3" s="189">
        <v>100</v>
      </c>
      <c r="N3" s="125">
        <f>SUM(B3:M3)</f>
        <v>35810</v>
      </c>
      <c r="O3" s="123">
        <f>N3/340.75</f>
        <v>105.09170946441672</v>
      </c>
      <c r="P3" s="125">
        <v>1050</v>
      </c>
      <c r="Q3" s="123">
        <f t="shared" ref="Q3:Q27" si="1">O3*30%</f>
        <v>31.527512839325016</v>
      </c>
      <c r="R3" s="278">
        <f t="shared" ref="R3:R27" si="2">P3*30%</f>
        <v>315</v>
      </c>
      <c r="T3" s="6">
        <f t="shared" ref="T3:U6" si="3">B3/340.75</f>
        <v>5.2824651504035218</v>
      </c>
      <c r="U3" s="6">
        <f t="shared" si="0"/>
        <v>7.9236977256052823</v>
      </c>
      <c r="V3" s="6">
        <f t="shared" si="0"/>
        <v>14.673514306676449</v>
      </c>
      <c r="W3" s="6">
        <f t="shared" si="0"/>
        <v>12.325752017608217</v>
      </c>
      <c r="X3" s="6">
        <f t="shared" si="0"/>
        <v>10.271460014673515</v>
      </c>
      <c r="Y3" s="6">
        <f t="shared" si="0"/>
        <v>5.0183418928833454</v>
      </c>
      <c r="Z3" s="6">
        <f t="shared" si="0"/>
        <v>2.0542920029347029</v>
      </c>
      <c r="AA3" s="6">
        <f t="shared" si="0"/>
        <v>15.553925165077036</v>
      </c>
      <c r="AB3" s="6">
        <f t="shared" si="0"/>
        <v>12.912692589875276</v>
      </c>
      <c r="AC3" s="6">
        <f t="shared" si="0"/>
        <v>11.151870873074101</v>
      </c>
      <c r="AD3" s="6">
        <f t="shared" si="0"/>
        <v>7.6302274394717537</v>
      </c>
      <c r="AE3" s="6">
        <f t="shared" si="0"/>
        <v>0.29347028613352899</v>
      </c>
      <c r="AF3" s="6"/>
      <c r="AG3" s="169">
        <v>1</v>
      </c>
      <c r="AH3" s="169">
        <v>1</v>
      </c>
      <c r="AI3" s="169">
        <v>1</v>
      </c>
      <c r="AJ3" s="169">
        <v>1</v>
      </c>
      <c r="AK3" s="169">
        <v>1</v>
      </c>
      <c r="AL3" s="169">
        <v>1</v>
      </c>
      <c r="AM3" s="169">
        <v>1</v>
      </c>
      <c r="AN3" s="169">
        <v>1</v>
      </c>
      <c r="AO3" s="169">
        <v>1</v>
      </c>
      <c r="AP3" s="169">
        <v>1</v>
      </c>
      <c r="AQ3" s="169">
        <v>1</v>
      </c>
      <c r="AR3" s="169">
        <v>1</v>
      </c>
      <c r="AS3" s="274">
        <f t="shared" ref="AS3:AS25" si="4">SUM(AG3:AR3)</f>
        <v>12</v>
      </c>
    </row>
    <row r="4" spans="1:45">
      <c r="A4" s="1">
        <v>2000</v>
      </c>
      <c r="B4" s="189">
        <v>170</v>
      </c>
      <c r="C4" s="189">
        <v>0</v>
      </c>
      <c r="D4" s="189">
        <v>200</v>
      </c>
      <c r="E4" s="189">
        <v>0</v>
      </c>
      <c r="F4" s="189">
        <v>200</v>
      </c>
      <c r="G4" s="189">
        <v>700</v>
      </c>
      <c r="H4" s="189">
        <v>0</v>
      </c>
      <c r="I4" s="189">
        <v>172</v>
      </c>
      <c r="J4" s="189">
        <v>80</v>
      </c>
      <c r="K4" s="189">
        <v>1100</v>
      </c>
      <c r="L4" s="189">
        <v>2500</v>
      </c>
      <c r="M4" s="189">
        <v>1330</v>
      </c>
      <c r="N4" s="125">
        <f t="shared" ref="N4:N5" si="5">SUM(B4:M4)</f>
        <v>6452</v>
      </c>
      <c r="O4" s="123">
        <f t="shared" ref="O4:O5" si="6">N4/340.75</f>
        <v>18.934702861335289</v>
      </c>
      <c r="P4" s="125">
        <v>155</v>
      </c>
      <c r="Q4" s="123">
        <f t="shared" si="1"/>
        <v>5.6804108584005863</v>
      </c>
      <c r="R4" s="278">
        <f t="shared" si="2"/>
        <v>46.5</v>
      </c>
      <c r="S4" s="191"/>
      <c r="T4" s="6">
        <f t="shared" si="3"/>
        <v>0.49889948642699927</v>
      </c>
      <c r="U4" s="6">
        <f t="shared" si="0"/>
        <v>0</v>
      </c>
      <c r="V4" s="6">
        <f t="shared" si="0"/>
        <v>0.58694057226705798</v>
      </c>
      <c r="W4" s="6">
        <f t="shared" si="0"/>
        <v>0</v>
      </c>
      <c r="X4" s="6">
        <f t="shared" si="0"/>
        <v>0.58694057226705798</v>
      </c>
      <c r="Y4" s="6">
        <f t="shared" si="0"/>
        <v>2.0542920029347029</v>
      </c>
      <c r="Z4" s="6">
        <f t="shared" si="0"/>
        <v>0</v>
      </c>
      <c r="AA4" s="6">
        <f t="shared" si="0"/>
        <v>0.5047688921496698</v>
      </c>
      <c r="AB4" s="6">
        <f t="shared" si="0"/>
        <v>0.23477622890682318</v>
      </c>
      <c r="AC4" s="6">
        <f t="shared" si="0"/>
        <v>3.2281731474688189</v>
      </c>
      <c r="AD4" s="6">
        <f t="shared" si="0"/>
        <v>7.3367571533382243</v>
      </c>
      <c r="AE4" s="6">
        <f t="shared" si="0"/>
        <v>3.9031548055759355</v>
      </c>
      <c r="AG4" s="169">
        <v>1</v>
      </c>
      <c r="AH4" s="169">
        <v>1</v>
      </c>
      <c r="AI4" s="169">
        <v>1</v>
      </c>
      <c r="AJ4" s="169">
        <v>1</v>
      </c>
      <c r="AK4" s="169">
        <v>1</v>
      </c>
      <c r="AL4" s="169">
        <v>1</v>
      </c>
      <c r="AM4" s="169">
        <v>1</v>
      </c>
      <c r="AN4" s="169">
        <v>1</v>
      </c>
      <c r="AO4" s="169">
        <v>1</v>
      </c>
      <c r="AP4" s="169">
        <v>1</v>
      </c>
      <c r="AQ4" s="169">
        <v>1</v>
      </c>
      <c r="AR4" s="169">
        <v>1</v>
      </c>
      <c r="AS4" s="274">
        <f t="shared" si="4"/>
        <v>12</v>
      </c>
    </row>
    <row r="5" spans="1:45">
      <c r="A5" s="1">
        <v>2001</v>
      </c>
      <c r="B5" s="189">
        <v>1990</v>
      </c>
      <c r="C5" s="189">
        <v>4368</v>
      </c>
      <c r="D5" s="189">
        <v>1750</v>
      </c>
      <c r="E5" s="189">
        <v>1690</v>
      </c>
      <c r="F5" s="189">
        <v>2050</v>
      </c>
      <c r="G5" s="189">
        <v>3430</v>
      </c>
      <c r="H5" s="189">
        <v>3900</v>
      </c>
      <c r="I5" s="189">
        <v>4520</v>
      </c>
      <c r="J5" s="189">
        <v>4630</v>
      </c>
      <c r="K5" s="189">
        <v>2490</v>
      </c>
      <c r="L5" s="189">
        <v>4580</v>
      </c>
      <c r="M5" s="189">
        <v>2690</v>
      </c>
      <c r="N5" s="125">
        <f t="shared" si="5"/>
        <v>38088</v>
      </c>
      <c r="O5" s="123">
        <f t="shared" si="6"/>
        <v>111.77696258253852</v>
      </c>
      <c r="P5" s="125">
        <v>795</v>
      </c>
      <c r="Q5" s="123">
        <f t="shared" si="1"/>
        <v>33.533088774761552</v>
      </c>
      <c r="R5" s="278">
        <f t="shared" si="2"/>
        <v>238.5</v>
      </c>
      <c r="T5" s="6">
        <f t="shared" si="3"/>
        <v>5.8400586940572268</v>
      </c>
      <c r="U5" s="6">
        <f t="shared" si="0"/>
        <v>12.818782098312546</v>
      </c>
      <c r="V5" s="6">
        <f t="shared" si="0"/>
        <v>5.1357300073367576</v>
      </c>
      <c r="W5" s="6">
        <f t="shared" si="0"/>
        <v>4.9596478356566394</v>
      </c>
      <c r="X5" s="6">
        <f t="shared" si="0"/>
        <v>6.0161408657373441</v>
      </c>
      <c r="Y5" s="6">
        <f t="shared" si="0"/>
        <v>10.066030814380044</v>
      </c>
      <c r="Z5" s="6">
        <f t="shared" si="0"/>
        <v>11.445341159207631</v>
      </c>
      <c r="AA5" s="6">
        <f t="shared" si="0"/>
        <v>13.26485693323551</v>
      </c>
      <c r="AB5" s="6">
        <f t="shared" si="0"/>
        <v>13.587674247982392</v>
      </c>
      <c r="AC5" s="6">
        <f t="shared" si="0"/>
        <v>7.3074101247248713</v>
      </c>
      <c r="AD5" s="6">
        <f t="shared" si="0"/>
        <v>13.440939104915627</v>
      </c>
      <c r="AE5" s="6">
        <f t="shared" si="0"/>
        <v>7.8943506969919293</v>
      </c>
      <c r="AG5" s="169">
        <v>1</v>
      </c>
      <c r="AH5" s="169">
        <v>1</v>
      </c>
      <c r="AI5" s="169">
        <v>1</v>
      </c>
      <c r="AJ5" s="169">
        <v>1</v>
      </c>
      <c r="AK5" s="169">
        <v>1</v>
      </c>
      <c r="AL5" s="169">
        <v>1</v>
      </c>
      <c r="AM5" s="169">
        <v>1</v>
      </c>
      <c r="AN5" s="169">
        <v>1</v>
      </c>
      <c r="AO5" s="169">
        <v>1</v>
      </c>
      <c r="AP5" s="169">
        <v>1</v>
      </c>
      <c r="AQ5" s="169">
        <v>1</v>
      </c>
      <c r="AR5" s="169">
        <v>1</v>
      </c>
      <c r="AS5" s="274">
        <f t="shared" si="4"/>
        <v>12</v>
      </c>
    </row>
    <row r="6" spans="1:45">
      <c r="A6" s="1">
        <v>2002</v>
      </c>
      <c r="B6" s="198">
        <v>1900</v>
      </c>
      <c r="C6" s="198">
        <v>1400</v>
      </c>
      <c r="D6" s="196">
        <v>44</v>
      </c>
      <c r="E6" s="196">
        <v>33</v>
      </c>
      <c r="F6" s="196">
        <v>22</v>
      </c>
      <c r="G6" s="196">
        <v>19</v>
      </c>
      <c r="H6" s="196">
        <v>66</v>
      </c>
      <c r="I6" s="196">
        <v>66</v>
      </c>
      <c r="J6" s="196">
        <v>21</v>
      </c>
      <c r="K6" s="196">
        <v>55</v>
      </c>
      <c r="L6" s="196">
        <v>22</v>
      </c>
      <c r="M6" s="196">
        <v>22</v>
      </c>
      <c r="N6" s="125">
        <f>B6+C6</f>
        <v>3300</v>
      </c>
      <c r="O6" s="213">
        <f>(N6/340.75)+D6+E6+F6+G6+H6+I6+J6+K6+L6+M6</f>
        <v>379.68451944240644</v>
      </c>
      <c r="P6" s="125">
        <v>2403</v>
      </c>
      <c r="Q6" s="123">
        <f t="shared" si="1"/>
        <v>113.90535583272192</v>
      </c>
      <c r="R6" s="278">
        <f t="shared" si="2"/>
        <v>720.9</v>
      </c>
      <c r="T6" s="6">
        <f t="shared" si="3"/>
        <v>5.5759354365370504</v>
      </c>
      <c r="U6" s="6">
        <f t="shared" si="3"/>
        <v>4.1085840058694059</v>
      </c>
      <c r="V6" s="165"/>
      <c r="W6" s="165"/>
      <c r="X6" s="165"/>
      <c r="Y6" s="165"/>
      <c r="Z6" s="165"/>
      <c r="AA6" s="165"/>
      <c r="AB6" s="165"/>
      <c r="AC6" s="165"/>
      <c r="AG6" s="169">
        <v>1</v>
      </c>
      <c r="AH6" s="169">
        <v>1</v>
      </c>
      <c r="AI6" s="169">
        <v>1</v>
      </c>
      <c r="AJ6" s="169">
        <v>1</v>
      </c>
      <c r="AK6" s="169">
        <v>1</v>
      </c>
      <c r="AL6" s="169">
        <v>1</v>
      </c>
      <c r="AM6" s="169">
        <v>1</v>
      </c>
      <c r="AN6" s="169">
        <v>1</v>
      </c>
      <c r="AO6" s="169">
        <v>1</v>
      </c>
      <c r="AP6" s="169">
        <v>1</v>
      </c>
      <c r="AQ6" s="169">
        <v>1</v>
      </c>
      <c r="AR6" s="169">
        <v>1</v>
      </c>
      <c r="AS6" s="274">
        <f t="shared" si="4"/>
        <v>12</v>
      </c>
    </row>
    <row r="7" spans="1:45">
      <c r="A7" s="1">
        <v>2003</v>
      </c>
      <c r="B7" s="179">
        <v>19.5</v>
      </c>
      <c r="C7" s="200"/>
      <c r="D7" s="196">
        <v>158</v>
      </c>
      <c r="E7" s="200"/>
      <c r="F7" s="200"/>
      <c r="G7" s="200"/>
      <c r="H7" s="200"/>
      <c r="I7" s="200"/>
      <c r="J7" s="200"/>
      <c r="K7" s="200"/>
      <c r="L7" s="200"/>
      <c r="M7" s="200"/>
      <c r="N7" s="130"/>
      <c r="O7" s="179">
        <f>SUM(B7:M7)</f>
        <v>177.5</v>
      </c>
      <c r="P7" s="125">
        <v>1008</v>
      </c>
      <c r="Q7" s="123">
        <f t="shared" si="1"/>
        <v>53.25</v>
      </c>
      <c r="R7" s="278">
        <f t="shared" si="2"/>
        <v>302.39999999999998</v>
      </c>
      <c r="T7" s="165"/>
      <c r="U7" s="165"/>
      <c r="V7" s="165"/>
      <c r="AG7" s="169">
        <v>1</v>
      </c>
      <c r="AH7" s="169">
        <v>1</v>
      </c>
      <c r="AI7" s="169">
        <v>1</v>
      </c>
      <c r="AJ7" s="169">
        <v>1</v>
      </c>
      <c r="AK7" s="169">
        <v>1</v>
      </c>
      <c r="AL7" s="169">
        <v>1</v>
      </c>
      <c r="AM7" s="169">
        <v>1</v>
      </c>
      <c r="AN7" s="169">
        <v>1</v>
      </c>
      <c r="AO7" s="169">
        <v>1</v>
      </c>
      <c r="AP7" s="169">
        <v>1</v>
      </c>
      <c r="AQ7" s="169">
        <v>1</v>
      </c>
      <c r="AR7" s="169">
        <v>1</v>
      </c>
      <c r="AS7" s="274">
        <f t="shared" si="4"/>
        <v>12</v>
      </c>
    </row>
    <row r="8" spans="1:45">
      <c r="A8" s="1">
        <v>2004</v>
      </c>
      <c r="B8" s="179">
        <v>18</v>
      </c>
      <c r="C8" s="200"/>
      <c r="D8" s="201">
        <f t="shared" ref="D8:D16" si="7">D42*0.5</f>
        <v>471</v>
      </c>
      <c r="E8" s="200"/>
      <c r="F8" s="200"/>
      <c r="G8" s="200"/>
      <c r="H8" s="200"/>
      <c r="I8" s="200"/>
      <c r="J8" s="200"/>
      <c r="K8" s="200"/>
      <c r="L8" s="200"/>
      <c r="M8" s="200"/>
      <c r="N8" s="192"/>
      <c r="O8" s="179">
        <f t="shared" ref="O8:O27" si="8">SUM(B8:M8)</f>
        <v>489</v>
      </c>
      <c r="P8" s="125">
        <v>2514</v>
      </c>
      <c r="Q8" s="123">
        <f t="shared" si="1"/>
        <v>146.69999999999999</v>
      </c>
      <c r="R8" s="278">
        <f t="shared" si="2"/>
        <v>754.19999999999993</v>
      </c>
      <c r="T8" s="165"/>
      <c r="AG8" s="169">
        <v>1</v>
      </c>
      <c r="AH8" s="169">
        <v>1</v>
      </c>
      <c r="AI8" s="169">
        <v>1</v>
      </c>
      <c r="AJ8" s="169">
        <v>1</v>
      </c>
      <c r="AK8" s="169">
        <v>1</v>
      </c>
      <c r="AL8" s="169">
        <v>1</v>
      </c>
      <c r="AM8" s="169">
        <v>1</v>
      </c>
      <c r="AN8" s="169">
        <v>1</v>
      </c>
      <c r="AO8" s="169">
        <v>1</v>
      </c>
      <c r="AP8" s="169">
        <v>1</v>
      </c>
      <c r="AQ8" s="169">
        <v>1</v>
      </c>
      <c r="AR8" s="169">
        <v>1</v>
      </c>
      <c r="AS8" s="274">
        <f t="shared" si="4"/>
        <v>12</v>
      </c>
    </row>
    <row r="9" spans="1:45">
      <c r="A9" s="1">
        <v>2005</v>
      </c>
      <c r="B9" s="4">
        <v>7.5</v>
      </c>
      <c r="C9" s="196"/>
      <c r="D9" s="201">
        <f t="shared" si="7"/>
        <v>505</v>
      </c>
      <c r="E9" s="196"/>
      <c r="F9" s="196"/>
      <c r="G9" s="196"/>
      <c r="H9" s="196"/>
      <c r="I9" s="196"/>
      <c r="J9" s="196"/>
      <c r="K9" s="196"/>
      <c r="L9" s="196"/>
      <c r="M9" s="196"/>
      <c r="N9" s="8"/>
      <c r="O9" s="179">
        <f t="shared" si="8"/>
        <v>512.5</v>
      </c>
      <c r="P9" s="125">
        <v>2383</v>
      </c>
      <c r="Q9" s="123">
        <f t="shared" si="1"/>
        <v>153.75</v>
      </c>
      <c r="R9" s="278">
        <f t="shared" si="2"/>
        <v>714.9</v>
      </c>
      <c r="T9" s="165"/>
      <c r="AG9" s="169">
        <v>1</v>
      </c>
      <c r="AH9" s="169">
        <v>1</v>
      </c>
      <c r="AI9" s="169">
        <v>1</v>
      </c>
      <c r="AJ9" s="169">
        <v>1</v>
      </c>
      <c r="AK9" s="169">
        <v>1</v>
      </c>
      <c r="AL9" s="169">
        <v>1</v>
      </c>
      <c r="AM9" s="169">
        <v>1</v>
      </c>
      <c r="AN9" s="169">
        <v>1</v>
      </c>
      <c r="AO9" s="169">
        <v>1</v>
      </c>
      <c r="AP9" s="169">
        <v>1</v>
      </c>
      <c r="AQ9" s="169">
        <v>1</v>
      </c>
      <c r="AR9" s="169">
        <v>1</v>
      </c>
      <c r="AS9" s="274">
        <f t="shared" si="4"/>
        <v>12</v>
      </c>
    </row>
    <row r="10" spans="1:45">
      <c r="A10" s="1">
        <v>2006</v>
      </c>
      <c r="B10" s="4">
        <v>82.5</v>
      </c>
      <c r="C10" s="196"/>
      <c r="D10" s="201">
        <f t="shared" si="7"/>
        <v>454</v>
      </c>
      <c r="E10" s="196"/>
      <c r="F10" s="196"/>
      <c r="G10" s="196"/>
      <c r="H10" s="196"/>
      <c r="I10" s="196"/>
      <c r="J10" s="196"/>
      <c r="K10" s="196"/>
      <c r="L10" s="196"/>
      <c r="M10" s="196"/>
      <c r="N10" s="8"/>
      <c r="O10" s="179">
        <f t="shared" si="8"/>
        <v>536.5</v>
      </c>
      <c r="P10" s="125">
        <v>2254</v>
      </c>
      <c r="Q10" s="123">
        <f t="shared" si="1"/>
        <v>160.94999999999999</v>
      </c>
      <c r="R10" s="278">
        <f t="shared" si="2"/>
        <v>676.19999999999993</v>
      </c>
      <c r="T10" s="165"/>
      <c r="AG10" s="169">
        <v>1</v>
      </c>
      <c r="AH10" s="169">
        <v>1</v>
      </c>
      <c r="AI10" s="169">
        <v>1</v>
      </c>
      <c r="AJ10" s="169">
        <v>1</v>
      </c>
      <c r="AK10" s="169">
        <v>1</v>
      </c>
      <c r="AL10" s="169">
        <v>1</v>
      </c>
      <c r="AM10" s="169">
        <v>1</v>
      </c>
      <c r="AN10" s="169">
        <v>1</v>
      </c>
      <c r="AO10" s="169">
        <v>1</v>
      </c>
      <c r="AP10" s="169">
        <v>1</v>
      </c>
      <c r="AQ10" s="169">
        <v>1</v>
      </c>
      <c r="AR10" s="169">
        <v>1</v>
      </c>
      <c r="AS10" s="274">
        <f t="shared" si="4"/>
        <v>12</v>
      </c>
    </row>
    <row r="11" spans="1:45">
      <c r="A11" s="1">
        <v>2007</v>
      </c>
      <c r="B11" s="4">
        <v>98</v>
      </c>
      <c r="C11" s="196"/>
      <c r="D11" s="201">
        <f t="shared" si="7"/>
        <v>424.5</v>
      </c>
      <c r="E11" s="196"/>
      <c r="F11" s="196"/>
      <c r="G11" s="196"/>
      <c r="H11" s="196"/>
      <c r="I11" s="196"/>
      <c r="J11" s="196"/>
      <c r="K11" s="196"/>
      <c r="L11" s="196"/>
      <c r="M11" s="196"/>
      <c r="N11" s="8"/>
      <c r="O11" s="179">
        <f t="shared" si="8"/>
        <v>522.5</v>
      </c>
      <c r="P11" s="125">
        <v>1961</v>
      </c>
      <c r="Q11" s="123">
        <f t="shared" si="1"/>
        <v>156.75</v>
      </c>
      <c r="R11" s="278">
        <f t="shared" si="2"/>
        <v>588.29999999999995</v>
      </c>
      <c r="T11" s="165"/>
      <c r="AG11" s="169">
        <v>1</v>
      </c>
      <c r="AH11" s="169">
        <v>1</v>
      </c>
      <c r="AI11" s="169">
        <v>1</v>
      </c>
      <c r="AJ11" s="169">
        <v>1</v>
      </c>
      <c r="AK11" s="169">
        <v>1</v>
      </c>
      <c r="AL11" s="169">
        <v>1</v>
      </c>
      <c r="AM11" s="169">
        <v>1</v>
      </c>
      <c r="AN11" s="169">
        <v>1</v>
      </c>
      <c r="AO11" s="169">
        <v>1</v>
      </c>
      <c r="AP11" s="169">
        <v>1</v>
      </c>
      <c r="AQ11" s="169">
        <v>1</v>
      </c>
      <c r="AR11" s="169">
        <v>1</v>
      </c>
      <c r="AS11" s="274">
        <f t="shared" si="4"/>
        <v>12</v>
      </c>
    </row>
    <row r="12" spans="1:45">
      <c r="A12" s="1">
        <v>2008</v>
      </c>
      <c r="B12" s="4">
        <v>87</v>
      </c>
      <c r="C12" s="196"/>
      <c r="D12" s="201">
        <f t="shared" si="7"/>
        <v>439.5</v>
      </c>
      <c r="E12" s="196"/>
      <c r="F12" s="196"/>
      <c r="G12" s="196"/>
      <c r="H12" s="196"/>
      <c r="I12" s="196"/>
      <c r="J12" s="196"/>
      <c r="K12" s="196"/>
      <c r="L12" s="196"/>
      <c r="M12" s="196"/>
      <c r="N12" s="8"/>
      <c r="O12" s="179">
        <f t="shared" si="8"/>
        <v>526.5</v>
      </c>
      <c r="P12" s="125">
        <v>1754</v>
      </c>
      <c r="Q12" s="123">
        <f t="shared" si="1"/>
        <v>157.94999999999999</v>
      </c>
      <c r="R12" s="278">
        <f t="shared" si="2"/>
        <v>526.19999999999993</v>
      </c>
      <c r="T12" s="165"/>
      <c r="AG12" s="169">
        <v>1</v>
      </c>
      <c r="AH12" s="169">
        <v>1</v>
      </c>
      <c r="AI12" s="169">
        <v>1</v>
      </c>
      <c r="AJ12" s="169">
        <v>1</v>
      </c>
      <c r="AK12" s="169">
        <v>1</v>
      </c>
      <c r="AL12" s="169">
        <v>1</v>
      </c>
      <c r="AM12" s="169">
        <v>1</v>
      </c>
      <c r="AN12" s="169">
        <v>1</v>
      </c>
      <c r="AO12" s="169">
        <v>1</v>
      </c>
      <c r="AP12" s="169">
        <v>1</v>
      </c>
      <c r="AQ12" s="169">
        <v>1</v>
      </c>
      <c r="AR12" s="169">
        <v>1</v>
      </c>
      <c r="AS12" s="274">
        <f t="shared" si="4"/>
        <v>12</v>
      </c>
    </row>
    <row r="13" spans="1:45">
      <c r="A13" s="1">
        <v>2009</v>
      </c>
      <c r="B13" s="4">
        <v>47.5</v>
      </c>
      <c r="C13" s="196"/>
      <c r="D13" s="201">
        <f t="shared" si="7"/>
        <v>372.5</v>
      </c>
      <c r="E13" s="196"/>
      <c r="F13" s="196"/>
      <c r="G13" s="196"/>
      <c r="H13" s="196"/>
      <c r="I13" s="196"/>
      <c r="J13" s="196"/>
      <c r="K13" s="196"/>
      <c r="L13" s="196"/>
      <c r="M13" s="196"/>
      <c r="N13" s="8"/>
      <c r="O13" s="179">
        <f t="shared" si="8"/>
        <v>420</v>
      </c>
      <c r="P13" s="125">
        <v>1257</v>
      </c>
      <c r="Q13" s="123">
        <f t="shared" si="1"/>
        <v>126</v>
      </c>
      <c r="R13" s="278">
        <f t="shared" si="2"/>
        <v>377.09999999999997</v>
      </c>
      <c r="T13" s="165"/>
      <c r="AG13" s="169">
        <v>1</v>
      </c>
      <c r="AH13" s="169">
        <v>1</v>
      </c>
      <c r="AI13" s="169">
        <v>1</v>
      </c>
      <c r="AJ13" s="169">
        <v>1</v>
      </c>
      <c r="AK13" s="169">
        <v>1</v>
      </c>
      <c r="AL13" s="169">
        <v>1</v>
      </c>
      <c r="AM13" s="169">
        <v>1</v>
      </c>
      <c r="AN13" s="169">
        <v>1</v>
      </c>
      <c r="AO13" s="169">
        <v>1</v>
      </c>
      <c r="AP13" s="169">
        <v>1</v>
      </c>
      <c r="AQ13" s="169">
        <v>1</v>
      </c>
      <c r="AR13" s="169">
        <v>1</v>
      </c>
      <c r="AS13" s="274">
        <f t="shared" si="4"/>
        <v>12</v>
      </c>
    </row>
    <row r="14" spans="1:45">
      <c r="A14" s="1">
        <v>2010</v>
      </c>
      <c r="B14" s="4">
        <v>19</v>
      </c>
      <c r="C14" s="196"/>
      <c r="D14" s="201">
        <f t="shared" si="7"/>
        <v>334</v>
      </c>
      <c r="E14" s="196"/>
      <c r="F14" s="196"/>
      <c r="G14" s="196"/>
      <c r="H14" s="196"/>
      <c r="I14" s="196"/>
      <c r="J14" s="196"/>
      <c r="K14" s="196"/>
      <c r="L14" s="196"/>
      <c r="M14" s="196"/>
      <c r="N14" s="8"/>
      <c r="O14" s="179">
        <f t="shared" si="8"/>
        <v>353</v>
      </c>
      <c r="P14" s="125">
        <v>968</v>
      </c>
      <c r="Q14" s="123">
        <f t="shared" si="1"/>
        <v>105.89999999999999</v>
      </c>
      <c r="R14" s="278">
        <f t="shared" si="2"/>
        <v>290.39999999999998</v>
      </c>
      <c r="T14" s="165"/>
      <c r="AG14" s="169">
        <v>1</v>
      </c>
      <c r="AH14" s="169">
        <v>1</v>
      </c>
      <c r="AI14" s="169">
        <v>1</v>
      </c>
      <c r="AJ14" s="169">
        <v>1</v>
      </c>
      <c r="AK14" s="169">
        <v>1</v>
      </c>
      <c r="AL14" s="169">
        <v>1</v>
      </c>
      <c r="AM14" s="169">
        <v>1</v>
      </c>
      <c r="AN14" s="169">
        <v>1</v>
      </c>
      <c r="AO14" s="169">
        <v>1</v>
      </c>
      <c r="AP14" s="169">
        <v>1</v>
      </c>
      <c r="AQ14" s="169">
        <v>1</v>
      </c>
      <c r="AR14" s="169">
        <v>1</v>
      </c>
      <c r="AS14" s="274">
        <f t="shared" si="4"/>
        <v>12</v>
      </c>
    </row>
    <row r="15" spans="1:45">
      <c r="A15" s="1">
        <v>2011</v>
      </c>
      <c r="B15" s="4">
        <v>28.5</v>
      </c>
      <c r="C15" s="196"/>
      <c r="D15" s="201">
        <f t="shared" si="7"/>
        <v>271</v>
      </c>
      <c r="E15" s="196"/>
      <c r="F15" s="196"/>
      <c r="G15" s="196"/>
      <c r="H15" s="196"/>
      <c r="I15" s="196"/>
      <c r="J15" s="196"/>
      <c r="K15" s="196"/>
      <c r="L15" s="196"/>
      <c r="M15" s="196"/>
      <c r="N15" s="8"/>
      <c r="O15" s="179">
        <f t="shared" si="8"/>
        <v>299.5</v>
      </c>
      <c r="P15" s="125">
        <v>753</v>
      </c>
      <c r="Q15" s="123">
        <f t="shared" si="1"/>
        <v>89.85</v>
      </c>
      <c r="R15" s="278">
        <f t="shared" si="2"/>
        <v>225.9</v>
      </c>
      <c r="T15" s="165"/>
      <c r="AG15" s="169">
        <v>1</v>
      </c>
      <c r="AH15" s="169">
        <v>1</v>
      </c>
      <c r="AI15" s="169">
        <v>1</v>
      </c>
      <c r="AJ15" s="169">
        <v>1</v>
      </c>
      <c r="AK15" s="169">
        <v>1</v>
      </c>
      <c r="AL15" s="169">
        <v>1</v>
      </c>
      <c r="AM15" s="169">
        <v>1</v>
      </c>
      <c r="AN15" s="169">
        <v>1</v>
      </c>
      <c r="AO15" s="169">
        <v>1</v>
      </c>
      <c r="AP15" s="169">
        <v>1</v>
      </c>
      <c r="AQ15" s="169">
        <v>1</v>
      </c>
      <c r="AR15" s="169">
        <v>1</v>
      </c>
      <c r="AS15" s="274">
        <f t="shared" si="4"/>
        <v>12</v>
      </c>
    </row>
    <row r="16" spans="1:45">
      <c r="A16" s="1">
        <v>2012</v>
      </c>
      <c r="B16" s="4">
        <v>21.5</v>
      </c>
      <c r="C16" s="196"/>
      <c r="D16" s="201">
        <f t="shared" si="7"/>
        <v>221</v>
      </c>
      <c r="E16" s="196"/>
      <c r="F16" s="196"/>
      <c r="G16" s="196"/>
      <c r="H16" s="196"/>
      <c r="I16" s="196"/>
      <c r="J16" s="196"/>
      <c r="K16" s="196"/>
      <c r="L16" s="196"/>
      <c r="M16" s="196"/>
      <c r="N16" s="8"/>
      <c r="O16" s="179">
        <f t="shared" si="8"/>
        <v>242.5</v>
      </c>
      <c r="P16" s="125">
        <v>558</v>
      </c>
      <c r="Q16" s="123">
        <f t="shared" si="1"/>
        <v>72.75</v>
      </c>
      <c r="R16" s="278">
        <f t="shared" si="2"/>
        <v>167.4</v>
      </c>
      <c r="T16" s="165"/>
      <c r="AG16" s="169">
        <v>1</v>
      </c>
      <c r="AH16" s="169">
        <v>1</v>
      </c>
      <c r="AI16" s="169">
        <v>1</v>
      </c>
      <c r="AJ16" s="169">
        <v>1</v>
      </c>
      <c r="AK16" s="169">
        <v>1</v>
      </c>
      <c r="AL16" s="169">
        <v>1</v>
      </c>
      <c r="AM16" s="169">
        <v>1</v>
      </c>
      <c r="AN16" s="169">
        <v>1</v>
      </c>
      <c r="AO16" s="169">
        <v>1</v>
      </c>
      <c r="AP16" s="169">
        <v>1</v>
      </c>
      <c r="AQ16" s="169">
        <v>1</v>
      </c>
      <c r="AR16" s="169">
        <v>1</v>
      </c>
      <c r="AS16" s="274">
        <f t="shared" si="4"/>
        <v>12</v>
      </c>
    </row>
    <row r="17" spans="1:45">
      <c r="A17" s="1">
        <v>2013</v>
      </c>
      <c r="B17" s="4">
        <v>38</v>
      </c>
      <c r="C17" s="202">
        <v>10</v>
      </c>
      <c r="D17" s="202">
        <v>63.5</v>
      </c>
      <c r="E17" s="202">
        <v>73.5</v>
      </c>
      <c r="F17" s="202">
        <v>63.5</v>
      </c>
      <c r="G17" s="202">
        <v>22.5</v>
      </c>
      <c r="H17" s="202">
        <v>36.5</v>
      </c>
      <c r="I17" s="202">
        <v>64</v>
      </c>
      <c r="J17" s="202">
        <v>68</v>
      </c>
      <c r="K17" s="202">
        <v>35</v>
      </c>
      <c r="L17" s="202">
        <v>59</v>
      </c>
      <c r="M17" s="202">
        <v>71</v>
      </c>
      <c r="N17" s="8"/>
      <c r="O17" s="179">
        <f t="shared" si="8"/>
        <v>604.5</v>
      </c>
      <c r="P17" s="125">
        <v>1278</v>
      </c>
      <c r="Q17" s="123">
        <f t="shared" si="1"/>
        <v>181.35</v>
      </c>
      <c r="R17" s="278">
        <f t="shared" si="2"/>
        <v>383.4</v>
      </c>
      <c r="S17" s="193" t="s">
        <v>148</v>
      </c>
      <c r="T17" s="165"/>
      <c r="AG17" s="169">
        <v>1</v>
      </c>
      <c r="AH17" s="169">
        <v>1</v>
      </c>
      <c r="AI17" s="169">
        <v>1</v>
      </c>
      <c r="AJ17" s="169">
        <v>1</v>
      </c>
      <c r="AK17" s="169">
        <v>1</v>
      </c>
      <c r="AL17" s="169">
        <v>1</v>
      </c>
      <c r="AM17" s="169">
        <v>1</v>
      </c>
      <c r="AN17" s="169">
        <v>1</v>
      </c>
      <c r="AO17" s="169">
        <v>1</v>
      </c>
      <c r="AP17" s="169">
        <v>1</v>
      </c>
      <c r="AQ17" s="169">
        <v>1</v>
      </c>
      <c r="AR17" s="169">
        <v>1</v>
      </c>
      <c r="AS17" s="274">
        <f t="shared" si="4"/>
        <v>12</v>
      </c>
    </row>
    <row r="18" spans="1:45">
      <c r="A18" s="1">
        <v>2014</v>
      </c>
      <c r="B18" s="4">
        <v>27.5</v>
      </c>
      <c r="C18" s="4">
        <v>33</v>
      </c>
      <c r="D18" s="4">
        <v>44</v>
      </c>
      <c r="E18" s="4">
        <v>26.5</v>
      </c>
      <c r="F18" s="4">
        <v>3.5</v>
      </c>
      <c r="G18" s="4">
        <v>3</v>
      </c>
      <c r="H18" s="4">
        <v>2</v>
      </c>
      <c r="I18" s="4">
        <v>6.5</v>
      </c>
      <c r="J18" s="4">
        <v>6.5</v>
      </c>
      <c r="K18" s="4"/>
      <c r="L18" s="4"/>
      <c r="M18" s="4">
        <v>6</v>
      </c>
      <c r="N18" s="8"/>
      <c r="O18" s="179">
        <f t="shared" si="8"/>
        <v>158.5</v>
      </c>
      <c r="P18" s="125">
        <v>310</v>
      </c>
      <c r="Q18" s="123">
        <f t="shared" si="1"/>
        <v>47.55</v>
      </c>
      <c r="R18" s="278">
        <f t="shared" si="2"/>
        <v>93</v>
      </c>
      <c r="T18" s="165"/>
      <c r="AG18" s="169">
        <v>1</v>
      </c>
      <c r="AH18" s="169">
        <v>1</v>
      </c>
      <c r="AI18" s="169">
        <v>1</v>
      </c>
      <c r="AJ18" s="169">
        <v>1</v>
      </c>
      <c r="AK18" s="169">
        <v>1</v>
      </c>
      <c r="AL18" s="169">
        <v>1</v>
      </c>
      <c r="AM18" s="169">
        <v>1</v>
      </c>
      <c r="AN18" s="169">
        <v>1</v>
      </c>
      <c r="AO18" s="169">
        <v>1</v>
      </c>
      <c r="AP18" s="169">
        <v>1</v>
      </c>
      <c r="AQ18" s="169">
        <v>1</v>
      </c>
      <c r="AR18" s="169">
        <v>1</v>
      </c>
      <c r="AS18" s="274">
        <f t="shared" si="4"/>
        <v>12</v>
      </c>
    </row>
    <row r="19" spans="1:45">
      <c r="A19" s="1">
        <v>2015</v>
      </c>
      <c r="B19" s="4">
        <v>3.5</v>
      </c>
      <c r="C19" s="4">
        <v>2.5</v>
      </c>
      <c r="D19" s="4"/>
      <c r="E19" s="202">
        <v>41.5</v>
      </c>
      <c r="F19" s="202">
        <v>48</v>
      </c>
      <c r="G19" s="202">
        <v>75</v>
      </c>
      <c r="H19" s="202">
        <v>72.5</v>
      </c>
      <c r="I19" s="202">
        <v>40.5</v>
      </c>
      <c r="J19" s="202">
        <v>71</v>
      </c>
      <c r="K19" s="4">
        <v>0.5</v>
      </c>
      <c r="L19" s="202">
        <v>55</v>
      </c>
      <c r="M19" s="202">
        <v>99.5</v>
      </c>
      <c r="N19" s="8"/>
      <c r="O19" s="179">
        <f t="shared" si="8"/>
        <v>509.5</v>
      </c>
      <c r="P19" s="125">
        <v>926</v>
      </c>
      <c r="Q19" s="123">
        <f t="shared" si="1"/>
        <v>152.85</v>
      </c>
      <c r="R19" s="278">
        <f t="shared" si="2"/>
        <v>277.8</v>
      </c>
      <c r="S19" s="193" t="s">
        <v>148</v>
      </c>
      <c r="T19" s="165"/>
      <c r="AG19" s="169">
        <v>1</v>
      </c>
      <c r="AH19" s="169">
        <v>1</v>
      </c>
      <c r="AI19" s="169">
        <v>1</v>
      </c>
      <c r="AJ19" s="169">
        <v>1</v>
      </c>
      <c r="AK19" s="169">
        <v>1</v>
      </c>
      <c r="AL19" s="169">
        <v>1</v>
      </c>
      <c r="AM19" s="169">
        <v>1</v>
      </c>
      <c r="AN19" s="169">
        <v>1</v>
      </c>
      <c r="AO19" s="169">
        <v>1</v>
      </c>
      <c r="AP19" s="169">
        <v>1</v>
      </c>
      <c r="AQ19" s="169">
        <v>1</v>
      </c>
      <c r="AR19" s="169">
        <v>1</v>
      </c>
      <c r="AS19" s="274">
        <f t="shared" si="4"/>
        <v>12</v>
      </c>
    </row>
    <row r="20" spans="1:45">
      <c r="A20" s="1">
        <v>2016</v>
      </c>
      <c r="B20" s="4"/>
      <c r="C20" s="202">
        <v>27.5</v>
      </c>
      <c r="D20" s="202">
        <v>25</v>
      </c>
      <c r="E20" s="202">
        <v>63.5</v>
      </c>
      <c r="F20" s="202">
        <v>50.5</v>
      </c>
      <c r="G20" s="202">
        <v>48.5</v>
      </c>
      <c r="H20" s="202">
        <v>37.5</v>
      </c>
      <c r="I20" s="202">
        <v>86</v>
      </c>
      <c r="J20" s="202">
        <v>50</v>
      </c>
      <c r="K20" s="202">
        <v>40</v>
      </c>
      <c r="L20" s="202">
        <v>35.5</v>
      </c>
      <c r="M20" s="202">
        <v>111.5</v>
      </c>
      <c r="N20" s="8"/>
      <c r="O20" s="179">
        <f t="shared" si="8"/>
        <v>575.5</v>
      </c>
      <c r="P20" s="125">
        <v>973</v>
      </c>
      <c r="Q20" s="123">
        <f t="shared" si="1"/>
        <v>172.65</v>
      </c>
      <c r="R20" s="278">
        <f t="shared" si="2"/>
        <v>291.89999999999998</v>
      </c>
      <c r="S20" s="193" t="s">
        <v>148</v>
      </c>
      <c r="T20" s="165"/>
      <c r="AG20" s="169">
        <v>1</v>
      </c>
      <c r="AH20" s="169">
        <v>1</v>
      </c>
      <c r="AI20" s="169">
        <v>1</v>
      </c>
      <c r="AJ20" s="169">
        <v>1</v>
      </c>
      <c r="AK20" s="169">
        <v>1</v>
      </c>
      <c r="AL20" s="169">
        <v>1</v>
      </c>
      <c r="AM20" s="169">
        <v>1</v>
      </c>
      <c r="AN20" s="169">
        <v>1</v>
      </c>
      <c r="AO20" s="169">
        <v>1</v>
      </c>
      <c r="AP20" s="169">
        <v>1</v>
      </c>
      <c r="AQ20" s="169">
        <v>1</v>
      </c>
      <c r="AR20" s="169">
        <v>1</v>
      </c>
      <c r="AS20" s="274">
        <f t="shared" si="4"/>
        <v>12</v>
      </c>
    </row>
    <row r="21" spans="1:45">
      <c r="A21" s="1">
        <v>2017</v>
      </c>
      <c r="B21" s="4">
        <v>8.5</v>
      </c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>
        <v>1312</v>
      </c>
      <c r="N21" s="8"/>
      <c r="O21" s="179">
        <f t="shared" si="8"/>
        <v>1320.5</v>
      </c>
      <c r="P21" s="125">
        <v>2078</v>
      </c>
      <c r="Q21" s="123">
        <f t="shared" si="1"/>
        <v>396.15</v>
      </c>
      <c r="R21" s="278">
        <f t="shared" si="2"/>
        <v>623.4</v>
      </c>
      <c r="T21" s="165"/>
      <c r="AG21" s="169">
        <v>1</v>
      </c>
      <c r="AH21" s="169">
        <v>1</v>
      </c>
      <c r="AI21" s="169">
        <v>1</v>
      </c>
      <c r="AJ21" s="169">
        <v>1</v>
      </c>
      <c r="AK21" s="169">
        <v>1</v>
      </c>
      <c r="AL21" s="169">
        <v>1</v>
      </c>
      <c r="AM21" s="169">
        <v>1</v>
      </c>
      <c r="AN21" s="169">
        <v>1</v>
      </c>
      <c r="AO21" s="169">
        <v>1</v>
      </c>
      <c r="AP21" s="169">
        <v>1</v>
      </c>
      <c r="AQ21" s="169">
        <v>1</v>
      </c>
      <c r="AR21" s="169">
        <v>1</v>
      </c>
      <c r="AS21" s="274">
        <f t="shared" si="4"/>
        <v>12</v>
      </c>
    </row>
    <row r="22" spans="1:45">
      <c r="A22" s="1">
        <v>2018</v>
      </c>
      <c r="B22" s="4">
        <v>4</v>
      </c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>
        <v>1144</v>
      </c>
      <c r="N22" s="8"/>
      <c r="O22" s="179">
        <f t="shared" si="8"/>
        <v>1148</v>
      </c>
      <c r="P22" s="125">
        <v>1685</v>
      </c>
      <c r="Q22" s="123">
        <f t="shared" si="1"/>
        <v>344.4</v>
      </c>
      <c r="R22" s="278">
        <f t="shared" si="2"/>
        <v>505.5</v>
      </c>
      <c r="T22" s="165"/>
      <c r="AG22" s="169">
        <v>1</v>
      </c>
      <c r="AH22" s="169">
        <v>1</v>
      </c>
      <c r="AI22" s="169">
        <v>1</v>
      </c>
      <c r="AJ22" s="169">
        <v>1</v>
      </c>
      <c r="AK22" s="169">
        <v>1</v>
      </c>
      <c r="AL22" s="169">
        <v>1</v>
      </c>
      <c r="AM22" s="169">
        <v>1</v>
      </c>
      <c r="AN22" s="169">
        <v>1</v>
      </c>
      <c r="AO22" s="169">
        <v>1</v>
      </c>
      <c r="AP22" s="169">
        <v>1</v>
      </c>
      <c r="AQ22" s="169">
        <v>1</v>
      </c>
      <c r="AR22" s="169">
        <v>1</v>
      </c>
      <c r="AS22" s="274">
        <f t="shared" si="4"/>
        <v>12</v>
      </c>
    </row>
    <row r="23" spans="1:45">
      <c r="A23" s="1">
        <v>2019</v>
      </c>
      <c r="B23" s="4">
        <v>16</v>
      </c>
      <c r="C23" s="4">
        <v>6</v>
      </c>
      <c r="D23" s="4">
        <v>3</v>
      </c>
      <c r="E23" s="196"/>
      <c r="F23" s="196"/>
      <c r="G23" s="196"/>
      <c r="H23" s="196"/>
      <c r="I23" s="196"/>
      <c r="J23" s="196"/>
      <c r="K23" s="196"/>
      <c r="L23" s="196"/>
      <c r="M23" s="196">
        <v>1300</v>
      </c>
      <c r="N23" s="8"/>
      <c r="O23" s="179">
        <f t="shared" si="8"/>
        <v>1325</v>
      </c>
      <c r="P23" s="125">
        <v>1815</v>
      </c>
      <c r="Q23" s="123">
        <f t="shared" si="1"/>
        <v>397.5</v>
      </c>
      <c r="R23" s="278">
        <f t="shared" si="2"/>
        <v>544.5</v>
      </c>
      <c r="T23" s="165"/>
      <c r="AG23" s="169">
        <v>1</v>
      </c>
      <c r="AH23" s="169">
        <v>1</v>
      </c>
      <c r="AI23" s="169">
        <v>1</v>
      </c>
      <c r="AJ23" s="169">
        <v>1</v>
      </c>
      <c r="AK23" s="169">
        <v>1</v>
      </c>
      <c r="AL23" s="169">
        <v>1</v>
      </c>
      <c r="AM23" s="169">
        <v>1</v>
      </c>
      <c r="AN23" s="169">
        <v>1</v>
      </c>
      <c r="AO23" s="169">
        <v>1</v>
      </c>
      <c r="AP23" s="169">
        <v>1</v>
      </c>
      <c r="AQ23" s="169">
        <v>1</v>
      </c>
      <c r="AR23" s="169">
        <v>1</v>
      </c>
      <c r="AS23" s="274">
        <f t="shared" si="4"/>
        <v>12</v>
      </c>
    </row>
    <row r="24" spans="1:45">
      <c r="A24" s="1">
        <v>2020</v>
      </c>
      <c r="B24" s="4">
        <v>9</v>
      </c>
      <c r="C24" s="4">
        <v>62</v>
      </c>
      <c r="D24" s="4">
        <v>29</v>
      </c>
      <c r="E24" s="4">
        <v>12</v>
      </c>
      <c r="F24" s="4">
        <v>24</v>
      </c>
      <c r="G24" s="4">
        <v>24</v>
      </c>
      <c r="H24" s="4">
        <v>65</v>
      </c>
      <c r="I24" s="4">
        <v>18</v>
      </c>
      <c r="J24" s="4">
        <v>6</v>
      </c>
      <c r="K24" s="4">
        <v>14</v>
      </c>
      <c r="L24" s="196">
        <v>11</v>
      </c>
      <c r="M24" s="196">
        <v>11</v>
      </c>
      <c r="N24" s="8"/>
      <c r="O24" s="179">
        <f t="shared" si="8"/>
        <v>285</v>
      </c>
      <c r="P24" s="125">
        <v>363</v>
      </c>
      <c r="Q24" s="123">
        <f t="shared" si="1"/>
        <v>85.5</v>
      </c>
      <c r="R24" s="278">
        <f t="shared" si="2"/>
        <v>108.89999999999999</v>
      </c>
      <c r="T24" s="165"/>
      <c r="AG24" s="169">
        <v>1</v>
      </c>
      <c r="AH24" s="169">
        <v>1</v>
      </c>
      <c r="AI24" s="169">
        <v>1</v>
      </c>
      <c r="AJ24" s="169">
        <v>1</v>
      </c>
      <c r="AK24" s="169">
        <v>1</v>
      </c>
      <c r="AL24" s="169">
        <v>1</v>
      </c>
      <c r="AM24" s="169">
        <v>1</v>
      </c>
      <c r="AN24" s="169">
        <v>1</v>
      </c>
      <c r="AO24" s="169">
        <v>1</v>
      </c>
      <c r="AP24" s="169">
        <v>1</v>
      </c>
      <c r="AQ24" s="169">
        <v>1</v>
      </c>
      <c r="AR24" s="169">
        <v>1</v>
      </c>
      <c r="AS24" s="274">
        <f t="shared" si="4"/>
        <v>12</v>
      </c>
    </row>
    <row r="25" spans="1:45">
      <c r="A25" s="1">
        <v>2021</v>
      </c>
      <c r="B25" s="4"/>
      <c r="C25" s="196"/>
      <c r="D25" s="196"/>
      <c r="E25" s="196"/>
      <c r="F25" s="196"/>
      <c r="G25" s="196"/>
      <c r="H25" s="8"/>
      <c r="I25" s="8"/>
      <c r="J25" s="8"/>
      <c r="K25" s="8"/>
      <c r="L25" s="8"/>
      <c r="M25" s="8"/>
      <c r="N25" s="8"/>
      <c r="O25" s="179">
        <f t="shared" si="8"/>
        <v>0</v>
      </c>
      <c r="P25" s="125"/>
      <c r="Q25" s="123"/>
      <c r="R25" s="278"/>
      <c r="T25" s="165"/>
      <c r="AG25" s="169">
        <v>1</v>
      </c>
      <c r="AH25" s="169">
        <v>1</v>
      </c>
      <c r="AI25" s="169">
        <v>1</v>
      </c>
      <c r="AJ25" s="169">
        <v>1</v>
      </c>
      <c r="AK25" s="169">
        <v>1</v>
      </c>
      <c r="AL25" s="169">
        <v>1</v>
      </c>
      <c r="AM25" s="169">
        <v>1</v>
      </c>
      <c r="AN25" s="169">
        <v>1</v>
      </c>
      <c r="AO25" s="169">
        <v>1</v>
      </c>
      <c r="AP25" s="169">
        <v>1</v>
      </c>
      <c r="AQ25" s="169">
        <v>1</v>
      </c>
      <c r="AR25" s="169">
        <v>1</v>
      </c>
      <c r="AS25" s="274">
        <f t="shared" si="4"/>
        <v>12</v>
      </c>
    </row>
    <row r="26" spans="1:45">
      <c r="A26" s="1">
        <v>2022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244"/>
      <c r="P26" s="297"/>
      <c r="Q26" s="188"/>
      <c r="R26" s="280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</row>
    <row r="27" spans="1:45">
      <c r="A27" s="1">
        <v>2023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244">
        <f t="shared" si="8"/>
        <v>0</v>
      </c>
      <c r="P27" s="297"/>
      <c r="Q27" s="188">
        <f t="shared" si="1"/>
        <v>0</v>
      </c>
      <c r="R27" s="280">
        <f t="shared" si="2"/>
        <v>0</v>
      </c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</row>
    <row r="28" spans="1:4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4">
        <f>SUM(O2:O27)</f>
        <v>10677.247248716067</v>
      </c>
      <c r="P28" s="189">
        <f t="shared" ref="P28:R28" si="9">SUM(P2:P27)</f>
        <v>29862</v>
      </c>
      <c r="Q28" s="4">
        <f t="shared" si="9"/>
        <v>3203.17417461482</v>
      </c>
      <c r="R28" s="189">
        <f t="shared" si="9"/>
        <v>8958.5999999999967</v>
      </c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</row>
    <row r="29" spans="1:45">
      <c r="Q29" s="197">
        <v>299</v>
      </c>
      <c r="S29" s="269">
        <v>45324</v>
      </c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</row>
    <row r="30" spans="1:45">
      <c r="S30" s="266" t="s">
        <v>184</v>
      </c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</row>
    <row r="31" spans="1:45">
      <c r="A31" s="538" t="s">
        <v>180</v>
      </c>
      <c r="B31" s="538"/>
      <c r="C31" s="538"/>
      <c r="D31" s="538"/>
      <c r="E31" s="538"/>
      <c r="F31" s="538"/>
      <c r="G31" s="538"/>
      <c r="H31" s="538"/>
      <c r="I31" s="538"/>
      <c r="J31" s="538"/>
      <c r="K31" s="538"/>
      <c r="L31" s="538"/>
      <c r="M31" s="538"/>
      <c r="N31" s="538"/>
      <c r="O31" s="538"/>
      <c r="P31" s="538"/>
      <c r="Q31" s="538"/>
      <c r="R31" s="538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</row>
    <row r="32" spans="1:45">
      <c r="A32" s="209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</row>
    <row r="33" spans="1:44">
      <c r="A33" s="209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</row>
    <row r="34" spans="1:44">
      <c r="F34" s="539" t="s">
        <v>165</v>
      </c>
      <c r="G34" s="539"/>
      <c r="H34" s="539"/>
      <c r="I34" s="539"/>
      <c r="J34" s="539"/>
      <c r="K34" s="539"/>
      <c r="L34" s="539"/>
      <c r="M34" s="539"/>
      <c r="N34" s="539"/>
      <c r="O34" s="539"/>
    </row>
    <row r="35" spans="1:44" s="203" customFormat="1"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R35" s="204">
        <v>1</v>
      </c>
      <c r="S35" s="204">
        <v>2</v>
      </c>
      <c r="T35" s="204">
        <v>3</v>
      </c>
      <c r="U35" s="204">
        <v>4</v>
      </c>
      <c r="V35" s="204">
        <v>5</v>
      </c>
      <c r="W35" s="204">
        <v>6</v>
      </c>
      <c r="X35" s="204">
        <v>7</v>
      </c>
      <c r="Y35" s="204">
        <v>8</v>
      </c>
      <c r="Z35" s="204">
        <v>9</v>
      </c>
      <c r="AA35" s="204">
        <v>10</v>
      </c>
      <c r="AB35" s="204">
        <v>11</v>
      </c>
      <c r="AC35" s="204">
        <v>12</v>
      </c>
    </row>
    <row r="36" spans="1:44">
      <c r="A36" s="2">
        <v>1998</v>
      </c>
      <c r="B36" s="205"/>
      <c r="C36" s="205"/>
      <c r="D36" s="205"/>
      <c r="E36" s="205"/>
      <c r="F36" s="205"/>
      <c r="G36" s="205"/>
      <c r="H36" s="205"/>
      <c r="I36" s="169">
        <v>14</v>
      </c>
      <c r="J36" s="206">
        <v>50</v>
      </c>
      <c r="K36" s="206">
        <v>43</v>
      </c>
      <c r="L36" s="206">
        <v>40</v>
      </c>
      <c r="M36" s="206">
        <v>89</v>
      </c>
      <c r="N36" s="207">
        <f t="shared" ref="N36:N53" si="10">SUM(B36:M36)</f>
        <v>236</v>
      </c>
      <c r="O36" s="2">
        <v>100</v>
      </c>
      <c r="R36" s="247">
        <f>B36*100</f>
        <v>0</v>
      </c>
      <c r="S36" s="247">
        <f t="shared" ref="S36:AA39" si="11">C36*100</f>
        <v>0</v>
      </c>
      <c r="T36" s="247">
        <f t="shared" si="11"/>
        <v>0</v>
      </c>
      <c r="U36" s="247">
        <f t="shared" si="11"/>
        <v>0</v>
      </c>
      <c r="V36" s="247">
        <f t="shared" si="11"/>
        <v>0</v>
      </c>
      <c r="W36" s="247">
        <f t="shared" si="11"/>
        <v>0</v>
      </c>
      <c r="X36" s="247">
        <f t="shared" si="11"/>
        <v>0</v>
      </c>
      <c r="Y36" s="207">
        <f t="shared" si="11"/>
        <v>1400</v>
      </c>
      <c r="Z36" s="207">
        <f t="shared" si="11"/>
        <v>5000</v>
      </c>
      <c r="AA36" s="207">
        <f t="shared" si="11"/>
        <v>4300</v>
      </c>
      <c r="AB36" s="207">
        <f t="shared" ref="AB36:AC39" si="12">L36*100</f>
        <v>4000</v>
      </c>
      <c r="AC36" s="207">
        <f t="shared" ref="AC36:AC38" si="13">M36*100</f>
        <v>8900</v>
      </c>
    </row>
    <row r="37" spans="1:44">
      <c r="A37" s="2">
        <v>1999</v>
      </c>
      <c r="B37" s="206">
        <v>18</v>
      </c>
      <c r="C37" s="206">
        <v>26</v>
      </c>
      <c r="D37" s="206">
        <v>49</v>
      </c>
      <c r="E37" s="206">
        <v>42</v>
      </c>
      <c r="F37" s="206">
        <v>35</v>
      </c>
      <c r="G37" s="206">
        <v>52</v>
      </c>
      <c r="H37" s="206">
        <v>51</v>
      </c>
      <c r="I37" s="206">
        <v>89</v>
      </c>
      <c r="J37" s="206">
        <v>72</v>
      </c>
      <c r="K37" s="206">
        <v>51</v>
      </c>
      <c r="L37" s="206">
        <v>34</v>
      </c>
      <c r="M37" s="206">
        <v>47</v>
      </c>
      <c r="N37" s="207">
        <f t="shared" si="10"/>
        <v>566</v>
      </c>
      <c r="O37" s="2">
        <v>100</v>
      </c>
      <c r="R37" s="207">
        <f t="shared" ref="R37:R39" si="14">B37*100</f>
        <v>1800</v>
      </c>
      <c r="S37" s="207">
        <f t="shared" si="11"/>
        <v>2600</v>
      </c>
      <c r="T37" s="207">
        <f t="shared" si="11"/>
        <v>4900</v>
      </c>
      <c r="U37" s="207">
        <f t="shared" si="11"/>
        <v>4200</v>
      </c>
      <c r="V37" s="207">
        <f t="shared" si="11"/>
        <v>3500</v>
      </c>
      <c r="W37" s="207">
        <f t="shared" si="11"/>
        <v>5200</v>
      </c>
      <c r="X37" s="207">
        <f t="shared" si="11"/>
        <v>5100</v>
      </c>
      <c r="Y37" s="207">
        <f t="shared" si="11"/>
        <v>8900</v>
      </c>
      <c r="Z37" s="207">
        <f t="shared" si="11"/>
        <v>7200</v>
      </c>
      <c r="AA37" s="207">
        <f t="shared" si="11"/>
        <v>5100</v>
      </c>
      <c r="AB37" s="207">
        <f t="shared" si="12"/>
        <v>3400</v>
      </c>
      <c r="AC37" s="207">
        <f t="shared" si="13"/>
        <v>4700</v>
      </c>
    </row>
    <row r="38" spans="1:44">
      <c r="A38" s="2">
        <v>2000</v>
      </c>
      <c r="B38" s="206">
        <v>28</v>
      </c>
      <c r="C38" s="206">
        <v>36</v>
      </c>
      <c r="D38" s="206">
        <v>41</v>
      </c>
      <c r="E38" s="206">
        <v>33</v>
      </c>
      <c r="F38" s="206">
        <v>51</v>
      </c>
      <c r="G38" s="206">
        <v>40</v>
      </c>
      <c r="H38" s="206">
        <v>48</v>
      </c>
      <c r="I38" s="206">
        <v>86</v>
      </c>
      <c r="J38" s="206">
        <v>44</v>
      </c>
      <c r="K38" s="206">
        <v>50</v>
      </c>
      <c r="L38" s="206">
        <v>60</v>
      </c>
      <c r="M38" s="206">
        <v>47</v>
      </c>
      <c r="N38" s="207">
        <f t="shared" si="10"/>
        <v>564</v>
      </c>
      <c r="O38" s="2">
        <v>100</v>
      </c>
      <c r="P38" s="2" t="s">
        <v>152</v>
      </c>
      <c r="R38" s="207">
        <f t="shared" si="14"/>
        <v>2800</v>
      </c>
      <c r="S38" s="207">
        <f t="shared" si="11"/>
        <v>3600</v>
      </c>
      <c r="T38" s="207">
        <f t="shared" si="11"/>
        <v>4100</v>
      </c>
      <c r="U38" s="207">
        <f t="shared" si="11"/>
        <v>3300</v>
      </c>
      <c r="V38" s="207">
        <f t="shared" si="11"/>
        <v>5100</v>
      </c>
      <c r="W38" s="207">
        <f t="shared" si="11"/>
        <v>4000</v>
      </c>
      <c r="X38" s="207">
        <f t="shared" si="11"/>
        <v>4800</v>
      </c>
      <c r="Y38" s="207">
        <f t="shared" si="11"/>
        <v>8600</v>
      </c>
      <c r="Z38" s="207">
        <f t="shared" si="11"/>
        <v>4400</v>
      </c>
      <c r="AA38" s="207">
        <f t="shared" si="11"/>
        <v>5000</v>
      </c>
      <c r="AB38" s="207">
        <f t="shared" si="12"/>
        <v>6000</v>
      </c>
      <c r="AC38" s="207">
        <f t="shared" si="13"/>
        <v>4700</v>
      </c>
    </row>
    <row r="39" spans="1:44">
      <c r="A39" s="2">
        <v>2001</v>
      </c>
      <c r="B39" s="169">
        <v>40</v>
      </c>
      <c r="C39" s="169">
        <v>54</v>
      </c>
      <c r="D39" s="206">
        <v>35</v>
      </c>
      <c r="E39" s="169">
        <v>35</v>
      </c>
      <c r="F39" s="169">
        <v>42</v>
      </c>
      <c r="G39" s="169">
        <v>33</v>
      </c>
      <c r="H39" s="169">
        <v>56</v>
      </c>
      <c r="I39" s="169">
        <v>81</v>
      </c>
      <c r="J39" s="169">
        <v>55</v>
      </c>
      <c r="K39" s="169">
        <v>34</v>
      </c>
      <c r="L39" s="169">
        <v>58</v>
      </c>
      <c r="M39" s="169">
        <v>57</v>
      </c>
      <c r="N39" s="207">
        <f t="shared" si="10"/>
        <v>580</v>
      </c>
      <c r="O39" s="2">
        <v>100</v>
      </c>
      <c r="R39" s="207">
        <f t="shared" si="14"/>
        <v>4000</v>
      </c>
      <c r="S39" s="207">
        <f t="shared" si="11"/>
        <v>5400</v>
      </c>
      <c r="T39" s="207">
        <f t="shared" si="11"/>
        <v>3500</v>
      </c>
      <c r="U39" s="207">
        <f t="shared" si="11"/>
        <v>3500</v>
      </c>
      <c r="V39" s="207">
        <f t="shared" si="11"/>
        <v>4200</v>
      </c>
      <c r="W39" s="207">
        <f t="shared" si="11"/>
        <v>3300</v>
      </c>
      <c r="X39" s="207">
        <f t="shared" si="11"/>
        <v>5600</v>
      </c>
      <c r="Y39" s="207">
        <f t="shared" si="11"/>
        <v>8100</v>
      </c>
      <c r="Z39" s="207">
        <f t="shared" si="11"/>
        <v>5500</v>
      </c>
      <c r="AA39" s="207">
        <f t="shared" si="11"/>
        <v>3400</v>
      </c>
      <c r="AB39" s="207">
        <f t="shared" si="12"/>
        <v>5800</v>
      </c>
      <c r="AC39" s="207">
        <f t="shared" si="12"/>
        <v>5700</v>
      </c>
    </row>
    <row r="40" spans="1:44">
      <c r="A40" s="2">
        <v>2002</v>
      </c>
      <c r="B40" s="169"/>
      <c r="C40" s="169"/>
      <c r="D40" s="170">
        <v>650</v>
      </c>
      <c r="E40" s="169"/>
      <c r="F40" s="169"/>
      <c r="G40" s="169"/>
      <c r="H40" s="169"/>
      <c r="I40" s="169"/>
      <c r="J40" s="169"/>
      <c r="K40" s="169"/>
      <c r="L40" s="169"/>
      <c r="M40" s="169"/>
      <c r="N40" s="207">
        <f t="shared" si="10"/>
        <v>650</v>
      </c>
      <c r="O40" s="2">
        <v>0.5</v>
      </c>
    </row>
    <row r="41" spans="1:44">
      <c r="A41" s="2">
        <v>2003</v>
      </c>
      <c r="B41" s="169">
        <v>44</v>
      </c>
      <c r="C41" s="169"/>
      <c r="D41" s="170">
        <v>917</v>
      </c>
      <c r="E41" s="169"/>
      <c r="F41" s="169"/>
      <c r="G41" s="169"/>
      <c r="H41" s="169"/>
      <c r="I41" s="169"/>
      <c r="J41" s="169"/>
      <c r="K41" s="169"/>
      <c r="L41" s="169"/>
      <c r="M41" s="169"/>
      <c r="N41" s="207">
        <f t="shared" si="10"/>
        <v>961</v>
      </c>
      <c r="O41" s="2">
        <v>0.5</v>
      </c>
    </row>
    <row r="42" spans="1:44">
      <c r="A42" s="2">
        <v>2004</v>
      </c>
      <c r="B42" s="169">
        <v>40</v>
      </c>
      <c r="C42" s="169"/>
      <c r="D42" s="170">
        <v>942</v>
      </c>
      <c r="E42" s="169"/>
      <c r="F42" s="169"/>
      <c r="G42" s="169"/>
      <c r="H42" s="169"/>
      <c r="I42" s="169"/>
      <c r="J42" s="169"/>
      <c r="K42" s="169"/>
      <c r="L42" s="169"/>
      <c r="M42" s="169"/>
      <c r="N42" s="207">
        <f t="shared" si="10"/>
        <v>982</v>
      </c>
      <c r="O42" s="2">
        <v>0.5</v>
      </c>
      <c r="P42" s="208"/>
      <c r="Q42" s="208"/>
    </row>
    <row r="43" spans="1:44">
      <c r="A43" s="2">
        <v>2005</v>
      </c>
      <c r="B43" s="169">
        <v>43</v>
      </c>
      <c r="C43" s="169"/>
      <c r="D43" s="170">
        <v>1010</v>
      </c>
      <c r="E43" s="169"/>
      <c r="F43" s="169"/>
      <c r="G43" s="169"/>
      <c r="H43" s="169"/>
      <c r="I43" s="169"/>
      <c r="J43" s="169"/>
      <c r="K43" s="169"/>
      <c r="L43" s="169"/>
      <c r="M43" s="169"/>
      <c r="N43" s="207">
        <f t="shared" si="10"/>
        <v>1053</v>
      </c>
      <c r="O43" s="2">
        <v>0.5</v>
      </c>
      <c r="P43" s="208" t="s">
        <v>153</v>
      </c>
      <c r="Q43" s="208"/>
    </row>
    <row r="44" spans="1:44">
      <c r="A44" s="2">
        <v>2006</v>
      </c>
      <c r="B44" s="169">
        <v>64</v>
      </c>
      <c r="C44" s="169"/>
      <c r="D44" s="170">
        <v>908</v>
      </c>
      <c r="E44" s="169"/>
      <c r="F44" s="169"/>
      <c r="G44" s="169"/>
      <c r="H44" s="169"/>
      <c r="I44" s="169"/>
      <c r="J44" s="169"/>
      <c r="K44" s="169"/>
      <c r="L44" s="169"/>
      <c r="M44" s="169"/>
      <c r="N44" s="207">
        <f t="shared" si="10"/>
        <v>972</v>
      </c>
      <c r="O44" s="2">
        <v>0.5</v>
      </c>
      <c r="P44" s="208" t="s">
        <v>153</v>
      </c>
      <c r="Q44" s="208"/>
    </row>
    <row r="45" spans="1:44">
      <c r="A45" s="2">
        <v>2007</v>
      </c>
      <c r="B45" s="169">
        <v>82</v>
      </c>
      <c r="C45" s="169"/>
      <c r="D45" s="170">
        <v>849</v>
      </c>
      <c r="E45" s="169"/>
      <c r="F45" s="169"/>
      <c r="G45" s="169"/>
      <c r="H45" s="169"/>
      <c r="I45" s="169"/>
      <c r="J45" s="169"/>
      <c r="K45" s="169"/>
      <c r="L45" s="169"/>
      <c r="M45" s="169"/>
      <c r="N45" s="207">
        <f t="shared" si="10"/>
        <v>931</v>
      </c>
      <c r="O45" s="2">
        <v>0.5</v>
      </c>
      <c r="P45" s="208" t="s">
        <v>153</v>
      </c>
      <c r="Q45" s="208"/>
    </row>
    <row r="46" spans="1:44">
      <c r="A46" s="2">
        <v>2008</v>
      </c>
      <c r="B46" s="169">
        <v>78</v>
      </c>
      <c r="C46" s="169"/>
      <c r="D46" s="170">
        <v>879</v>
      </c>
      <c r="E46" s="169"/>
      <c r="F46" s="169"/>
      <c r="G46" s="169"/>
      <c r="H46" s="169"/>
      <c r="I46" s="169"/>
      <c r="J46" s="169"/>
      <c r="K46" s="169"/>
      <c r="L46" s="169"/>
      <c r="M46" s="169"/>
      <c r="N46" s="207">
        <f t="shared" si="10"/>
        <v>957</v>
      </c>
      <c r="O46" s="2">
        <v>0.5</v>
      </c>
      <c r="P46" s="208" t="s">
        <v>153</v>
      </c>
      <c r="Q46" s="208"/>
    </row>
    <row r="47" spans="1:44">
      <c r="A47" s="2">
        <v>2009</v>
      </c>
      <c r="B47" s="169">
        <v>56</v>
      </c>
      <c r="C47" s="169"/>
      <c r="D47" s="170">
        <v>745</v>
      </c>
      <c r="E47" s="169"/>
      <c r="F47" s="169"/>
      <c r="G47" s="169"/>
      <c r="H47" s="169"/>
      <c r="I47" s="169"/>
      <c r="J47" s="169"/>
      <c r="K47" s="169"/>
      <c r="L47" s="169"/>
      <c r="M47" s="169"/>
      <c r="N47" s="207">
        <f t="shared" si="10"/>
        <v>801</v>
      </c>
      <c r="O47" s="2">
        <v>0.5</v>
      </c>
      <c r="P47" s="208" t="s">
        <v>153</v>
      </c>
      <c r="Q47" s="208"/>
    </row>
    <row r="48" spans="1:44">
      <c r="A48" s="2">
        <v>2010</v>
      </c>
      <c r="B48" s="169">
        <v>34</v>
      </c>
      <c r="C48" s="169"/>
      <c r="D48" s="170">
        <v>668</v>
      </c>
      <c r="E48" s="169"/>
      <c r="F48" s="169"/>
      <c r="G48" s="169"/>
      <c r="H48" s="169"/>
      <c r="I48" s="169"/>
      <c r="J48" s="169"/>
      <c r="K48" s="169"/>
      <c r="L48" s="169"/>
      <c r="M48" s="169"/>
      <c r="N48" s="207">
        <f t="shared" si="10"/>
        <v>702</v>
      </c>
      <c r="O48" s="2">
        <v>0.5</v>
      </c>
      <c r="P48" s="208" t="s">
        <v>153</v>
      </c>
      <c r="Q48" s="208"/>
    </row>
    <row r="49" spans="1:18">
      <c r="A49" s="2">
        <v>2011</v>
      </c>
      <c r="B49" s="169">
        <v>33</v>
      </c>
      <c r="C49" s="169"/>
      <c r="D49" s="170">
        <v>542</v>
      </c>
      <c r="E49" s="169"/>
      <c r="F49" s="169"/>
      <c r="G49" s="169"/>
      <c r="H49" s="169"/>
      <c r="I49" s="169"/>
      <c r="J49" s="169"/>
      <c r="K49" s="169"/>
      <c r="L49" s="169"/>
      <c r="M49" s="169"/>
      <c r="N49" s="207">
        <f t="shared" si="10"/>
        <v>575</v>
      </c>
      <c r="O49" s="2">
        <v>0.5</v>
      </c>
      <c r="P49" s="208" t="s">
        <v>153</v>
      </c>
      <c r="Q49" s="208"/>
    </row>
    <row r="50" spans="1:18">
      <c r="A50" s="2">
        <v>2012</v>
      </c>
      <c r="B50" s="169">
        <v>21</v>
      </c>
      <c r="C50" s="169"/>
      <c r="D50" s="170">
        <v>442</v>
      </c>
      <c r="E50" s="169"/>
      <c r="F50" s="169"/>
      <c r="G50" s="169"/>
      <c r="H50" s="169"/>
      <c r="I50" s="169"/>
      <c r="J50" s="169"/>
      <c r="K50" s="169"/>
      <c r="L50" s="169"/>
      <c r="M50" s="169"/>
      <c r="N50" s="207">
        <f t="shared" si="10"/>
        <v>463</v>
      </c>
      <c r="O50" s="2">
        <v>0.5</v>
      </c>
      <c r="P50" s="208" t="s">
        <v>153</v>
      </c>
      <c r="Q50" s="208"/>
    </row>
    <row r="51" spans="1:18">
      <c r="A51" s="2">
        <v>2013</v>
      </c>
      <c r="B51" s="169">
        <v>35</v>
      </c>
      <c r="C51" s="169">
        <v>32</v>
      </c>
      <c r="D51" s="169">
        <v>51</v>
      </c>
      <c r="E51" s="169">
        <v>54</v>
      </c>
      <c r="F51" s="169">
        <v>66</v>
      </c>
      <c r="G51" s="169">
        <v>37</v>
      </c>
      <c r="H51" s="169">
        <v>59</v>
      </c>
      <c r="I51" s="169">
        <v>77</v>
      </c>
      <c r="J51" s="169">
        <v>65</v>
      </c>
      <c r="K51" s="169">
        <v>42</v>
      </c>
      <c r="L51" s="169">
        <v>51</v>
      </c>
      <c r="M51" s="169">
        <v>49</v>
      </c>
      <c r="N51" s="207">
        <f t="shared" si="10"/>
        <v>618</v>
      </c>
      <c r="O51" s="2">
        <v>0.5</v>
      </c>
      <c r="P51" s="208" t="s">
        <v>153</v>
      </c>
      <c r="Q51" s="208"/>
    </row>
    <row r="52" spans="1:18">
      <c r="A52" s="2">
        <v>2014</v>
      </c>
      <c r="B52" s="169">
        <v>26</v>
      </c>
      <c r="C52" s="169">
        <v>47</v>
      </c>
      <c r="D52" s="206">
        <v>37</v>
      </c>
      <c r="E52" s="169">
        <v>20</v>
      </c>
      <c r="F52" s="169">
        <v>31</v>
      </c>
      <c r="G52" s="169">
        <v>47</v>
      </c>
      <c r="H52" s="169">
        <v>55</v>
      </c>
      <c r="I52" s="169">
        <v>61</v>
      </c>
      <c r="J52" s="169">
        <v>86</v>
      </c>
      <c r="K52" s="169">
        <v>62</v>
      </c>
      <c r="L52" s="169">
        <v>59</v>
      </c>
      <c r="M52" s="169">
        <v>57</v>
      </c>
      <c r="N52" s="207">
        <f t="shared" si="10"/>
        <v>588</v>
      </c>
      <c r="O52" s="2">
        <v>0.5</v>
      </c>
      <c r="P52" s="208" t="s">
        <v>153</v>
      </c>
      <c r="Q52" s="208"/>
    </row>
    <row r="53" spans="1:18">
      <c r="A53" s="2">
        <v>2015</v>
      </c>
      <c r="B53" s="169">
        <v>21</v>
      </c>
      <c r="C53" s="169">
        <v>60</v>
      </c>
      <c r="D53" s="169">
        <v>49</v>
      </c>
      <c r="E53" s="169">
        <v>53</v>
      </c>
      <c r="F53" s="169">
        <v>52</v>
      </c>
      <c r="G53" s="169">
        <v>53</v>
      </c>
      <c r="H53" s="169">
        <v>56</v>
      </c>
      <c r="I53" s="169">
        <v>72</v>
      </c>
      <c r="J53" s="169">
        <v>79</v>
      </c>
      <c r="K53" s="169">
        <v>64</v>
      </c>
      <c r="L53" s="169">
        <v>64</v>
      </c>
      <c r="M53" s="169">
        <v>75</v>
      </c>
      <c r="N53" s="207">
        <f t="shared" si="10"/>
        <v>698</v>
      </c>
      <c r="O53" s="2">
        <v>0.5</v>
      </c>
      <c r="P53" s="208" t="s">
        <v>153</v>
      </c>
      <c r="Q53" s="208"/>
    </row>
    <row r="54" spans="1:18">
      <c r="A54" s="2">
        <v>2016</v>
      </c>
      <c r="B54" s="169">
        <v>16</v>
      </c>
      <c r="C54" s="169">
        <v>22</v>
      </c>
      <c r="D54" s="206">
        <v>39</v>
      </c>
      <c r="E54" s="169">
        <v>55</v>
      </c>
      <c r="F54" s="169">
        <v>53</v>
      </c>
      <c r="G54" s="169">
        <v>52</v>
      </c>
      <c r="H54" s="206">
        <v>52</v>
      </c>
      <c r="I54" s="169">
        <v>98</v>
      </c>
      <c r="J54" s="169">
        <v>85</v>
      </c>
      <c r="K54" s="169">
        <v>66</v>
      </c>
      <c r="L54" s="169">
        <v>54</v>
      </c>
      <c r="M54" s="169">
        <v>110</v>
      </c>
      <c r="N54" s="207">
        <f>SUM(B54:M54)</f>
        <v>702</v>
      </c>
      <c r="O54" s="2">
        <v>0.5</v>
      </c>
      <c r="P54" s="208" t="s">
        <v>153</v>
      </c>
      <c r="Q54" s="208"/>
    </row>
    <row r="55" spans="1:18">
      <c r="A55" s="2">
        <v>2017</v>
      </c>
      <c r="B55" s="169">
        <v>35</v>
      </c>
      <c r="C55" s="169"/>
      <c r="D55" s="169"/>
      <c r="E55" s="169"/>
      <c r="F55" s="169"/>
      <c r="G55" s="169"/>
      <c r="H55" s="170">
        <v>656</v>
      </c>
      <c r="I55" s="169"/>
      <c r="J55" s="169"/>
      <c r="K55" s="169"/>
      <c r="L55" s="169"/>
      <c r="M55" s="169"/>
      <c r="N55" s="207">
        <f t="shared" ref="N55:N58" si="15">SUM(B55:M55)</f>
        <v>691</v>
      </c>
      <c r="O55" s="2">
        <v>2</v>
      </c>
      <c r="P55" s="208" t="s">
        <v>153</v>
      </c>
      <c r="Q55" s="208"/>
    </row>
    <row r="56" spans="1:18">
      <c r="A56" s="2">
        <v>2018</v>
      </c>
      <c r="B56" s="169">
        <v>33</v>
      </c>
      <c r="C56" s="169"/>
      <c r="D56" s="169"/>
      <c r="E56" s="169"/>
      <c r="F56" s="169"/>
      <c r="G56" s="169"/>
      <c r="H56" s="170">
        <v>572</v>
      </c>
      <c r="I56" s="169"/>
      <c r="J56" s="169"/>
      <c r="K56" s="169"/>
      <c r="L56" s="169"/>
      <c r="M56" s="169"/>
      <c r="N56" s="207">
        <f t="shared" si="15"/>
        <v>605</v>
      </c>
      <c r="O56" s="2">
        <v>2</v>
      </c>
      <c r="P56" s="208" t="s">
        <v>153</v>
      </c>
      <c r="Q56" s="208"/>
    </row>
    <row r="57" spans="1:18">
      <c r="A57" s="2">
        <v>2019</v>
      </c>
      <c r="B57" s="169">
        <v>18</v>
      </c>
      <c r="C57" s="169">
        <v>49</v>
      </c>
      <c r="D57" s="169">
        <v>60</v>
      </c>
      <c r="E57" s="169"/>
      <c r="F57" s="169"/>
      <c r="G57" s="169"/>
      <c r="H57" s="170">
        <v>653</v>
      </c>
      <c r="I57" s="169"/>
      <c r="J57" s="169"/>
      <c r="K57" s="169"/>
      <c r="L57" s="169"/>
      <c r="M57" s="169"/>
      <c r="N57" s="207">
        <f t="shared" si="15"/>
        <v>780</v>
      </c>
      <c r="O57" s="2">
        <v>2</v>
      </c>
      <c r="P57" s="208" t="s">
        <v>153</v>
      </c>
      <c r="Q57" s="208"/>
    </row>
    <row r="58" spans="1:18">
      <c r="A58" s="2">
        <v>2020</v>
      </c>
      <c r="B58" s="169">
        <v>23</v>
      </c>
      <c r="C58" s="169">
        <v>44</v>
      </c>
      <c r="D58" s="169">
        <v>21</v>
      </c>
      <c r="E58" s="169">
        <v>10</v>
      </c>
      <c r="F58" s="169">
        <v>21</v>
      </c>
      <c r="G58" s="169">
        <v>21</v>
      </c>
      <c r="H58" s="169">
        <v>47</v>
      </c>
      <c r="I58" s="169">
        <v>40</v>
      </c>
      <c r="J58" s="169">
        <v>55</v>
      </c>
      <c r="K58" s="169">
        <v>41</v>
      </c>
      <c r="L58" s="169">
        <v>26</v>
      </c>
      <c r="M58" s="169">
        <v>39</v>
      </c>
      <c r="N58" s="207">
        <f t="shared" si="15"/>
        <v>388</v>
      </c>
      <c r="O58" s="2">
        <v>1</v>
      </c>
      <c r="P58" s="208" t="s">
        <v>156</v>
      </c>
      <c r="Q58" s="208" t="s">
        <v>153</v>
      </c>
      <c r="R58" s="208"/>
    </row>
    <row r="59" spans="1:18">
      <c r="A59" s="2">
        <v>2021</v>
      </c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</row>
    <row r="60" spans="1:18"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</row>
    <row r="61" spans="1:18"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</row>
    <row r="62" spans="1:18"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</row>
    <row r="63" spans="1:18"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</row>
    <row r="64" spans="1:18"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</row>
  </sheetData>
  <mergeCells count="2">
    <mergeCell ref="A31:R31"/>
    <mergeCell ref="F34:O3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P62"/>
  <sheetViews>
    <sheetView workbookViewId="0">
      <pane ySplit="1" topLeftCell="A2" activePane="bottomLeft" state="frozen"/>
      <selection pane="bottomLeft" activeCell="P25" sqref="P25"/>
    </sheetView>
  </sheetViews>
  <sheetFormatPr defaultRowHeight="12.75"/>
  <cols>
    <col min="1" max="1" width="3.88671875" style="2" bestFit="1" customWidth="1"/>
    <col min="2" max="2" width="8.33203125" style="2" bestFit="1" customWidth="1"/>
    <col min="3" max="3" width="7.21875" style="2" bestFit="1" customWidth="1"/>
    <col min="4" max="4" width="8.44140625" style="2" bestFit="1" customWidth="1"/>
    <col min="5" max="7" width="6.44140625" style="2" bestFit="1" customWidth="1"/>
    <col min="8" max="8" width="7.21875" style="2" bestFit="1" customWidth="1"/>
    <col min="9" max="9" width="6.44140625" style="2" bestFit="1" customWidth="1"/>
    <col min="10" max="10" width="7.21875" style="2" bestFit="1" customWidth="1"/>
    <col min="11" max="12" width="6.44140625" style="2" bestFit="1" customWidth="1"/>
    <col min="13" max="13" width="8.44140625" style="2" bestFit="1" customWidth="1"/>
    <col min="14" max="14" width="7.21875" style="2" bestFit="1" customWidth="1"/>
    <col min="15" max="16" width="9.21875" style="2" bestFit="1" customWidth="1"/>
    <col min="17" max="17" width="11.109375" style="2" bestFit="1" customWidth="1"/>
    <col min="18" max="18" width="9.21875" style="2" bestFit="1" customWidth="1"/>
    <col min="19" max="19" width="8.109375" style="2" customWidth="1"/>
    <col min="20" max="20" width="7.21875" style="2" customWidth="1"/>
    <col min="21" max="31" width="6.44140625" style="2" bestFit="1" customWidth="1"/>
    <col min="32" max="16384" width="8.88671875" style="2"/>
  </cols>
  <sheetData>
    <row r="1" spans="1:42" ht="13.5" thickBot="1">
      <c r="A1" s="166"/>
      <c r="B1" s="171" t="s">
        <v>4</v>
      </c>
      <c r="C1" s="173" t="s">
        <v>5</v>
      </c>
      <c r="D1" s="171" t="s">
        <v>6</v>
      </c>
      <c r="E1" s="172" t="s">
        <v>7</v>
      </c>
      <c r="F1" s="171" t="s">
        <v>2</v>
      </c>
      <c r="G1" s="173" t="s">
        <v>8</v>
      </c>
      <c r="H1" s="171" t="s">
        <v>9</v>
      </c>
      <c r="I1" s="172" t="s">
        <v>10</v>
      </c>
      <c r="J1" s="171" t="s">
        <v>11</v>
      </c>
      <c r="K1" s="173" t="s">
        <v>12</v>
      </c>
      <c r="L1" s="171" t="s">
        <v>13</v>
      </c>
      <c r="M1" s="172" t="s">
        <v>14</v>
      </c>
      <c r="N1" s="185" t="s">
        <v>29</v>
      </c>
      <c r="O1" s="186" t="s">
        <v>147</v>
      </c>
      <c r="P1" s="186" t="s">
        <v>139</v>
      </c>
      <c r="Q1" s="212" t="s">
        <v>149</v>
      </c>
      <c r="R1" s="186" t="s">
        <v>139</v>
      </c>
    </row>
    <row r="2" spans="1:42">
      <c r="A2" s="7">
        <v>1998</v>
      </c>
      <c r="B2" s="130"/>
      <c r="C2" s="130"/>
      <c r="D2" s="130"/>
      <c r="E2" s="130"/>
      <c r="F2" s="130"/>
      <c r="G2" s="130"/>
      <c r="H2" s="130"/>
      <c r="I2" s="125">
        <v>1400</v>
      </c>
      <c r="J2" s="125">
        <v>5200</v>
      </c>
      <c r="K2" s="125">
        <v>4200</v>
      </c>
      <c r="L2" s="125">
        <v>4100</v>
      </c>
      <c r="M2" s="125">
        <v>9000</v>
      </c>
      <c r="N2" s="125">
        <f>SUM(I2:M2)</f>
        <v>23900</v>
      </c>
      <c r="O2" s="123">
        <f>N2/340.75</f>
        <v>70.139398385913424</v>
      </c>
      <c r="P2" s="125">
        <v>782</v>
      </c>
      <c r="Q2" s="123">
        <f>O2*30%</f>
        <v>21.041819515774026</v>
      </c>
      <c r="R2" s="278">
        <f>P2*30%</f>
        <v>234.6</v>
      </c>
      <c r="T2" s="6">
        <f>B2/340.75</f>
        <v>0</v>
      </c>
      <c r="U2" s="6">
        <f t="shared" ref="U2:AE6" si="0">C2/340.75</f>
        <v>0</v>
      </c>
      <c r="V2" s="6">
        <f t="shared" si="0"/>
        <v>0</v>
      </c>
      <c r="W2" s="6">
        <f t="shared" si="0"/>
        <v>0</v>
      </c>
      <c r="X2" s="6">
        <f t="shared" si="0"/>
        <v>0</v>
      </c>
      <c r="Y2" s="6">
        <f t="shared" si="0"/>
        <v>0</v>
      </c>
      <c r="Z2" s="6">
        <f t="shared" si="0"/>
        <v>0</v>
      </c>
      <c r="AA2" s="6">
        <f t="shared" si="0"/>
        <v>4.1085840058694059</v>
      </c>
      <c r="AB2" s="6">
        <f t="shared" si="0"/>
        <v>15.260454878943507</v>
      </c>
      <c r="AC2" s="6">
        <f t="shared" si="0"/>
        <v>12.325752017608217</v>
      </c>
      <c r="AD2" s="6">
        <f t="shared" si="0"/>
        <v>12.032281731474688</v>
      </c>
      <c r="AE2" s="6">
        <f t="shared" si="0"/>
        <v>26.412325752017608</v>
      </c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>
      <c r="A3" s="1">
        <v>1999</v>
      </c>
      <c r="B3" s="189">
        <v>1800</v>
      </c>
      <c r="C3" s="189">
        <v>2700</v>
      </c>
      <c r="D3" s="189">
        <v>4900</v>
      </c>
      <c r="E3" s="189">
        <v>4200</v>
      </c>
      <c r="F3" s="189">
        <v>3500</v>
      </c>
      <c r="G3" s="189">
        <v>5200</v>
      </c>
      <c r="H3" s="189">
        <v>5200</v>
      </c>
      <c r="I3" s="189">
        <v>8900</v>
      </c>
      <c r="J3" s="189">
        <v>7200</v>
      </c>
      <c r="K3" s="189">
        <v>5100</v>
      </c>
      <c r="L3" s="189">
        <v>3200</v>
      </c>
      <c r="M3" s="189">
        <v>4800</v>
      </c>
      <c r="N3" s="125">
        <f>SUM(B3:M3)</f>
        <v>56700</v>
      </c>
      <c r="O3" s="123">
        <f>N3/340.75</f>
        <v>166.39765223771093</v>
      </c>
      <c r="P3" s="125">
        <v>1663</v>
      </c>
      <c r="Q3" s="123">
        <f t="shared" ref="Q3:Q27" si="1">O3*30%</f>
        <v>49.919295671313279</v>
      </c>
      <c r="R3" s="278">
        <f t="shared" ref="R3:R27" si="2">P3*30%</f>
        <v>498.9</v>
      </c>
      <c r="T3" s="6">
        <f t="shared" ref="T3:T6" si="3">B3/340.75</f>
        <v>5.2824651504035218</v>
      </c>
      <c r="U3" s="6">
        <f t="shared" si="0"/>
        <v>7.9236977256052823</v>
      </c>
      <c r="V3" s="6">
        <f t="shared" si="0"/>
        <v>14.38004402054292</v>
      </c>
      <c r="W3" s="6">
        <f t="shared" si="0"/>
        <v>12.325752017608217</v>
      </c>
      <c r="X3" s="6">
        <f t="shared" si="0"/>
        <v>10.271460014673515</v>
      </c>
      <c r="Y3" s="6">
        <f t="shared" si="0"/>
        <v>15.260454878943507</v>
      </c>
      <c r="Z3" s="6">
        <f t="shared" si="0"/>
        <v>15.260454878943507</v>
      </c>
      <c r="AA3" s="6">
        <f t="shared" si="0"/>
        <v>26.118855465884078</v>
      </c>
      <c r="AB3" s="6">
        <f t="shared" si="0"/>
        <v>21.129860601614087</v>
      </c>
      <c r="AC3" s="6">
        <f t="shared" ref="AC3:AC5" si="4">K3/340.75</f>
        <v>14.966984592809977</v>
      </c>
      <c r="AD3" s="6">
        <f t="shared" ref="AD3:AD5" si="5">L3/340.75</f>
        <v>9.3910491562729277</v>
      </c>
      <c r="AE3" s="6">
        <f t="shared" ref="AE3:AE5" si="6">M3/340.75</f>
        <v>14.086573734409392</v>
      </c>
    </row>
    <row r="4" spans="1:42">
      <c r="A4" s="1">
        <v>2000</v>
      </c>
      <c r="B4" s="189">
        <f>R36</f>
        <v>2800</v>
      </c>
      <c r="C4" s="189">
        <f t="shared" ref="C4:M5" si="7">S36</f>
        <v>3600</v>
      </c>
      <c r="D4" s="189">
        <f t="shared" si="7"/>
        <v>4200</v>
      </c>
      <c r="E4" s="189">
        <f t="shared" si="7"/>
        <v>3300</v>
      </c>
      <c r="F4" s="189">
        <f t="shared" si="7"/>
        <v>5300</v>
      </c>
      <c r="G4" s="189">
        <f t="shared" si="7"/>
        <v>4100</v>
      </c>
      <c r="H4" s="189">
        <f t="shared" si="7"/>
        <v>5100</v>
      </c>
      <c r="I4" s="189">
        <f t="shared" si="7"/>
        <v>8700</v>
      </c>
      <c r="J4" s="189">
        <f t="shared" si="7"/>
        <v>4600</v>
      </c>
      <c r="K4" s="189">
        <f t="shared" si="7"/>
        <v>5100</v>
      </c>
      <c r="L4" s="189">
        <f t="shared" si="7"/>
        <v>6200</v>
      </c>
      <c r="M4" s="189">
        <f t="shared" si="7"/>
        <v>4800</v>
      </c>
      <c r="N4" s="125">
        <f t="shared" ref="N4:N6" si="8">SUM(B4:M4)</f>
        <v>57800</v>
      </c>
      <c r="O4" s="123">
        <f t="shared" ref="O4:O5" si="9">N4/340.75</f>
        <v>169.62582538517975</v>
      </c>
      <c r="P4" s="125">
        <v>1392</v>
      </c>
      <c r="Q4" s="123">
        <f t="shared" si="1"/>
        <v>50.887747615553927</v>
      </c>
      <c r="R4" s="278">
        <f t="shared" si="2"/>
        <v>417.59999999999997</v>
      </c>
      <c r="S4" s="191" t="s">
        <v>150</v>
      </c>
      <c r="T4" s="6">
        <f t="shared" si="3"/>
        <v>8.2171680117388117</v>
      </c>
      <c r="U4" s="6">
        <f t="shared" si="0"/>
        <v>10.564930300807044</v>
      </c>
      <c r="V4" s="6">
        <f t="shared" si="0"/>
        <v>12.325752017608217</v>
      </c>
      <c r="W4" s="6">
        <f t="shared" si="0"/>
        <v>9.6845194424064562</v>
      </c>
      <c r="X4" s="6">
        <f t="shared" si="0"/>
        <v>15.553925165077036</v>
      </c>
      <c r="Y4" s="6">
        <f t="shared" si="0"/>
        <v>12.032281731474688</v>
      </c>
      <c r="Z4" s="6">
        <f t="shared" si="0"/>
        <v>14.966984592809977</v>
      </c>
      <c r="AA4" s="6">
        <f t="shared" si="0"/>
        <v>25.531914893617021</v>
      </c>
      <c r="AB4" s="6">
        <f t="shared" si="0"/>
        <v>13.499633162142333</v>
      </c>
      <c r="AC4" s="6">
        <f t="shared" si="4"/>
        <v>14.966984592809977</v>
      </c>
      <c r="AD4" s="6">
        <f t="shared" si="5"/>
        <v>18.195157740278798</v>
      </c>
      <c r="AE4" s="6">
        <f t="shared" si="6"/>
        <v>14.086573734409392</v>
      </c>
    </row>
    <row r="5" spans="1:42">
      <c r="A5" s="1">
        <v>2001</v>
      </c>
      <c r="B5" s="189">
        <f>R37</f>
        <v>4000</v>
      </c>
      <c r="C5" s="189">
        <f t="shared" si="7"/>
        <v>5400</v>
      </c>
      <c r="D5" s="189">
        <f t="shared" si="7"/>
        <v>3500</v>
      </c>
      <c r="E5" s="189">
        <f t="shared" si="7"/>
        <v>3500</v>
      </c>
      <c r="F5" s="189">
        <f t="shared" si="7"/>
        <v>4200</v>
      </c>
      <c r="G5" s="189">
        <f t="shared" si="7"/>
        <v>3300</v>
      </c>
      <c r="H5" s="189">
        <f t="shared" si="7"/>
        <v>5600</v>
      </c>
      <c r="I5" s="189">
        <f t="shared" si="7"/>
        <v>8100</v>
      </c>
      <c r="J5" s="189">
        <f t="shared" si="7"/>
        <v>5500</v>
      </c>
      <c r="K5" s="189">
        <f t="shared" si="7"/>
        <v>3400</v>
      </c>
      <c r="L5" s="189">
        <f t="shared" si="7"/>
        <v>5800</v>
      </c>
      <c r="M5" s="189">
        <f t="shared" si="7"/>
        <v>5700</v>
      </c>
      <c r="N5" s="125">
        <f t="shared" si="8"/>
        <v>58000</v>
      </c>
      <c r="O5" s="123">
        <f t="shared" si="9"/>
        <v>170.21276595744681</v>
      </c>
      <c r="P5" s="125">
        <v>1208</v>
      </c>
      <c r="Q5" s="123">
        <f t="shared" si="1"/>
        <v>51.063829787234042</v>
      </c>
      <c r="R5" s="278">
        <f t="shared" si="2"/>
        <v>362.4</v>
      </c>
      <c r="T5" s="6">
        <f t="shared" si="3"/>
        <v>11.73881144534116</v>
      </c>
      <c r="U5" s="6">
        <f t="shared" si="0"/>
        <v>15.847395451210565</v>
      </c>
      <c r="V5" s="6">
        <f t="shared" si="0"/>
        <v>10.271460014673515</v>
      </c>
      <c r="W5" s="6">
        <f t="shared" si="0"/>
        <v>10.271460014673515</v>
      </c>
      <c r="X5" s="6">
        <f t="shared" si="0"/>
        <v>12.325752017608217</v>
      </c>
      <c r="Y5" s="6">
        <f t="shared" si="0"/>
        <v>9.6845194424064562</v>
      </c>
      <c r="Z5" s="6">
        <f t="shared" si="0"/>
        <v>16.434336023477623</v>
      </c>
      <c r="AA5" s="6">
        <f t="shared" si="0"/>
        <v>23.771093176815846</v>
      </c>
      <c r="AB5" s="6">
        <f t="shared" si="0"/>
        <v>16.140865737344093</v>
      </c>
      <c r="AC5" s="6">
        <f t="shared" si="4"/>
        <v>9.9779897285399848</v>
      </c>
      <c r="AD5" s="6">
        <f t="shared" si="5"/>
        <v>17.021276595744681</v>
      </c>
      <c r="AE5" s="6">
        <f t="shared" si="6"/>
        <v>16.72780630961115</v>
      </c>
    </row>
    <row r="6" spans="1:42">
      <c r="A6" s="1">
        <v>2002</v>
      </c>
      <c r="B6" s="198">
        <v>2500</v>
      </c>
      <c r="C6" s="198">
        <v>3500</v>
      </c>
      <c r="D6" s="196">
        <v>58</v>
      </c>
      <c r="E6" s="196">
        <v>33</v>
      </c>
      <c r="F6" s="196">
        <v>33</v>
      </c>
      <c r="G6" s="196">
        <v>21</v>
      </c>
      <c r="H6" s="196">
        <v>77</v>
      </c>
      <c r="I6" s="196">
        <v>77</v>
      </c>
      <c r="J6" s="196">
        <v>29</v>
      </c>
      <c r="K6" s="196">
        <v>66</v>
      </c>
      <c r="L6" s="196">
        <v>26</v>
      </c>
      <c r="M6" s="196">
        <v>26</v>
      </c>
      <c r="N6" s="125">
        <f t="shared" si="8"/>
        <v>6446</v>
      </c>
      <c r="O6" s="213">
        <f>(N6/340.75)+D6+E6+F6+G6+H6+I6+J6+K6+L6+M6</f>
        <v>464.91709464416726</v>
      </c>
      <c r="P6" s="218">
        <v>2937</v>
      </c>
      <c r="Q6" s="123">
        <f t="shared" si="1"/>
        <v>139.47512839325017</v>
      </c>
      <c r="R6" s="278">
        <f t="shared" si="2"/>
        <v>881.1</v>
      </c>
      <c r="T6" s="6">
        <f t="shared" si="3"/>
        <v>7.3367571533382243</v>
      </c>
      <c r="U6" s="6">
        <f t="shared" si="0"/>
        <v>10.271460014673515</v>
      </c>
      <c r="V6" s="6"/>
      <c r="W6" s="6"/>
      <c r="X6" s="6"/>
      <c r="Y6" s="6"/>
      <c r="Z6" s="6"/>
    </row>
    <row r="7" spans="1:42">
      <c r="A7" s="1">
        <v>2003</v>
      </c>
      <c r="B7" s="179">
        <v>51</v>
      </c>
      <c r="C7" s="200"/>
      <c r="D7" s="196">
        <f t="shared" ref="D7:D16" si="10">D39*0.5</f>
        <v>458.5</v>
      </c>
      <c r="E7" s="200"/>
      <c r="F7" s="200"/>
      <c r="G7" s="200"/>
      <c r="H7" s="200"/>
      <c r="I7" s="200"/>
      <c r="J7" s="200"/>
      <c r="K7" s="200"/>
      <c r="L7" s="200"/>
      <c r="M7" s="200"/>
      <c r="N7" s="130"/>
      <c r="O7" s="179">
        <f>SUM(B7:M7)</f>
        <v>509.5</v>
      </c>
      <c r="P7" s="276">
        <v>2893</v>
      </c>
      <c r="Q7" s="123">
        <f t="shared" si="1"/>
        <v>152.85</v>
      </c>
      <c r="R7" s="278">
        <f t="shared" si="2"/>
        <v>867.9</v>
      </c>
      <c r="T7" s="6"/>
      <c r="X7" s="6"/>
    </row>
    <row r="8" spans="1:42">
      <c r="A8" s="1">
        <v>2004</v>
      </c>
      <c r="B8" s="199">
        <v>22</v>
      </c>
      <c r="C8" s="200"/>
      <c r="D8" s="196">
        <f t="shared" si="10"/>
        <v>471</v>
      </c>
      <c r="E8" s="200"/>
      <c r="F8" s="200"/>
      <c r="G8" s="200"/>
      <c r="H8" s="200"/>
      <c r="I8" s="200"/>
      <c r="J8" s="200"/>
      <c r="K8" s="200"/>
      <c r="L8" s="200"/>
      <c r="M8" s="200"/>
      <c r="N8" s="192"/>
      <c r="O8" s="179">
        <f t="shared" ref="O8:O24" si="11">SUM(B8:M8)</f>
        <v>493</v>
      </c>
      <c r="P8" s="276">
        <v>2534</v>
      </c>
      <c r="Q8" s="123">
        <f t="shared" si="1"/>
        <v>147.9</v>
      </c>
      <c r="R8" s="278">
        <f t="shared" si="2"/>
        <v>760.19999999999993</v>
      </c>
      <c r="X8" s="6"/>
    </row>
    <row r="9" spans="1:42">
      <c r="A9" s="1">
        <v>2005</v>
      </c>
      <c r="B9" s="201">
        <v>28</v>
      </c>
      <c r="C9" s="196"/>
      <c r="D9" s="196">
        <f t="shared" si="10"/>
        <v>505</v>
      </c>
      <c r="E9" s="196"/>
      <c r="F9" s="196"/>
      <c r="G9" s="196"/>
      <c r="H9" s="196"/>
      <c r="I9" s="196"/>
      <c r="J9" s="196"/>
      <c r="K9" s="196"/>
      <c r="L9" s="196"/>
      <c r="M9" s="196"/>
      <c r="N9" s="8"/>
      <c r="O9" s="179">
        <f t="shared" si="11"/>
        <v>533</v>
      </c>
      <c r="P9" s="276">
        <v>2480</v>
      </c>
      <c r="Q9" s="123">
        <f t="shared" si="1"/>
        <v>159.9</v>
      </c>
      <c r="R9" s="278">
        <f t="shared" si="2"/>
        <v>744</v>
      </c>
      <c r="X9" s="6"/>
    </row>
    <row r="10" spans="1:42">
      <c r="A10" s="1">
        <v>2006</v>
      </c>
      <c r="B10" s="201">
        <v>85</v>
      </c>
      <c r="C10" s="196"/>
      <c r="D10" s="196">
        <f t="shared" si="10"/>
        <v>454</v>
      </c>
      <c r="E10" s="196"/>
      <c r="F10" s="196"/>
      <c r="G10" s="196"/>
      <c r="H10" s="196"/>
      <c r="I10" s="196"/>
      <c r="J10" s="196"/>
      <c r="K10" s="196"/>
      <c r="L10" s="196"/>
      <c r="M10" s="196"/>
      <c r="N10" s="8"/>
      <c r="O10" s="179">
        <f t="shared" si="11"/>
        <v>539</v>
      </c>
      <c r="P10" s="276">
        <v>2266</v>
      </c>
      <c r="Q10" s="123">
        <f t="shared" si="1"/>
        <v>161.69999999999999</v>
      </c>
      <c r="R10" s="278">
        <f t="shared" si="2"/>
        <v>679.8</v>
      </c>
      <c r="X10" s="6"/>
    </row>
    <row r="11" spans="1:42">
      <c r="A11" s="1">
        <v>2007</v>
      </c>
      <c r="B11" s="201">
        <v>98</v>
      </c>
      <c r="C11" s="196"/>
      <c r="D11" s="196">
        <f t="shared" si="10"/>
        <v>424.5</v>
      </c>
      <c r="E11" s="196"/>
      <c r="F11" s="196"/>
      <c r="G11" s="196"/>
      <c r="H11" s="196"/>
      <c r="I11" s="196"/>
      <c r="J11" s="196"/>
      <c r="K11" s="196"/>
      <c r="L11" s="196"/>
      <c r="M11" s="196"/>
      <c r="N11" s="8"/>
      <c r="O11" s="179">
        <f t="shared" si="11"/>
        <v>522.5</v>
      </c>
      <c r="P11" s="276">
        <v>1963</v>
      </c>
      <c r="Q11" s="123">
        <f t="shared" si="1"/>
        <v>156.75</v>
      </c>
      <c r="R11" s="278">
        <f t="shared" si="2"/>
        <v>588.9</v>
      </c>
      <c r="X11" s="6"/>
    </row>
    <row r="12" spans="1:42">
      <c r="A12" s="1">
        <v>2008</v>
      </c>
      <c r="B12" s="201">
        <v>38</v>
      </c>
      <c r="C12" s="196"/>
      <c r="D12" s="196">
        <f t="shared" si="10"/>
        <v>439.5</v>
      </c>
      <c r="E12" s="196"/>
      <c r="F12" s="196"/>
      <c r="G12" s="196"/>
      <c r="H12" s="196"/>
      <c r="I12" s="196"/>
      <c r="J12" s="196"/>
      <c r="K12" s="196"/>
      <c r="L12" s="196"/>
      <c r="M12" s="196"/>
      <c r="N12" s="8"/>
      <c r="O12" s="179">
        <f t="shared" si="11"/>
        <v>477.5</v>
      </c>
      <c r="P12" s="276">
        <v>1592</v>
      </c>
      <c r="Q12" s="123">
        <f t="shared" si="1"/>
        <v>143.25</v>
      </c>
      <c r="R12" s="278">
        <f t="shared" si="2"/>
        <v>477.59999999999997</v>
      </c>
      <c r="X12" s="6"/>
    </row>
    <row r="13" spans="1:42">
      <c r="A13" s="1">
        <v>2009</v>
      </c>
      <c r="B13" s="201">
        <v>30</v>
      </c>
      <c r="C13" s="196"/>
      <c r="D13" s="196">
        <f t="shared" si="10"/>
        <v>372.5</v>
      </c>
      <c r="E13" s="196"/>
      <c r="F13" s="196"/>
      <c r="G13" s="196"/>
      <c r="H13" s="196"/>
      <c r="I13" s="196"/>
      <c r="J13" s="196"/>
      <c r="K13" s="196"/>
      <c r="L13" s="196"/>
      <c r="M13" s="196"/>
      <c r="N13" s="8"/>
      <c r="O13" s="179">
        <f t="shared" si="11"/>
        <v>402.5</v>
      </c>
      <c r="P13" s="276">
        <v>1205</v>
      </c>
      <c r="Q13" s="123">
        <f t="shared" si="1"/>
        <v>120.75</v>
      </c>
      <c r="R13" s="278">
        <f t="shared" si="2"/>
        <v>361.5</v>
      </c>
      <c r="X13" s="6"/>
    </row>
    <row r="14" spans="1:42">
      <c r="A14" s="1">
        <v>2010</v>
      </c>
      <c r="B14" s="201">
        <v>20</v>
      </c>
      <c r="C14" s="196"/>
      <c r="D14" s="196">
        <f t="shared" si="10"/>
        <v>334</v>
      </c>
      <c r="E14" s="196"/>
      <c r="F14" s="196"/>
      <c r="G14" s="196"/>
      <c r="H14" s="196"/>
      <c r="I14" s="196"/>
      <c r="J14" s="196"/>
      <c r="K14" s="196"/>
      <c r="L14" s="196"/>
      <c r="M14" s="196"/>
      <c r="N14" s="8"/>
      <c r="O14" s="179">
        <f t="shared" si="11"/>
        <v>354</v>
      </c>
      <c r="P14" s="276">
        <v>971</v>
      </c>
      <c r="Q14" s="123">
        <f t="shared" si="1"/>
        <v>106.2</v>
      </c>
      <c r="R14" s="278">
        <f t="shared" si="2"/>
        <v>291.3</v>
      </c>
      <c r="X14" s="6"/>
    </row>
    <row r="15" spans="1:42">
      <c r="A15" s="1">
        <v>2011</v>
      </c>
      <c r="B15" s="201">
        <v>28.5</v>
      </c>
      <c r="C15" s="196"/>
      <c r="D15" s="196">
        <f t="shared" si="10"/>
        <v>271</v>
      </c>
      <c r="E15" s="196"/>
      <c r="F15" s="196"/>
      <c r="G15" s="196"/>
      <c r="H15" s="196"/>
      <c r="I15" s="196"/>
      <c r="J15" s="196"/>
      <c r="K15" s="196"/>
      <c r="L15" s="196"/>
      <c r="M15" s="196"/>
      <c r="N15" s="8"/>
      <c r="O15" s="179">
        <f t="shared" si="11"/>
        <v>299.5</v>
      </c>
      <c r="P15" s="276">
        <v>753</v>
      </c>
      <c r="Q15" s="123">
        <f t="shared" si="1"/>
        <v>89.85</v>
      </c>
      <c r="R15" s="278">
        <f t="shared" si="2"/>
        <v>225.9</v>
      </c>
      <c r="X15" s="6"/>
    </row>
    <row r="16" spans="1:42">
      <c r="A16" s="1">
        <v>2012</v>
      </c>
      <c r="B16" s="4">
        <v>20</v>
      </c>
      <c r="C16" s="196"/>
      <c r="D16" s="196">
        <f t="shared" si="10"/>
        <v>221</v>
      </c>
      <c r="E16" s="196"/>
      <c r="F16" s="196"/>
      <c r="G16" s="196"/>
      <c r="H16" s="196"/>
      <c r="I16" s="196"/>
      <c r="J16" s="196"/>
      <c r="K16" s="196"/>
      <c r="L16" s="196"/>
      <c r="M16" s="196"/>
      <c r="N16" s="8"/>
      <c r="O16" s="179">
        <f t="shared" si="11"/>
        <v>241</v>
      </c>
      <c r="P16" s="276">
        <v>554</v>
      </c>
      <c r="Q16" s="123">
        <f t="shared" si="1"/>
        <v>72.3</v>
      </c>
      <c r="R16" s="278">
        <f t="shared" si="2"/>
        <v>166.2</v>
      </c>
      <c r="X16" s="6"/>
    </row>
    <row r="17" spans="1:24">
      <c r="A17" s="1">
        <v>2013</v>
      </c>
      <c r="B17" s="4">
        <v>42</v>
      </c>
      <c r="C17" s="202">
        <v>10</v>
      </c>
      <c r="D17" s="202">
        <v>63.5</v>
      </c>
      <c r="E17" s="202">
        <v>73.5</v>
      </c>
      <c r="F17" s="202">
        <v>63.5</v>
      </c>
      <c r="G17" s="202">
        <v>22.5</v>
      </c>
      <c r="H17" s="202">
        <v>36.5</v>
      </c>
      <c r="I17" s="202">
        <v>64</v>
      </c>
      <c r="J17" s="202">
        <v>68</v>
      </c>
      <c r="K17" s="202">
        <v>35</v>
      </c>
      <c r="L17" s="202">
        <v>59</v>
      </c>
      <c r="M17" s="202">
        <v>71</v>
      </c>
      <c r="N17" s="8"/>
      <c r="O17" s="179">
        <f t="shared" si="11"/>
        <v>608.5</v>
      </c>
      <c r="P17" s="276">
        <v>1287</v>
      </c>
      <c r="Q17" s="123">
        <f t="shared" si="1"/>
        <v>182.54999999999998</v>
      </c>
      <c r="R17" s="278">
        <f t="shared" si="2"/>
        <v>386.09999999999997</v>
      </c>
      <c r="S17" s="193" t="s">
        <v>148</v>
      </c>
      <c r="X17" s="6"/>
    </row>
    <row r="18" spans="1:24">
      <c r="A18" s="1">
        <v>2014</v>
      </c>
      <c r="B18" s="4">
        <v>29</v>
      </c>
      <c r="C18" s="4">
        <v>24.5</v>
      </c>
      <c r="D18" s="4">
        <v>42</v>
      </c>
      <c r="E18" s="4">
        <v>24</v>
      </c>
      <c r="F18" s="4">
        <v>37.5</v>
      </c>
      <c r="G18" s="4">
        <v>52</v>
      </c>
      <c r="H18" s="4">
        <v>81</v>
      </c>
      <c r="I18" s="4">
        <v>60</v>
      </c>
      <c r="J18" s="4">
        <v>100</v>
      </c>
      <c r="K18" s="4">
        <v>99</v>
      </c>
      <c r="L18" s="4">
        <v>72</v>
      </c>
      <c r="M18" s="4">
        <v>104</v>
      </c>
      <c r="N18" s="8"/>
      <c r="O18" s="179">
        <f t="shared" si="11"/>
        <v>725</v>
      </c>
      <c r="P18" s="276">
        <v>1417</v>
      </c>
      <c r="Q18" s="123">
        <f t="shared" si="1"/>
        <v>217.5</v>
      </c>
      <c r="R18" s="278">
        <f t="shared" si="2"/>
        <v>425.09999999999997</v>
      </c>
      <c r="X18" s="6"/>
    </row>
    <row r="19" spans="1:24">
      <c r="A19" s="1">
        <v>2015</v>
      </c>
      <c r="B19" s="4">
        <v>27</v>
      </c>
      <c r="C19" s="4">
        <v>87</v>
      </c>
      <c r="D19" s="4">
        <v>53</v>
      </c>
      <c r="E19" s="202">
        <v>41.5</v>
      </c>
      <c r="F19" s="202">
        <v>48</v>
      </c>
      <c r="G19" s="202">
        <v>75</v>
      </c>
      <c r="H19" s="202">
        <v>72.5</v>
      </c>
      <c r="I19" s="202">
        <v>40.5</v>
      </c>
      <c r="J19" s="202">
        <v>71</v>
      </c>
      <c r="K19" s="4">
        <v>85</v>
      </c>
      <c r="L19" s="202">
        <v>55</v>
      </c>
      <c r="M19" s="202">
        <v>99.5</v>
      </c>
      <c r="N19" s="8"/>
      <c r="O19" s="179">
        <f t="shared" si="11"/>
        <v>755</v>
      </c>
      <c r="P19" s="276">
        <v>1372</v>
      </c>
      <c r="Q19" s="123">
        <f t="shared" si="1"/>
        <v>226.5</v>
      </c>
      <c r="R19" s="278">
        <f t="shared" si="2"/>
        <v>411.59999999999997</v>
      </c>
      <c r="S19" s="193" t="s">
        <v>148</v>
      </c>
      <c r="X19" s="6"/>
    </row>
    <row r="20" spans="1:24">
      <c r="A20" s="1">
        <v>2016</v>
      </c>
      <c r="B20" s="4">
        <v>22</v>
      </c>
      <c r="C20" s="202">
        <v>27.5</v>
      </c>
      <c r="D20" s="202">
        <v>25</v>
      </c>
      <c r="E20" s="202">
        <v>63.5</v>
      </c>
      <c r="F20" s="202">
        <v>50.5</v>
      </c>
      <c r="G20" s="202">
        <v>48.5</v>
      </c>
      <c r="H20" s="202">
        <v>37.5</v>
      </c>
      <c r="I20" s="202">
        <v>86</v>
      </c>
      <c r="J20" s="202">
        <v>50</v>
      </c>
      <c r="K20" s="202">
        <v>40</v>
      </c>
      <c r="L20" s="202">
        <v>35.5</v>
      </c>
      <c r="M20" s="202">
        <v>111.5</v>
      </c>
      <c r="N20" s="8"/>
      <c r="O20" s="179">
        <f t="shared" si="11"/>
        <v>597.5</v>
      </c>
      <c r="P20" s="276">
        <v>1010</v>
      </c>
      <c r="Q20" s="123">
        <f t="shared" si="1"/>
        <v>179.25</v>
      </c>
      <c r="R20" s="278">
        <f t="shared" si="2"/>
        <v>303</v>
      </c>
      <c r="S20" s="193" t="s">
        <v>148</v>
      </c>
      <c r="X20" s="6"/>
    </row>
    <row r="21" spans="1:24">
      <c r="A21" s="1">
        <v>2017</v>
      </c>
      <c r="B21" s="4">
        <v>53</v>
      </c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>
        <v>1312</v>
      </c>
      <c r="N21" s="8"/>
      <c r="O21" s="179">
        <f t="shared" si="11"/>
        <v>1365</v>
      </c>
      <c r="P21" s="276">
        <v>2148</v>
      </c>
      <c r="Q21" s="123">
        <f t="shared" si="1"/>
        <v>409.5</v>
      </c>
      <c r="R21" s="278">
        <f t="shared" si="2"/>
        <v>644.4</v>
      </c>
      <c r="X21" s="6"/>
    </row>
    <row r="22" spans="1:24">
      <c r="A22" s="1">
        <v>2018</v>
      </c>
      <c r="B22" s="4">
        <v>78.5</v>
      </c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>
        <v>1144</v>
      </c>
      <c r="N22" s="8"/>
      <c r="O22" s="179">
        <f t="shared" si="11"/>
        <v>1222.5</v>
      </c>
      <c r="P22" s="276">
        <v>1795</v>
      </c>
      <c r="Q22" s="123">
        <f t="shared" si="1"/>
        <v>366.75</v>
      </c>
      <c r="R22" s="278">
        <f t="shared" si="2"/>
        <v>538.5</v>
      </c>
      <c r="X22" s="6"/>
    </row>
    <row r="23" spans="1:24">
      <c r="A23" s="1">
        <v>2019</v>
      </c>
      <c r="B23" s="4">
        <v>16</v>
      </c>
      <c r="C23" s="4">
        <v>98</v>
      </c>
      <c r="D23" s="4">
        <v>117</v>
      </c>
      <c r="E23" s="196"/>
      <c r="F23" s="196"/>
      <c r="G23" s="196"/>
      <c r="H23" s="196"/>
      <c r="I23" s="196"/>
      <c r="J23" s="196"/>
      <c r="K23" s="196"/>
      <c r="L23" s="196"/>
      <c r="M23" s="196">
        <v>1306</v>
      </c>
      <c r="N23" s="8"/>
      <c r="O23" s="179">
        <f t="shared" si="11"/>
        <v>1537</v>
      </c>
      <c r="P23" s="276">
        <v>2105</v>
      </c>
      <c r="Q23" s="123">
        <f t="shared" si="1"/>
        <v>461.09999999999997</v>
      </c>
      <c r="R23" s="278">
        <f t="shared" si="2"/>
        <v>631.5</v>
      </c>
      <c r="X23" s="6"/>
    </row>
    <row r="24" spans="1:24">
      <c r="A24" s="1">
        <v>2020</v>
      </c>
      <c r="B24" s="4">
        <v>35</v>
      </c>
      <c r="C24" s="4">
        <v>87</v>
      </c>
      <c r="D24" s="4">
        <v>41</v>
      </c>
      <c r="E24" s="4">
        <v>21</v>
      </c>
      <c r="F24" s="4">
        <v>44</v>
      </c>
      <c r="G24" s="4">
        <v>35</v>
      </c>
      <c r="H24" s="4">
        <v>113</v>
      </c>
      <c r="I24" s="4">
        <v>82</v>
      </c>
      <c r="J24" s="4">
        <v>80</v>
      </c>
      <c r="K24" s="4">
        <v>72.5</v>
      </c>
      <c r="L24" s="4">
        <v>44</v>
      </c>
      <c r="M24" s="4">
        <v>90.5</v>
      </c>
      <c r="N24" s="8"/>
      <c r="O24" s="179">
        <f t="shared" si="11"/>
        <v>745</v>
      </c>
      <c r="P24" s="276">
        <v>948</v>
      </c>
      <c r="Q24" s="123">
        <f t="shared" si="1"/>
        <v>223.5</v>
      </c>
      <c r="R24" s="278">
        <f t="shared" si="2"/>
        <v>284.39999999999998</v>
      </c>
      <c r="X24" s="6"/>
    </row>
    <row r="25" spans="1:24">
      <c r="A25" s="1">
        <v>2021</v>
      </c>
      <c r="B25" s="4"/>
      <c r="C25" s="196"/>
      <c r="D25" s="196"/>
      <c r="E25" s="196"/>
      <c r="F25" s="196"/>
      <c r="G25" s="196"/>
      <c r="H25" s="8"/>
      <c r="I25" s="8"/>
      <c r="J25" s="8"/>
      <c r="K25" s="8"/>
      <c r="L25" s="8"/>
      <c r="M25" s="8"/>
      <c r="N25" s="8"/>
      <c r="O25" s="179"/>
      <c r="P25" s="276"/>
      <c r="Q25" s="123"/>
      <c r="R25" s="278"/>
      <c r="X25" s="6"/>
    </row>
    <row r="26" spans="1:24">
      <c r="A26" s="1">
        <v>2022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244"/>
      <c r="P26" s="298"/>
      <c r="Q26" s="123"/>
      <c r="R26" s="278"/>
      <c r="X26" s="6"/>
    </row>
    <row r="27" spans="1:24">
      <c r="A27" s="1">
        <v>2023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244"/>
      <c r="P27" s="298"/>
      <c r="Q27" s="123">
        <f t="shared" si="1"/>
        <v>0</v>
      </c>
      <c r="R27" s="278">
        <f t="shared" si="2"/>
        <v>0</v>
      </c>
      <c r="X27" s="6"/>
    </row>
    <row r="28" spans="1:24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4">
        <f>SUM(O2:O27)</f>
        <v>12968.292736610418</v>
      </c>
      <c r="P28" s="189">
        <f t="shared" ref="P28:R28" si="12">SUM(P2:P27)</f>
        <v>37275</v>
      </c>
      <c r="Q28" s="4">
        <f t="shared" si="12"/>
        <v>3890.4878209831254</v>
      </c>
      <c r="R28" s="189">
        <f t="shared" si="12"/>
        <v>11182.5</v>
      </c>
    </row>
    <row r="29" spans="1:24">
      <c r="Q29" s="197">
        <v>299</v>
      </c>
      <c r="S29" s="269">
        <v>45324</v>
      </c>
    </row>
    <row r="30" spans="1:24">
      <c r="S30" s="266" t="s">
        <v>184</v>
      </c>
      <c r="V30" s="6"/>
    </row>
    <row r="31" spans="1:24">
      <c r="A31" s="538" t="s">
        <v>155</v>
      </c>
      <c r="B31" s="538"/>
      <c r="C31" s="538"/>
      <c r="D31" s="538"/>
      <c r="E31" s="538"/>
      <c r="F31" s="538"/>
      <c r="G31" s="538"/>
      <c r="H31" s="538"/>
      <c r="I31" s="538"/>
      <c r="J31" s="538"/>
      <c r="K31" s="538"/>
      <c r="L31" s="538"/>
      <c r="M31" s="538"/>
      <c r="N31" s="538"/>
      <c r="O31" s="538"/>
      <c r="P31" s="538"/>
      <c r="Q31" s="538"/>
      <c r="R31" s="538"/>
    </row>
    <row r="32" spans="1:24">
      <c r="F32" s="539" t="s">
        <v>165</v>
      </c>
      <c r="G32" s="539"/>
      <c r="H32" s="539"/>
      <c r="I32" s="539"/>
      <c r="J32" s="539"/>
      <c r="K32" s="539"/>
      <c r="L32" s="539"/>
      <c r="M32" s="539"/>
      <c r="N32" s="539"/>
      <c r="O32" s="539"/>
      <c r="P32" s="210"/>
    </row>
    <row r="33" spans="1:31" s="203" customFormat="1"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R33" s="203">
        <v>1</v>
      </c>
      <c r="S33" s="203">
        <v>2</v>
      </c>
      <c r="T33" s="203">
        <v>3</v>
      </c>
      <c r="U33" s="203">
        <v>4</v>
      </c>
      <c r="V33" s="203">
        <v>5</v>
      </c>
      <c r="W33" s="203">
        <v>6</v>
      </c>
      <c r="X33" s="203">
        <v>7</v>
      </c>
      <c r="Y33" s="203">
        <v>8</v>
      </c>
      <c r="Z33" s="203">
        <v>9</v>
      </c>
      <c r="AA33" s="203">
        <v>10</v>
      </c>
      <c r="AB33" s="203">
        <v>11</v>
      </c>
      <c r="AC33" s="203">
        <v>12</v>
      </c>
    </row>
    <row r="34" spans="1:31">
      <c r="A34" s="2">
        <v>1998</v>
      </c>
      <c r="B34" s="205"/>
      <c r="C34" s="205"/>
      <c r="D34" s="205"/>
      <c r="E34" s="205"/>
      <c r="F34" s="205"/>
      <c r="G34" s="205"/>
      <c r="H34" s="205"/>
      <c r="I34" s="169">
        <v>14</v>
      </c>
      <c r="J34" s="206">
        <v>50</v>
      </c>
      <c r="K34" s="206">
        <v>43</v>
      </c>
      <c r="L34" s="206">
        <v>40</v>
      </c>
      <c r="M34" s="206">
        <v>90</v>
      </c>
      <c r="N34" s="169">
        <v>236</v>
      </c>
      <c r="O34" s="2">
        <v>100</v>
      </c>
      <c r="R34" s="273"/>
      <c r="S34" s="247">
        <f>C34*100</f>
        <v>0</v>
      </c>
      <c r="T34" s="247">
        <f t="shared" ref="T34:AB37" si="13">D34*100</f>
        <v>0</v>
      </c>
      <c r="U34" s="247">
        <f t="shared" si="13"/>
        <v>0</v>
      </c>
      <c r="V34" s="247">
        <f t="shared" si="13"/>
        <v>0</v>
      </c>
      <c r="W34" s="247">
        <f t="shared" si="13"/>
        <v>0</v>
      </c>
      <c r="X34" s="247">
        <f t="shared" si="13"/>
        <v>0</v>
      </c>
      <c r="Y34" s="248">
        <f t="shared" si="13"/>
        <v>1400</v>
      </c>
      <c r="Z34" s="248">
        <f t="shared" si="13"/>
        <v>5000</v>
      </c>
      <c r="AA34" s="248">
        <f t="shared" si="13"/>
        <v>4300</v>
      </c>
      <c r="AB34" s="248">
        <f t="shared" si="13"/>
        <v>4000</v>
      </c>
      <c r="AC34" s="248">
        <f t="shared" ref="AC34:AC37" si="14">M34*100</f>
        <v>9000</v>
      </c>
      <c r="AD34" s="248"/>
      <c r="AE34" s="248"/>
    </row>
    <row r="35" spans="1:31">
      <c r="A35" s="2">
        <v>1999</v>
      </c>
      <c r="B35" s="206">
        <v>18</v>
      </c>
      <c r="C35" s="206">
        <v>26</v>
      </c>
      <c r="D35" s="206">
        <v>49</v>
      </c>
      <c r="E35" s="206">
        <v>42</v>
      </c>
      <c r="F35" s="206">
        <v>35</v>
      </c>
      <c r="G35" s="206">
        <v>52</v>
      </c>
      <c r="H35" s="206">
        <v>52</v>
      </c>
      <c r="I35" s="206">
        <v>89</v>
      </c>
      <c r="J35" s="206">
        <v>72</v>
      </c>
      <c r="K35" s="206">
        <v>51</v>
      </c>
      <c r="L35" s="206">
        <v>34</v>
      </c>
      <c r="M35" s="206">
        <v>48</v>
      </c>
      <c r="N35" s="169">
        <v>561</v>
      </c>
      <c r="O35" s="2">
        <v>100</v>
      </c>
      <c r="R35" s="248">
        <f t="shared" ref="R35:S49" si="15">B35*100</f>
        <v>1800</v>
      </c>
      <c r="S35" s="248">
        <f t="shared" ref="S35" si="16">C35*100</f>
        <v>2600</v>
      </c>
      <c r="T35" s="248">
        <f t="shared" si="13"/>
        <v>4900</v>
      </c>
      <c r="U35" s="248">
        <f t="shared" si="13"/>
        <v>4200</v>
      </c>
      <c r="V35" s="248">
        <f t="shared" si="13"/>
        <v>3500</v>
      </c>
      <c r="W35" s="248">
        <f t="shared" si="13"/>
        <v>5200</v>
      </c>
      <c r="X35" s="248">
        <f t="shared" si="13"/>
        <v>5200</v>
      </c>
      <c r="Y35" s="248">
        <f t="shared" si="13"/>
        <v>8900</v>
      </c>
      <c r="Z35" s="248">
        <f t="shared" si="13"/>
        <v>7200</v>
      </c>
      <c r="AA35" s="248">
        <f t="shared" si="13"/>
        <v>5100</v>
      </c>
      <c r="AB35" s="248">
        <f t="shared" si="13"/>
        <v>3400</v>
      </c>
      <c r="AC35" s="248">
        <f t="shared" si="14"/>
        <v>4800</v>
      </c>
      <c r="AD35" s="248"/>
      <c r="AE35" s="248"/>
    </row>
    <row r="36" spans="1:31">
      <c r="A36" s="2">
        <v>2000</v>
      </c>
      <c r="B36" s="206">
        <v>28</v>
      </c>
      <c r="C36" s="206">
        <v>36</v>
      </c>
      <c r="D36" s="206">
        <v>42</v>
      </c>
      <c r="E36" s="206">
        <v>33</v>
      </c>
      <c r="F36" s="206">
        <v>53</v>
      </c>
      <c r="G36" s="206">
        <v>41</v>
      </c>
      <c r="H36" s="206">
        <v>51</v>
      </c>
      <c r="I36" s="206">
        <v>87</v>
      </c>
      <c r="J36" s="206">
        <v>46</v>
      </c>
      <c r="K36" s="206">
        <v>51</v>
      </c>
      <c r="L36" s="206">
        <v>62</v>
      </c>
      <c r="M36" s="206">
        <v>48</v>
      </c>
      <c r="N36" s="169">
        <v>561</v>
      </c>
      <c r="O36" s="2">
        <v>100</v>
      </c>
      <c r="Q36" s="2" t="s">
        <v>152</v>
      </c>
      <c r="R36" s="248">
        <f t="shared" si="15"/>
        <v>2800</v>
      </c>
      <c r="S36" s="248">
        <f t="shared" si="15"/>
        <v>3600</v>
      </c>
      <c r="T36" s="248">
        <f t="shared" si="13"/>
        <v>4200</v>
      </c>
      <c r="U36" s="248">
        <f t="shared" si="13"/>
        <v>3300</v>
      </c>
      <c r="V36" s="248">
        <f t="shared" si="13"/>
        <v>5300</v>
      </c>
      <c r="W36" s="248">
        <f t="shared" si="13"/>
        <v>4100</v>
      </c>
      <c r="X36" s="248">
        <f t="shared" si="13"/>
        <v>5100</v>
      </c>
      <c r="Y36" s="248">
        <f t="shared" si="13"/>
        <v>8700</v>
      </c>
      <c r="Z36" s="248">
        <f t="shared" si="13"/>
        <v>4600</v>
      </c>
      <c r="AA36" s="248">
        <f t="shared" si="13"/>
        <v>5100</v>
      </c>
      <c r="AB36" s="248">
        <f t="shared" si="13"/>
        <v>6200</v>
      </c>
      <c r="AC36" s="248">
        <f t="shared" si="14"/>
        <v>4800</v>
      </c>
    </row>
    <row r="37" spans="1:31">
      <c r="A37" s="2">
        <v>2001</v>
      </c>
      <c r="B37" s="169">
        <v>40</v>
      </c>
      <c r="C37" s="169">
        <v>54</v>
      </c>
      <c r="D37" s="206">
        <v>35</v>
      </c>
      <c r="E37" s="169">
        <v>35</v>
      </c>
      <c r="F37" s="169">
        <v>42</v>
      </c>
      <c r="G37" s="169">
        <v>33</v>
      </c>
      <c r="H37" s="169">
        <v>56</v>
      </c>
      <c r="I37" s="169">
        <v>81</v>
      </c>
      <c r="J37" s="169">
        <v>55</v>
      </c>
      <c r="K37" s="169">
        <v>34</v>
      </c>
      <c r="L37" s="169">
        <v>58</v>
      </c>
      <c r="M37" s="169">
        <v>57</v>
      </c>
      <c r="N37" s="169">
        <v>570</v>
      </c>
      <c r="O37" s="2">
        <v>100</v>
      </c>
      <c r="R37" s="248">
        <f t="shared" si="15"/>
        <v>4000</v>
      </c>
      <c r="S37" s="248">
        <f t="shared" ref="S37" si="17">C37*100</f>
        <v>5400</v>
      </c>
      <c r="T37" s="248">
        <f t="shared" si="13"/>
        <v>3500</v>
      </c>
      <c r="U37" s="248">
        <f t="shared" si="13"/>
        <v>3500</v>
      </c>
      <c r="V37" s="248">
        <f t="shared" si="13"/>
        <v>4200</v>
      </c>
      <c r="W37" s="248">
        <f t="shared" si="13"/>
        <v>3300</v>
      </c>
      <c r="X37" s="248">
        <f t="shared" si="13"/>
        <v>5600</v>
      </c>
      <c r="Y37" s="248">
        <f t="shared" si="13"/>
        <v>8100</v>
      </c>
      <c r="Z37" s="248">
        <f t="shared" si="13"/>
        <v>5500</v>
      </c>
      <c r="AA37" s="248">
        <f t="shared" si="13"/>
        <v>3400</v>
      </c>
      <c r="AB37" s="248">
        <f t="shared" si="13"/>
        <v>5800</v>
      </c>
      <c r="AC37" s="248">
        <f t="shared" si="14"/>
        <v>5700</v>
      </c>
    </row>
    <row r="38" spans="1:31">
      <c r="A38" s="2">
        <v>2002</v>
      </c>
      <c r="B38" s="169"/>
      <c r="C38" s="169"/>
      <c r="D38" s="170">
        <v>650</v>
      </c>
      <c r="E38" s="169"/>
      <c r="F38" s="169"/>
      <c r="G38" s="169"/>
      <c r="H38" s="169"/>
      <c r="I38" s="169"/>
      <c r="J38" s="169"/>
      <c r="K38" s="169"/>
      <c r="L38" s="169"/>
      <c r="M38" s="169"/>
      <c r="N38" s="169">
        <v>650</v>
      </c>
      <c r="O38" s="2">
        <v>0.5</v>
      </c>
      <c r="R38" s="248">
        <f t="shared" si="15"/>
        <v>0</v>
      </c>
    </row>
    <row r="39" spans="1:31">
      <c r="A39" s="2">
        <v>2003</v>
      </c>
      <c r="B39" s="169">
        <v>44</v>
      </c>
      <c r="C39" s="169"/>
      <c r="D39" s="170">
        <v>917</v>
      </c>
      <c r="E39" s="169"/>
      <c r="F39" s="169"/>
      <c r="G39" s="169"/>
      <c r="H39" s="169"/>
      <c r="I39" s="169"/>
      <c r="J39" s="169"/>
      <c r="K39" s="169"/>
      <c r="L39" s="169"/>
      <c r="M39" s="169"/>
      <c r="N39" s="169">
        <v>961</v>
      </c>
      <c r="O39" s="2">
        <v>0.5</v>
      </c>
      <c r="R39" s="248">
        <f t="shared" si="15"/>
        <v>4400</v>
      </c>
    </row>
    <row r="40" spans="1:31">
      <c r="A40" s="2">
        <v>2004</v>
      </c>
      <c r="B40" s="169">
        <v>40</v>
      </c>
      <c r="C40" s="169"/>
      <c r="D40" s="170">
        <v>942</v>
      </c>
      <c r="E40" s="169"/>
      <c r="F40" s="169"/>
      <c r="G40" s="169"/>
      <c r="H40" s="169"/>
      <c r="I40" s="169"/>
      <c r="J40" s="169"/>
      <c r="K40" s="169"/>
      <c r="L40" s="169"/>
      <c r="M40" s="169"/>
      <c r="N40" s="169">
        <v>982</v>
      </c>
      <c r="O40" s="2">
        <v>0.5</v>
      </c>
      <c r="Q40" s="208"/>
      <c r="R40" s="248">
        <f t="shared" si="15"/>
        <v>4000</v>
      </c>
    </row>
    <row r="41" spans="1:31">
      <c r="A41" s="2">
        <v>2005</v>
      </c>
      <c r="B41" s="169">
        <v>43</v>
      </c>
      <c r="C41" s="169"/>
      <c r="D41" s="170">
        <v>1010</v>
      </c>
      <c r="E41" s="169"/>
      <c r="F41" s="169"/>
      <c r="G41" s="169"/>
      <c r="H41" s="169"/>
      <c r="I41" s="169"/>
      <c r="J41" s="169"/>
      <c r="K41" s="169"/>
      <c r="L41" s="169"/>
      <c r="M41" s="169"/>
      <c r="N41" s="169">
        <v>1053</v>
      </c>
      <c r="O41" s="2">
        <v>0.5</v>
      </c>
      <c r="Q41" s="208" t="s">
        <v>153</v>
      </c>
      <c r="R41" s="248">
        <f t="shared" si="15"/>
        <v>4300</v>
      </c>
    </row>
    <row r="42" spans="1:31">
      <c r="A42" s="2">
        <v>2006</v>
      </c>
      <c r="B42" s="169">
        <v>64</v>
      </c>
      <c r="C42" s="169"/>
      <c r="D42" s="170">
        <v>908</v>
      </c>
      <c r="E42" s="169"/>
      <c r="F42" s="169"/>
      <c r="G42" s="169"/>
      <c r="H42" s="169"/>
      <c r="I42" s="169"/>
      <c r="J42" s="169"/>
      <c r="K42" s="169"/>
      <c r="L42" s="169"/>
      <c r="M42" s="169"/>
      <c r="N42" s="169">
        <v>972</v>
      </c>
      <c r="O42" s="2">
        <v>0.5</v>
      </c>
      <c r="Q42" s="208" t="s">
        <v>153</v>
      </c>
      <c r="R42" s="248">
        <f t="shared" si="15"/>
        <v>6400</v>
      </c>
    </row>
    <row r="43" spans="1:31">
      <c r="A43" s="2">
        <v>2007</v>
      </c>
      <c r="B43" s="169">
        <v>82</v>
      </c>
      <c r="C43" s="169"/>
      <c r="D43" s="170">
        <v>849</v>
      </c>
      <c r="E43" s="169"/>
      <c r="F43" s="169"/>
      <c r="G43" s="169"/>
      <c r="H43" s="169"/>
      <c r="I43" s="169"/>
      <c r="J43" s="169"/>
      <c r="K43" s="169"/>
      <c r="L43" s="169"/>
      <c r="M43" s="169"/>
      <c r="N43" s="169">
        <v>931</v>
      </c>
      <c r="O43" s="2">
        <v>0.5</v>
      </c>
      <c r="Q43" s="208" t="s">
        <v>153</v>
      </c>
      <c r="R43" s="248">
        <f t="shared" si="15"/>
        <v>8200</v>
      </c>
    </row>
    <row r="44" spans="1:31">
      <c r="A44" s="2">
        <v>2008</v>
      </c>
      <c r="B44" s="169">
        <v>78</v>
      </c>
      <c r="C44" s="169"/>
      <c r="D44" s="170">
        <v>879</v>
      </c>
      <c r="E44" s="169"/>
      <c r="F44" s="169"/>
      <c r="G44" s="169"/>
      <c r="H44" s="169"/>
      <c r="I44" s="169"/>
      <c r="J44" s="169"/>
      <c r="K44" s="169"/>
      <c r="L44" s="169"/>
      <c r="M44" s="169"/>
      <c r="N44" s="169">
        <v>957</v>
      </c>
      <c r="O44" s="2">
        <v>0.5</v>
      </c>
      <c r="Q44" s="208" t="s">
        <v>153</v>
      </c>
      <c r="R44" s="248">
        <f t="shared" si="15"/>
        <v>7800</v>
      </c>
    </row>
    <row r="45" spans="1:31">
      <c r="A45" s="2">
        <v>2009</v>
      </c>
      <c r="B45" s="169">
        <v>56</v>
      </c>
      <c r="C45" s="169"/>
      <c r="D45" s="170">
        <v>745</v>
      </c>
      <c r="E45" s="169"/>
      <c r="F45" s="169"/>
      <c r="G45" s="169"/>
      <c r="H45" s="169"/>
      <c r="I45" s="169"/>
      <c r="J45" s="169"/>
      <c r="K45" s="169"/>
      <c r="L45" s="169"/>
      <c r="M45" s="169"/>
      <c r="N45" s="169">
        <v>801</v>
      </c>
      <c r="O45" s="2">
        <v>0.5</v>
      </c>
      <c r="Q45" s="208" t="s">
        <v>153</v>
      </c>
      <c r="R45" s="248">
        <f t="shared" si="15"/>
        <v>5600</v>
      </c>
    </row>
    <row r="46" spans="1:31">
      <c r="A46" s="2">
        <v>2010</v>
      </c>
      <c r="B46" s="169">
        <v>34</v>
      </c>
      <c r="C46" s="169"/>
      <c r="D46" s="170">
        <v>668</v>
      </c>
      <c r="E46" s="169"/>
      <c r="F46" s="169"/>
      <c r="G46" s="169"/>
      <c r="H46" s="169"/>
      <c r="I46" s="169"/>
      <c r="J46" s="169"/>
      <c r="K46" s="169"/>
      <c r="L46" s="169"/>
      <c r="M46" s="169"/>
      <c r="N46" s="169">
        <v>702</v>
      </c>
      <c r="O46" s="2">
        <v>0.5</v>
      </c>
      <c r="Q46" s="208" t="s">
        <v>153</v>
      </c>
      <c r="R46" s="248">
        <f t="shared" si="15"/>
        <v>3400</v>
      </c>
    </row>
    <row r="47" spans="1:31">
      <c r="A47" s="2">
        <v>2011</v>
      </c>
      <c r="B47" s="169">
        <v>33</v>
      </c>
      <c r="C47" s="169"/>
      <c r="D47" s="170">
        <v>542</v>
      </c>
      <c r="E47" s="169"/>
      <c r="F47" s="169"/>
      <c r="G47" s="169"/>
      <c r="H47" s="169"/>
      <c r="I47" s="169"/>
      <c r="J47" s="169"/>
      <c r="K47" s="169"/>
      <c r="L47" s="169"/>
      <c r="M47" s="169"/>
      <c r="N47" s="169">
        <v>575</v>
      </c>
      <c r="O47" s="2">
        <v>0.5</v>
      </c>
      <c r="Q47" s="208" t="s">
        <v>153</v>
      </c>
      <c r="R47" s="248">
        <f t="shared" si="15"/>
        <v>3300</v>
      </c>
    </row>
    <row r="48" spans="1:31">
      <c r="A48" s="2">
        <v>2012</v>
      </c>
      <c r="B48" s="169">
        <v>21</v>
      </c>
      <c r="C48" s="169"/>
      <c r="D48" s="170">
        <v>442</v>
      </c>
      <c r="E48" s="169"/>
      <c r="F48" s="169"/>
      <c r="G48" s="169"/>
      <c r="H48" s="169"/>
      <c r="I48" s="169"/>
      <c r="J48" s="169"/>
      <c r="K48" s="169"/>
      <c r="L48" s="169"/>
      <c r="M48" s="169"/>
      <c r="N48" s="169">
        <v>463</v>
      </c>
      <c r="O48" s="2">
        <v>0.5</v>
      </c>
      <c r="Q48" s="208" t="s">
        <v>153</v>
      </c>
      <c r="R48" s="248">
        <f t="shared" si="15"/>
        <v>2100</v>
      </c>
    </row>
    <row r="49" spans="1:22">
      <c r="A49" s="2">
        <v>2013</v>
      </c>
      <c r="B49" s="169">
        <v>35</v>
      </c>
      <c r="C49" s="169">
        <v>32</v>
      </c>
      <c r="D49" s="169">
        <v>51</v>
      </c>
      <c r="E49" s="169">
        <v>54</v>
      </c>
      <c r="F49" s="169">
        <v>66</v>
      </c>
      <c r="G49" s="169">
        <v>37</v>
      </c>
      <c r="H49" s="169">
        <v>59</v>
      </c>
      <c r="I49" s="169">
        <v>77</v>
      </c>
      <c r="J49" s="169">
        <v>65</v>
      </c>
      <c r="K49" s="169">
        <v>42</v>
      </c>
      <c r="L49" s="169">
        <v>51</v>
      </c>
      <c r="M49" s="169">
        <v>49</v>
      </c>
      <c r="N49" s="207">
        <f>SUM(B49:M49)</f>
        <v>618</v>
      </c>
      <c r="O49" s="2">
        <v>0.5</v>
      </c>
      <c r="Q49" s="208" t="s">
        <v>153</v>
      </c>
      <c r="R49" s="248">
        <f t="shared" si="15"/>
        <v>3500</v>
      </c>
    </row>
    <row r="50" spans="1:22">
      <c r="A50" s="2">
        <v>2014</v>
      </c>
      <c r="B50" s="169">
        <v>26</v>
      </c>
      <c r="C50" s="169">
        <v>47</v>
      </c>
      <c r="D50" s="206">
        <v>37</v>
      </c>
      <c r="E50" s="169">
        <v>20</v>
      </c>
      <c r="F50" s="169">
        <v>31</v>
      </c>
      <c r="G50" s="169">
        <v>47</v>
      </c>
      <c r="H50" s="169">
        <v>55</v>
      </c>
      <c r="I50" s="169">
        <v>61</v>
      </c>
      <c r="J50" s="169">
        <v>86</v>
      </c>
      <c r="K50" s="169">
        <v>62</v>
      </c>
      <c r="L50" s="169">
        <v>59</v>
      </c>
      <c r="M50" s="169">
        <v>57</v>
      </c>
      <c r="N50" s="207">
        <f>SUM(B50:M50)</f>
        <v>588</v>
      </c>
      <c r="O50" s="2">
        <v>0.5</v>
      </c>
      <c r="Q50" s="208" t="s">
        <v>153</v>
      </c>
    </row>
    <row r="51" spans="1:22">
      <c r="A51" s="2">
        <v>2015</v>
      </c>
      <c r="B51" s="169">
        <v>21</v>
      </c>
      <c r="C51" s="169">
        <v>60</v>
      </c>
      <c r="D51" s="169">
        <v>49</v>
      </c>
      <c r="E51" s="169">
        <v>53</v>
      </c>
      <c r="F51" s="169">
        <v>52</v>
      </c>
      <c r="G51" s="169">
        <v>53</v>
      </c>
      <c r="H51" s="169">
        <v>56</v>
      </c>
      <c r="I51" s="169">
        <v>72</v>
      </c>
      <c r="J51" s="169">
        <v>79</v>
      </c>
      <c r="K51" s="169">
        <v>64</v>
      </c>
      <c r="L51" s="169">
        <v>64</v>
      </c>
      <c r="M51" s="169">
        <v>75</v>
      </c>
      <c r="N51" s="207">
        <f t="shared" ref="N51:N56" si="18">SUM(B51:M51)</f>
        <v>698</v>
      </c>
      <c r="O51" s="2">
        <v>0.5</v>
      </c>
      <c r="Q51" s="208" t="s">
        <v>153</v>
      </c>
    </row>
    <row r="52" spans="1:22">
      <c r="A52" s="2">
        <v>2016</v>
      </c>
      <c r="B52" s="169">
        <v>16</v>
      </c>
      <c r="C52" s="169">
        <v>22</v>
      </c>
      <c r="D52" s="169">
        <v>39</v>
      </c>
      <c r="E52" s="169">
        <v>55</v>
      </c>
      <c r="F52" s="169">
        <v>53</v>
      </c>
      <c r="G52" s="169">
        <v>52</v>
      </c>
      <c r="H52" s="169">
        <v>52</v>
      </c>
      <c r="I52" s="169">
        <v>98</v>
      </c>
      <c r="J52" s="169">
        <v>85</v>
      </c>
      <c r="K52" s="169">
        <v>66</v>
      </c>
      <c r="L52" s="169">
        <v>54</v>
      </c>
      <c r="M52" s="169">
        <v>110</v>
      </c>
      <c r="N52" s="207">
        <f t="shared" si="18"/>
        <v>702</v>
      </c>
      <c r="O52" s="2">
        <v>0.5</v>
      </c>
      <c r="Q52" s="208" t="s">
        <v>153</v>
      </c>
    </row>
    <row r="53" spans="1:22">
      <c r="A53" s="2">
        <v>2017</v>
      </c>
      <c r="B53" s="169">
        <v>35</v>
      </c>
      <c r="C53" s="169"/>
      <c r="D53" s="169"/>
      <c r="E53" s="169"/>
      <c r="F53" s="169"/>
      <c r="G53" s="169"/>
      <c r="H53" s="170">
        <v>656</v>
      </c>
      <c r="I53" s="169"/>
      <c r="J53" s="169"/>
      <c r="K53" s="169"/>
      <c r="L53" s="169"/>
      <c r="M53" s="169"/>
      <c r="N53" s="207">
        <f t="shared" si="18"/>
        <v>691</v>
      </c>
    </row>
    <row r="54" spans="1:22">
      <c r="A54" s="2">
        <v>2018</v>
      </c>
      <c r="B54" s="169">
        <v>33</v>
      </c>
      <c r="C54" s="169"/>
      <c r="D54" s="169"/>
      <c r="E54" s="169"/>
      <c r="F54" s="169"/>
      <c r="G54" s="169"/>
      <c r="H54" s="170">
        <v>572</v>
      </c>
      <c r="I54" s="169"/>
      <c r="J54" s="169"/>
      <c r="K54" s="169"/>
      <c r="L54" s="169"/>
      <c r="M54" s="169"/>
      <c r="N54" s="207">
        <f t="shared" si="18"/>
        <v>605</v>
      </c>
      <c r="O54" s="2">
        <v>2</v>
      </c>
      <c r="Q54" s="208" t="s">
        <v>153</v>
      </c>
      <c r="U54" s="2">
        <v>8</v>
      </c>
      <c r="V54" s="2">
        <v>83</v>
      </c>
    </row>
    <row r="55" spans="1:22">
      <c r="A55" s="2">
        <v>2019</v>
      </c>
      <c r="B55" s="169">
        <v>18</v>
      </c>
      <c r="C55" s="169">
        <v>49</v>
      </c>
      <c r="D55" s="169">
        <v>60</v>
      </c>
      <c r="E55" s="169"/>
      <c r="F55" s="169"/>
      <c r="G55" s="169"/>
      <c r="H55" s="170">
        <v>653</v>
      </c>
      <c r="I55" s="169"/>
      <c r="J55" s="169"/>
      <c r="K55" s="169"/>
      <c r="L55" s="169"/>
      <c r="M55" s="169"/>
      <c r="N55" s="207">
        <f t="shared" si="18"/>
        <v>780</v>
      </c>
      <c r="O55" s="2">
        <v>2</v>
      </c>
      <c r="Q55" s="208" t="s">
        <v>153</v>
      </c>
    </row>
    <row r="56" spans="1:22">
      <c r="A56" s="2">
        <v>2020</v>
      </c>
      <c r="B56" s="169">
        <v>23</v>
      </c>
      <c r="C56" s="169">
        <v>44</v>
      </c>
      <c r="D56" s="169">
        <v>21</v>
      </c>
      <c r="E56" s="169">
        <v>10</v>
      </c>
      <c r="F56" s="169">
        <v>21</v>
      </c>
      <c r="G56" s="169">
        <v>24</v>
      </c>
      <c r="H56" s="169">
        <v>47</v>
      </c>
      <c r="I56" s="169">
        <v>40</v>
      </c>
      <c r="J56" s="169">
        <v>55</v>
      </c>
      <c r="K56" s="169">
        <v>41</v>
      </c>
      <c r="L56" s="169">
        <v>26</v>
      </c>
      <c r="M56" s="169">
        <v>39</v>
      </c>
      <c r="N56" s="207">
        <f t="shared" si="18"/>
        <v>391</v>
      </c>
      <c r="O56" s="2">
        <v>1</v>
      </c>
      <c r="Q56" s="208" t="s">
        <v>156</v>
      </c>
      <c r="R56" s="208" t="s">
        <v>153</v>
      </c>
    </row>
    <row r="57" spans="1:22">
      <c r="A57" s="2">
        <v>2021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207"/>
    </row>
    <row r="58" spans="1:22"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</row>
    <row r="59" spans="1:22"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</row>
    <row r="60" spans="1:22"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</row>
    <row r="61" spans="1:22"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</row>
    <row r="62" spans="1:22"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</row>
  </sheetData>
  <mergeCells count="2">
    <mergeCell ref="A31:R31"/>
    <mergeCell ref="F32:O3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G67"/>
  <sheetViews>
    <sheetView workbookViewId="0">
      <pane ySplit="1" topLeftCell="A2" activePane="bottomLeft" state="frozen"/>
      <selection pane="bottomLeft" activeCell="P25" sqref="P25"/>
    </sheetView>
  </sheetViews>
  <sheetFormatPr defaultRowHeight="12.75"/>
  <cols>
    <col min="1" max="1" width="3.88671875" style="2" bestFit="1" customWidth="1"/>
    <col min="2" max="2" width="6.44140625" style="2" bestFit="1" customWidth="1"/>
    <col min="3" max="4" width="7.21875" style="2" bestFit="1" customWidth="1"/>
    <col min="5" max="7" width="6.44140625" style="2" bestFit="1" customWidth="1"/>
    <col min="8" max="11" width="7.21875" style="2" bestFit="1" customWidth="1"/>
    <col min="12" max="12" width="6.44140625" style="2" bestFit="1" customWidth="1"/>
    <col min="13" max="13" width="8.44140625" style="2" bestFit="1" customWidth="1"/>
    <col min="14" max="14" width="7.21875" style="2" bestFit="1" customWidth="1"/>
    <col min="15" max="15" width="9.21875" style="2" bestFit="1" customWidth="1"/>
    <col min="16" max="16" width="8.44140625" style="2" bestFit="1" customWidth="1"/>
    <col min="17" max="17" width="11.109375" style="2" bestFit="1" customWidth="1"/>
    <col min="18" max="18" width="7.6640625" style="2" bestFit="1" customWidth="1"/>
    <col min="19" max="32" width="6.44140625" style="2" bestFit="1" customWidth="1"/>
    <col min="33" max="33" width="7.21875" style="2" bestFit="1" customWidth="1"/>
    <col min="34" max="16384" width="8.88671875" style="2"/>
  </cols>
  <sheetData>
    <row r="1" spans="1:33" ht="13.5" thickBot="1">
      <c r="A1" s="166"/>
      <c r="B1" s="171" t="s">
        <v>4</v>
      </c>
      <c r="C1" s="173" t="s">
        <v>5</v>
      </c>
      <c r="D1" s="171" t="s">
        <v>6</v>
      </c>
      <c r="E1" s="172" t="s">
        <v>7</v>
      </c>
      <c r="F1" s="171" t="s">
        <v>2</v>
      </c>
      <c r="G1" s="173" t="s">
        <v>8</v>
      </c>
      <c r="H1" s="171" t="s">
        <v>9</v>
      </c>
      <c r="I1" s="172" t="s">
        <v>10</v>
      </c>
      <c r="J1" s="171" t="s">
        <v>11</v>
      </c>
      <c r="K1" s="173" t="s">
        <v>12</v>
      </c>
      <c r="L1" s="171" t="s">
        <v>13</v>
      </c>
      <c r="M1" s="172" t="s">
        <v>14</v>
      </c>
      <c r="N1" s="185" t="s">
        <v>29</v>
      </c>
      <c r="O1" s="186" t="s">
        <v>147</v>
      </c>
      <c r="P1" s="186" t="s">
        <v>139</v>
      </c>
      <c r="Q1" s="212" t="s">
        <v>149</v>
      </c>
      <c r="R1" s="186" t="s">
        <v>139</v>
      </c>
    </row>
    <row r="2" spans="1:33">
      <c r="A2" s="7">
        <v>1998</v>
      </c>
      <c r="B2" s="130"/>
      <c r="C2" s="130"/>
      <c r="D2" s="130"/>
      <c r="E2" s="130"/>
      <c r="F2" s="130"/>
      <c r="G2" s="130"/>
      <c r="H2" s="130"/>
      <c r="I2" s="125">
        <v>3928</v>
      </c>
      <c r="J2" s="125">
        <v>5000</v>
      </c>
      <c r="K2" s="125">
        <v>4300</v>
      </c>
      <c r="L2" s="125">
        <v>4000</v>
      </c>
      <c r="M2" s="125">
        <v>8900</v>
      </c>
      <c r="N2" s="125">
        <f>SUM(I2:M2)</f>
        <v>26128</v>
      </c>
      <c r="O2" s="123">
        <f>N2/340.75</f>
        <v>76.677916360968453</v>
      </c>
      <c r="P2" s="125">
        <v>855</v>
      </c>
      <c r="Q2" s="123">
        <f>O2*30%</f>
        <v>23.003374908290535</v>
      </c>
      <c r="R2" s="125">
        <f>P2*30%</f>
        <v>256.5</v>
      </c>
      <c r="V2" s="6">
        <f>B2/340.75</f>
        <v>0</v>
      </c>
      <c r="W2" s="6">
        <f t="shared" ref="W2:AA6" si="0">C2/340.75</f>
        <v>0</v>
      </c>
      <c r="X2" s="6">
        <f t="shared" si="0"/>
        <v>0</v>
      </c>
      <c r="Y2" s="6">
        <f t="shared" si="0"/>
        <v>0</v>
      </c>
      <c r="Z2" s="6">
        <f t="shared" si="0"/>
        <v>0</v>
      </c>
      <c r="AA2" s="6">
        <f t="shared" si="0"/>
        <v>0</v>
      </c>
      <c r="AB2" s="6">
        <f t="shared" ref="AB2:AB6" si="1">H2/340.75</f>
        <v>0</v>
      </c>
      <c r="AC2" s="6">
        <f t="shared" ref="AC2:AC6" si="2">I2/340.75</f>
        <v>11.527512839325018</v>
      </c>
      <c r="AD2" s="6">
        <f t="shared" ref="AD2:AD6" si="3">J2/340.75</f>
        <v>14.673514306676449</v>
      </c>
      <c r="AE2" s="6">
        <f t="shared" ref="AE2:AE6" si="4">K2/340.75</f>
        <v>12.619222303741747</v>
      </c>
      <c r="AF2" s="6">
        <f t="shared" ref="AF2:AG6" si="5">L2/340.75</f>
        <v>11.73881144534116</v>
      </c>
      <c r="AG2" s="6">
        <f t="shared" si="5"/>
        <v>26.118855465884078</v>
      </c>
    </row>
    <row r="3" spans="1:33">
      <c r="A3" s="1">
        <v>1999</v>
      </c>
      <c r="B3" s="189">
        <v>1800</v>
      </c>
      <c r="C3" s="189">
        <v>2600</v>
      </c>
      <c r="D3" s="189">
        <v>4900</v>
      </c>
      <c r="E3" s="189">
        <v>4200</v>
      </c>
      <c r="F3" s="189">
        <v>3500</v>
      </c>
      <c r="G3" s="189">
        <v>5200</v>
      </c>
      <c r="H3" s="189">
        <v>5200</v>
      </c>
      <c r="I3" s="189">
        <v>8900</v>
      </c>
      <c r="J3" s="189">
        <v>7200</v>
      </c>
      <c r="K3" s="189">
        <v>5100</v>
      </c>
      <c r="L3" s="189">
        <v>3400</v>
      </c>
      <c r="M3" s="189">
        <v>4800</v>
      </c>
      <c r="N3" s="125">
        <f>SUM(B3:M3)</f>
        <v>56800</v>
      </c>
      <c r="O3" s="123">
        <f>N3/340.75</f>
        <v>166.69112252384446</v>
      </c>
      <c r="P3" s="125">
        <v>1666</v>
      </c>
      <c r="Q3" s="123">
        <f t="shared" ref="Q3:Q27" si="6">O3*30%</f>
        <v>50.007336757153332</v>
      </c>
      <c r="R3" s="125">
        <f t="shared" ref="R3:R27" si="7">P3*30%</f>
        <v>499.79999999999995</v>
      </c>
      <c r="V3" s="6">
        <f t="shared" ref="V3:V6" si="8">B3/340.75</f>
        <v>5.2824651504035218</v>
      </c>
      <c r="W3" s="6">
        <f t="shared" si="0"/>
        <v>7.6302274394717537</v>
      </c>
      <c r="X3" s="6">
        <f t="shared" si="0"/>
        <v>14.38004402054292</v>
      </c>
      <c r="Y3" s="6">
        <f t="shared" si="0"/>
        <v>12.325752017608217</v>
      </c>
      <c r="Z3" s="6">
        <f t="shared" si="0"/>
        <v>10.271460014673515</v>
      </c>
      <c r="AA3" s="6">
        <f t="shared" si="0"/>
        <v>15.260454878943507</v>
      </c>
      <c r="AB3" s="6">
        <f t="shared" si="1"/>
        <v>15.260454878943507</v>
      </c>
      <c r="AC3" s="6">
        <f t="shared" si="2"/>
        <v>26.118855465884078</v>
      </c>
      <c r="AD3" s="6">
        <f t="shared" si="3"/>
        <v>21.129860601614087</v>
      </c>
      <c r="AE3" s="6">
        <f t="shared" si="4"/>
        <v>14.966984592809977</v>
      </c>
      <c r="AF3" s="6">
        <f t="shared" si="5"/>
        <v>9.9779897285399848</v>
      </c>
      <c r="AG3" s="6">
        <f t="shared" si="5"/>
        <v>14.086573734409392</v>
      </c>
    </row>
    <row r="4" spans="1:33">
      <c r="A4" s="1">
        <v>2000</v>
      </c>
      <c r="B4" s="189">
        <f>R41</f>
        <v>2800</v>
      </c>
      <c r="C4" s="189">
        <f t="shared" ref="C4:M5" si="9">S41</f>
        <v>3600</v>
      </c>
      <c r="D4" s="189">
        <f t="shared" si="9"/>
        <v>4200</v>
      </c>
      <c r="E4" s="189">
        <f t="shared" si="9"/>
        <v>3300</v>
      </c>
      <c r="F4" s="189">
        <f t="shared" si="9"/>
        <v>5300</v>
      </c>
      <c r="G4" s="189">
        <f t="shared" si="9"/>
        <v>4100</v>
      </c>
      <c r="H4" s="189">
        <f t="shared" si="9"/>
        <v>5100</v>
      </c>
      <c r="I4" s="189">
        <f t="shared" si="9"/>
        <v>8700</v>
      </c>
      <c r="J4" s="189">
        <f t="shared" si="9"/>
        <v>4600</v>
      </c>
      <c r="K4" s="189">
        <f t="shared" si="9"/>
        <v>5100</v>
      </c>
      <c r="L4" s="189">
        <f t="shared" si="9"/>
        <v>6200</v>
      </c>
      <c r="M4" s="189">
        <f t="shared" si="9"/>
        <v>4800</v>
      </c>
      <c r="N4" s="125">
        <f t="shared" ref="N4:N5" si="10">SUM(B4:M4)</f>
        <v>57800</v>
      </c>
      <c r="O4" s="123">
        <f t="shared" ref="O4:O5" si="11">N4/340.75</f>
        <v>169.62582538517975</v>
      </c>
      <c r="P4" s="125">
        <v>1392</v>
      </c>
      <c r="Q4" s="123">
        <f t="shared" si="6"/>
        <v>50.887747615553927</v>
      </c>
      <c r="R4" s="125">
        <f t="shared" si="7"/>
        <v>417.59999999999997</v>
      </c>
      <c r="V4" s="6">
        <f t="shared" si="8"/>
        <v>8.2171680117388117</v>
      </c>
      <c r="W4" s="6">
        <f t="shared" si="0"/>
        <v>10.564930300807044</v>
      </c>
      <c r="X4" s="6">
        <f t="shared" si="0"/>
        <v>12.325752017608217</v>
      </c>
      <c r="Y4" s="6">
        <f t="shared" si="0"/>
        <v>9.6845194424064562</v>
      </c>
      <c r="Z4" s="6">
        <f t="shared" si="0"/>
        <v>15.553925165077036</v>
      </c>
      <c r="AA4" s="6">
        <f t="shared" si="0"/>
        <v>12.032281731474688</v>
      </c>
      <c r="AB4" s="6">
        <f t="shared" si="1"/>
        <v>14.966984592809977</v>
      </c>
      <c r="AC4" s="6">
        <f t="shared" si="2"/>
        <v>25.531914893617021</v>
      </c>
      <c r="AD4" s="6">
        <f t="shared" si="3"/>
        <v>13.499633162142333</v>
      </c>
      <c r="AE4" s="6">
        <f t="shared" si="4"/>
        <v>14.966984592809977</v>
      </c>
      <c r="AF4" s="6">
        <f t="shared" si="5"/>
        <v>18.195157740278798</v>
      </c>
      <c r="AG4" s="6">
        <f t="shared" si="5"/>
        <v>14.086573734409392</v>
      </c>
    </row>
    <row r="5" spans="1:33">
      <c r="A5" s="1">
        <v>2001</v>
      </c>
      <c r="B5" s="189">
        <f>R42</f>
        <v>4000</v>
      </c>
      <c r="C5" s="189">
        <f t="shared" si="9"/>
        <v>5400</v>
      </c>
      <c r="D5" s="189">
        <f t="shared" si="9"/>
        <v>3500</v>
      </c>
      <c r="E5" s="189">
        <f t="shared" si="9"/>
        <v>3500</v>
      </c>
      <c r="F5" s="189">
        <f t="shared" si="9"/>
        <v>4200</v>
      </c>
      <c r="G5" s="189">
        <f t="shared" si="9"/>
        <v>3300</v>
      </c>
      <c r="H5" s="189">
        <f t="shared" si="9"/>
        <v>5600</v>
      </c>
      <c r="I5" s="189">
        <f t="shared" si="9"/>
        <v>8100</v>
      </c>
      <c r="J5" s="189">
        <f t="shared" si="9"/>
        <v>5500</v>
      </c>
      <c r="K5" s="189">
        <f t="shared" si="9"/>
        <v>3400</v>
      </c>
      <c r="L5" s="189">
        <f t="shared" si="9"/>
        <v>5800</v>
      </c>
      <c r="M5" s="189">
        <f t="shared" si="9"/>
        <v>5700</v>
      </c>
      <c r="N5" s="125">
        <f t="shared" si="10"/>
        <v>58000</v>
      </c>
      <c r="O5" s="123">
        <f t="shared" si="11"/>
        <v>170.21276595744681</v>
      </c>
      <c r="P5" s="125">
        <v>1210</v>
      </c>
      <c r="Q5" s="123">
        <f t="shared" si="6"/>
        <v>51.063829787234042</v>
      </c>
      <c r="R5" s="125">
        <f t="shared" si="7"/>
        <v>363</v>
      </c>
      <c r="V5" s="6">
        <f t="shared" si="8"/>
        <v>11.73881144534116</v>
      </c>
      <c r="W5" s="6">
        <f t="shared" si="0"/>
        <v>15.847395451210565</v>
      </c>
      <c r="X5" s="6">
        <f t="shared" si="0"/>
        <v>10.271460014673515</v>
      </c>
      <c r="Y5" s="6">
        <f t="shared" si="0"/>
        <v>10.271460014673515</v>
      </c>
      <c r="Z5" s="6">
        <f t="shared" si="0"/>
        <v>12.325752017608217</v>
      </c>
      <c r="AA5" s="6">
        <f t="shared" si="0"/>
        <v>9.6845194424064562</v>
      </c>
      <c r="AB5" s="6">
        <f t="shared" si="1"/>
        <v>16.434336023477623</v>
      </c>
      <c r="AC5" s="6">
        <f t="shared" si="2"/>
        <v>23.771093176815846</v>
      </c>
      <c r="AD5" s="6">
        <f t="shared" si="3"/>
        <v>16.140865737344093</v>
      </c>
      <c r="AE5" s="6">
        <f t="shared" si="4"/>
        <v>9.9779897285399848</v>
      </c>
      <c r="AF5" s="6">
        <f t="shared" si="5"/>
        <v>17.021276595744681</v>
      </c>
      <c r="AG5" s="6">
        <f t="shared" si="5"/>
        <v>16.72780630961115</v>
      </c>
    </row>
    <row r="6" spans="1:33">
      <c r="A6" s="1">
        <v>2002</v>
      </c>
      <c r="B6" s="198"/>
      <c r="C6" s="198"/>
      <c r="D6" s="196"/>
      <c r="E6" s="198"/>
      <c r="F6" s="198"/>
      <c r="G6" s="198"/>
      <c r="H6" s="198"/>
      <c r="I6" s="198"/>
      <c r="J6" s="198"/>
      <c r="K6" s="198"/>
      <c r="L6" s="198"/>
      <c r="M6" s="196">
        <v>325</v>
      </c>
      <c r="N6" s="130"/>
      <c r="O6" s="179">
        <f>SUM(B6:M6)</f>
        <v>325</v>
      </c>
      <c r="P6" s="276">
        <v>2057</v>
      </c>
      <c r="Q6" s="123">
        <f t="shared" si="6"/>
        <v>97.5</v>
      </c>
      <c r="R6" s="125">
        <f t="shared" si="7"/>
        <v>617.1</v>
      </c>
      <c r="V6" s="6">
        <f t="shared" si="8"/>
        <v>0</v>
      </c>
      <c r="W6" s="6">
        <f t="shared" si="0"/>
        <v>0</v>
      </c>
      <c r="X6" s="6">
        <f t="shared" si="0"/>
        <v>0</v>
      </c>
      <c r="Y6" s="6">
        <f t="shared" si="0"/>
        <v>0</v>
      </c>
      <c r="Z6" s="6">
        <f t="shared" si="0"/>
        <v>0</v>
      </c>
      <c r="AA6" s="6">
        <f t="shared" si="0"/>
        <v>0</v>
      </c>
      <c r="AB6" s="6">
        <f t="shared" si="1"/>
        <v>0</v>
      </c>
      <c r="AC6" s="6">
        <f t="shared" si="2"/>
        <v>0</v>
      </c>
      <c r="AD6" s="6">
        <f t="shared" si="3"/>
        <v>0</v>
      </c>
      <c r="AE6" s="6">
        <f t="shared" si="4"/>
        <v>0</v>
      </c>
      <c r="AF6" s="6">
        <f t="shared" si="5"/>
        <v>0</v>
      </c>
      <c r="AG6" s="6">
        <f t="shared" si="5"/>
        <v>0.95377842993396922</v>
      </c>
    </row>
    <row r="7" spans="1:33">
      <c r="A7" s="1">
        <v>2003</v>
      </c>
      <c r="B7" s="199">
        <v>22</v>
      </c>
      <c r="C7" s="200"/>
      <c r="D7" s="196"/>
      <c r="E7" s="200"/>
      <c r="F7" s="200"/>
      <c r="G7" s="200"/>
      <c r="H7" s="200"/>
      <c r="I7" s="200"/>
      <c r="J7" s="200"/>
      <c r="K7" s="200"/>
      <c r="L7" s="200"/>
      <c r="M7" s="200">
        <v>459</v>
      </c>
      <c r="N7" s="130"/>
      <c r="O7" s="179">
        <f>SUM(B7:M7)</f>
        <v>481</v>
      </c>
      <c r="P7" s="276">
        <v>2731</v>
      </c>
      <c r="Q7" s="123">
        <f t="shared" si="6"/>
        <v>144.29999999999998</v>
      </c>
      <c r="R7" s="125">
        <f t="shared" si="7"/>
        <v>819.3</v>
      </c>
      <c r="V7" s="6"/>
    </row>
    <row r="8" spans="1:33">
      <c r="A8" s="1">
        <v>2004</v>
      </c>
      <c r="B8" s="199">
        <v>22</v>
      </c>
      <c r="C8" s="200"/>
      <c r="D8" s="196"/>
      <c r="E8" s="200"/>
      <c r="F8" s="200"/>
      <c r="G8" s="200"/>
      <c r="H8" s="200"/>
      <c r="I8" s="200"/>
      <c r="J8" s="200"/>
      <c r="K8" s="200"/>
      <c r="L8" s="200"/>
      <c r="M8" s="200">
        <v>471</v>
      </c>
      <c r="N8" s="192"/>
      <c r="O8" s="179">
        <f t="shared" ref="O8:O27" si="12">SUM(B8:M8)</f>
        <v>493</v>
      </c>
      <c r="P8" s="276">
        <v>2534</v>
      </c>
      <c r="Q8" s="123">
        <f t="shared" si="6"/>
        <v>147.9</v>
      </c>
      <c r="R8" s="125">
        <f t="shared" si="7"/>
        <v>760.19999999999993</v>
      </c>
      <c r="V8" s="6"/>
    </row>
    <row r="9" spans="1:33">
      <c r="A9" s="1">
        <v>2005</v>
      </c>
      <c r="B9" s="201">
        <v>28</v>
      </c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>
        <v>505</v>
      </c>
      <c r="N9" s="8"/>
      <c r="O9" s="179">
        <f t="shared" si="12"/>
        <v>533</v>
      </c>
      <c r="P9" s="276">
        <v>2480</v>
      </c>
      <c r="Q9" s="123">
        <f t="shared" si="6"/>
        <v>159.9</v>
      </c>
      <c r="R9" s="125">
        <f t="shared" si="7"/>
        <v>744</v>
      </c>
      <c r="V9" s="6"/>
    </row>
    <row r="10" spans="1:33">
      <c r="A10" s="1">
        <v>2006</v>
      </c>
      <c r="B10" s="201">
        <v>40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>
        <v>454</v>
      </c>
      <c r="N10" s="8"/>
      <c r="O10" s="179">
        <f t="shared" si="12"/>
        <v>494</v>
      </c>
      <c r="P10" s="276">
        <v>2077</v>
      </c>
      <c r="Q10" s="123">
        <f t="shared" si="6"/>
        <v>148.19999999999999</v>
      </c>
      <c r="R10" s="125">
        <f t="shared" si="7"/>
        <v>623.1</v>
      </c>
      <c r="V10" s="6"/>
    </row>
    <row r="11" spans="1:33">
      <c r="A11" s="1">
        <v>2007</v>
      </c>
      <c r="B11" s="201">
        <v>50</v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>
        <v>424</v>
      </c>
      <c r="N11" s="8"/>
      <c r="O11" s="179">
        <f t="shared" si="12"/>
        <v>474</v>
      </c>
      <c r="P11" s="276">
        <v>1781</v>
      </c>
      <c r="Q11" s="123">
        <f t="shared" si="6"/>
        <v>142.19999999999999</v>
      </c>
      <c r="R11" s="125">
        <f t="shared" si="7"/>
        <v>534.29999999999995</v>
      </c>
      <c r="V11" s="6"/>
    </row>
    <row r="12" spans="1:33">
      <c r="A12" s="1">
        <v>2008</v>
      </c>
      <c r="B12" s="201">
        <v>39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>
        <v>439</v>
      </c>
      <c r="N12" s="8"/>
      <c r="O12" s="179">
        <f t="shared" si="12"/>
        <v>478</v>
      </c>
      <c r="P12" s="276">
        <v>1594</v>
      </c>
      <c r="Q12" s="123">
        <f t="shared" si="6"/>
        <v>143.4</v>
      </c>
      <c r="R12" s="125">
        <f t="shared" si="7"/>
        <v>478.2</v>
      </c>
      <c r="V12" s="6"/>
    </row>
    <row r="13" spans="1:33">
      <c r="A13" s="1">
        <v>2009</v>
      </c>
      <c r="B13" s="201">
        <v>28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>
        <v>372</v>
      </c>
      <c r="N13" s="8"/>
      <c r="O13" s="179">
        <f t="shared" si="12"/>
        <v>400</v>
      </c>
      <c r="P13" s="276">
        <v>1197</v>
      </c>
      <c r="Q13" s="123">
        <f t="shared" si="6"/>
        <v>120</v>
      </c>
      <c r="R13" s="125">
        <f t="shared" si="7"/>
        <v>359.09999999999997</v>
      </c>
      <c r="V13" s="6"/>
    </row>
    <row r="14" spans="1:33">
      <c r="A14" s="1">
        <v>2010</v>
      </c>
      <c r="B14" s="201">
        <v>17</v>
      </c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>
        <v>334</v>
      </c>
      <c r="N14" s="8"/>
      <c r="O14" s="179">
        <f t="shared" si="12"/>
        <v>351</v>
      </c>
      <c r="P14" s="276">
        <v>963</v>
      </c>
      <c r="Q14" s="123">
        <f t="shared" si="6"/>
        <v>105.3</v>
      </c>
      <c r="R14" s="125">
        <f t="shared" si="7"/>
        <v>288.89999999999998</v>
      </c>
    </row>
    <row r="15" spans="1:33">
      <c r="A15" s="1">
        <v>2011</v>
      </c>
      <c r="B15" s="201">
        <v>16</v>
      </c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>
        <v>271</v>
      </c>
      <c r="N15" s="8"/>
      <c r="O15" s="179">
        <f t="shared" si="12"/>
        <v>287</v>
      </c>
      <c r="P15" s="276">
        <v>721</v>
      </c>
      <c r="Q15" s="123">
        <f t="shared" si="6"/>
        <v>86.1</v>
      </c>
      <c r="R15" s="125">
        <f t="shared" si="7"/>
        <v>216.29999999999998</v>
      </c>
    </row>
    <row r="16" spans="1:33">
      <c r="A16" s="1">
        <v>2012</v>
      </c>
      <c r="B16" s="201">
        <v>11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>
        <v>220</v>
      </c>
      <c r="N16" s="8"/>
      <c r="O16" s="179">
        <f t="shared" si="12"/>
        <v>231</v>
      </c>
      <c r="P16" s="276">
        <v>531</v>
      </c>
      <c r="Q16" s="123">
        <f t="shared" si="6"/>
        <v>69.3</v>
      </c>
      <c r="R16" s="125">
        <f t="shared" si="7"/>
        <v>159.29999999999998</v>
      </c>
    </row>
    <row r="17" spans="1:19">
      <c r="A17" s="1">
        <v>2013</v>
      </c>
      <c r="B17" s="4">
        <v>17.5</v>
      </c>
      <c r="C17" s="202">
        <v>6</v>
      </c>
      <c r="D17" s="202">
        <v>32.82</v>
      </c>
      <c r="E17" s="202">
        <v>28</v>
      </c>
      <c r="F17" s="202">
        <v>18.5</v>
      </c>
      <c r="G17" s="202">
        <v>15.5</v>
      </c>
      <c r="H17" s="202">
        <v>20.5</v>
      </c>
      <c r="I17" s="202">
        <v>30</v>
      </c>
      <c r="J17" s="202">
        <v>33</v>
      </c>
      <c r="K17" s="202">
        <v>18</v>
      </c>
      <c r="L17" s="202">
        <v>24</v>
      </c>
      <c r="M17" s="202">
        <v>34</v>
      </c>
      <c r="N17" s="8"/>
      <c r="O17" s="179">
        <f t="shared" si="12"/>
        <v>277.82</v>
      </c>
      <c r="P17" s="276">
        <v>586</v>
      </c>
      <c r="Q17" s="123">
        <f t="shared" si="6"/>
        <v>83.345999999999989</v>
      </c>
      <c r="R17" s="125">
        <f t="shared" si="7"/>
        <v>175.79999999999998</v>
      </c>
      <c r="S17" s="193" t="s">
        <v>148</v>
      </c>
    </row>
    <row r="18" spans="1:19">
      <c r="A18" s="1">
        <v>2014</v>
      </c>
      <c r="B18" s="4">
        <v>12</v>
      </c>
      <c r="C18" s="4">
        <v>42</v>
      </c>
      <c r="D18" s="4">
        <v>19</v>
      </c>
      <c r="E18" s="4">
        <v>14.5</v>
      </c>
      <c r="F18" s="4">
        <v>12</v>
      </c>
      <c r="G18" s="4">
        <v>27.5</v>
      </c>
      <c r="H18" s="4">
        <v>37</v>
      </c>
      <c r="I18" s="4">
        <v>25.5</v>
      </c>
      <c r="J18" s="4">
        <v>52</v>
      </c>
      <c r="K18" s="4">
        <v>31</v>
      </c>
      <c r="L18" s="4">
        <v>35</v>
      </c>
      <c r="M18" s="4">
        <v>42</v>
      </c>
      <c r="N18" s="8"/>
      <c r="O18" s="179">
        <f t="shared" si="12"/>
        <v>349.5</v>
      </c>
      <c r="P18" s="276">
        <v>682</v>
      </c>
      <c r="Q18" s="123">
        <f t="shared" si="6"/>
        <v>104.85</v>
      </c>
      <c r="R18" s="125">
        <f t="shared" si="7"/>
        <v>204.6</v>
      </c>
    </row>
    <row r="19" spans="1:19">
      <c r="A19" s="1">
        <v>2015</v>
      </c>
      <c r="B19" s="4">
        <v>10</v>
      </c>
      <c r="C19" s="4">
        <v>30.5</v>
      </c>
      <c r="D19" s="4">
        <v>27</v>
      </c>
      <c r="E19" s="202">
        <v>30</v>
      </c>
      <c r="F19" s="202">
        <v>24.5</v>
      </c>
      <c r="G19" s="202">
        <v>31.5</v>
      </c>
      <c r="H19" s="202">
        <v>32</v>
      </c>
      <c r="I19" s="202">
        <v>22.5</v>
      </c>
      <c r="J19" s="202">
        <v>29.5</v>
      </c>
      <c r="K19" s="4">
        <v>34.5</v>
      </c>
      <c r="L19" s="202">
        <v>38</v>
      </c>
      <c r="M19" s="202">
        <v>44</v>
      </c>
      <c r="N19" s="8"/>
      <c r="O19" s="179">
        <f t="shared" si="12"/>
        <v>354</v>
      </c>
      <c r="P19" s="276">
        <v>643</v>
      </c>
      <c r="Q19" s="123">
        <f t="shared" si="6"/>
        <v>106.2</v>
      </c>
      <c r="R19" s="125">
        <f t="shared" si="7"/>
        <v>192.9</v>
      </c>
      <c r="S19" s="193" t="s">
        <v>148</v>
      </c>
    </row>
    <row r="20" spans="1:19">
      <c r="A20" s="1">
        <v>2016</v>
      </c>
      <c r="B20" s="4">
        <v>8.5</v>
      </c>
      <c r="C20" s="202">
        <v>10.5</v>
      </c>
      <c r="D20" s="202">
        <v>12</v>
      </c>
      <c r="E20" s="202">
        <v>36.5</v>
      </c>
      <c r="F20" s="202">
        <v>26</v>
      </c>
      <c r="G20" s="202">
        <v>30</v>
      </c>
      <c r="H20" s="202">
        <v>22.5</v>
      </c>
      <c r="I20" s="202">
        <v>61.8</v>
      </c>
      <c r="J20" s="202">
        <v>30</v>
      </c>
      <c r="K20" s="202">
        <v>26.5</v>
      </c>
      <c r="L20" s="202">
        <v>23.5</v>
      </c>
      <c r="M20" s="202">
        <v>57.5</v>
      </c>
      <c r="N20" s="8"/>
      <c r="O20" s="179">
        <f t="shared" si="12"/>
        <v>345.3</v>
      </c>
      <c r="P20" s="276">
        <v>583</v>
      </c>
      <c r="Q20" s="123">
        <f t="shared" si="6"/>
        <v>103.59</v>
      </c>
      <c r="R20" s="125">
        <f t="shared" si="7"/>
        <v>174.9</v>
      </c>
      <c r="S20" s="193" t="s">
        <v>148</v>
      </c>
    </row>
    <row r="21" spans="1:19">
      <c r="A21" s="1">
        <v>2017</v>
      </c>
      <c r="B21" s="4">
        <v>50</v>
      </c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>
        <v>1312</v>
      </c>
      <c r="N21" s="8"/>
      <c r="O21" s="179">
        <f t="shared" si="12"/>
        <v>1362</v>
      </c>
      <c r="P21" s="276">
        <v>2143</v>
      </c>
      <c r="Q21" s="123">
        <f t="shared" si="6"/>
        <v>408.59999999999997</v>
      </c>
      <c r="R21" s="125">
        <f t="shared" si="7"/>
        <v>642.9</v>
      </c>
    </row>
    <row r="22" spans="1:19">
      <c r="A22" s="1">
        <v>2018</v>
      </c>
      <c r="B22" s="4">
        <v>64</v>
      </c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>
        <v>1144</v>
      </c>
      <c r="N22" s="8"/>
      <c r="O22" s="179">
        <f t="shared" si="12"/>
        <v>1208</v>
      </c>
      <c r="P22" s="276">
        <v>1773</v>
      </c>
      <c r="Q22" s="123">
        <f t="shared" si="6"/>
        <v>362.4</v>
      </c>
      <c r="R22" s="125">
        <f t="shared" si="7"/>
        <v>531.9</v>
      </c>
    </row>
    <row r="23" spans="1:19">
      <c r="A23" s="1">
        <v>2019</v>
      </c>
      <c r="B23" s="4">
        <v>16</v>
      </c>
      <c r="C23" s="4">
        <v>82</v>
      </c>
      <c r="D23" s="4">
        <v>115</v>
      </c>
      <c r="E23" s="196"/>
      <c r="F23" s="196"/>
      <c r="G23" s="196"/>
      <c r="H23" s="196"/>
      <c r="I23" s="196"/>
      <c r="J23" s="196"/>
      <c r="K23" s="196"/>
      <c r="L23" s="196"/>
      <c r="M23" s="196">
        <v>1303</v>
      </c>
      <c r="N23" s="8"/>
      <c r="O23" s="179">
        <f t="shared" si="12"/>
        <v>1516</v>
      </c>
      <c r="P23" s="276">
        <v>2077</v>
      </c>
      <c r="Q23" s="123">
        <f t="shared" si="6"/>
        <v>454.8</v>
      </c>
      <c r="R23" s="125">
        <f t="shared" si="7"/>
        <v>623.1</v>
      </c>
    </row>
    <row r="24" spans="1:19">
      <c r="A24" s="1">
        <v>2020</v>
      </c>
      <c r="B24" s="4">
        <v>48</v>
      </c>
      <c r="C24" s="4">
        <v>112</v>
      </c>
      <c r="D24" s="4">
        <v>64</v>
      </c>
      <c r="E24" s="4">
        <v>33</v>
      </c>
      <c r="F24" s="4">
        <v>76</v>
      </c>
      <c r="G24" s="4">
        <v>52</v>
      </c>
      <c r="H24" s="4">
        <v>176</v>
      </c>
      <c r="I24" s="4">
        <v>135</v>
      </c>
      <c r="J24" s="4">
        <v>112</v>
      </c>
      <c r="K24" s="4">
        <v>106.5</v>
      </c>
      <c r="L24" s="4">
        <v>68</v>
      </c>
      <c r="M24" s="4">
        <v>125.5</v>
      </c>
      <c r="N24" s="8"/>
      <c r="O24" s="179">
        <f t="shared" si="12"/>
        <v>1108</v>
      </c>
      <c r="P24" s="276">
        <v>1410</v>
      </c>
      <c r="Q24" s="123">
        <f t="shared" si="6"/>
        <v>332.4</v>
      </c>
      <c r="R24" s="125">
        <f t="shared" si="7"/>
        <v>423</v>
      </c>
    </row>
    <row r="25" spans="1:19">
      <c r="A25" s="1">
        <v>2021</v>
      </c>
      <c r="B25" s="4"/>
      <c r="C25" s="196"/>
      <c r="D25" s="196"/>
      <c r="E25" s="196"/>
      <c r="F25" s="196"/>
      <c r="G25" s="196"/>
      <c r="H25" s="8"/>
      <c r="I25" s="8"/>
      <c r="J25" s="8"/>
      <c r="K25" s="8"/>
      <c r="L25" s="8"/>
      <c r="M25" s="8"/>
      <c r="N25" s="8"/>
      <c r="O25" s="179">
        <f t="shared" si="12"/>
        <v>0</v>
      </c>
      <c r="P25" s="276"/>
      <c r="Q25" s="123"/>
      <c r="R25" s="125"/>
    </row>
    <row r="26" spans="1:19">
      <c r="A26" s="1">
        <v>2022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244"/>
      <c r="P26" s="277"/>
      <c r="Q26" s="275"/>
      <c r="R26" s="299"/>
    </row>
    <row r="27" spans="1:19">
      <c r="A27" s="1">
        <v>2023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244">
        <f t="shared" si="12"/>
        <v>0</v>
      </c>
      <c r="P27" s="277"/>
      <c r="Q27" s="275">
        <f t="shared" si="6"/>
        <v>0</v>
      </c>
      <c r="R27" s="299">
        <f t="shared" si="7"/>
        <v>0</v>
      </c>
    </row>
    <row r="28" spans="1:19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4">
        <f>SUM(O2:O27)</f>
        <v>11650.827630227439</v>
      </c>
      <c r="P28" s="189">
        <f t="shared" ref="P28:R28" si="13">SUM(P2:P27)</f>
        <v>33686</v>
      </c>
      <c r="Q28" s="4">
        <f t="shared" si="13"/>
        <v>3495.2482890682318</v>
      </c>
      <c r="R28" s="189">
        <f t="shared" si="13"/>
        <v>10105.800000000001</v>
      </c>
    </row>
    <row r="29" spans="1:19">
      <c r="Q29" s="197">
        <v>299</v>
      </c>
      <c r="S29" s="269">
        <v>45324</v>
      </c>
    </row>
    <row r="30" spans="1:19">
      <c r="S30" s="266" t="s">
        <v>184</v>
      </c>
    </row>
    <row r="31" spans="1:19">
      <c r="A31" s="538" t="s">
        <v>154</v>
      </c>
      <c r="B31" s="538"/>
      <c r="C31" s="538"/>
      <c r="D31" s="538"/>
      <c r="E31" s="538"/>
      <c r="F31" s="538"/>
      <c r="G31" s="538"/>
      <c r="H31" s="538"/>
      <c r="I31" s="538"/>
      <c r="J31" s="538"/>
      <c r="K31" s="538"/>
      <c r="L31" s="538"/>
      <c r="M31" s="538"/>
      <c r="N31" s="538"/>
      <c r="O31" s="538"/>
      <c r="P31" s="538"/>
      <c r="Q31" s="538"/>
      <c r="R31" s="538"/>
    </row>
    <row r="32" spans="1:19">
      <c r="A32" s="209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</row>
    <row r="33" spans="1:30">
      <c r="A33" s="538" t="s">
        <v>151</v>
      </c>
      <c r="B33" s="538"/>
      <c r="C33" s="538"/>
      <c r="D33" s="538"/>
      <c r="E33" s="538"/>
      <c r="F33" s="538"/>
      <c r="G33" s="538"/>
      <c r="H33" s="538"/>
      <c r="I33" s="538"/>
      <c r="J33" s="538"/>
      <c r="K33" s="538"/>
      <c r="L33" s="538"/>
      <c r="M33" s="538"/>
      <c r="N33" s="538"/>
      <c r="O33" s="538"/>
      <c r="P33" s="538"/>
      <c r="Q33" s="538"/>
      <c r="R33" s="209"/>
    </row>
    <row r="34" spans="1:30">
      <c r="A34" s="209"/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</row>
    <row r="35" spans="1:30">
      <c r="A35" s="209"/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</row>
    <row r="36" spans="1:30">
      <c r="A36" s="209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</row>
    <row r="37" spans="1:30">
      <c r="F37" s="539" t="s">
        <v>165</v>
      </c>
      <c r="G37" s="539"/>
      <c r="H37" s="539"/>
      <c r="I37" s="539"/>
      <c r="J37" s="539"/>
      <c r="K37" s="539"/>
      <c r="L37" s="539"/>
      <c r="M37" s="539"/>
      <c r="N37" s="539"/>
      <c r="O37" s="539"/>
      <c r="P37" s="250"/>
    </row>
    <row r="38" spans="1:30" s="203" customFormat="1"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R38" s="204">
        <v>1</v>
      </c>
      <c r="S38" s="204">
        <v>2</v>
      </c>
      <c r="T38" s="204">
        <v>3</v>
      </c>
      <c r="U38" s="204">
        <v>4</v>
      </c>
      <c r="V38" s="204">
        <v>5</v>
      </c>
      <c r="W38" s="204">
        <v>6</v>
      </c>
      <c r="X38" s="204">
        <v>7</v>
      </c>
      <c r="Y38" s="204">
        <v>8</v>
      </c>
      <c r="Z38" s="204">
        <v>9</v>
      </c>
      <c r="AA38" s="204">
        <v>10</v>
      </c>
      <c r="AB38" s="204">
        <v>11</v>
      </c>
      <c r="AC38" s="204">
        <v>12</v>
      </c>
    </row>
    <row r="39" spans="1:30">
      <c r="A39" s="2">
        <v>1998</v>
      </c>
      <c r="B39" s="205"/>
      <c r="C39" s="205"/>
      <c r="D39" s="205"/>
      <c r="E39" s="205"/>
      <c r="F39" s="205"/>
      <c r="G39" s="205"/>
      <c r="H39" s="205"/>
      <c r="I39" s="169">
        <v>14</v>
      </c>
      <c r="J39" s="206">
        <v>50</v>
      </c>
      <c r="K39" s="206">
        <v>43</v>
      </c>
      <c r="L39" s="206">
        <v>40</v>
      </c>
      <c r="M39" s="206">
        <v>89</v>
      </c>
      <c r="N39" s="207">
        <f t="shared" ref="N39:N54" si="14">SUM(B39:M39)</f>
        <v>236</v>
      </c>
      <c r="O39" s="2">
        <v>100</v>
      </c>
      <c r="R39" s="247">
        <f>B39*100</f>
        <v>0</v>
      </c>
      <c r="S39" s="247">
        <f t="shared" ref="S39:Y42" si="15">C39*100</f>
        <v>0</v>
      </c>
      <c r="T39" s="247">
        <f t="shared" si="15"/>
        <v>0</v>
      </c>
      <c r="U39" s="247">
        <f t="shared" si="15"/>
        <v>0</v>
      </c>
      <c r="V39" s="247">
        <f t="shared" si="15"/>
        <v>0</v>
      </c>
      <c r="W39" s="247">
        <f t="shared" si="15"/>
        <v>0</v>
      </c>
      <c r="X39" s="248">
        <f t="shared" si="15"/>
        <v>0</v>
      </c>
      <c r="Y39" s="248">
        <f t="shared" si="15"/>
        <v>1400</v>
      </c>
      <c r="Z39" s="248">
        <f t="shared" ref="Z39:Z42" si="16">J39*100</f>
        <v>5000</v>
      </c>
      <c r="AA39" s="248">
        <f t="shared" ref="AA39:AA42" si="17">K39*100</f>
        <v>4300</v>
      </c>
      <c r="AB39" s="248">
        <f t="shared" ref="AB39:AB42" si="18">L39*100</f>
        <v>4000</v>
      </c>
      <c r="AC39" s="248">
        <f t="shared" ref="AC39:AC42" si="19">M39*100</f>
        <v>8900</v>
      </c>
      <c r="AD39" s="248"/>
    </row>
    <row r="40" spans="1:30">
      <c r="A40" s="2">
        <v>1999</v>
      </c>
      <c r="B40" s="206">
        <v>18</v>
      </c>
      <c r="C40" s="206">
        <v>26</v>
      </c>
      <c r="D40" s="206">
        <v>49</v>
      </c>
      <c r="E40" s="206">
        <v>42</v>
      </c>
      <c r="F40" s="206">
        <v>35</v>
      </c>
      <c r="G40" s="206">
        <v>52</v>
      </c>
      <c r="H40" s="206">
        <v>52</v>
      </c>
      <c r="I40" s="206">
        <v>89</v>
      </c>
      <c r="J40" s="206">
        <v>72</v>
      </c>
      <c r="K40" s="206">
        <v>51</v>
      </c>
      <c r="L40" s="206">
        <v>34</v>
      </c>
      <c r="M40" s="206">
        <v>48</v>
      </c>
      <c r="N40" s="207">
        <f t="shared" si="14"/>
        <v>568</v>
      </c>
      <c r="O40" s="2">
        <v>100</v>
      </c>
      <c r="R40" s="248">
        <f t="shared" ref="R40:R49" si="20">B40*100</f>
        <v>1800</v>
      </c>
      <c r="S40" s="248">
        <f t="shared" si="15"/>
        <v>2600</v>
      </c>
      <c r="T40" s="248">
        <f t="shared" si="15"/>
        <v>4900</v>
      </c>
      <c r="U40" s="248">
        <f t="shared" si="15"/>
        <v>4200</v>
      </c>
      <c r="V40" s="248">
        <f t="shared" si="15"/>
        <v>3500</v>
      </c>
      <c r="W40" s="248">
        <f t="shared" si="15"/>
        <v>5200</v>
      </c>
      <c r="X40" s="248">
        <f t="shared" si="15"/>
        <v>5200</v>
      </c>
      <c r="Y40" s="248">
        <f t="shared" si="15"/>
        <v>8900</v>
      </c>
      <c r="Z40" s="248">
        <f t="shared" si="16"/>
        <v>7200</v>
      </c>
      <c r="AA40" s="248">
        <f t="shared" si="17"/>
        <v>5100</v>
      </c>
      <c r="AB40" s="248">
        <f t="shared" si="18"/>
        <v>3400</v>
      </c>
      <c r="AC40" s="248">
        <f t="shared" si="19"/>
        <v>4800</v>
      </c>
    </row>
    <row r="41" spans="1:30">
      <c r="A41" s="2">
        <v>2000</v>
      </c>
      <c r="B41" s="206">
        <v>28</v>
      </c>
      <c r="C41" s="206">
        <v>36</v>
      </c>
      <c r="D41" s="206">
        <v>42</v>
      </c>
      <c r="E41" s="206">
        <v>33</v>
      </c>
      <c r="F41" s="206">
        <v>53</v>
      </c>
      <c r="G41" s="206">
        <v>41</v>
      </c>
      <c r="H41" s="206">
        <v>51</v>
      </c>
      <c r="I41" s="206">
        <v>87</v>
      </c>
      <c r="J41" s="206">
        <v>46</v>
      </c>
      <c r="K41" s="206">
        <v>51</v>
      </c>
      <c r="L41" s="206">
        <v>62</v>
      </c>
      <c r="M41" s="206">
        <v>48</v>
      </c>
      <c r="N41" s="207">
        <f t="shared" si="14"/>
        <v>578</v>
      </c>
      <c r="O41" s="2">
        <v>100</v>
      </c>
      <c r="P41" s="2" t="s">
        <v>152</v>
      </c>
      <c r="R41" s="248">
        <f t="shared" si="20"/>
        <v>2800</v>
      </c>
      <c r="S41" s="248">
        <f t="shared" si="15"/>
        <v>3600</v>
      </c>
      <c r="T41" s="248">
        <f t="shared" si="15"/>
        <v>4200</v>
      </c>
      <c r="U41" s="248">
        <f t="shared" si="15"/>
        <v>3300</v>
      </c>
      <c r="V41" s="248">
        <f t="shared" si="15"/>
        <v>5300</v>
      </c>
      <c r="W41" s="248">
        <f t="shared" si="15"/>
        <v>4100</v>
      </c>
      <c r="X41" s="248">
        <f t="shared" si="15"/>
        <v>5100</v>
      </c>
      <c r="Y41" s="248">
        <f t="shared" si="15"/>
        <v>8700</v>
      </c>
      <c r="Z41" s="248">
        <f t="shared" si="16"/>
        <v>4600</v>
      </c>
      <c r="AA41" s="248">
        <f t="shared" si="17"/>
        <v>5100</v>
      </c>
      <c r="AB41" s="248">
        <f t="shared" si="18"/>
        <v>6200</v>
      </c>
      <c r="AC41" s="248">
        <f t="shared" si="19"/>
        <v>4800</v>
      </c>
    </row>
    <row r="42" spans="1:30">
      <c r="A42" s="2">
        <v>2001</v>
      </c>
      <c r="B42" s="169">
        <v>40</v>
      </c>
      <c r="C42" s="169">
        <v>54</v>
      </c>
      <c r="D42" s="206">
        <v>35</v>
      </c>
      <c r="E42" s="169">
        <v>35</v>
      </c>
      <c r="F42" s="169">
        <v>42</v>
      </c>
      <c r="G42" s="169">
        <v>33</v>
      </c>
      <c r="H42" s="169">
        <v>56</v>
      </c>
      <c r="I42" s="169">
        <v>81</v>
      </c>
      <c r="J42" s="169">
        <v>55</v>
      </c>
      <c r="K42" s="169">
        <v>34</v>
      </c>
      <c r="L42" s="169">
        <v>58</v>
      </c>
      <c r="M42" s="169">
        <v>57</v>
      </c>
      <c r="N42" s="207">
        <f t="shared" si="14"/>
        <v>580</v>
      </c>
      <c r="O42" s="2">
        <v>100</v>
      </c>
      <c r="R42" s="248">
        <f t="shared" si="20"/>
        <v>4000</v>
      </c>
      <c r="S42" s="248">
        <f t="shared" si="15"/>
        <v>5400</v>
      </c>
      <c r="T42" s="248">
        <f t="shared" si="15"/>
        <v>3500</v>
      </c>
      <c r="U42" s="248">
        <f t="shared" si="15"/>
        <v>3500</v>
      </c>
      <c r="V42" s="248">
        <f t="shared" si="15"/>
        <v>4200</v>
      </c>
      <c r="W42" s="248">
        <f t="shared" si="15"/>
        <v>3300</v>
      </c>
      <c r="X42" s="248">
        <f t="shared" si="15"/>
        <v>5600</v>
      </c>
      <c r="Y42" s="248">
        <f t="shared" si="15"/>
        <v>8100</v>
      </c>
      <c r="Z42" s="248">
        <f t="shared" si="16"/>
        <v>5500</v>
      </c>
      <c r="AA42" s="248">
        <f t="shared" si="17"/>
        <v>3400</v>
      </c>
      <c r="AB42" s="248">
        <f t="shared" si="18"/>
        <v>5800</v>
      </c>
      <c r="AC42" s="248">
        <f t="shared" si="19"/>
        <v>5700</v>
      </c>
    </row>
    <row r="43" spans="1:30">
      <c r="A43" s="2">
        <v>2002</v>
      </c>
      <c r="B43" s="169"/>
      <c r="C43" s="169"/>
      <c r="D43" s="170">
        <v>650</v>
      </c>
      <c r="E43" s="169"/>
      <c r="F43" s="169"/>
      <c r="G43" s="169"/>
      <c r="H43" s="169"/>
      <c r="I43" s="169"/>
      <c r="J43" s="169"/>
      <c r="K43" s="169"/>
      <c r="L43" s="169"/>
      <c r="M43" s="169"/>
      <c r="N43" s="207">
        <f t="shared" si="14"/>
        <v>650</v>
      </c>
      <c r="O43" s="2">
        <v>0.5</v>
      </c>
      <c r="R43" s="248">
        <f t="shared" si="20"/>
        <v>0</v>
      </c>
    </row>
    <row r="44" spans="1:30">
      <c r="A44" s="2">
        <v>2003</v>
      </c>
      <c r="B44" s="169">
        <v>44</v>
      </c>
      <c r="C44" s="169"/>
      <c r="D44" s="170">
        <v>917</v>
      </c>
      <c r="E44" s="169"/>
      <c r="F44" s="169"/>
      <c r="G44" s="169"/>
      <c r="H44" s="169"/>
      <c r="I44" s="169"/>
      <c r="J44" s="169"/>
      <c r="K44" s="169"/>
      <c r="L44" s="169"/>
      <c r="M44" s="169"/>
      <c r="N44" s="207">
        <f t="shared" si="14"/>
        <v>961</v>
      </c>
      <c r="O44" s="2">
        <v>0.5</v>
      </c>
      <c r="R44" s="248">
        <f t="shared" si="20"/>
        <v>4400</v>
      </c>
    </row>
    <row r="45" spans="1:30">
      <c r="A45" s="2">
        <v>2004</v>
      </c>
      <c r="B45" s="169">
        <v>40</v>
      </c>
      <c r="C45" s="169"/>
      <c r="D45" s="170">
        <v>942</v>
      </c>
      <c r="E45" s="169"/>
      <c r="F45" s="169"/>
      <c r="G45" s="169"/>
      <c r="H45" s="169"/>
      <c r="I45" s="169"/>
      <c r="J45" s="169"/>
      <c r="K45" s="169"/>
      <c r="L45" s="169"/>
      <c r="M45" s="169"/>
      <c r="N45" s="207">
        <f t="shared" si="14"/>
        <v>982</v>
      </c>
      <c r="O45" s="2">
        <v>0.5</v>
      </c>
      <c r="P45" s="208"/>
      <c r="R45" s="248">
        <f t="shared" si="20"/>
        <v>4000</v>
      </c>
    </row>
    <row r="46" spans="1:30">
      <c r="A46" s="2">
        <v>2005</v>
      </c>
      <c r="B46" s="169">
        <v>43</v>
      </c>
      <c r="C46" s="169"/>
      <c r="D46" s="170">
        <v>1010</v>
      </c>
      <c r="E46" s="169"/>
      <c r="F46" s="169"/>
      <c r="G46" s="169"/>
      <c r="H46" s="169"/>
      <c r="I46" s="169"/>
      <c r="J46" s="169"/>
      <c r="K46" s="169"/>
      <c r="L46" s="169"/>
      <c r="M46" s="169"/>
      <c r="N46" s="207">
        <f t="shared" si="14"/>
        <v>1053</v>
      </c>
      <c r="O46" s="2">
        <v>0.5</v>
      </c>
      <c r="P46" s="208" t="s">
        <v>153</v>
      </c>
      <c r="R46" s="248">
        <f t="shared" si="20"/>
        <v>4300</v>
      </c>
    </row>
    <row r="47" spans="1:30">
      <c r="A47" s="2">
        <v>2006</v>
      </c>
      <c r="B47" s="169">
        <v>64</v>
      </c>
      <c r="C47" s="169"/>
      <c r="D47" s="170">
        <v>908</v>
      </c>
      <c r="E47" s="169"/>
      <c r="F47" s="169"/>
      <c r="G47" s="169"/>
      <c r="H47" s="169"/>
      <c r="I47" s="169"/>
      <c r="J47" s="169"/>
      <c r="K47" s="169"/>
      <c r="L47" s="169"/>
      <c r="M47" s="169"/>
      <c r="N47" s="207">
        <f t="shared" si="14"/>
        <v>972</v>
      </c>
      <c r="O47" s="2">
        <v>0.5</v>
      </c>
      <c r="P47" s="208" t="s">
        <v>153</v>
      </c>
      <c r="R47" s="248">
        <f t="shared" si="20"/>
        <v>6400</v>
      </c>
    </row>
    <row r="48" spans="1:30">
      <c r="A48" s="2">
        <v>2007</v>
      </c>
      <c r="B48" s="169">
        <v>82</v>
      </c>
      <c r="C48" s="169"/>
      <c r="D48" s="170">
        <v>849</v>
      </c>
      <c r="E48" s="169"/>
      <c r="F48" s="169"/>
      <c r="G48" s="169"/>
      <c r="H48" s="169"/>
      <c r="I48" s="169"/>
      <c r="J48" s="169"/>
      <c r="K48" s="169"/>
      <c r="L48" s="169"/>
      <c r="M48" s="169"/>
      <c r="N48" s="207">
        <f t="shared" si="14"/>
        <v>931</v>
      </c>
      <c r="O48" s="2">
        <v>0.5</v>
      </c>
      <c r="P48" s="208" t="s">
        <v>153</v>
      </c>
      <c r="R48" s="248">
        <f t="shared" si="20"/>
        <v>8200</v>
      </c>
    </row>
    <row r="49" spans="1:18">
      <c r="A49" s="2">
        <v>2008</v>
      </c>
      <c r="B49" s="169">
        <v>78</v>
      </c>
      <c r="C49" s="169"/>
      <c r="D49" s="170">
        <v>879</v>
      </c>
      <c r="E49" s="169"/>
      <c r="F49" s="169"/>
      <c r="G49" s="169"/>
      <c r="H49" s="169"/>
      <c r="I49" s="169"/>
      <c r="J49" s="169"/>
      <c r="K49" s="169"/>
      <c r="L49" s="169"/>
      <c r="M49" s="169"/>
      <c r="N49" s="207">
        <f t="shared" si="14"/>
        <v>957</v>
      </c>
      <c r="O49" s="2">
        <v>0.5</v>
      </c>
      <c r="P49" s="208" t="s">
        <v>153</v>
      </c>
      <c r="R49" s="248">
        <f t="shared" si="20"/>
        <v>7800</v>
      </c>
    </row>
    <row r="50" spans="1:18">
      <c r="A50" s="2">
        <v>2009</v>
      </c>
      <c r="B50" s="169">
        <v>56</v>
      </c>
      <c r="C50" s="169"/>
      <c r="D50" s="170">
        <v>745</v>
      </c>
      <c r="E50" s="169"/>
      <c r="F50" s="169"/>
      <c r="G50" s="169"/>
      <c r="H50" s="169"/>
      <c r="I50" s="169"/>
      <c r="J50" s="169"/>
      <c r="K50" s="169"/>
      <c r="L50" s="169"/>
      <c r="M50" s="169"/>
      <c r="N50" s="207">
        <f t="shared" si="14"/>
        <v>801</v>
      </c>
      <c r="O50" s="2">
        <v>0.5</v>
      </c>
      <c r="P50" s="208" t="s">
        <v>153</v>
      </c>
    </row>
    <row r="51" spans="1:18">
      <c r="A51" s="2">
        <v>2010</v>
      </c>
      <c r="B51" s="169">
        <v>34</v>
      </c>
      <c r="C51" s="169"/>
      <c r="D51" s="170">
        <v>668</v>
      </c>
      <c r="E51" s="169"/>
      <c r="F51" s="169"/>
      <c r="G51" s="169"/>
      <c r="H51" s="169"/>
      <c r="I51" s="169"/>
      <c r="J51" s="169"/>
      <c r="K51" s="169"/>
      <c r="L51" s="169"/>
      <c r="M51" s="169"/>
      <c r="N51" s="207">
        <f t="shared" si="14"/>
        <v>702</v>
      </c>
      <c r="O51" s="2">
        <v>0.5</v>
      </c>
      <c r="P51" s="208" t="s">
        <v>153</v>
      </c>
    </row>
    <row r="52" spans="1:18">
      <c r="A52" s="2">
        <v>2011</v>
      </c>
      <c r="B52" s="169">
        <v>33</v>
      </c>
      <c r="C52" s="169"/>
      <c r="D52" s="170">
        <v>542</v>
      </c>
      <c r="E52" s="169"/>
      <c r="F52" s="169"/>
      <c r="G52" s="169"/>
      <c r="H52" s="169"/>
      <c r="I52" s="169"/>
      <c r="J52" s="169"/>
      <c r="K52" s="169"/>
      <c r="L52" s="169"/>
      <c r="M52" s="169"/>
      <c r="N52" s="207">
        <f t="shared" si="14"/>
        <v>575</v>
      </c>
      <c r="O52" s="2">
        <v>0.5</v>
      </c>
      <c r="P52" s="208" t="s">
        <v>153</v>
      </c>
    </row>
    <row r="53" spans="1:18">
      <c r="A53" s="2">
        <v>2012</v>
      </c>
      <c r="B53" s="169">
        <v>21</v>
      </c>
      <c r="C53" s="169"/>
      <c r="D53" s="170">
        <v>442</v>
      </c>
      <c r="E53" s="169"/>
      <c r="F53" s="169"/>
      <c r="G53" s="169"/>
      <c r="H53" s="169"/>
      <c r="I53" s="169"/>
      <c r="J53" s="169"/>
      <c r="K53" s="169"/>
      <c r="L53" s="169"/>
      <c r="M53" s="169"/>
      <c r="N53" s="207">
        <f t="shared" si="14"/>
        <v>463</v>
      </c>
      <c r="O53" s="2">
        <v>0.5</v>
      </c>
      <c r="P53" s="208" t="s">
        <v>153</v>
      </c>
    </row>
    <row r="54" spans="1:18">
      <c r="A54" s="2">
        <v>2013</v>
      </c>
      <c r="B54" s="169">
        <v>35</v>
      </c>
      <c r="C54" s="169">
        <v>32</v>
      </c>
      <c r="D54" s="169">
        <v>51</v>
      </c>
      <c r="E54" s="169">
        <v>54</v>
      </c>
      <c r="F54" s="169">
        <v>66</v>
      </c>
      <c r="G54" s="169">
        <v>37</v>
      </c>
      <c r="H54" s="169">
        <v>59</v>
      </c>
      <c r="I54" s="169">
        <v>77</v>
      </c>
      <c r="J54" s="169">
        <v>71</v>
      </c>
      <c r="K54" s="169">
        <v>36</v>
      </c>
      <c r="L54" s="169">
        <v>48</v>
      </c>
      <c r="M54" s="169">
        <v>66</v>
      </c>
      <c r="N54" s="207">
        <f t="shared" si="14"/>
        <v>632</v>
      </c>
      <c r="O54" s="2">
        <v>0.5</v>
      </c>
      <c r="P54" s="208" t="s">
        <v>153</v>
      </c>
    </row>
    <row r="55" spans="1:18">
      <c r="A55" s="2">
        <v>2014</v>
      </c>
      <c r="B55" s="169">
        <v>26</v>
      </c>
      <c r="C55" s="169">
        <v>47</v>
      </c>
      <c r="D55" s="206">
        <v>37</v>
      </c>
      <c r="E55" s="169">
        <v>20</v>
      </c>
      <c r="F55" s="169">
        <v>31</v>
      </c>
      <c r="G55" s="169">
        <v>47</v>
      </c>
      <c r="H55" s="169">
        <v>55</v>
      </c>
      <c r="I55" s="169">
        <v>61</v>
      </c>
      <c r="J55" s="169">
        <v>86</v>
      </c>
      <c r="K55" s="169">
        <v>62</v>
      </c>
      <c r="L55" s="169">
        <v>59</v>
      </c>
      <c r="M55" s="169">
        <v>57</v>
      </c>
      <c r="N55" s="207">
        <f>SUM(B55:M55)</f>
        <v>588</v>
      </c>
      <c r="O55" s="2">
        <v>0.5</v>
      </c>
      <c r="P55" s="208" t="s">
        <v>153</v>
      </c>
    </row>
    <row r="56" spans="1:18">
      <c r="A56" s="2">
        <v>2015</v>
      </c>
      <c r="B56" s="169">
        <v>21</v>
      </c>
      <c r="C56" s="169">
        <v>60</v>
      </c>
      <c r="D56" s="169">
        <v>49</v>
      </c>
      <c r="E56" s="169">
        <v>53</v>
      </c>
      <c r="F56" s="169">
        <v>52</v>
      </c>
      <c r="G56" s="169">
        <v>53</v>
      </c>
      <c r="H56" s="169">
        <v>56</v>
      </c>
      <c r="I56" s="169">
        <v>72</v>
      </c>
      <c r="J56" s="169">
        <v>79</v>
      </c>
      <c r="K56" s="169">
        <v>64</v>
      </c>
      <c r="L56" s="169">
        <v>64</v>
      </c>
      <c r="M56" s="169">
        <v>75</v>
      </c>
      <c r="N56" s="207">
        <f>SUM(B56:M56)</f>
        <v>698</v>
      </c>
      <c r="O56" s="2">
        <v>0.5</v>
      </c>
      <c r="P56" s="208" t="s">
        <v>153</v>
      </c>
    </row>
    <row r="57" spans="1:18">
      <c r="A57" s="2">
        <v>2016</v>
      </c>
      <c r="B57" s="169">
        <v>16</v>
      </c>
      <c r="C57" s="169">
        <v>22</v>
      </c>
      <c r="D57" s="169">
        <v>39</v>
      </c>
      <c r="E57" s="169">
        <v>55</v>
      </c>
      <c r="F57" s="169">
        <v>53</v>
      </c>
      <c r="G57" s="169">
        <v>52</v>
      </c>
      <c r="H57" s="169">
        <v>52</v>
      </c>
      <c r="I57" s="169">
        <v>98</v>
      </c>
      <c r="J57" s="169">
        <v>85</v>
      </c>
      <c r="K57" s="169">
        <v>66</v>
      </c>
      <c r="L57" s="169">
        <v>54</v>
      </c>
      <c r="M57" s="169">
        <v>110</v>
      </c>
      <c r="N57" s="207">
        <f t="shared" ref="N57:N61" si="21">SUM(B57:M57)</f>
        <v>702</v>
      </c>
      <c r="O57" s="2">
        <v>0.5</v>
      </c>
      <c r="P57" s="208">
        <v>1</v>
      </c>
    </row>
    <row r="58" spans="1:18">
      <c r="A58" s="2">
        <v>2017</v>
      </c>
      <c r="B58" s="169">
        <v>35</v>
      </c>
      <c r="C58" s="169"/>
      <c r="D58" s="169"/>
      <c r="E58" s="169"/>
      <c r="F58" s="169"/>
      <c r="G58" s="169"/>
      <c r="H58" s="170">
        <v>656</v>
      </c>
      <c r="I58" s="169"/>
      <c r="J58" s="169"/>
      <c r="K58" s="169"/>
      <c r="L58" s="169"/>
      <c r="M58" s="169"/>
      <c r="N58" s="207">
        <f t="shared" si="21"/>
        <v>691</v>
      </c>
      <c r="O58" s="2">
        <v>2</v>
      </c>
      <c r="P58" s="2">
        <v>4</v>
      </c>
    </row>
    <row r="59" spans="1:18">
      <c r="A59" s="2">
        <v>2018</v>
      </c>
      <c r="B59" s="169">
        <v>34</v>
      </c>
      <c r="C59" s="169"/>
      <c r="D59" s="169"/>
      <c r="E59" s="169"/>
      <c r="F59" s="169"/>
      <c r="G59" s="169"/>
      <c r="H59" s="170">
        <v>572</v>
      </c>
      <c r="I59" s="169"/>
      <c r="J59" s="169"/>
      <c r="K59" s="169"/>
      <c r="L59" s="169"/>
      <c r="M59" s="169"/>
      <c r="N59" s="207">
        <f t="shared" si="21"/>
        <v>606</v>
      </c>
      <c r="O59" s="2">
        <v>2</v>
      </c>
      <c r="P59" s="208" t="s">
        <v>153</v>
      </c>
    </row>
    <row r="60" spans="1:18">
      <c r="A60" s="2">
        <v>2019</v>
      </c>
      <c r="B60" s="169">
        <v>18</v>
      </c>
      <c r="C60" s="169">
        <v>54</v>
      </c>
      <c r="D60" s="169">
        <v>66</v>
      </c>
      <c r="E60" s="169"/>
      <c r="F60" s="169"/>
      <c r="G60" s="169"/>
      <c r="H60" s="170">
        <v>653</v>
      </c>
      <c r="I60" s="169"/>
      <c r="J60" s="169"/>
      <c r="K60" s="169"/>
      <c r="L60" s="169"/>
      <c r="M60" s="169"/>
      <c r="N60" s="207">
        <f t="shared" si="21"/>
        <v>791</v>
      </c>
      <c r="O60" s="2">
        <v>2</v>
      </c>
      <c r="P60" s="208" t="s">
        <v>153</v>
      </c>
    </row>
    <row r="61" spans="1:18">
      <c r="A61" s="2">
        <v>2020</v>
      </c>
      <c r="B61" s="169">
        <v>23</v>
      </c>
      <c r="C61" s="169">
        <v>44</v>
      </c>
      <c r="D61" s="169">
        <v>21</v>
      </c>
      <c r="E61" s="169">
        <v>14</v>
      </c>
      <c r="F61" s="169">
        <v>29</v>
      </c>
      <c r="G61" s="169">
        <v>13</v>
      </c>
      <c r="H61" s="169">
        <v>60</v>
      </c>
      <c r="I61" s="169">
        <v>47</v>
      </c>
      <c r="J61" s="169">
        <v>57</v>
      </c>
      <c r="K61" s="169">
        <v>47</v>
      </c>
      <c r="L61" s="169">
        <v>29</v>
      </c>
      <c r="M61" s="169">
        <v>41</v>
      </c>
      <c r="N61" s="207">
        <f t="shared" si="21"/>
        <v>425</v>
      </c>
      <c r="O61" s="2">
        <v>1</v>
      </c>
      <c r="P61" s="208">
        <v>2</v>
      </c>
      <c r="Q61" s="208">
        <v>3</v>
      </c>
      <c r="R61" s="208"/>
    </row>
    <row r="62" spans="1:18">
      <c r="A62" s="2">
        <v>2021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</row>
    <row r="63" spans="1:18"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</row>
    <row r="64" spans="1:18"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</row>
    <row r="65" spans="2:13"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</row>
    <row r="66" spans="2:13"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</row>
    <row r="67" spans="2:13"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</row>
  </sheetData>
  <mergeCells count="3">
    <mergeCell ref="A31:R31"/>
    <mergeCell ref="F37:O37"/>
    <mergeCell ref="A33:Q3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Z61"/>
  <sheetViews>
    <sheetView workbookViewId="0">
      <pane ySplit="1" topLeftCell="A2" activePane="bottomLeft" state="frozen"/>
      <selection pane="bottomLeft" activeCell="T5" sqref="T5"/>
    </sheetView>
  </sheetViews>
  <sheetFormatPr defaultRowHeight="12.75"/>
  <cols>
    <col min="1" max="1" width="3.88671875" style="2" bestFit="1" customWidth="1"/>
    <col min="2" max="2" width="6.44140625" style="2" bestFit="1" customWidth="1"/>
    <col min="3" max="5" width="7.21875" style="2" bestFit="1" customWidth="1"/>
    <col min="6" max="6" width="7.109375" style="2" customWidth="1"/>
    <col min="7" max="11" width="7.21875" style="2" bestFit="1" customWidth="1"/>
    <col min="12" max="12" width="7.109375" style="2" customWidth="1"/>
    <col min="13" max="13" width="8.44140625" style="2" bestFit="1" customWidth="1"/>
    <col min="14" max="14" width="8" style="2" bestFit="1" customWidth="1"/>
    <col min="15" max="15" width="9.21875" style="2" bestFit="1" customWidth="1"/>
    <col min="16" max="16" width="8.44140625" style="2" bestFit="1" customWidth="1"/>
    <col min="17" max="17" width="11.109375" style="2" bestFit="1" customWidth="1"/>
    <col min="18" max="18" width="7.6640625" style="2" bestFit="1" customWidth="1"/>
    <col min="19" max="29" width="7.21875" style="2" bestFit="1" customWidth="1"/>
    <col min="30" max="31" width="6.44140625" style="2" bestFit="1" customWidth="1"/>
    <col min="32" max="16384" width="8.88671875" style="2"/>
  </cols>
  <sheetData>
    <row r="1" spans="1:52" ht="13.5" thickBot="1">
      <c r="A1" s="166"/>
      <c r="B1" s="171" t="s">
        <v>4</v>
      </c>
      <c r="C1" s="173" t="s">
        <v>5</v>
      </c>
      <c r="D1" s="171" t="s">
        <v>6</v>
      </c>
      <c r="E1" s="172" t="s">
        <v>7</v>
      </c>
      <c r="F1" s="171" t="s">
        <v>2</v>
      </c>
      <c r="G1" s="173" t="s">
        <v>8</v>
      </c>
      <c r="H1" s="171" t="s">
        <v>9</v>
      </c>
      <c r="I1" s="172" t="s">
        <v>10</v>
      </c>
      <c r="J1" s="171" t="s">
        <v>11</v>
      </c>
      <c r="K1" s="173" t="s">
        <v>12</v>
      </c>
      <c r="L1" s="171" t="s">
        <v>13</v>
      </c>
      <c r="M1" s="172" t="s">
        <v>14</v>
      </c>
      <c r="N1" s="185" t="s">
        <v>29</v>
      </c>
      <c r="O1" s="186" t="s">
        <v>147</v>
      </c>
      <c r="P1" s="186" t="s">
        <v>139</v>
      </c>
      <c r="Q1" s="212" t="s">
        <v>149</v>
      </c>
      <c r="R1" s="186" t="s">
        <v>139</v>
      </c>
    </row>
    <row r="2" spans="1:52">
      <c r="A2" s="7">
        <v>1998</v>
      </c>
      <c r="B2" s="130"/>
      <c r="C2" s="130"/>
      <c r="D2" s="130"/>
      <c r="E2" s="130"/>
      <c r="F2" s="130"/>
      <c r="G2" s="130"/>
      <c r="H2" s="130"/>
      <c r="I2" s="125">
        <v>8591</v>
      </c>
      <c r="J2" s="125">
        <v>12100</v>
      </c>
      <c r="K2" s="125">
        <v>10406</v>
      </c>
      <c r="L2" s="125">
        <v>9680</v>
      </c>
      <c r="M2" s="125">
        <v>21538</v>
      </c>
      <c r="N2" s="125">
        <f>SUM(I2:M2)</f>
        <v>62315</v>
      </c>
      <c r="O2" s="123">
        <f>N2/340.75</f>
        <v>182.87600880410858</v>
      </c>
      <c r="P2" s="125">
        <v>2038</v>
      </c>
      <c r="Q2" s="123">
        <f>O2*30%</f>
        <v>54.86280264123257</v>
      </c>
      <c r="R2" s="278">
        <f>P2*30%</f>
        <v>611.4</v>
      </c>
      <c r="T2" s="6">
        <f>B2/340.75</f>
        <v>0</v>
      </c>
      <c r="U2" s="6">
        <f t="shared" ref="U2:AE5" si="0">C2/340.75</f>
        <v>0</v>
      </c>
      <c r="V2" s="6">
        <f t="shared" si="0"/>
        <v>0</v>
      </c>
      <c r="W2" s="6">
        <f t="shared" si="0"/>
        <v>0</v>
      </c>
      <c r="X2" s="6">
        <f t="shared" si="0"/>
        <v>0</v>
      </c>
      <c r="Y2" s="6">
        <f t="shared" si="0"/>
        <v>0</v>
      </c>
      <c r="Z2" s="6">
        <f t="shared" si="0"/>
        <v>0</v>
      </c>
      <c r="AA2" s="6">
        <f t="shared" si="0"/>
        <v>25.212032281731474</v>
      </c>
      <c r="AB2" s="6">
        <f t="shared" si="0"/>
        <v>35.509904622157009</v>
      </c>
      <c r="AC2" s="6">
        <f t="shared" si="0"/>
        <v>30.538517975055026</v>
      </c>
      <c r="AD2" s="6">
        <f t="shared" si="0"/>
        <v>28.407923697725604</v>
      </c>
      <c r="AE2" s="6">
        <f t="shared" si="0"/>
        <v>63.207630227439473</v>
      </c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</row>
    <row r="3" spans="1:52">
      <c r="A3" s="1">
        <v>1999</v>
      </c>
      <c r="B3" s="189">
        <v>4536</v>
      </c>
      <c r="C3" s="189">
        <v>6292</v>
      </c>
      <c r="D3" s="189">
        <v>11858</v>
      </c>
      <c r="E3" s="189">
        <v>10164</v>
      </c>
      <c r="F3" s="189">
        <v>8470</v>
      </c>
      <c r="G3" s="189">
        <v>12584</v>
      </c>
      <c r="H3" s="189">
        <v>12584</v>
      </c>
      <c r="I3" s="189">
        <v>21538</v>
      </c>
      <c r="J3" s="189">
        <v>17424</v>
      </c>
      <c r="K3" s="189">
        <v>12342</v>
      </c>
      <c r="L3" s="189">
        <v>8228</v>
      </c>
      <c r="M3" s="189">
        <v>11616</v>
      </c>
      <c r="N3" s="125">
        <f>SUM(B3:M3)</f>
        <v>137636</v>
      </c>
      <c r="O3" s="123">
        <f>N3/340.75</f>
        <v>403.92076302274393</v>
      </c>
      <c r="P3" s="125">
        <v>4037</v>
      </c>
      <c r="Q3" s="123">
        <f t="shared" ref="Q3:Q25" si="1">O3*30%</f>
        <v>121.17622890682317</v>
      </c>
      <c r="R3" s="278">
        <f t="shared" ref="R3:R25" si="2">P3*30%</f>
        <v>1211.0999999999999</v>
      </c>
      <c r="T3" s="6">
        <f t="shared" ref="T3:T5" si="3">B3/340.75</f>
        <v>13.311812179016874</v>
      </c>
      <c r="U3" s="207">
        <f t="shared" ref="U3:AB5" si="4">C3/340.75</f>
        <v>18.465150403521644</v>
      </c>
      <c r="V3" s="207">
        <f t="shared" si="4"/>
        <v>34.799706529713866</v>
      </c>
      <c r="W3" s="207">
        <f t="shared" si="4"/>
        <v>29.828319882611886</v>
      </c>
      <c r="X3" s="207">
        <f t="shared" si="4"/>
        <v>24.856933235509903</v>
      </c>
      <c r="Y3" s="207">
        <f t="shared" si="4"/>
        <v>36.930300807043288</v>
      </c>
      <c r="Z3" s="207">
        <f t="shared" si="4"/>
        <v>36.930300807043288</v>
      </c>
      <c r="AA3" s="207">
        <f t="shared" si="4"/>
        <v>63.207630227439473</v>
      </c>
      <c r="AB3" s="207">
        <f t="shared" si="4"/>
        <v>51.134262655906092</v>
      </c>
      <c r="AC3" s="207">
        <f t="shared" si="0"/>
        <v>36.220102714600145</v>
      </c>
      <c r="AD3" s="207">
        <f t="shared" si="0"/>
        <v>24.146735143066763</v>
      </c>
      <c r="AE3" s="207">
        <f t="shared" si="0"/>
        <v>34.089508437270723</v>
      </c>
    </row>
    <row r="4" spans="1:52">
      <c r="A4" s="1">
        <v>2000</v>
      </c>
      <c r="B4" s="189">
        <f>R35</f>
        <v>6776</v>
      </c>
      <c r="C4" s="189">
        <f t="shared" ref="C4:M5" si="5">S35</f>
        <v>8712</v>
      </c>
      <c r="D4" s="189">
        <f t="shared" si="5"/>
        <v>10164</v>
      </c>
      <c r="E4" s="189">
        <f t="shared" si="5"/>
        <v>7986</v>
      </c>
      <c r="F4" s="189">
        <f t="shared" si="5"/>
        <v>12826</v>
      </c>
      <c r="G4" s="189">
        <f t="shared" si="5"/>
        <v>9922</v>
      </c>
      <c r="H4" s="189">
        <f t="shared" si="5"/>
        <v>12342</v>
      </c>
      <c r="I4" s="189">
        <f t="shared" si="5"/>
        <v>21054</v>
      </c>
      <c r="J4" s="189">
        <f t="shared" si="5"/>
        <v>11132</v>
      </c>
      <c r="K4" s="189">
        <f t="shared" si="5"/>
        <v>12342</v>
      </c>
      <c r="L4" s="189">
        <f t="shared" si="5"/>
        <v>15004</v>
      </c>
      <c r="M4" s="189">
        <f t="shared" si="5"/>
        <v>11616</v>
      </c>
      <c r="N4" s="125">
        <f t="shared" ref="N4:N5" si="6">SUM(B4:M4)</f>
        <v>139876</v>
      </c>
      <c r="O4" s="123">
        <f t="shared" ref="O4:O5" si="7">N4/340.75</f>
        <v>410.49449743213501</v>
      </c>
      <c r="P4" s="125">
        <v>3369</v>
      </c>
      <c r="Q4" s="123">
        <f t="shared" si="1"/>
        <v>123.1483492296405</v>
      </c>
      <c r="R4" s="278">
        <f t="shared" si="2"/>
        <v>1010.6999999999999</v>
      </c>
      <c r="S4" s="191"/>
      <c r="T4" s="6">
        <f t="shared" si="3"/>
        <v>19.885546588407923</v>
      </c>
      <c r="U4" s="207">
        <f t="shared" si="4"/>
        <v>25.567131327953046</v>
      </c>
      <c r="V4" s="207">
        <f t="shared" si="4"/>
        <v>29.828319882611886</v>
      </c>
      <c r="W4" s="207">
        <f t="shared" si="4"/>
        <v>23.436537050623624</v>
      </c>
      <c r="X4" s="207">
        <f t="shared" si="4"/>
        <v>37.640498899486424</v>
      </c>
      <c r="Y4" s="207">
        <f t="shared" si="4"/>
        <v>29.118121790168747</v>
      </c>
      <c r="Z4" s="207">
        <f t="shared" si="4"/>
        <v>36.220102714600145</v>
      </c>
      <c r="AA4" s="207">
        <f t="shared" si="4"/>
        <v>61.787234042553195</v>
      </c>
      <c r="AB4" s="207">
        <f t="shared" si="4"/>
        <v>32.669112252384444</v>
      </c>
      <c r="AC4" s="207">
        <f t="shared" si="0"/>
        <v>36.220102714600145</v>
      </c>
      <c r="AD4" s="207">
        <f t="shared" si="0"/>
        <v>44.03228173147469</v>
      </c>
      <c r="AE4" s="207">
        <f t="shared" si="0"/>
        <v>34.089508437270723</v>
      </c>
    </row>
    <row r="5" spans="1:52">
      <c r="A5" s="1">
        <v>2001</v>
      </c>
      <c r="B5" s="189">
        <f>R36</f>
        <v>9680</v>
      </c>
      <c r="C5" s="189">
        <f t="shared" si="5"/>
        <v>13068</v>
      </c>
      <c r="D5" s="189">
        <f t="shared" si="5"/>
        <v>8470</v>
      </c>
      <c r="E5" s="189">
        <f t="shared" si="5"/>
        <v>8470</v>
      </c>
      <c r="F5" s="189">
        <f t="shared" si="5"/>
        <v>10164</v>
      </c>
      <c r="G5" s="189">
        <f t="shared" si="5"/>
        <v>7986</v>
      </c>
      <c r="H5" s="189">
        <f t="shared" si="5"/>
        <v>13552</v>
      </c>
      <c r="I5" s="189">
        <f t="shared" si="5"/>
        <v>19602</v>
      </c>
      <c r="J5" s="189">
        <f t="shared" si="5"/>
        <v>13310</v>
      </c>
      <c r="K5" s="189">
        <f t="shared" si="5"/>
        <v>8228</v>
      </c>
      <c r="L5" s="189">
        <f t="shared" si="5"/>
        <v>14036</v>
      </c>
      <c r="M5" s="189">
        <f t="shared" si="5"/>
        <v>13794</v>
      </c>
      <c r="N5" s="125">
        <f t="shared" si="6"/>
        <v>140360</v>
      </c>
      <c r="O5" s="123">
        <f t="shared" si="7"/>
        <v>411.91489361702128</v>
      </c>
      <c r="P5" s="125">
        <v>2929</v>
      </c>
      <c r="Q5" s="123">
        <f t="shared" si="1"/>
        <v>123.57446808510637</v>
      </c>
      <c r="R5" s="278">
        <f t="shared" si="2"/>
        <v>878.69999999999993</v>
      </c>
      <c r="T5" s="6">
        <f t="shared" si="3"/>
        <v>28.407923697725604</v>
      </c>
      <c r="U5" s="207">
        <f t="shared" si="4"/>
        <v>38.350696991929567</v>
      </c>
      <c r="V5" s="207">
        <f t="shared" si="4"/>
        <v>24.856933235509903</v>
      </c>
      <c r="W5" s="207">
        <f t="shared" si="4"/>
        <v>24.856933235509903</v>
      </c>
      <c r="X5" s="207">
        <f t="shared" si="4"/>
        <v>29.828319882611886</v>
      </c>
      <c r="Y5" s="207">
        <f t="shared" si="4"/>
        <v>23.436537050623624</v>
      </c>
      <c r="Z5" s="207">
        <f t="shared" si="4"/>
        <v>39.771093176815846</v>
      </c>
      <c r="AA5" s="207">
        <f t="shared" si="4"/>
        <v>57.526045487894351</v>
      </c>
      <c r="AB5" s="207">
        <f t="shared" si="4"/>
        <v>39.06089508437271</v>
      </c>
      <c r="AC5" s="207">
        <f t="shared" si="0"/>
        <v>24.146735143066763</v>
      </c>
      <c r="AD5" s="207">
        <f t="shared" si="0"/>
        <v>41.191489361702125</v>
      </c>
      <c r="AE5" s="207">
        <f t="shared" si="0"/>
        <v>40.481291269258989</v>
      </c>
    </row>
    <row r="6" spans="1:52">
      <c r="A6" s="1">
        <v>2002</v>
      </c>
      <c r="B6" s="198"/>
      <c r="C6" s="198"/>
      <c r="D6" s="196"/>
      <c r="E6" s="198"/>
      <c r="F6" s="198"/>
      <c r="G6" s="198"/>
      <c r="H6" s="198"/>
      <c r="I6" s="198"/>
      <c r="J6" s="198"/>
      <c r="K6" s="198"/>
      <c r="L6" s="198"/>
      <c r="M6" s="196">
        <v>325</v>
      </c>
      <c r="N6" s="130"/>
      <c r="O6" s="179">
        <f>SUM(B6:M6)</f>
        <v>325</v>
      </c>
      <c r="P6" s="276">
        <v>2057</v>
      </c>
      <c r="Q6" s="123">
        <f t="shared" si="1"/>
        <v>97.5</v>
      </c>
      <c r="R6" s="278">
        <f t="shared" si="2"/>
        <v>617.1</v>
      </c>
      <c r="T6" s="207"/>
    </row>
    <row r="7" spans="1:52">
      <c r="A7" s="1">
        <v>2003</v>
      </c>
      <c r="B7" s="199">
        <v>22</v>
      </c>
      <c r="C7" s="200"/>
      <c r="D7" s="196"/>
      <c r="E7" s="200"/>
      <c r="F7" s="200"/>
      <c r="G7" s="200"/>
      <c r="H7" s="200"/>
      <c r="I7" s="200"/>
      <c r="J7" s="200"/>
      <c r="K7" s="200"/>
      <c r="L7" s="200"/>
      <c r="M7" s="200">
        <v>459</v>
      </c>
      <c r="N7" s="130"/>
      <c r="O7" s="179">
        <f>SUM(B7:M7)</f>
        <v>481</v>
      </c>
      <c r="P7" s="276">
        <v>2731</v>
      </c>
      <c r="Q7" s="123">
        <f t="shared" si="1"/>
        <v>144.29999999999998</v>
      </c>
      <c r="R7" s="278">
        <f t="shared" si="2"/>
        <v>819.3</v>
      </c>
      <c r="T7" s="207"/>
    </row>
    <row r="8" spans="1:52">
      <c r="A8" s="1">
        <v>2004</v>
      </c>
      <c r="B8" s="199">
        <v>22</v>
      </c>
      <c r="C8" s="200"/>
      <c r="D8" s="196"/>
      <c r="E8" s="200"/>
      <c r="F8" s="200"/>
      <c r="G8" s="200"/>
      <c r="H8" s="200"/>
      <c r="I8" s="200"/>
      <c r="J8" s="200"/>
      <c r="K8" s="200"/>
      <c r="L8" s="200"/>
      <c r="M8" s="200">
        <v>471</v>
      </c>
      <c r="N8" s="192"/>
      <c r="O8" s="179">
        <f t="shared" ref="O8:O25" si="8">SUM(B8:M8)</f>
        <v>493</v>
      </c>
      <c r="P8" s="276">
        <v>2534</v>
      </c>
      <c r="Q8" s="123">
        <f t="shared" si="1"/>
        <v>147.9</v>
      </c>
      <c r="R8" s="278">
        <f t="shared" si="2"/>
        <v>760.19999999999993</v>
      </c>
    </row>
    <row r="9" spans="1:52">
      <c r="A9" s="1">
        <v>2005</v>
      </c>
      <c r="B9" s="201">
        <v>28</v>
      </c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>
        <v>505</v>
      </c>
      <c r="N9" s="8"/>
      <c r="O9" s="179">
        <f t="shared" si="8"/>
        <v>533</v>
      </c>
      <c r="P9" s="276">
        <v>2480</v>
      </c>
      <c r="Q9" s="123">
        <f t="shared" si="1"/>
        <v>159.9</v>
      </c>
      <c r="R9" s="278">
        <f t="shared" si="2"/>
        <v>744</v>
      </c>
    </row>
    <row r="10" spans="1:52">
      <c r="A10" s="1">
        <v>2006</v>
      </c>
      <c r="B10" s="201">
        <v>40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>
        <v>454</v>
      </c>
      <c r="N10" s="8"/>
      <c r="O10" s="179">
        <f t="shared" si="8"/>
        <v>494</v>
      </c>
      <c r="P10" s="276">
        <v>2077</v>
      </c>
      <c r="Q10" s="123">
        <f t="shared" si="1"/>
        <v>148.19999999999999</v>
      </c>
      <c r="R10" s="278">
        <f t="shared" si="2"/>
        <v>623.1</v>
      </c>
    </row>
    <row r="11" spans="1:52">
      <c r="A11" s="1">
        <v>2007</v>
      </c>
      <c r="B11" s="201">
        <v>50</v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>
        <v>424</v>
      </c>
      <c r="N11" s="8"/>
      <c r="O11" s="179">
        <f t="shared" si="8"/>
        <v>474</v>
      </c>
      <c r="P11" s="276">
        <v>1781</v>
      </c>
      <c r="Q11" s="123">
        <f t="shared" si="1"/>
        <v>142.19999999999999</v>
      </c>
      <c r="R11" s="278">
        <f t="shared" si="2"/>
        <v>534.29999999999995</v>
      </c>
    </row>
    <row r="12" spans="1:52">
      <c r="A12" s="1">
        <v>2008</v>
      </c>
      <c r="B12" s="201">
        <v>39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>
        <v>439</v>
      </c>
      <c r="N12" s="8"/>
      <c r="O12" s="179">
        <f t="shared" si="8"/>
        <v>478</v>
      </c>
      <c r="P12" s="276">
        <v>1594</v>
      </c>
      <c r="Q12" s="123">
        <f t="shared" si="1"/>
        <v>143.4</v>
      </c>
      <c r="R12" s="278">
        <f t="shared" si="2"/>
        <v>478.2</v>
      </c>
    </row>
    <row r="13" spans="1:52">
      <c r="A13" s="1">
        <v>2009</v>
      </c>
      <c r="B13" s="201">
        <v>28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>
        <v>372</v>
      </c>
      <c r="N13" s="8"/>
      <c r="O13" s="179">
        <f t="shared" si="8"/>
        <v>400</v>
      </c>
      <c r="P13" s="276">
        <v>1197</v>
      </c>
      <c r="Q13" s="123">
        <f t="shared" si="1"/>
        <v>120</v>
      </c>
      <c r="R13" s="278">
        <f t="shared" si="2"/>
        <v>359.09999999999997</v>
      </c>
    </row>
    <row r="14" spans="1:52">
      <c r="A14" s="1">
        <v>2010</v>
      </c>
      <c r="B14" s="201">
        <v>17</v>
      </c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>
        <v>334</v>
      </c>
      <c r="N14" s="8"/>
      <c r="O14" s="179">
        <f t="shared" si="8"/>
        <v>351</v>
      </c>
      <c r="P14" s="276">
        <v>963</v>
      </c>
      <c r="Q14" s="123">
        <f t="shared" si="1"/>
        <v>105.3</v>
      </c>
      <c r="R14" s="278">
        <f t="shared" si="2"/>
        <v>288.89999999999998</v>
      </c>
    </row>
    <row r="15" spans="1:52">
      <c r="A15" s="1">
        <v>2011</v>
      </c>
      <c r="B15" s="201">
        <v>16</v>
      </c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>
        <v>271</v>
      </c>
      <c r="N15" s="8"/>
      <c r="O15" s="179">
        <f t="shared" si="8"/>
        <v>287</v>
      </c>
      <c r="P15" s="276">
        <v>821</v>
      </c>
      <c r="Q15" s="123">
        <f t="shared" si="1"/>
        <v>86.1</v>
      </c>
      <c r="R15" s="278">
        <f t="shared" si="2"/>
        <v>246.29999999999998</v>
      </c>
    </row>
    <row r="16" spans="1:52">
      <c r="A16" s="1">
        <v>2012</v>
      </c>
      <c r="B16" s="201">
        <v>11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>
        <v>220</v>
      </c>
      <c r="N16" s="8"/>
      <c r="O16" s="179">
        <f t="shared" si="8"/>
        <v>231</v>
      </c>
      <c r="P16" s="276">
        <v>531</v>
      </c>
      <c r="Q16" s="123">
        <f t="shared" si="1"/>
        <v>69.3</v>
      </c>
      <c r="R16" s="278">
        <f t="shared" si="2"/>
        <v>159.29999999999998</v>
      </c>
    </row>
    <row r="17" spans="1:29">
      <c r="A17" s="1">
        <v>2013</v>
      </c>
      <c r="B17" s="4">
        <v>17.5</v>
      </c>
      <c r="C17" s="202">
        <v>6</v>
      </c>
      <c r="D17" s="202">
        <v>32.82</v>
      </c>
      <c r="E17" s="202">
        <v>28</v>
      </c>
      <c r="F17" s="202">
        <v>18.5</v>
      </c>
      <c r="G17" s="202">
        <v>15.5</v>
      </c>
      <c r="H17" s="202">
        <v>20.5</v>
      </c>
      <c r="I17" s="202">
        <v>30</v>
      </c>
      <c r="J17" s="202">
        <v>33</v>
      </c>
      <c r="K17" s="202">
        <v>18</v>
      </c>
      <c r="L17" s="202">
        <v>24</v>
      </c>
      <c r="M17" s="202">
        <v>34</v>
      </c>
      <c r="N17" s="8"/>
      <c r="O17" s="179">
        <f t="shared" si="8"/>
        <v>277.82</v>
      </c>
      <c r="P17" s="276">
        <v>587</v>
      </c>
      <c r="Q17" s="123">
        <f t="shared" si="1"/>
        <v>83.345999999999989</v>
      </c>
      <c r="R17" s="278">
        <f t="shared" si="2"/>
        <v>176.1</v>
      </c>
      <c r="S17" s="193" t="s">
        <v>148</v>
      </c>
    </row>
    <row r="18" spans="1:29">
      <c r="A18" s="1">
        <v>2014</v>
      </c>
      <c r="B18" s="4">
        <v>12</v>
      </c>
      <c r="C18" s="4">
        <v>42</v>
      </c>
      <c r="D18" s="4">
        <v>19</v>
      </c>
      <c r="E18" s="4">
        <v>14.5</v>
      </c>
      <c r="F18" s="4">
        <v>12</v>
      </c>
      <c r="G18" s="4">
        <v>27.5</v>
      </c>
      <c r="H18" s="4">
        <v>37</v>
      </c>
      <c r="I18" s="4">
        <v>25.5</v>
      </c>
      <c r="J18" s="4">
        <v>52</v>
      </c>
      <c r="K18" s="4">
        <v>31</v>
      </c>
      <c r="L18" s="4">
        <v>35</v>
      </c>
      <c r="M18" s="4">
        <v>42</v>
      </c>
      <c r="N18" s="8"/>
      <c r="O18" s="179">
        <f t="shared" si="8"/>
        <v>349.5</v>
      </c>
      <c r="P18" s="276">
        <v>683</v>
      </c>
      <c r="Q18" s="123">
        <f t="shared" si="1"/>
        <v>104.85</v>
      </c>
      <c r="R18" s="278">
        <f t="shared" si="2"/>
        <v>204.9</v>
      </c>
    </row>
    <row r="19" spans="1:29">
      <c r="A19" s="1">
        <v>2015</v>
      </c>
      <c r="B19" s="4">
        <v>10</v>
      </c>
      <c r="C19" s="4">
        <v>30.5</v>
      </c>
      <c r="D19" s="4">
        <v>27</v>
      </c>
      <c r="E19" s="202">
        <v>30</v>
      </c>
      <c r="F19" s="202">
        <v>24.5</v>
      </c>
      <c r="G19" s="202">
        <v>31.5</v>
      </c>
      <c r="H19" s="202">
        <v>32</v>
      </c>
      <c r="I19" s="202">
        <v>22.5</v>
      </c>
      <c r="J19" s="202">
        <v>29.5</v>
      </c>
      <c r="K19" s="4">
        <v>34.5</v>
      </c>
      <c r="L19" s="202">
        <v>38</v>
      </c>
      <c r="M19" s="202">
        <v>44</v>
      </c>
      <c r="N19" s="8"/>
      <c r="O19" s="179">
        <f t="shared" si="8"/>
        <v>354</v>
      </c>
      <c r="P19" s="276">
        <v>643</v>
      </c>
      <c r="Q19" s="123">
        <f t="shared" si="1"/>
        <v>106.2</v>
      </c>
      <c r="R19" s="278">
        <f t="shared" si="2"/>
        <v>192.9</v>
      </c>
      <c r="S19" s="193" t="s">
        <v>148</v>
      </c>
    </row>
    <row r="20" spans="1:29">
      <c r="A20" s="1">
        <v>2016</v>
      </c>
      <c r="B20" s="4">
        <v>8.5</v>
      </c>
      <c r="C20" s="202">
        <v>10.5</v>
      </c>
      <c r="D20" s="202">
        <v>12</v>
      </c>
      <c r="E20" s="202">
        <v>36.5</v>
      </c>
      <c r="F20" s="202">
        <v>26</v>
      </c>
      <c r="G20" s="202">
        <v>30</v>
      </c>
      <c r="H20" s="190"/>
      <c r="I20" s="190"/>
      <c r="J20" s="190"/>
      <c r="K20" s="190"/>
      <c r="L20" s="190"/>
      <c r="M20" s="190"/>
      <c r="N20" s="8"/>
      <c r="O20" s="179">
        <f t="shared" si="8"/>
        <v>123.5</v>
      </c>
      <c r="P20" s="276">
        <v>209</v>
      </c>
      <c r="Q20" s="123">
        <f t="shared" si="1"/>
        <v>37.049999999999997</v>
      </c>
      <c r="R20" s="278">
        <f t="shared" si="2"/>
        <v>62.699999999999996</v>
      </c>
      <c r="S20" s="193" t="s">
        <v>148</v>
      </c>
    </row>
    <row r="21" spans="1:29">
      <c r="A21" s="1">
        <v>2017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8"/>
      <c r="O21" s="244">
        <f t="shared" si="8"/>
        <v>0</v>
      </c>
      <c r="P21" s="279"/>
      <c r="Q21" s="188">
        <f t="shared" si="1"/>
        <v>0</v>
      </c>
      <c r="R21" s="280">
        <f t="shared" si="2"/>
        <v>0</v>
      </c>
    </row>
    <row r="22" spans="1:29">
      <c r="A22" s="1">
        <v>2018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8"/>
      <c r="O22" s="244">
        <f t="shared" si="8"/>
        <v>0</v>
      </c>
      <c r="P22" s="279"/>
      <c r="Q22" s="188">
        <f t="shared" si="1"/>
        <v>0</v>
      </c>
      <c r="R22" s="280">
        <f t="shared" si="2"/>
        <v>0</v>
      </c>
    </row>
    <row r="23" spans="1:29">
      <c r="A23" s="1">
        <v>2019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8"/>
      <c r="O23" s="244">
        <f t="shared" si="8"/>
        <v>0</v>
      </c>
      <c r="P23" s="279"/>
      <c r="Q23" s="188">
        <f t="shared" si="1"/>
        <v>0</v>
      </c>
      <c r="R23" s="280">
        <f t="shared" si="2"/>
        <v>0</v>
      </c>
    </row>
    <row r="24" spans="1:29">
      <c r="A24" s="1">
        <v>2020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8"/>
      <c r="O24" s="244">
        <f t="shared" si="8"/>
        <v>0</v>
      </c>
      <c r="P24" s="279"/>
      <c r="Q24" s="188">
        <f t="shared" si="1"/>
        <v>0</v>
      </c>
      <c r="R24" s="280">
        <f t="shared" si="2"/>
        <v>0</v>
      </c>
    </row>
    <row r="25" spans="1:29">
      <c r="A25" s="1">
        <v>2021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8"/>
      <c r="O25" s="244">
        <f t="shared" si="8"/>
        <v>0</v>
      </c>
      <c r="P25" s="279"/>
      <c r="Q25" s="188">
        <f t="shared" si="1"/>
        <v>0</v>
      </c>
      <c r="R25" s="280">
        <f t="shared" si="2"/>
        <v>0</v>
      </c>
    </row>
    <row r="26" spans="1:29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4">
        <f>SUM(O2:O25)</f>
        <v>7061.026162876009</v>
      </c>
      <c r="P26" s="189">
        <f t="shared" ref="P26:R26" si="9">SUM(P2:P25)</f>
        <v>33261</v>
      </c>
      <c r="Q26" s="4">
        <f t="shared" si="9"/>
        <v>2118.3078488628025</v>
      </c>
      <c r="R26" s="189">
        <f t="shared" si="9"/>
        <v>9978.2999999999993</v>
      </c>
    </row>
    <row r="27" spans="1:29">
      <c r="Q27" s="197">
        <v>299</v>
      </c>
      <c r="S27" s="269">
        <v>45324</v>
      </c>
    </row>
    <row r="28" spans="1:29">
      <c r="A28" s="538" t="s">
        <v>168</v>
      </c>
      <c r="B28" s="538"/>
      <c r="C28" s="538"/>
      <c r="D28" s="538"/>
      <c r="E28" s="538"/>
      <c r="F28" s="538"/>
      <c r="G28" s="538"/>
      <c r="H28" s="538"/>
      <c r="I28" s="538"/>
      <c r="J28" s="538"/>
      <c r="K28" s="538"/>
      <c r="L28" s="538"/>
      <c r="M28" s="538"/>
      <c r="N28" s="538"/>
      <c r="O28" s="538"/>
      <c r="P28" s="538"/>
      <c r="Q28" s="538"/>
      <c r="R28" s="538"/>
      <c r="S28" s="266" t="s">
        <v>184</v>
      </c>
      <c r="V28" s="6"/>
    </row>
    <row r="29" spans="1:29">
      <c r="V29" s="6"/>
    </row>
    <row r="30" spans="1:29">
      <c r="A30" s="538" t="s">
        <v>169</v>
      </c>
      <c r="B30" s="538"/>
      <c r="C30" s="538"/>
      <c r="D30" s="538"/>
      <c r="E30" s="538"/>
      <c r="F30" s="538"/>
      <c r="G30" s="538"/>
      <c r="H30" s="538"/>
      <c r="I30" s="538"/>
      <c r="J30" s="538"/>
      <c r="K30" s="538"/>
      <c r="L30" s="538"/>
      <c r="M30" s="538"/>
      <c r="N30" s="538"/>
      <c r="O30" s="538"/>
      <c r="P30" s="538"/>
      <c r="Q30" s="538"/>
      <c r="R30" s="209"/>
    </row>
    <row r="31" spans="1:29">
      <c r="F31" s="539" t="s">
        <v>164</v>
      </c>
      <c r="G31" s="539"/>
      <c r="H31" s="539"/>
      <c r="I31" s="539"/>
      <c r="J31" s="539"/>
      <c r="K31" s="539"/>
      <c r="L31" s="539"/>
      <c r="M31" s="539"/>
      <c r="N31" s="539"/>
      <c r="O31" s="539"/>
      <c r="P31" s="210"/>
    </row>
    <row r="32" spans="1:29" s="203" customFormat="1"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R32" s="204">
        <v>1</v>
      </c>
      <c r="S32" s="204">
        <v>2</v>
      </c>
      <c r="T32" s="204">
        <v>3</v>
      </c>
      <c r="U32" s="204">
        <v>4</v>
      </c>
      <c r="V32" s="204">
        <v>5</v>
      </c>
      <c r="W32" s="204">
        <v>6</v>
      </c>
      <c r="X32" s="204">
        <v>7</v>
      </c>
      <c r="Y32" s="204">
        <v>8</v>
      </c>
      <c r="Z32" s="204">
        <v>9</v>
      </c>
      <c r="AA32" s="204">
        <v>10</v>
      </c>
      <c r="AB32" s="204">
        <v>11</v>
      </c>
      <c r="AC32" s="204">
        <v>12</v>
      </c>
    </row>
    <row r="33" spans="1:29">
      <c r="A33" s="2">
        <v>1998</v>
      </c>
      <c r="B33" s="205"/>
      <c r="C33" s="205"/>
      <c r="D33" s="205"/>
      <c r="E33" s="205"/>
      <c r="F33" s="205"/>
      <c r="G33" s="205"/>
      <c r="H33" s="205"/>
      <c r="I33" s="169">
        <v>14</v>
      </c>
      <c r="J33" s="206">
        <v>50</v>
      </c>
      <c r="K33" s="206">
        <v>43</v>
      </c>
      <c r="L33" s="206">
        <v>40</v>
      </c>
      <c r="M33" s="206">
        <v>89</v>
      </c>
      <c r="N33" s="207">
        <f t="shared" ref="N33:N48" si="10">SUM(B33:M33)</f>
        <v>236</v>
      </c>
      <c r="O33" s="169">
        <v>1100</v>
      </c>
      <c r="R33" s="207">
        <f>B33*2*1100*11%</f>
        <v>0</v>
      </c>
      <c r="S33" s="207">
        <f t="shared" ref="S33:AC36" si="11">C33*2*1100*11%</f>
        <v>0</v>
      </c>
      <c r="T33" s="207">
        <f t="shared" si="11"/>
        <v>0</v>
      </c>
      <c r="U33" s="207">
        <f t="shared" si="11"/>
        <v>0</v>
      </c>
      <c r="V33" s="207">
        <f t="shared" si="11"/>
        <v>0</v>
      </c>
      <c r="W33" s="207">
        <f t="shared" si="11"/>
        <v>0</v>
      </c>
      <c r="X33" s="207">
        <f t="shared" si="11"/>
        <v>0</v>
      </c>
      <c r="Y33" s="207">
        <f t="shared" si="11"/>
        <v>3388</v>
      </c>
      <c r="Z33" s="207">
        <f t="shared" si="11"/>
        <v>12100</v>
      </c>
      <c r="AA33" s="207">
        <f t="shared" si="11"/>
        <v>10406</v>
      </c>
      <c r="AB33" s="207">
        <f t="shared" si="11"/>
        <v>9680</v>
      </c>
      <c r="AC33" s="207">
        <f t="shared" si="11"/>
        <v>21538</v>
      </c>
    </row>
    <row r="34" spans="1:29">
      <c r="A34" s="2">
        <v>1999</v>
      </c>
      <c r="B34" s="206">
        <v>18</v>
      </c>
      <c r="C34" s="206">
        <v>26</v>
      </c>
      <c r="D34" s="206">
        <v>49</v>
      </c>
      <c r="E34" s="206">
        <v>42</v>
      </c>
      <c r="F34" s="206">
        <v>35</v>
      </c>
      <c r="G34" s="206">
        <v>52</v>
      </c>
      <c r="H34" s="206">
        <v>52</v>
      </c>
      <c r="I34" s="206">
        <v>89</v>
      </c>
      <c r="J34" s="206">
        <v>72</v>
      </c>
      <c r="K34" s="206">
        <v>51</v>
      </c>
      <c r="L34" s="206">
        <v>34</v>
      </c>
      <c r="M34" s="206">
        <v>48</v>
      </c>
      <c r="N34" s="207">
        <f t="shared" si="10"/>
        <v>568</v>
      </c>
      <c r="O34" s="169">
        <v>1100</v>
      </c>
      <c r="R34" s="207">
        <f t="shared" ref="R34:R48" si="12">B34*2*1100*11%</f>
        <v>4356</v>
      </c>
      <c r="S34" s="207">
        <f t="shared" si="11"/>
        <v>6292</v>
      </c>
      <c r="T34" s="207">
        <f t="shared" si="11"/>
        <v>11858</v>
      </c>
      <c r="U34" s="207">
        <f t="shared" si="11"/>
        <v>10164</v>
      </c>
      <c r="V34" s="207">
        <f t="shared" si="11"/>
        <v>8470</v>
      </c>
      <c r="W34" s="207">
        <f t="shared" si="11"/>
        <v>12584</v>
      </c>
      <c r="X34" s="207">
        <f t="shared" si="11"/>
        <v>12584</v>
      </c>
      <c r="Y34" s="207">
        <f t="shared" si="11"/>
        <v>21538</v>
      </c>
      <c r="Z34" s="207">
        <f t="shared" si="11"/>
        <v>17424</v>
      </c>
      <c r="AA34" s="207">
        <f t="shared" si="11"/>
        <v>12342</v>
      </c>
      <c r="AB34" s="207">
        <f t="shared" si="11"/>
        <v>8228</v>
      </c>
      <c r="AC34" s="207">
        <f t="shared" si="11"/>
        <v>11616</v>
      </c>
    </row>
    <row r="35" spans="1:29">
      <c r="A35" s="2">
        <v>2000</v>
      </c>
      <c r="B35" s="206">
        <v>28</v>
      </c>
      <c r="C35" s="206">
        <v>36</v>
      </c>
      <c r="D35" s="206">
        <v>42</v>
      </c>
      <c r="E35" s="206">
        <v>33</v>
      </c>
      <c r="F35" s="206">
        <v>53</v>
      </c>
      <c r="G35" s="206">
        <v>41</v>
      </c>
      <c r="H35" s="206">
        <v>51</v>
      </c>
      <c r="I35" s="206">
        <v>87</v>
      </c>
      <c r="J35" s="206">
        <v>46</v>
      </c>
      <c r="K35" s="206">
        <v>51</v>
      </c>
      <c r="L35" s="206">
        <v>62</v>
      </c>
      <c r="M35" s="206">
        <v>48</v>
      </c>
      <c r="N35" s="207">
        <f t="shared" si="10"/>
        <v>578</v>
      </c>
      <c r="O35" s="169">
        <v>1100</v>
      </c>
      <c r="P35" s="2" t="s">
        <v>152</v>
      </c>
      <c r="R35" s="207">
        <f t="shared" si="12"/>
        <v>6776</v>
      </c>
      <c r="S35" s="207">
        <f t="shared" si="11"/>
        <v>8712</v>
      </c>
      <c r="T35" s="207">
        <f t="shared" si="11"/>
        <v>10164</v>
      </c>
      <c r="U35" s="207">
        <f t="shared" si="11"/>
        <v>7986</v>
      </c>
      <c r="V35" s="207">
        <f t="shared" si="11"/>
        <v>12826</v>
      </c>
      <c r="W35" s="207">
        <f t="shared" si="11"/>
        <v>9922</v>
      </c>
      <c r="X35" s="207">
        <f t="shared" si="11"/>
        <v>12342</v>
      </c>
      <c r="Y35" s="207">
        <f t="shared" si="11"/>
        <v>21054</v>
      </c>
      <c r="Z35" s="207">
        <f t="shared" si="11"/>
        <v>11132</v>
      </c>
      <c r="AA35" s="207">
        <f t="shared" si="11"/>
        <v>12342</v>
      </c>
      <c r="AB35" s="207">
        <f t="shared" si="11"/>
        <v>15004</v>
      </c>
      <c r="AC35" s="207">
        <f t="shared" si="11"/>
        <v>11616</v>
      </c>
    </row>
    <row r="36" spans="1:29">
      <c r="A36" s="2">
        <v>2001</v>
      </c>
      <c r="B36" s="169">
        <v>40</v>
      </c>
      <c r="C36" s="169">
        <v>54</v>
      </c>
      <c r="D36" s="206">
        <v>35</v>
      </c>
      <c r="E36" s="169">
        <v>35</v>
      </c>
      <c r="F36" s="169">
        <v>42</v>
      </c>
      <c r="G36" s="169">
        <v>33</v>
      </c>
      <c r="H36" s="169">
        <v>56</v>
      </c>
      <c r="I36" s="169">
        <v>81</v>
      </c>
      <c r="J36" s="169">
        <v>55</v>
      </c>
      <c r="K36" s="169">
        <v>34</v>
      </c>
      <c r="L36" s="169">
        <v>58</v>
      </c>
      <c r="M36" s="169">
        <v>57</v>
      </c>
      <c r="N36" s="207">
        <f t="shared" si="10"/>
        <v>580</v>
      </c>
      <c r="O36" s="169">
        <v>1100</v>
      </c>
      <c r="R36" s="207">
        <f t="shared" si="12"/>
        <v>9680</v>
      </c>
      <c r="S36" s="207">
        <f t="shared" si="11"/>
        <v>13068</v>
      </c>
      <c r="T36" s="207">
        <f t="shared" si="11"/>
        <v>8470</v>
      </c>
      <c r="U36" s="207">
        <f t="shared" si="11"/>
        <v>8470</v>
      </c>
      <c r="V36" s="207">
        <f t="shared" si="11"/>
        <v>10164</v>
      </c>
      <c r="W36" s="207">
        <f t="shared" si="11"/>
        <v>7986</v>
      </c>
      <c r="X36" s="207">
        <f t="shared" si="11"/>
        <v>13552</v>
      </c>
      <c r="Y36" s="207">
        <f t="shared" si="11"/>
        <v>19602</v>
      </c>
      <c r="Z36" s="207">
        <f t="shared" si="11"/>
        <v>13310</v>
      </c>
      <c r="AA36" s="207">
        <f t="shared" si="11"/>
        <v>8228</v>
      </c>
      <c r="AB36" s="207">
        <f t="shared" si="11"/>
        <v>14036</v>
      </c>
      <c r="AC36" s="207">
        <f t="shared" si="11"/>
        <v>13794</v>
      </c>
    </row>
    <row r="37" spans="1:29">
      <c r="A37" s="2">
        <v>2002</v>
      </c>
      <c r="B37" s="169"/>
      <c r="C37" s="169"/>
      <c r="D37" s="170">
        <v>650</v>
      </c>
      <c r="E37" s="169"/>
      <c r="F37" s="169"/>
      <c r="G37" s="169"/>
      <c r="H37" s="169"/>
      <c r="I37" s="169"/>
      <c r="J37" s="169"/>
      <c r="K37" s="169"/>
      <c r="L37" s="169"/>
      <c r="M37" s="169"/>
      <c r="N37" s="207">
        <f t="shared" si="10"/>
        <v>650</v>
      </c>
      <c r="O37" s="246">
        <v>3.23</v>
      </c>
      <c r="R37" s="207">
        <f t="shared" si="12"/>
        <v>0</v>
      </c>
    </row>
    <row r="38" spans="1:29">
      <c r="A38" s="2">
        <v>2003</v>
      </c>
      <c r="B38" s="169">
        <v>44</v>
      </c>
      <c r="C38" s="169"/>
      <c r="D38" s="170">
        <v>917</v>
      </c>
      <c r="E38" s="169"/>
      <c r="F38" s="169"/>
      <c r="G38" s="169"/>
      <c r="H38" s="169"/>
      <c r="I38" s="169"/>
      <c r="J38" s="169"/>
      <c r="K38" s="169"/>
      <c r="L38" s="169"/>
      <c r="M38" s="169"/>
      <c r="N38" s="207">
        <f t="shared" si="10"/>
        <v>961</v>
      </c>
      <c r="O38" s="246">
        <v>3.23</v>
      </c>
      <c r="R38" s="207">
        <f t="shared" si="12"/>
        <v>10648</v>
      </c>
    </row>
    <row r="39" spans="1:29">
      <c r="A39" s="2">
        <v>2004</v>
      </c>
      <c r="B39" s="169">
        <v>40</v>
      </c>
      <c r="C39" s="169"/>
      <c r="D39" s="170">
        <v>942</v>
      </c>
      <c r="E39" s="169"/>
      <c r="F39" s="169"/>
      <c r="G39" s="169"/>
      <c r="H39" s="169"/>
      <c r="I39" s="169"/>
      <c r="J39" s="169"/>
      <c r="K39" s="169"/>
      <c r="L39" s="169"/>
      <c r="M39" s="169"/>
      <c r="N39" s="207">
        <f t="shared" si="10"/>
        <v>982</v>
      </c>
      <c r="O39" s="246">
        <v>3.23</v>
      </c>
      <c r="P39" s="208"/>
      <c r="R39" s="207">
        <f t="shared" si="12"/>
        <v>9680</v>
      </c>
    </row>
    <row r="40" spans="1:29">
      <c r="A40" s="2">
        <v>2005</v>
      </c>
      <c r="B40" s="169">
        <v>43</v>
      </c>
      <c r="C40" s="169"/>
      <c r="D40" s="170">
        <v>1010</v>
      </c>
      <c r="E40" s="169"/>
      <c r="F40" s="169"/>
      <c r="G40" s="169"/>
      <c r="H40" s="169"/>
      <c r="I40" s="169"/>
      <c r="J40" s="169"/>
      <c r="K40" s="169"/>
      <c r="L40" s="169"/>
      <c r="M40" s="169"/>
      <c r="N40" s="207">
        <f t="shared" si="10"/>
        <v>1053</v>
      </c>
      <c r="O40" s="246">
        <v>3.23</v>
      </c>
      <c r="P40" s="208" t="s">
        <v>153</v>
      </c>
      <c r="R40" s="207">
        <f t="shared" si="12"/>
        <v>10406</v>
      </c>
    </row>
    <row r="41" spans="1:29">
      <c r="A41" s="2">
        <v>2006</v>
      </c>
      <c r="B41" s="169">
        <v>64</v>
      </c>
      <c r="C41" s="169"/>
      <c r="D41" s="170">
        <v>908</v>
      </c>
      <c r="E41" s="169"/>
      <c r="F41" s="169"/>
      <c r="G41" s="169"/>
      <c r="H41" s="169"/>
      <c r="I41" s="169"/>
      <c r="J41" s="169"/>
      <c r="K41" s="169"/>
      <c r="L41" s="169"/>
      <c r="M41" s="169"/>
      <c r="N41" s="207">
        <f t="shared" si="10"/>
        <v>972</v>
      </c>
      <c r="O41" s="246">
        <v>3.23</v>
      </c>
      <c r="P41" s="208" t="s">
        <v>153</v>
      </c>
      <c r="R41" s="207">
        <f t="shared" si="12"/>
        <v>15488</v>
      </c>
    </row>
    <row r="42" spans="1:29">
      <c r="A42" s="2">
        <v>2007</v>
      </c>
      <c r="B42" s="169">
        <v>82</v>
      </c>
      <c r="C42" s="169"/>
      <c r="D42" s="170">
        <v>849</v>
      </c>
      <c r="E42" s="169"/>
      <c r="F42" s="169"/>
      <c r="G42" s="169"/>
      <c r="H42" s="169"/>
      <c r="I42" s="169"/>
      <c r="J42" s="169"/>
      <c r="K42" s="169"/>
      <c r="L42" s="169"/>
      <c r="M42" s="169"/>
      <c r="N42" s="207">
        <f t="shared" si="10"/>
        <v>931</v>
      </c>
      <c r="O42" s="246">
        <v>3.23</v>
      </c>
      <c r="P42" s="208" t="s">
        <v>153</v>
      </c>
      <c r="R42" s="207">
        <f t="shared" si="12"/>
        <v>19844</v>
      </c>
    </row>
    <row r="43" spans="1:29">
      <c r="A43" s="2">
        <v>2008</v>
      </c>
      <c r="B43" s="169">
        <v>78</v>
      </c>
      <c r="C43" s="169"/>
      <c r="D43" s="170">
        <v>879</v>
      </c>
      <c r="E43" s="169"/>
      <c r="F43" s="169"/>
      <c r="G43" s="169"/>
      <c r="H43" s="169"/>
      <c r="I43" s="169"/>
      <c r="J43" s="169"/>
      <c r="K43" s="169"/>
      <c r="L43" s="169"/>
      <c r="M43" s="169"/>
      <c r="N43" s="207">
        <f t="shared" si="10"/>
        <v>957</v>
      </c>
      <c r="O43" s="246">
        <v>3.23</v>
      </c>
      <c r="P43" s="208" t="s">
        <v>153</v>
      </c>
      <c r="R43" s="207">
        <f t="shared" si="12"/>
        <v>18876</v>
      </c>
    </row>
    <row r="44" spans="1:29">
      <c r="A44" s="2">
        <v>2009</v>
      </c>
      <c r="B44" s="169">
        <v>56</v>
      </c>
      <c r="C44" s="169"/>
      <c r="D44" s="170">
        <v>745</v>
      </c>
      <c r="E44" s="169"/>
      <c r="F44" s="169"/>
      <c r="G44" s="169"/>
      <c r="H44" s="169"/>
      <c r="I44" s="169"/>
      <c r="J44" s="169"/>
      <c r="K44" s="169"/>
      <c r="L44" s="169"/>
      <c r="M44" s="169"/>
      <c r="N44" s="207">
        <f t="shared" si="10"/>
        <v>801</v>
      </c>
      <c r="O44" s="246">
        <v>3.23</v>
      </c>
      <c r="P44" s="208" t="s">
        <v>153</v>
      </c>
      <c r="R44" s="207">
        <f t="shared" si="12"/>
        <v>13552</v>
      </c>
    </row>
    <row r="45" spans="1:29">
      <c r="A45" s="2">
        <v>2010</v>
      </c>
      <c r="B45" s="169">
        <v>34</v>
      </c>
      <c r="C45" s="169"/>
      <c r="D45" s="170">
        <v>668</v>
      </c>
      <c r="E45" s="169"/>
      <c r="F45" s="169"/>
      <c r="G45" s="169"/>
      <c r="H45" s="169"/>
      <c r="I45" s="169"/>
      <c r="J45" s="169"/>
      <c r="K45" s="169"/>
      <c r="L45" s="169"/>
      <c r="M45" s="169"/>
      <c r="N45" s="207">
        <f t="shared" si="10"/>
        <v>702</v>
      </c>
      <c r="O45" s="246">
        <v>3.23</v>
      </c>
      <c r="P45" s="208" t="s">
        <v>153</v>
      </c>
      <c r="R45" s="207">
        <f t="shared" si="12"/>
        <v>8228</v>
      </c>
    </row>
    <row r="46" spans="1:29">
      <c r="A46" s="2">
        <v>2011</v>
      </c>
      <c r="B46" s="169">
        <v>33</v>
      </c>
      <c r="C46" s="169"/>
      <c r="D46" s="170">
        <v>542</v>
      </c>
      <c r="E46" s="169"/>
      <c r="F46" s="169"/>
      <c r="G46" s="169"/>
      <c r="H46" s="169"/>
      <c r="I46" s="169"/>
      <c r="J46" s="169"/>
      <c r="K46" s="169"/>
      <c r="L46" s="169"/>
      <c r="M46" s="169"/>
      <c r="N46" s="207">
        <f t="shared" si="10"/>
        <v>575</v>
      </c>
      <c r="O46" s="246">
        <v>3.23</v>
      </c>
      <c r="P46" s="208" t="s">
        <v>153</v>
      </c>
      <c r="R46" s="207">
        <f t="shared" si="12"/>
        <v>7986</v>
      </c>
    </row>
    <row r="47" spans="1:29">
      <c r="A47" s="2">
        <v>2012</v>
      </c>
      <c r="B47" s="169">
        <v>21</v>
      </c>
      <c r="C47" s="169"/>
      <c r="D47" s="170">
        <v>442</v>
      </c>
      <c r="E47" s="169"/>
      <c r="F47" s="169"/>
      <c r="G47" s="169"/>
      <c r="H47" s="169"/>
      <c r="I47" s="169"/>
      <c r="J47" s="169"/>
      <c r="K47" s="169"/>
      <c r="L47" s="169"/>
      <c r="M47" s="169"/>
      <c r="N47" s="207">
        <f t="shared" si="10"/>
        <v>463</v>
      </c>
      <c r="O47" s="246">
        <v>3.23</v>
      </c>
      <c r="P47" s="208" t="s">
        <v>153</v>
      </c>
      <c r="R47" s="207">
        <f t="shared" si="12"/>
        <v>5082</v>
      </c>
    </row>
    <row r="48" spans="1:29">
      <c r="A48" s="2">
        <v>2013</v>
      </c>
      <c r="B48" s="169">
        <v>35</v>
      </c>
      <c r="C48" s="169">
        <v>32</v>
      </c>
      <c r="D48" s="169">
        <v>51</v>
      </c>
      <c r="E48" s="169">
        <v>54</v>
      </c>
      <c r="F48" s="169">
        <v>66</v>
      </c>
      <c r="G48" s="169">
        <v>37</v>
      </c>
      <c r="H48" s="169">
        <v>59</v>
      </c>
      <c r="I48" s="169">
        <v>77</v>
      </c>
      <c r="J48" s="169">
        <v>71</v>
      </c>
      <c r="K48" s="169">
        <v>36</v>
      </c>
      <c r="L48" s="169">
        <v>48</v>
      </c>
      <c r="M48" s="169">
        <v>66</v>
      </c>
      <c r="N48" s="207">
        <f t="shared" si="10"/>
        <v>632</v>
      </c>
      <c r="O48" s="246">
        <v>3.23</v>
      </c>
      <c r="P48" s="208" t="s">
        <v>153</v>
      </c>
      <c r="R48" s="207">
        <f t="shared" si="12"/>
        <v>8470</v>
      </c>
    </row>
    <row r="49" spans="1:18">
      <c r="A49" s="2">
        <v>2014</v>
      </c>
      <c r="B49" s="169">
        <v>26</v>
      </c>
      <c r="C49" s="169">
        <v>47</v>
      </c>
      <c r="D49" s="206">
        <v>37</v>
      </c>
      <c r="E49" s="169">
        <v>20</v>
      </c>
      <c r="F49" s="169">
        <v>31</v>
      </c>
      <c r="G49" s="169">
        <v>47</v>
      </c>
      <c r="H49" s="169">
        <v>55</v>
      </c>
      <c r="I49" s="169">
        <v>61</v>
      </c>
      <c r="J49" s="169">
        <v>86</v>
      </c>
      <c r="K49" s="169">
        <v>62</v>
      </c>
      <c r="L49" s="169">
        <v>59</v>
      </c>
      <c r="M49" s="169">
        <v>57</v>
      </c>
      <c r="N49" s="207">
        <f>SUM(B49:M49)</f>
        <v>588</v>
      </c>
      <c r="O49" s="246">
        <v>3.23</v>
      </c>
      <c r="P49" s="208" t="s">
        <v>153</v>
      </c>
    </row>
    <row r="50" spans="1:18">
      <c r="A50" s="2">
        <v>2015</v>
      </c>
      <c r="B50" s="169">
        <v>21</v>
      </c>
      <c r="C50" s="169">
        <v>60</v>
      </c>
      <c r="D50" s="169">
        <v>49</v>
      </c>
      <c r="E50" s="169">
        <v>53</v>
      </c>
      <c r="F50" s="169">
        <v>52</v>
      </c>
      <c r="G50" s="169">
        <v>53</v>
      </c>
      <c r="H50" s="169">
        <v>56</v>
      </c>
      <c r="I50" s="169">
        <v>72</v>
      </c>
      <c r="J50" s="169">
        <v>79</v>
      </c>
      <c r="K50" s="169">
        <v>64</v>
      </c>
      <c r="L50" s="169">
        <v>64</v>
      </c>
      <c r="M50" s="169">
        <v>75</v>
      </c>
      <c r="N50" s="207">
        <f>SUM(B50:M50)</f>
        <v>698</v>
      </c>
      <c r="O50" s="246">
        <v>3.23</v>
      </c>
      <c r="P50" s="208" t="s">
        <v>153</v>
      </c>
    </row>
    <row r="51" spans="1:18">
      <c r="A51" s="2">
        <v>2016</v>
      </c>
      <c r="B51" s="169">
        <v>16</v>
      </c>
      <c r="C51" s="169">
        <v>22</v>
      </c>
      <c r="D51" s="169">
        <v>39</v>
      </c>
      <c r="E51" s="169">
        <v>55</v>
      </c>
      <c r="F51" s="169">
        <v>53</v>
      </c>
      <c r="G51" s="169">
        <v>52</v>
      </c>
      <c r="H51" s="169">
        <v>52</v>
      </c>
      <c r="I51" s="169">
        <v>98</v>
      </c>
      <c r="J51" s="169">
        <v>85</v>
      </c>
      <c r="K51" s="169">
        <v>66</v>
      </c>
      <c r="L51" s="169">
        <v>54</v>
      </c>
      <c r="M51" s="169">
        <v>110</v>
      </c>
      <c r="N51" s="207">
        <f t="shared" ref="N51:N55" si="13">SUM(B51:M51)</f>
        <v>702</v>
      </c>
      <c r="O51" s="246">
        <v>3.23</v>
      </c>
      <c r="P51" s="208">
        <v>1</v>
      </c>
    </row>
    <row r="52" spans="1:18">
      <c r="A52" s="2">
        <v>2017</v>
      </c>
      <c r="B52" s="169">
        <v>35</v>
      </c>
      <c r="C52" s="169"/>
      <c r="D52" s="169"/>
      <c r="E52" s="169"/>
      <c r="F52" s="169"/>
      <c r="G52" s="169"/>
      <c r="H52" s="170">
        <v>656</v>
      </c>
      <c r="I52" s="169"/>
      <c r="J52" s="169"/>
      <c r="K52" s="169"/>
      <c r="L52" s="169"/>
      <c r="M52" s="169"/>
      <c r="N52" s="207">
        <f t="shared" si="13"/>
        <v>691</v>
      </c>
      <c r="O52" s="246"/>
      <c r="P52" s="2">
        <v>4</v>
      </c>
    </row>
    <row r="53" spans="1:18">
      <c r="A53" s="2">
        <v>2018</v>
      </c>
      <c r="B53" s="169">
        <v>34</v>
      </c>
      <c r="C53" s="169"/>
      <c r="D53" s="169"/>
      <c r="E53" s="169"/>
      <c r="F53" s="169"/>
      <c r="G53" s="169"/>
      <c r="H53" s="170">
        <v>572</v>
      </c>
      <c r="I53" s="169"/>
      <c r="J53" s="169"/>
      <c r="K53" s="169"/>
      <c r="L53" s="169"/>
      <c r="M53" s="169"/>
      <c r="N53" s="207">
        <f t="shared" si="13"/>
        <v>606</v>
      </c>
      <c r="O53" s="246"/>
      <c r="P53" s="208" t="s">
        <v>153</v>
      </c>
    </row>
    <row r="54" spans="1:18">
      <c r="A54" s="2">
        <v>2019</v>
      </c>
      <c r="B54" s="169">
        <v>18</v>
      </c>
      <c r="C54" s="169">
        <v>54</v>
      </c>
      <c r="D54" s="169">
        <v>66</v>
      </c>
      <c r="E54" s="169"/>
      <c r="F54" s="169"/>
      <c r="G54" s="169"/>
      <c r="H54" s="170">
        <v>653</v>
      </c>
      <c r="I54" s="169"/>
      <c r="J54" s="169"/>
      <c r="K54" s="169"/>
      <c r="L54" s="169"/>
      <c r="M54" s="169"/>
      <c r="N54" s="207">
        <f t="shared" si="13"/>
        <v>791</v>
      </c>
      <c r="O54" s="246"/>
      <c r="P54" s="208" t="s">
        <v>153</v>
      </c>
    </row>
    <row r="55" spans="1:18">
      <c r="A55" s="2">
        <v>2020</v>
      </c>
      <c r="B55" s="169">
        <v>23</v>
      </c>
      <c r="C55" s="169">
        <v>44</v>
      </c>
      <c r="D55" s="169">
        <v>21</v>
      </c>
      <c r="E55" s="169">
        <v>14</v>
      </c>
      <c r="F55" s="169">
        <v>29</v>
      </c>
      <c r="G55" s="169">
        <v>13</v>
      </c>
      <c r="H55" s="169">
        <v>60</v>
      </c>
      <c r="I55" s="169">
        <v>47</v>
      </c>
      <c r="J55" s="169">
        <v>57</v>
      </c>
      <c r="K55" s="169">
        <v>47</v>
      </c>
      <c r="L55" s="169">
        <v>29</v>
      </c>
      <c r="M55" s="169">
        <v>41</v>
      </c>
      <c r="N55" s="207">
        <f t="shared" si="13"/>
        <v>425</v>
      </c>
      <c r="O55" s="246"/>
      <c r="P55" s="208">
        <v>2</v>
      </c>
      <c r="Q55" s="208">
        <v>3</v>
      </c>
      <c r="R55" s="208"/>
    </row>
    <row r="56" spans="1:18">
      <c r="A56" s="2">
        <v>2021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</row>
    <row r="57" spans="1:18"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</row>
    <row r="58" spans="1:18"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</row>
    <row r="59" spans="1:18"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</row>
    <row r="60" spans="1:18"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</row>
    <row r="61" spans="1:18"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</row>
  </sheetData>
  <mergeCells count="3">
    <mergeCell ref="F31:O31"/>
    <mergeCell ref="A30:Q30"/>
    <mergeCell ref="A28:R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63"/>
  <sheetViews>
    <sheetView workbookViewId="0">
      <pane ySplit="2" topLeftCell="A3" activePane="bottomLeft" state="frozen"/>
      <selection pane="bottomLeft" activeCell="K30" sqref="K30"/>
    </sheetView>
  </sheetViews>
  <sheetFormatPr defaultRowHeight="12.75"/>
  <cols>
    <col min="1" max="1" width="5" style="2" bestFit="1" customWidth="1"/>
    <col min="2" max="2" width="7" style="2" bestFit="1" customWidth="1"/>
    <col min="3" max="3" width="8" style="2" bestFit="1" customWidth="1"/>
    <col min="4" max="5" width="3.88671875" style="2" bestFit="1" customWidth="1"/>
    <col min="6" max="6" width="5.6640625" style="2" bestFit="1" customWidth="1"/>
    <col min="7" max="7" width="7" style="2" bestFit="1" customWidth="1"/>
    <col min="8" max="8" width="8.33203125" style="2" bestFit="1" customWidth="1"/>
    <col min="9" max="9" width="8" style="2" bestFit="1" customWidth="1"/>
    <col min="10" max="10" width="9" style="2" bestFit="1" customWidth="1"/>
    <col min="11" max="11" width="8" style="2" bestFit="1" customWidth="1"/>
    <col min="12" max="13" width="9" style="2" bestFit="1" customWidth="1"/>
    <col min="14" max="14" width="8.88671875" style="2"/>
    <col min="15" max="19" width="5.109375" style="2" customWidth="1"/>
    <col min="20" max="20" width="8.88671875" style="2"/>
    <col min="21" max="21" width="12.109375" style="2" bestFit="1" customWidth="1"/>
    <col min="22" max="16384" width="8.88671875" style="2"/>
  </cols>
  <sheetData>
    <row r="1" spans="1:22" ht="15">
      <c r="A1" s="442" t="s">
        <v>18</v>
      </c>
      <c r="B1" s="444" t="s">
        <v>4</v>
      </c>
      <c r="C1" s="366" t="s">
        <v>5</v>
      </c>
      <c r="D1" s="446" t="s">
        <v>6</v>
      </c>
      <c r="E1" s="366" t="s">
        <v>7</v>
      </c>
      <c r="F1" s="444" t="s">
        <v>2</v>
      </c>
      <c r="G1" s="366" t="s">
        <v>8</v>
      </c>
      <c r="H1" s="463" t="s">
        <v>9</v>
      </c>
      <c r="I1" s="366" t="s">
        <v>10</v>
      </c>
      <c r="J1" s="444" t="s">
        <v>11</v>
      </c>
      <c r="K1" s="366" t="s">
        <v>12</v>
      </c>
      <c r="L1" s="463" t="s">
        <v>13</v>
      </c>
      <c r="M1" s="465" t="s">
        <v>14</v>
      </c>
      <c r="N1" s="467" t="s">
        <v>16</v>
      </c>
      <c r="O1" s="467"/>
      <c r="P1" s="467"/>
      <c r="Q1" s="467"/>
      <c r="U1" s="362" t="s">
        <v>71</v>
      </c>
      <c r="V1" s="362"/>
    </row>
    <row r="2" spans="1:22" ht="15.75" customHeight="1" thickBot="1">
      <c r="A2" s="443"/>
      <c r="B2" s="445"/>
      <c r="C2" s="368"/>
      <c r="D2" s="447"/>
      <c r="E2" s="368"/>
      <c r="F2" s="445"/>
      <c r="G2" s="368"/>
      <c r="H2" s="464"/>
      <c r="I2" s="368"/>
      <c r="J2" s="445"/>
      <c r="K2" s="368"/>
      <c r="L2" s="464"/>
      <c r="M2" s="466"/>
      <c r="N2" s="87" t="s">
        <v>36</v>
      </c>
      <c r="O2" s="87" t="s">
        <v>27</v>
      </c>
      <c r="P2" s="87" t="s">
        <v>50</v>
      </c>
      <c r="Q2" s="88" t="s">
        <v>34</v>
      </c>
      <c r="U2" s="362"/>
      <c r="V2" s="362"/>
    </row>
    <row r="3" spans="1:22">
      <c r="A3" s="7">
        <v>1998</v>
      </c>
      <c r="B3" s="9"/>
      <c r="C3" s="9"/>
      <c r="D3" s="9"/>
      <c r="E3" s="9"/>
      <c r="F3" s="9"/>
      <c r="G3" s="9"/>
      <c r="H3" s="9"/>
      <c r="I3" s="123"/>
      <c r="J3" s="123"/>
      <c r="K3" s="123"/>
      <c r="L3" s="123">
        <v>15.26</v>
      </c>
      <c r="M3" s="123"/>
      <c r="N3" s="123">
        <f>SUM(B3:M3)</f>
        <v>15.26</v>
      </c>
      <c r="O3" s="123"/>
      <c r="P3" s="123"/>
      <c r="Q3" s="123"/>
      <c r="U3" s="77"/>
      <c r="V3" s="451" t="s">
        <v>37</v>
      </c>
    </row>
    <row r="4" spans="1:22">
      <c r="A4" s="1">
        <v>1999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9"/>
      <c r="O4" s="3"/>
      <c r="P4" s="3"/>
      <c r="Q4" s="3"/>
      <c r="U4" s="77">
        <v>25.36</v>
      </c>
      <c r="V4" s="451"/>
    </row>
    <row r="5" spans="1:22">
      <c r="A5" s="1">
        <v>2000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59"/>
      <c r="O5" s="3"/>
      <c r="P5" s="3"/>
      <c r="Q5" s="3"/>
      <c r="U5" s="77">
        <v>2.3199999999999998</v>
      </c>
      <c r="V5" s="451"/>
    </row>
    <row r="6" spans="1:22">
      <c r="A6" s="1">
        <v>2001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59"/>
      <c r="O6" s="3"/>
      <c r="P6" s="3"/>
      <c r="Q6" s="3"/>
      <c r="U6" s="77">
        <v>477.65</v>
      </c>
      <c r="V6" s="451"/>
    </row>
    <row r="7" spans="1:22">
      <c r="A7" s="1">
        <v>2002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59"/>
      <c r="O7" s="3"/>
      <c r="P7" s="3"/>
      <c r="Q7" s="3"/>
      <c r="U7" s="77">
        <v>4.7300000000000004</v>
      </c>
      <c r="V7" s="451"/>
    </row>
    <row r="8" spans="1:22">
      <c r="A8" s="1">
        <v>2003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59"/>
      <c r="O8" s="3"/>
      <c r="P8" s="3"/>
      <c r="Q8" s="3"/>
      <c r="U8" s="77">
        <v>655</v>
      </c>
      <c r="V8" s="451"/>
    </row>
    <row r="9" spans="1:22">
      <c r="A9" s="1">
        <v>2004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59"/>
      <c r="O9" s="3"/>
      <c r="P9" s="3"/>
      <c r="Q9" s="3"/>
      <c r="U9" s="77">
        <v>12.76</v>
      </c>
      <c r="V9" s="451"/>
    </row>
    <row r="10" spans="1:22">
      <c r="A10" s="1">
        <v>2005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59"/>
      <c r="O10" s="3"/>
      <c r="P10" s="3"/>
      <c r="Q10" s="3"/>
      <c r="U10" s="77">
        <v>147.56</v>
      </c>
      <c r="V10" s="451"/>
    </row>
    <row r="11" spans="1:22">
      <c r="A11" s="1">
        <v>2006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59"/>
      <c r="O11" s="3"/>
      <c r="P11" s="3"/>
      <c r="Q11" s="3"/>
      <c r="U11" s="77">
        <v>182.75</v>
      </c>
      <c r="V11" s="451"/>
    </row>
    <row r="12" spans="1:22">
      <c r="A12" s="1">
        <v>2007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59"/>
      <c r="O12" s="3"/>
      <c r="P12" s="3"/>
      <c r="Q12" s="3"/>
      <c r="U12" s="78">
        <v>134.6</v>
      </c>
      <c r="V12" s="451"/>
    </row>
    <row r="13" spans="1:22">
      <c r="A13" s="1">
        <v>2008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59"/>
      <c r="O13" s="3"/>
      <c r="P13" s="3"/>
      <c r="Q13" s="3"/>
      <c r="U13" s="78">
        <v>149.12</v>
      </c>
      <c r="V13" s="451"/>
    </row>
    <row r="14" spans="1:22">
      <c r="A14" s="1">
        <v>2009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59"/>
      <c r="O14" s="3"/>
      <c r="P14" s="3"/>
      <c r="Q14" s="3"/>
      <c r="U14" s="78">
        <v>18.77</v>
      </c>
      <c r="V14" s="451"/>
    </row>
    <row r="15" spans="1:22">
      <c r="A15" s="1">
        <v>2010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59"/>
      <c r="O15" s="3"/>
      <c r="P15" s="3"/>
      <c r="Q15" s="3"/>
      <c r="U15" s="78">
        <v>24.1</v>
      </c>
      <c r="V15" s="451"/>
    </row>
    <row r="16" spans="1:22">
      <c r="A16" s="1">
        <v>2011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59"/>
      <c r="O16" s="3"/>
      <c r="P16" s="3"/>
      <c r="Q16" s="3"/>
      <c r="U16" s="78">
        <v>2.2400000000000002</v>
      </c>
      <c r="V16" s="451"/>
    </row>
    <row r="17" spans="1:29">
      <c r="A17" s="1">
        <v>2012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59"/>
      <c r="O17" s="3"/>
      <c r="P17" s="3"/>
      <c r="Q17" s="3"/>
      <c r="U17" s="78"/>
    </row>
    <row r="18" spans="1:29">
      <c r="A18" s="1">
        <v>2013</v>
      </c>
      <c r="B18" s="3"/>
      <c r="C18" s="3"/>
      <c r="D18" s="3"/>
      <c r="E18" s="3"/>
      <c r="F18" s="3"/>
      <c r="G18" s="8"/>
      <c r="H18" s="8"/>
      <c r="I18" s="8"/>
      <c r="J18" s="8"/>
      <c r="K18" s="8"/>
      <c r="L18" s="8"/>
      <c r="M18" s="8"/>
      <c r="N18" s="59"/>
      <c r="O18" s="3"/>
      <c r="P18" s="163"/>
      <c r="Q18" s="163"/>
      <c r="R18" s="5"/>
      <c r="S18" s="5" t="s">
        <v>1</v>
      </c>
      <c r="T18" s="5" t="s">
        <v>2</v>
      </c>
    </row>
    <row r="19" spans="1:29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3">
        <f>SUM(N3:N18)</f>
        <v>15.26</v>
      </c>
      <c r="O19" s="3">
        <f t="shared" ref="O19:Q19" si="0">SUM(O3:O18)</f>
        <v>0</v>
      </c>
      <c r="P19" s="3">
        <f t="shared" si="0"/>
        <v>0</v>
      </c>
      <c r="Q19" s="3">
        <f t="shared" si="0"/>
        <v>0</v>
      </c>
    </row>
    <row r="21" spans="1:29">
      <c r="N21" s="4">
        <v>1836.9599999999998</v>
      </c>
    </row>
    <row r="22" spans="1:29" s="10" customFormat="1" ht="15"/>
    <row r="23" spans="1:29" s="10" customFormat="1" ht="15.75" customHeight="1">
      <c r="A23" s="426" t="s">
        <v>33</v>
      </c>
      <c r="B23" s="426"/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60"/>
      <c r="S23" s="60"/>
      <c r="T23" s="60"/>
      <c r="U23" s="60"/>
      <c r="V23" s="60"/>
      <c r="W23" s="60"/>
      <c r="X23" s="60"/>
      <c r="Y23" s="60"/>
      <c r="Z23" s="2"/>
      <c r="AA23" s="2"/>
      <c r="AB23" s="2"/>
      <c r="AC23" s="2"/>
    </row>
    <row r="24" spans="1:29" s="10" customFormat="1" ht="15" customHeight="1">
      <c r="A24" s="426"/>
      <c r="B24" s="426"/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/>
    </row>
    <row r="25" spans="1:29" s="10" customFormat="1" ht="15"/>
    <row r="26" spans="1:29" s="10" customFormat="1" ht="15"/>
    <row r="27" spans="1:29" s="10" customFormat="1" ht="15">
      <c r="A27" s="427" t="s">
        <v>18</v>
      </c>
      <c r="B27" s="429" t="s">
        <v>20</v>
      </c>
      <c r="C27" s="431" t="s">
        <v>22</v>
      </c>
      <c r="D27" s="433" t="s">
        <v>21</v>
      </c>
      <c r="E27" s="434"/>
      <c r="F27" s="434"/>
      <c r="G27" s="435"/>
      <c r="H27" s="441" t="s">
        <v>23</v>
      </c>
      <c r="I27" s="441"/>
      <c r="J27" s="452" t="s">
        <v>35</v>
      </c>
      <c r="K27" s="453"/>
      <c r="L27" s="453"/>
      <c r="M27" s="453"/>
      <c r="N27" s="454"/>
    </row>
    <row r="28" spans="1:29" s="10" customFormat="1" ht="15">
      <c r="A28" s="428"/>
      <c r="B28" s="430"/>
      <c r="C28" s="432"/>
      <c r="D28" s="436"/>
      <c r="E28" s="437"/>
      <c r="F28" s="437"/>
      <c r="G28" s="438"/>
      <c r="H28" s="49" t="s">
        <v>15</v>
      </c>
      <c r="I28" s="56" t="s">
        <v>34</v>
      </c>
      <c r="J28" s="49" t="s">
        <v>36</v>
      </c>
      <c r="K28" s="49" t="s">
        <v>27</v>
      </c>
      <c r="L28" s="49" t="s">
        <v>50</v>
      </c>
      <c r="M28" s="61" t="s">
        <v>34</v>
      </c>
      <c r="N28" s="89" t="s">
        <v>29</v>
      </c>
    </row>
    <row r="29" spans="1:29" s="10" customFormat="1" ht="15">
      <c r="A29" s="455">
        <v>1998</v>
      </c>
      <c r="B29" s="47" t="s">
        <v>12</v>
      </c>
      <c r="C29" s="54">
        <v>130</v>
      </c>
      <c r="D29" s="457" t="s">
        <v>123</v>
      </c>
      <c r="E29" s="458"/>
      <c r="F29" s="458"/>
      <c r="G29" s="459"/>
      <c r="H29" s="151"/>
      <c r="I29" s="150">
        <v>0</v>
      </c>
      <c r="J29" s="33"/>
      <c r="K29" s="33"/>
      <c r="L29" s="33"/>
      <c r="M29" s="33"/>
      <c r="N29" s="33">
        <f>SUM(J29:M29)</f>
        <v>0</v>
      </c>
      <c r="P29" t="s">
        <v>122</v>
      </c>
    </row>
    <row r="30" spans="1:29" s="10" customFormat="1" ht="15">
      <c r="A30" s="456"/>
      <c r="B30" s="47" t="s">
        <v>13</v>
      </c>
      <c r="C30" s="54">
        <v>144</v>
      </c>
      <c r="D30" s="460" t="s">
        <v>121</v>
      </c>
      <c r="E30" s="461"/>
      <c r="F30" s="461"/>
      <c r="G30" s="462"/>
      <c r="H30" s="151"/>
      <c r="I30" s="150">
        <v>0</v>
      </c>
      <c r="J30" s="33">
        <v>15.26</v>
      </c>
      <c r="K30" s="33"/>
      <c r="L30" s="33"/>
      <c r="M30" s="33"/>
      <c r="N30" s="33">
        <f>SUM(J30:M30)</f>
        <v>15.26</v>
      </c>
      <c r="P30" t="s">
        <v>122</v>
      </c>
    </row>
    <row r="31" spans="1:29" s="10" customFormat="1" ht="15">
      <c r="A31" s="13"/>
      <c r="B31" s="47"/>
      <c r="C31" s="54"/>
      <c r="D31" s="448"/>
      <c r="E31" s="449"/>
      <c r="F31" s="449"/>
      <c r="G31" s="450"/>
      <c r="H31" s="62"/>
      <c r="I31" s="62"/>
      <c r="J31" s="33"/>
      <c r="K31" s="33"/>
      <c r="L31" s="33"/>
      <c r="M31" s="33"/>
      <c r="N31" s="33">
        <f t="shared" ref="N31:N45" si="1">SUM(J31:M31)</f>
        <v>0</v>
      </c>
    </row>
    <row r="32" spans="1:29" s="10" customFormat="1" ht="15">
      <c r="A32" s="13"/>
      <c r="B32" s="47"/>
      <c r="C32" s="54"/>
      <c r="D32" s="448"/>
      <c r="E32" s="449"/>
      <c r="F32" s="449"/>
      <c r="G32" s="450"/>
      <c r="H32" s="62"/>
      <c r="I32" s="62"/>
      <c r="J32" s="33"/>
      <c r="K32" s="33"/>
      <c r="L32" s="33"/>
      <c r="M32" s="33"/>
      <c r="N32" s="33">
        <f t="shared" si="1"/>
        <v>0</v>
      </c>
    </row>
    <row r="33" spans="1:14" s="10" customFormat="1" ht="15">
      <c r="A33" s="13"/>
      <c r="B33" s="47"/>
      <c r="C33" s="54"/>
      <c r="D33" s="448"/>
      <c r="E33" s="449"/>
      <c r="F33" s="449"/>
      <c r="G33" s="450"/>
      <c r="H33" s="62"/>
      <c r="I33" s="62"/>
      <c r="J33" s="33"/>
      <c r="K33" s="33"/>
      <c r="L33" s="33"/>
      <c r="M33" s="33"/>
      <c r="N33" s="33">
        <f t="shared" si="1"/>
        <v>0</v>
      </c>
    </row>
    <row r="34" spans="1:14" s="10" customFormat="1" ht="15">
      <c r="A34" s="13"/>
      <c r="B34" s="47"/>
      <c r="C34" s="54"/>
      <c r="D34" s="448"/>
      <c r="E34" s="449"/>
      <c r="F34" s="449"/>
      <c r="G34" s="450"/>
      <c r="H34" s="62"/>
      <c r="I34" s="62"/>
      <c r="J34" s="33"/>
      <c r="K34" s="33"/>
      <c r="L34" s="33"/>
      <c r="M34" s="33"/>
      <c r="N34" s="33">
        <f t="shared" si="1"/>
        <v>0</v>
      </c>
    </row>
    <row r="35" spans="1:14" s="10" customFormat="1" ht="15">
      <c r="A35" s="13"/>
      <c r="B35" s="47"/>
      <c r="C35" s="52"/>
      <c r="D35" s="448"/>
      <c r="E35" s="449"/>
      <c r="F35" s="449"/>
      <c r="G35" s="450"/>
      <c r="H35" s="51"/>
      <c r="I35" s="51"/>
      <c r="J35" s="33"/>
      <c r="K35" s="33"/>
      <c r="L35" s="33"/>
      <c r="M35" s="33"/>
      <c r="N35" s="33">
        <f t="shared" si="1"/>
        <v>0</v>
      </c>
    </row>
    <row r="36" spans="1:14" s="10" customFormat="1" ht="15">
      <c r="A36" s="13"/>
      <c r="B36" s="47"/>
      <c r="C36" s="52"/>
      <c r="D36" s="448"/>
      <c r="E36" s="449"/>
      <c r="F36" s="449"/>
      <c r="G36" s="450"/>
      <c r="H36" s="51"/>
      <c r="I36" s="51"/>
      <c r="J36" s="33"/>
      <c r="K36" s="33"/>
      <c r="L36" s="33"/>
      <c r="M36" s="33"/>
      <c r="N36" s="33">
        <f t="shared" si="1"/>
        <v>0</v>
      </c>
    </row>
    <row r="37" spans="1:14" s="10" customFormat="1" ht="15">
      <c r="A37" s="13"/>
      <c r="B37" s="47"/>
      <c r="C37" s="52"/>
      <c r="D37" s="448"/>
      <c r="E37" s="449"/>
      <c r="F37" s="449"/>
      <c r="G37" s="450"/>
      <c r="H37" s="51"/>
      <c r="I37" s="51"/>
      <c r="J37" s="33"/>
      <c r="K37" s="33"/>
      <c r="L37" s="33"/>
      <c r="M37" s="33"/>
      <c r="N37" s="33">
        <f t="shared" si="1"/>
        <v>0</v>
      </c>
    </row>
    <row r="38" spans="1:14" s="10" customFormat="1" ht="15">
      <c r="A38" s="13"/>
      <c r="B38" s="47"/>
      <c r="C38" s="52"/>
      <c r="D38" s="448"/>
      <c r="E38" s="449"/>
      <c r="F38" s="449"/>
      <c r="G38" s="450"/>
      <c r="H38" s="51"/>
      <c r="I38" s="51"/>
      <c r="J38" s="33"/>
      <c r="K38" s="33"/>
      <c r="L38" s="33"/>
      <c r="M38" s="33"/>
      <c r="N38" s="33">
        <f t="shared" si="1"/>
        <v>0</v>
      </c>
    </row>
    <row r="39" spans="1:14" s="10" customFormat="1" ht="15">
      <c r="A39" s="13"/>
      <c r="B39" s="47"/>
      <c r="C39" s="52"/>
      <c r="D39" s="448"/>
      <c r="E39" s="449"/>
      <c r="F39" s="449"/>
      <c r="G39" s="450"/>
      <c r="H39" s="51"/>
      <c r="I39" s="51"/>
      <c r="J39" s="33"/>
      <c r="K39" s="33"/>
      <c r="L39" s="33"/>
      <c r="M39" s="33"/>
      <c r="N39" s="33">
        <f t="shared" si="1"/>
        <v>0</v>
      </c>
    </row>
    <row r="40" spans="1:14" s="10" customFormat="1" ht="15">
      <c r="A40" s="13"/>
      <c r="B40" s="47"/>
      <c r="C40" s="52"/>
      <c r="D40" s="448"/>
      <c r="E40" s="449"/>
      <c r="F40" s="449"/>
      <c r="G40" s="450"/>
      <c r="H40" s="51"/>
      <c r="I40" s="51"/>
      <c r="J40" s="33"/>
      <c r="K40" s="33"/>
      <c r="L40" s="33"/>
      <c r="M40" s="33"/>
      <c r="N40" s="33">
        <f t="shared" si="1"/>
        <v>0</v>
      </c>
    </row>
    <row r="41" spans="1:14" s="10" customFormat="1" ht="15">
      <c r="A41" s="13"/>
      <c r="B41" s="47"/>
      <c r="C41" s="52"/>
      <c r="D41" s="448"/>
      <c r="E41" s="449"/>
      <c r="F41" s="449"/>
      <c r="G41" s="450"/>
      <c r="H41" s="51"/>
      <c r="I41" s="51"/>
      <c r="J41" s="33"/>
      <c r="K41" s="33"/>
      <c r="L41" s="33"/>
      <c r="M41" s="33"/>
      <c r="N41" s="33">
        <f t="shared" si="1"/>
        <v>0</v>
      </c>
    </row>
    <row r="42" spans="1:14" s="10" customFormat="1" ht="15">
      <c r="A42" s="13"/>
      <c r="B42" s="47"/>
      <c r="C42" s="52"/>
      <c r="D42" s="448"/>
      <c r="E42" s="449"/>
      <c r="F42" s="449"/>
      <c r="G42" s="450"/>
      <c r="H42" s="51"/>
      <c r="I42" s="51"/>
      <c r="J42" s="33"/>
      <c r="K42" s="33"/>
      <c r="L42" s="33"/>
      <c r="M42" s="33"/>
      <c r="N42" s="33">
        <f t="shared" si="1"/>
        <v>0</v>
      </c>
    </row>
    <row r="43" spans="1:14" s="10" customFormat="1" ht="15">
      <c r="A43" s="13"/>
      <c r="B43" s="47"/>
      <c r="C43" s="52"/>
      <c r="D43" s="448"/>
      <c r="E43" s="449"/>
      <c r="F43" s="449"/>
      <c r="G43" s="450"/>
      <c r="H43" s="51"/>
      <c r="I43" s="51"/>
      <c r="J43" s="33"/>
      <c r="K43" s="33"/>
      <c r="L43" s="33"/>
      <c r="M43" s="33"/>
      <c r="N43" s="33">
        <f t="shared" si="1"/>
        <v>0</v>
      </c>
    </row>
    <row r="44" spans="1:14" s="10" customFormat="1" ht="15">
      <c r="A44" s="13"/>
      <c r="B44" s="47"/>
      <c r="C44" s="52"/>
      <c r="D44" s="448"/>
      <c r="E44" s="449"/>
      <c r="F44" s="449"/>
      <c r="G44" s="450"/>
      <c r="H44" s="51"/>
      <c r="I44" s="51"/>
      <c r="J44" s="33"/>
      <c r="K44" s="33"/>
      <c r="L44" s="33"/>
      <c r="M44" s="33"/>
      <c r="N44" s="33">
        <f t="shared" si="1"/>
        <v>0</v>
      </c>
    </row>
    <row r="45" spans="1:14" s="10" customFormat="1" ht="15">
      <c r="A45" s="13"/>
      <c r="B45" s="47"/>
      <c r="C45" s="53"/>
      <c r="D45" s="448"/>
      <c r="E45" s="449"/>
      <c r="F45" s="449"/>
      <c r="G45" s="450"/>
      <c r="H45" s="13"/>
      <c r="I45" s="13"/>
      <c r="J45" s="33"/>
      <c r="K45" s="33"/>
      <c r="L45" s="33"/>
      <c r="M45" s="33"/>
      <c r="N45" s="33">
        <f t="shared" si="1"/>
        <v>0</v>
      </c>
    </row>
    <row r="46" spans="1:14" s="10" customFormat="1" ht="15"/>
    <row r="47" spans="1:14" s="10" customFormat="1" ht="15"/>
    <row r="48" spans="1:14" s="10" customFormat="1" ht="15"/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  <row r="61" s="10" customFormat="1" ht="15"/>
    <row r="62" s="10" customFormat="1" ht="15"/>
    <row r="63" s="10" customFormat="1" ht="15"/>
    <row r="64" s="10" customFormat="1" ht="15"/>
    <row r="65" s="10" customFormat="1" ht="15"/>
    <row r="66" s="10" customFormat="1" ht="15"/>
    <row r="67" s="10" customFormat="1" ht="15"/>
    <row r="68" s="10" customFormat="1" ht="15"/>
    <row r="69" s="10" customFormat="1" ht="15"/>
    <row r="70" s="10" customFormat="1" ht="15"/>
    <row r="71" s="10" customFormat="1" ht="15"/>
    <row r="72" s="10" customFormat="1" ht="15"/>
    <row r="73" s="10" customFormat="1" ht="15"/>
    <row r="74" s="10" customFormat="1" ht="15"/>
    <row r="75" s="10" customFormat="1" ht="15"/>
    <row r="76" s="10" customFormat="1" ht="15"/>
    <row r="77" s="10" customFormat="1" ht="15"/>
    <row r="78" s="10" customFormat="1" ht="15"/>
    <row r="79" s="10" customFormat="1" ht="15"/>
    <row r="80" s="10" customFormat="1" ht="15"/>
    <row r="81" s="10" customFormat="1" ht="15"/>
    <row r="82" s="10" customFormat="1" ht="15"/>
    <row r="83" s="10" customFormat="1" ht="15"/>
    <row r="84" s="10" customFormat="1" ht="15"/>
    <row r="85" s="10" customFormat="1" ht="15"/>
    <row r="86" s="10" customFormat="1" ht="15"/>
    <row r="87" s="10" customFormat="1" ht="15"/>
    <row r="88" s="10" customFormat="1" ht="15"/>
    <row r="89" s="10" customFormat="1" ht="15"/>
    <row r="90" s="10" customFormat="1" ht="15"/>
    <row r="91" s="10" customFormat="1" ht="15"/>
    <row r="92" s="10" customFormat="1" ht="15"/>
    <row r="93" s="10" customFormat="1" ht="15"/>
    <row r="94" s="10" customFormat="1" ht="15"/>
    <row r="95" s="10" customFormat="1" ht="15"/>
    <row r="96" s="10" customFormat="1" ht="15"/>
    <row r="97" s="10" customFormat="1" ht="15"/>
    <row r="98" s="10" customFormat="1" ht="15"/>
    <row r="99" s="10" customFormat="1" ht="15"/>
    <row r="100" s="10" customFormat="1" ht="15"/>
    <row r="101" s="10" customFormat="1" ht="15"/>
    <row r="102" s="10" customFormat="1" ht="15"/>
    <row r="103" s="10" customFormat="1" ht="15"/>
    <row r="104" s="10" customFormat="1" ht="15"/>
    <row r="105" s="10" customFormat="1" ht="15"/>
    <row r="106" s="10" customFormat="1" ht="15"/>
    <row r="107" s="10" customFormat="1" ht="15"/>
    <row r="108" s="10" customFormat="1" ht="15"/>
    <row r="109" s="10" customFormat="1" ht="15"/>
    <row r="110" s="10" customFormat="1" ht="15"/>
    <row r="111" s="10" customFormat="1" ht="15"/>
    <row r="112" s="10" customFormat="1" ht="15"/>
    <row r="113" s="10" customFormat="1" ht="15"/>
    <row r="114" s="10" customFormat="1" ht="15"/>
    <row r="115" s="10" customFormat="1" ht="15"/>
    <row r="116" s="10" customFormat="1" ht="15"/>
    <row r="117" s="10" customFormat="1" ht="15"/>
    <row r="118" s="10" customFormat="1" ht="15"/>
    <row r="119" s="10" customFormat="1" ht="15"/>
    <row r="120" s="10" customFormat="1" ht="15"/>
    <row r="121" s="10" customFormat="1" ht="15"/>
    <row r="122" s="10" customFormat="1" ht="15"/>
    <row r="123" s="10" customFormat="1" ht="15"/>
    <row r="124" s="10" customFormat="1" ht="15"/>
    <row r="125" s="10" customFormat="1" ht="15"/>
    <row r="126" s="10" customFormat="1" ht="15"/>
    <row r="127" s="10" customFormat="1" ht="15"/>
    <row r="128" s="10" customFormat="1" ht="15"/>
    <row r="129" s="10" customFormat="1" ht="15"/>
    <row r="130" s="10" customFormat="1" ht="15"/>
    <row r="131" s="10" customFormat="1" ht="15"/>
    <row r="132" s="10" customFormat="1" ht="15"/>
    <row r="133" s="10" customFormat="1" ht="15"/>
    <row r="134" s="10" customFormat="1" ht="15"/>
    <row r="135" s="10" customFormat="1" ht="15"/>
    <row r="136" s="10" customFormat="1" ht="15"/>
    <row r="137" s="10" customFormat="1" ht="15"/>
    <row r="138" s="10" customFormat="1" ht="15"/>
    <row r="139" s="10" customFormat="1" ht="15"/>
    <row r="140" s="10" customFormat="1" ht="15"/>
    <row r="141" s="10" customFormat="1" ht="15"/>
    <row r="142" s="10" customFormat="1" ht="15"/>
    <row r="143" s="10" customFormat="1" ht="15"/>
    <row r="144" s="10" customFormat="1" ht="15"/>
    <row r="145" s="10" customFormat="1" ht="15"/>
    <row r="146" s="10" customFormat="1" ht="15"/>
    <row r="147" s="10" customFormat="1" ht="15"/>
    <row r="148" s="10" customFormat="1" ht="15"/>
    <row r="149" s="10" customFormat="1" ht="15"/>
    <row r="150" s="10" customFormat="1" ht="15"/>
    <row r="151" s="10" customFormat="1" ht="15"/>
    <row r="152" s="10" customFormat="1" ht="15"/>
    <row r="153" s="10" customFormat="1" ht="15"/>
    <row r="154" s="10" customFormat="1" ht="15"/>
    <row r="155" s="10" customFormat="1" ht="15"/>
    <row r="156" s="10" customFormat="1" ht="15"/>
    <row r="157" s="10" customFormat="1" ht="15"/>
    <row r="158" s="10" customFormat="1" ht="15"/>
    <row r="159" s="10" customFormat="1" ht="15"/>
    <row r="160" s="10" customFormat="1" ht="15"/>
    <row r="161" s="10" customFormat="1" ht="15"/>
    <row r="162" s="10" customFormat="1" ht="15"/>
    <row r="163" s="10" customFormat="1" ht="15"/>
  </sheetData>
  <mergeCells count="41">
    <mergeCell ref="H27:I27"/>
    <mergeCell ref="U1:V2"/>
    <mergeCell ref="D29:G29"/>
    <mergeCell ref="D30:G30"/>
    <mergeCell ref="D31:G31"/>
    <mergeCell ref="K1:K2"/>
    <mergeCell ref="L1:L2"/>
    <mergeCell ref="M1:M2"/>
    <mergeCell ref="N1:Q1"/>
    <mergeCell ref="F1:F2"/>
    <mergeCell ref="G1:G2"/>
    <mergeCell ref="H1:H2"/>
    <mergeCell ref="I1:I2"/>
    <mergeCell ref="J1:J2"/>
    <mergeCell ref="A27:A28"/>
    <mergeCell ref="B27:B28"/>
    <mergeCell ref="C27:C28"/>
    <mergeCell ref="D27:G28"/>
    <mergeCell ref="D42:G42"/>
    <mergeCell ref="A29:A30"/>
    <mergeCell ref="D43:G43"/>
    <mergeCell ref="D44:G44"/>
    <mergeCell ref="D45:G45"/>
    <mergeCell ref="V3:V16"/>
    <mergeCell ref="J27:N27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A23:Q24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V35"/>
  <sheetViews>
    <sheetView workbookViewId="0">
      <pane ySplit="1" topLeftCell="A2" activePane="bottomLeft" state="frozen"/>
      <selection pane="bottomLeft" activeCell="P38" sqref="P38"/>
    </sheetView>
  </sheetViews>
  <sheetFormatPr defaultRowHeight="12.75"/>
  <cols>
    <col min="1" max="1" width="3.88671875" style="2" bestFit="1" customWidth="1"/>
    <col min="2" max="2" width="8.33203125" style="2" bestFit="1" customWidth="1"/>
    <col min="3" max="5" width="7.21875" style="2" bestFit="1" customWidth="1"/>
    <col min="6" max="7" width="6.44140625" style="2" bestFit="1" customWidth="1"/>
    <col min="8" max="11" width="7.21875" style="2" bestFit="1" customWidth="1"/>
    <col min="12" max="12" width="6.44140625" style="2" bestFit="1" customWidth="1"/>
    <col min="13" max="13" width="8.44140625" style="2" bestFit="1" customWidth="1"/>
    <col min="14" max="14" width="8" style="2" bestFit="1" customWidth="1"/>
    <col min="15" max="16" width="10.21875" style="2" customWidth="1"/>
    <col min="17" max="17" width="11.44140625" style="2" customWidth="1"/>
    <col min="18" max="18" width="9.21875" style="2" bestFit="1" customWidth="1"/>
    <col min="19" max="19" width="8.109375" style="2" customWidth="1"/>
    <col min="20" max="20" width="5.109375" style="2" bestFit="1" customWidth="1"/>
    <col min="21" max="21" width="3.88671875" style="2" bestFit="1" customWidth="1"/>
    <col min="22" max="22" width="6.44140625" style="2" customWidth="1"/>
    <col min="23" max="23" width="2.5546875" style="2" customWidth="1"/>
    <col min="24" max="24" width="7.21875" style="2" bestFit="1" customWidth="1"/>
    <col min="25" max="25" width="4.5546875" style="2" customWidth="1"/>
    <col min="26" max="16384" width="8.88671875" style="2"/>
  </cols>
  <sheetData>
    <row r="1" spans="1:19" ht="13.5" thickBot="1">
      <c r="A1" s="166"/>
      <c r="B1" s="171" t="s">
        <v>4</v>
      </c>
      <c r="C1" s="173" t="s">
        <v>5</v>
      </c>
      <c r="D1" s="171" t="s">
        <v>6</v>
      </c>
      <c r="E1" s="172" t="s">
        <v>7</v>
      </c>
      <c r="F1" s="171" t="s">
        <v>2</v>
      </c>
      <c r="G1" s="173" t="s">
        <v>8</v>
      </c>
      <c r="H1" s="171" t="s">
        <v>9</v>
      </c>
      <c r="I1" s="172" t="s">
        <v>10</v>
      </c>
      <c r="J1" s="171" t="s">
        <v>11</v>
      </c>
      <c r="K1" s="173" t="s">
        <v>12</v>
      </c>
      <c r="L1" s="171" t="s">
        <v>13</v>
      </c>
      <c r="M1" s="172" t="s">
        <v>14</v>
      </c>
      <c r="N1" s="185" t="s">
        <v>29</v>
      </c>
      <c r="O1" s="186" t="s">
        <v>147</v>
      </c>
      <c r="P1" s="186" t="s">
        <v>139</v>
      </c>
      <c r="Q1" s="212" t="s">
        <v>149</v>
      </c>
      <c r="R1" s="186" t="s">
        <v>139</v>
      </c>
    </row>
    <row r="2" spans="1:19">
      <c r="A2" s="7">
        <v>1998</v>
      </c>
      <c r="B2" s="130"/>
      <c r="C2" s="130"/>
      <c r="D2" s="130"/>
      <c r="E2" s="130"/>
      <c r="F2" s="130"/>
      <c r="G2" s="130"/>
      <c r="H2" s="130"/>
      <c r="I2" s="187"/>
      <c r="J2" s="187"/>
      <c r="K2" s="187"/>
      <c r="L2" s="187"/>
      <c r="M2" s="187"/>
      <c r="N2" s="125">
        <f>SUM(I2:M2)</f>
        <v>0</v>
      </c>
      <c r="O2" s="123">
        <f>N2/340.75</f>
        <v>0</v>
      </c>
      <c r="P2" s="194"/>
      <c r="Q2" s="123">
        <f>O2*30%</f>
        <v>0</v>
      </c>
      <c r="R2" s="176">
        <f>P2*30%</f>
        <v>0</v>
      </c>
    </row>
    <row r="3" spans="1:19">
      <c r="A3" s="1">
        <v>1999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25">
        <f>SUM(B3:M3)</f>
        <v>0</v>
      </c>
      <c r="O3" s="123">
        <f>N3/340.75</f>
        <v>0</v>
      </c>
      <c r="P3" s="194"/>
      <c r="Q3" s="123">
        <f t="shared" ref="Q3:R27" si="0">O3*30%</f>
        <v>0</v>
      </c>
      <c r="R3" s="176">
        <f t="shared" si="0"/>
        <v>0</v>
      </c>
    </row>
    <row r="4" spans="1:19">
      <c r="A4" s="1">
        <v>2000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25">
        <f t="shared" ref="N4:N5" si="1">SUM(B4:M4)</f>
        <v>0</v>
      </c>
      <c r="O4" s="123">
        <f t="shared" ref="O4:O5" si="2">N4/340.75</f>
        <v>0</v>
      </c>
      <c r="P4" s="194"/>
      <c r="Q4" s="123">
        <f t="shared" si="0"/>
        <v>0</v>
      </c>
      <c r="R4" s="176">
        <f t="shared" si="0"/>
        <v>0</v>
      </c>
      <c r="S4" s="191"/>
    </row>
    <row r="5" spans="1:19">
      <c r="A5" s="1">
        <v>2001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25">
        <f t="shared" si="1"/>
        <v>0</v>
      </c>
      <c r="O5" s="123">
        <f t="shared" si="2"/>
        <v>0</v>
      </c>
      <c r="P5" s="194"/>
      <c r="Q5" s="123">
        <f t="shared" si="0"/>
        <v>0</v>
      </c>
      <c r="R5" s="176">
        <f t="shared" si="0"/>
        <v>0</v>
      </c>
    </row>
    <row r="6" spans="1:19">
      <c r="A6" s="1">
        <v>2002</v>
      </c>
      <c r="B6" s="198"/>
      <c r="C6" s="198"/>
      <c r="D6" s="196"/>
      <c r="E6" s="198"/>
      <c r="F6" s="198"/>
      <c r="G6" s="198"/>
      <c r="H6" s="198"/>
      <c r="I6" s="198"/>
      <c r="J6" s="198"/>
      <c r="K6" s="198"/>
      <c r="L6" s="198"/>
      <c r="M6" s="196"/>
      <c r="N6" s="130"/>
      <c r="O6" s="179">
        <f>SUM(B6:M6)</f>
        <v>0</v>
      </c>
      <c r="P6" s="195"/>
      <c r="Q6" s="123">
        <f t="shared" si="0"/>
        <v>0</v>
      </c>
      <c r="R6" s="176">
        <f t="shared" si="0"/>
        <v>0</v>
      </c>
    </row>
    <row r="7" spans="1:19">
      <c r="A7" s="1">
        <v>2003</v>
      </c>
      <c r="B7" s="200"/>
      <c r="C7" s="200"/>
      <c r="D7" s="196"/>
      <c r="E7" s="200"/>
      <c r="F7" s="200"/>
      <c r="G7" s="200"/>
      <c r="H7" s="200"/>
      <c r="I7" s="200"/>
      <c r="J7" s="200"/>
      <c r="K7" s="200"/>
      <c r="L7" s="200"/>
      <c r="M7" s="200"/>
      <c r="N7" s="130"/>
      <c r="O7" s="179">
        <f>SUM(B7:M7)</f>
        <v>0</v>
      </c>
      <c r="P7" s="195"/>
      <c r="Q7" s="123">
        <f t="shared" si="0"/>
        <v>0</v>
      </c>
      <c r="R7" s="176">
        <f t="shared" si="0"/>
        <v>0</v>
      </c>
    </row>
    <row r="8" spans="1:19">
      <c r="A8" s="1">
        <v>2004</v>
      </c>
      <c r="B8" s="200"/>
      <c r="C8" s="200"/>
      <c r="D8" s="196"/>
      <c r="E8" s="200"/>
      <c r="F8" s="200"/>
      <c r="G8" s="200"/>
      <c r="H8" s="200"/>
      <c r="I8" s="200"/>
      <c r="J8" s="200"/>
      <c r="K8" s="200"/>
      <c r="L8" s="200"/>
      <c r="M8" s="200"/>
      <c r="N8" s="192"/>
      <c r="O8" s="179">
        <f t="shared" ref="O8:O27" si="3">SUM(B8:M8)</f>
        <v>0</v>
      </c>
      <c r="P8" s="195"/>
      <c r="Q8" s="123">
        <f t="shared" si="0"/>
        <v>0</v>
      </c>
      <c r="R8" s="176">
        <f t="shared" si="0"/>
        <v>0</v>
      </c>
    </row>
    <row r="9" spans="1:19">
      <c r="A9" s="1">
        <v>2005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8"/>
      <c r="O9" s="179">
        <f t="shared" si="3"/>
        <v>0</v>
      </c>
      <c r="P9" s="195"/>
      <c r="Q9" s="123">
        <f t="shared" si="0"/>
        <v>0</v>
      </c>
      <c r="R9" s="176">
        <f t="shared" si="0"/>
        <v>0</v>
      </c>
    </row>
    <row r="10" spans="1:19">
      <c r="A10" s="1">
        <v>2006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8"/>
      <c r="O10" s="179">
        <f t="shared" si="3"/>
        <v>0</v>
      </c>
      <c r="P10" s="195"/>
      <c r="Q10" s="123">
        <f t="shared" si="0"/>
        <v>0</v>
      </c>
      <c r="R10" s="176">
        <f t="shared" si="0"/>
        <v>0</v>
      </c>
    </row>
    <row r="11" spans="1:19">
      <c r="A11" s="1">
        <v>2007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8"/>
      <c r="O11" s="179">
        <f t="shared" si="3"/>
        <v>0</v>
      </c>
      <c r="P11" s="195"/>
      <c r="Q11" s="123">
        <f t="shared" si="0"/>
        <v>0</v>
      </c>
      <c r="R11" s="176">
        <f t="shared" si="0"/>
        <v>0</v>
      </c>
    </row>
    <row r="12" spans="1:19">
      <c r="A12" s="1">
        <v>2008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8"/>
      <c r="O12" s="179">
        <f t="shared" si="3"/>
        <v>0</v>
      </c>
      <c r="P12" s="195"/>
      <c r="Q12" s="123">
        <f t="shared" si="0"/>
        <v>0</v>
      </c>
      <c r="R12" s="176">
        <f t="shared" si="0"/>
        <v>0</v>
      </c>
    </row>
    <row r="13" spans="1:19">
      <c r="A13" s="1">
        <v>2009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8"/>
      <c r="O13" s="179">
        <f t="shared" si="3"/>
        <v>0</v>
      </c>
      <c r="P13" s="195"/>
      <c r="Q13" s="123">
        <f t="shared" si="0"/>
        <v>0</v>
      </c>
      <c r="R13" s="176">
        <f t="shared" si="0"/>
        <v>0</v>
      </c>
    </row>
    <row r="14" spans="1:19">
      <c r="A14" s="1">
        <v>2010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8"/>
      <c r="O14" s="179">
        <f t="shared" si="3"/>
        <v>0</v>
      </c>
      <c r="P14" s="195"/>
      <c r="Q14" s="123">
        <f t="shared" si="0"/>
        <v>0</v>
      </c>
      <c r="R14" s="176">
        <f t="shared" si="0"/>
        <v>0</v>
      </c>
    </row>
    <row r="15" spans="1:19">
      <c r="A15" s="1">
        <v>2011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8"/>
      <c r="O15" s="179">
        <f t="shared" si="3"/>
        <v>0</v>
      </c>
      <c r="P15" s="195"/>
      <c r="Q15" s="123">
        <f t="shared" si="0"/>
        <v>0</v>
      </c>
      <c r="R15" s="176">
        <f t="shared" si="0"/>
        <v>0</v>
      </c>
    </row>
    <row r="16" spans="1:19">
      <c r="A16" s="1">
        <v>2012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8"/>
      <c r="O16" s="179">
        <f t="shared" si="3"/>
        <v>0</v>
      </c>
      <c r="P16" s="195"/>
      <c r="Q16" s="123">
        <f t="shared" si="0"/>
        <v>0</v>
      </c>
      <c r="R16" s="176">
        <f t="shared" si="0"/>
        <v>0</v>
      </c>
    </row>
    <row r="17" spans="1:22">
      <c r="A17" s="1">
        <v>2013</v>
      </c>
      <c r="B17" s="4"/>
      <c r="C17" s="4"/>
      <c r="D17" s="4">
        <v>2</v>
      </c>
      <c r="E17" s="4">
        <v>2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/>
      <c r="L17" s="4"/>
      <c r="M17" s="4">
        <v>1</v>
      </c>
      <c r="N17" s="8"/>
      <c r="O17" s="179">
        <f t="shared" si="3"/>
        <v>10</v>
      </c>
      <c r="P17" s="276">
        <v>21</v>
      </c>
      <c r="Q17" s="123">
        <f t="shared" si="0"/>
        <v>3</v>
      </c>
      <c r="R17" s="125">
        <f t="shared" si="0"/>
        <v>6.3</v>
      </c>
    </row>
    <row r="18" spans="1:22">
      <c r="A18" s="1">
        <v>2014</v>
      </c>
      <c r="B18" s="4">
        <v>1</v>
      </c>
      <c r="C18" s="4">
        <v>1</v>
      </c>
      <c r="D18" s="4">
        <v>1</v>
      </c>
      <c r="E18" s="4">
        <v>1</v>
      </c>
      <c r="F18" s="4"/>
      <c r="G18" s="4">
        <v>1</v>
      </c>
      <c r="H18" s="4">
        <v>1</v>
      </c>
      <c r="I18" s="4">
        <v>2</v>
      </c>
      <c r="J18" s="4">
        <v>1</v>
      </c>
      <c r="K18" s="4">
        <v>1</v>
      </c>
      <c r="L18" s="4">
        <v>1</v>
      </c>
      <c r="M18" s="4">
        <v>1</v>
      </c>
      <c r="N18" s="8"/>
      <c r="O18" s="179">
        <f t="shared" si="3"/>
        <v>12</v>
      </c>
      <c r="P18" s="276">
        <v>23</v>
      </c>
      <c r="Q18" s="123">
        <f t="shared" si="0"/>
        <v>3.5999999999999996</v>
      </c>
      <c r="R18" s="125">
        <f t="shared" si="0"/>
        <v>6.8999999999999995</v>
      </c>
    </row>
    <row r="19" spans="1:22">
      <c r="A19" s="1">
        <v>2015</v>
      </c>
      <c r="B19" s="4">
        <v>1</v>
      </c>
      <c r="C19" s="4">
        <v>1</v>
      </c>
      <c r="D19" s="4">
        <v>0</v>
      </c>
      <c r="E19" s="4">
        <v>0</v>
      </c>
      <c r="F19" s="4">
        <v>1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1</v>
      </c>
      <c r="N19" s="8"/>
      <c r="O19" s="179">
        <f t="shared" si="3"/>
        <v>10</v>
      </c>
      <c r="P19" s="276">
        <v>18</v>
      </c>
      <c r="Q19" s="123">
        <f t="shared" si="0"/>
        <v>3</v>
      </c>
      <c r="R19" s="125">
        <f t="shared" si="0"/>
        <v>5.3999999999999995</v>
      </c>
    </row>
    <row r="20" spans="1:22">
      <c r="A20" s="1">
        <v>2016</v>
      </c>
      <c r="B20" s="4">
        <v>1</v>
      </c>
      <c r="C20" s="4">
        <v>1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4">
        <v>4</v>
      </c>
      <c r="N20" s="8"/>
      <c r="O20" s="179">
        <f t="shared" si="3"/>
        <v>15</v>
      </c>
      <c r="P20" s="276">
        <v>25</v>
      </c>
      <c r="Q20" s="123">
        <f t="shared" si="0"/>
        <v>4.5</v>
      </c>
      <c r="R20" s="125">
        <f t="shared" si="0"/>
        <v>7.5</v>
      </c>
    </row>
    <row r="21" spans="1:22">
      <c r="A21" s="1">
        <v>2017</v>
      </c>
      <c r="B21" s="4">
        <v>2</v>
      </c>
      <c r="C21" s="4">
        <v>1</v>
      </c>
      <c r="D21" s="4">
        <v>2</v>
      </c>
      <c r="E21" s="4">
        <v>3</v>
      </c>
      <c r="F21" s="4">
        <v>1</v>
      </c>
      <c r="G21" s="4">
        <v>3</v>
      </c>
      <c r="H21" s="4">
        <v>1</v>
      </c>
      <c r="I21" s="4">
        <v>1</v>
      </c>
      <c r="J21" s="4">
        <v>6</v>
      </c>
      <c r="K21" s="4">
        <v>1</v>
      </c>
      <c r="L21" s="4">
        <v>1</v>
      </c>
      <c r="M21" s="4">
        <v>2</v>
      </c>
      <c r="N21" s="8"/>
      <c r="O21" s="179">
        <f t="shared" si="3"/>
        <v>24</v>
      </c>
      <c r="P21" s="276">
        <v>38</v>
      </c>
      <c r="Q21" s="123">
        <f t="shared" si="0"/>
        <v>7.1999999999999993</v>
      </c>
      <c r="R21" s="125">
        <f t="shared" si="0"/>
        <v>11.4</v>
      </c>
    </row>
    <row r="22" spans="1:22">
      <c r="A22" s="1">
        <v>2018</v>
      </c>
      <c r="B22" s="4">
        <v>1</v>
      </c>
      <c r="C22" s="4">
        <v>1</v>
      </c>
      <c r="D22" s="4">
        <v>5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4</v>
      </c>
      <c r="L22" s="4">
        <v>1</v>
      </c>
      <c r="M22" s="4">
        <v>2</v>
      </c>
      <c r="N22" s="8"/>
      <c r="O22" s="179">
        <f t="shared" si="3"/>
        <v>20</v>
      </c>
      <c r="P22" s="276">
        <v>29</v>
      </c>
      <c r="Q22" s="123">
        <f t="shared" si="0"/>
        <v>6</v>
      </c>
      <c r="R22" s="125">
        <f t="shared" si="0"/>
        <v>8.6999999999999993</v>
      </c>
    </row>
    <row r="23" spans="1:22">
      <c r="A23" s="1">
        <v>2019</v>
      </c>
      <c r="B23" s="4">
        <v>0</v>
      </c>
      <c r="C23" s="4">
        <v>9</v>
      </c>
      <c r="D23" s="4">
        <v>2</v>
      </c>
      <c r="E23" s="4">
        <v>3</v>
      </c>
      <c r="F23" s="4">
        <v>3</v>
      </c>
      <c r="G23" s="4">
        <v>2</v>
      </c>
      <c r="H23" s="4">
        <v>2</v>
      </c>
      <c r="I23" s="4">
        <v>1</v>
      </c>
      <c r="J23" s="4">
        <v>2</v>
      </c>
      <c r="K23" s="4">
        <v>1</v>
      </c>
      <c r="L23" s="4">
        <v>1</v>
      </c>
      <c r="M23" s="4">
        <v>0</v>
      </c>
      <c r="N23" s="8"/>
      <c r="O23" s="179">
        <f t="shared" si="3"/>
        <v>26</v>
      </c>
      <c r="P23" s="276">
        <v>36</v>
      </c>
      <c r="Q23" s="123">
        <f t="shared" si="0"/>
        <v>7.8</v>
      </c>
      <c r="R23" s="125">
        <f t="shared" si="0"/>
        <v>10.799999999999999</v>
      </c>
    </row>
    <row r="24" spans="1:22">
      <c r="A24" s="1">
        <v>2020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8"/>
      <c r="O24" s="179">
        <f t="shared" si="3"/>
        <v>0</v>
      </c>
      <c r="P24" s="279"/>
      <c r="Q24" s="123">
        <f t="shared" si="0"/>
        <v>0</v>
      </c>
      <c r="R24" s="297">
        <f t="shared" si="0"/>
        <v>0</v>
      </c>
    </row>
    <row r="25" spans="1:22">
      <c r="A25" s="1">
        <v>2021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8"/>
      <c r="O25" s="179"/>
      <c r="P25" s="279"/>
      <c r="Q25" s="123"/>
      <c r="R25" s="297"/>
    </row>
    <row r="26" spans="1:22">
      <c r="A26" s="1">
        <v>2022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8"/>
      <c r="O26" s="179"/>
      <c r="P26" s="279"/>
      <c r="Q26" s="123"/>
      <c r="R26" s="297"/>
    </row>
    <row r="27" spans="1:22">
      <c r="A27" s="1">
        <v>2023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8"/>
      <c r="O27" s="179">
        <f t="shared" si="3"/>
        <v>0</v>
      </c>
      <c r="P27" s="279"/>
      <c r="Q27" s="123">
        <f t="shared" si="0"/>
        <v>0</v>
      </c>
      <c r="R27" s="297">
        <f t="shared" si="0"/>
        <v>0</v>
      </c>
    </row>
    <row r="28" spans="1:2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4">
        <f>SUM(O2:O27)</f>
        <v>117</v>
      </c>
      <c r="P28" s="189">
        <f>SUM(P2:P27)</f>
        <v>190</v>
      </c>
      <c r="Q28" s="4">
        <f t="shared" ref="Q28:R28" si="4">SUM(Q2:Q27)</f>
        <v>35.099999999999994</v>
      </c>
      <c r="R28" s="189">
        <f t="shared" si="4"/>
        <v>57</v>
      </c>
    </row>
    <row r="29" spans="1:22">
      <c r="Q29" s="197">
        <v>299</v>
      </c>
      <c r="S29" s="269">
        <v>45324</v>
      </c>
    </row>
    <row r="30" spans="1:22">
      <c r="S30" s="266" t="s">
        <v>184</v>
      </c>
      <c r="V30" s="6"/>
    </row>
    <row r="31" spans="1:22"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</row>
    <row r="32" spans="1:22"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</row>
    <row r="33" spans="1:18">
      <c r="A33" s="538" t="s">
        <v>166</v>
      </c>
      <c r="B33" s="538"/>
      <c r="C33" s="538"/>
      <c r="D33" s="538"/>
      <c r="E33" s="538"/>
      <c r="F33" s="538"/>
      <c r="G33" s="538"/>
      <c r="H33" s="538"/>
      <c r="I33" s="538"/>
      <c r="J33" s="538"/>
      <c r="K33" s="538"/>
      <c r="L33" s="538"/>
      <c r="M33" s="538"/>
      <c r="N33" s="538"/>
      <c r="O33" s="538"/>
      <c r="P33" s="538"/>
      <c r="Q33" s="538"/>
      <c r="R33" s="538"/>
    </row>
    <row r="34" spans="1:18">
      <c r="R34" s="193" t="s">
        <v>148</v>
      </c>
    </row>
    <row r="35" spans="1:18">
      <c r="A35" s="538" t="s">
        <v>167</v>
      </c>
      <c r="B35" s="538"/>
      <c r="C35" s="538"/>
      <c r="D35" s="538"/>
      <c r="E35" s="538"/>
      <c r="F35" s="538"/>
      <c r="G35" s="538"/>
      <c r="H35" s="538"/>
      <c r="I35" s="538"/>
      <c r="J35" s="538"/>
      <c r="K35" s="538"/>
      <c r="L35" s="538"/>
      <c r="M35" s="538"/>
      <c r="N35" s="538"/>
      <c r="O35" s="538"/>
      <c r="P35" s="538"/>
      <c r="Q35" s="538"/>
      <c r="R35" s="538"/>
    </row>
  </sheetData>
  <mergeCells count="2">
    <mergeCell ref="A33:R33"/>
    <mergeCell ref="A35:R3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4"/>
  <sheetViews>
    <sheetView workbookViewId="0">
      <selection activeCell="R27" sqref="R27:R31"/>
    </sheetView>
  </sheetViews>
  <sheetFormatPr defaultRowHeight="15"/>
  <cols>
    <col min="1" max="1" width="5" style="10" bestFit="1" customWidth="1"/>
    <col min="2" max="2" width="7" style="10" bestFit="1" customWidth="1"/>
    <col min="3" max="3" width="6.5546875" style="10" bestFit="1" customWidth="1"/>
    <col min="4" max="6" width="3.88671875" style="10" bestFit="1" customWidth="1"/>
    <col min="7" max="7" width="7" style="10" bestFit="1" customWidth="1"/>
    <col min="8" max="8" width="8.33203125" style="10" bestFit="1" customWidth="1"/>
    <col min="9" max="9" width="8.5546875" style="10" bestFit="1" customWidth="1"/>
    <col min="10" max="10" width="10.44140625" style="10" bestFit="1" customWidth="1"/>
    <col min="11" max="11" width="9" style="10" bestFit="1" customWidth="1"/>
    <col min="12" max="12" width="10" style="10" customWidth="1"/>
    <col min="13" max="13" width="9" style="10" bestFit="1" customWidth="1"/>
    <col min="14" max="14" width="11.44140625" style="10" bestFit="1" customWidth="1"/>
    <col min="15" max="15" width="7.21875" style="10" bestFit="1" customWidth="1"/>
    <col min="16" max="16" width="3.21875" style="10" bestFit="1" customWidth="1"/>
    <col min="17" max="17" width="12.5546875" style="10" customWidth="1"/>
    <col min="18" max="18" width="9.5546875" style="10" customWidth="1"/>
    <col min="19" max="19" width="11.44140625" style="10" bestFit="1" customWidth="1"/>
    <col min="20" max="16384" width="8.88671875" style="10"/>
  </cols>
  <sheetData>
    <row r="1" spans="1:18" ht="12.75" customHeight="1">
      <c r="A1" s="66"/>
      <c r="B1" s="37" t="s">
        <v>4</v>
      </c>
      <c r="C1" s="36" t="s">
        <v>5</v>
      </c>
      <c r="D1" s="37" t="s">
        <v>6</v>
      </c>
      <c r="E1" s="35" t="s">
        <v>7</v>
      </c>
      <c r="F1" s="37" t="s">
        <v>2</v>
      </c>
      <c r="G1" s="36" t="s">
        <v>8</v>
      </c>
      <c r="H1" s="37" t="s">
        <v>9</v>
      </c>
      <c r="I1" s="35" t="s">
        <v>10</v>
      </c>
      <c r="J1" s="37" t="s">
        <v>11</v>
      </c>
      <c r="K1" s="36" t="s">
        <v>12</v>
      </c>
      <c r="L1" s="37" t="s">
        <v>13</v>
      </c>
      <c r="M1" s="35" t="s">
        <v>14</v>
      </c>
      <c r="N1" s="34" t="s">
        <v>3</v>
      </c>
      <c r="Q1" s="362" t="s">
        <v>71</v>
      </c>
      <c r="R1" s="362"/>
    </row>
    <row r="2" spans="1:18">
      <c r="A2" s="11">
        <v>1998</v>
      </c>
      <c r="B2" s="12"/>
      <c r="C2" s="12"/>
      <c r="D2" s="12"/>
      <c r="E2" s="12"/>
      <c r="F2" s="12"/>
      <c r="G2" s="12"/>
      <c r="H2" s="12"/>
      <c r="I2" s="38">
        <v>82.18</v>
      </c>
      <c r="J2" s="38"/>
      <c r="K2" s="38"/>
      <c r="L2" s="38">
        <v>15.26</v>
      </c>
      <c r="M2" s="38"/>
      <c r="N2" s="38">
        <f t="shared" ref="N2:N17" si="0">SUM(B2:M2)</f>
        <v>97.440000000000012</v>
      </c>
      <c r="Q2" s="77"/>
      <c r="R2" s="77"/>
    </row>
    <row r="3" spans="1:18">
      <c r="A3" s="13">
        <v>1999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9">
        <f t="shared" si="0"/>
        <v>0</v>
      </c>
      <c r="O3" s="16"/>
      <c r="Q3" s="77">
        <v>569.16999999999996</v>
      </c>
      <c r="R3" s="77"/>
    </row>
    <row r="4" spans="1:18">
      <c r="A4" s="13">
        <v>2000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9">
        <f t="shared" si="0"/>
        <v>0</v>
      </c>
      <c r="O4" s="16"/>
      <c r="Q4" s="77">
        <v>2.3199999999999998</v>
      </c>
      <c r="R4" s="77"/>
    </row>
    <row r="5" spans="1:18">
      <c r="A5" s="13">
        <v>2001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9">
        <f t="shared" si="0"/>
        <v>0</v>
      </c>
      <c r="O5" s="16"/>
      <c r="Q5" s="77">
        <v>3.05</v>
      </c>
      <c r="R5" s="77">
        <v>303.17</v>
      </c>
    </row>
    <row r="6" spans="1:18">
      <c r="A6" s="13">
        <v>2002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9">
        <f t="shared" si="0"/>
        <v>0</v>
      </c>
      <c r="O6" s="16"/>
      <c r="Q6" s="77">
        <v>175</v>
      </c>
      <c r="R6" s="77"/>
    </row>
    <row r="7" spans="1:18">
      <c r="A7" s="13">
        <v>2003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>
        <f t="shared" si="0"/>
        <v>0</v>
      </c>
      <c r="O7" s="16"/>
      <c r="Q7" s="77">
        <v>988.62</v>
      </c>
      <c r="R7" s="77"/>
    </row>
    <row r="8" spans="1:18">
      <c r="A8" s="13">
        <v>2004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>
        <f t="shared" si="0"/>
        <v>0</v>
      </c>
      <c r="O8" s="16"/>
      <c r="Q8" s="77">
        <v>820.34</v>
      </c>
      <c r="R8" s="77"/>
    </row>
    <row r="9" spans="1:18">
      <c r="A9" s="13">
        <v>2005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9">
        <f t="shared" si="0"/>
        <v>0</v>
      </c>
      <c r="O9" s="16"/>
      <c r="Q9" s="77">
        <v>1132.03</v>
      </c>
      <c r="R9" s="77"/>
    </row>
    <row r="10" spans="1:18">
      <c r="A10" s="13">
        <v>2006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9">
        <f t="shared" si="0"/>
        <v>0</v>
      </c>
      <c r="O10" s="16"/>
      <c r="Q10" s="77">
        <v>2330.94</v>
      </c>
      <c r="R10" s="77"/>
    </row>
    <row r="11" spans="1:18">
      <c r="A11" s="13">
        <v>2007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9">
        <f t="shared" si="0"/>
        <v>0</v>
      </c>
      <c r="O11" s="16"/>
      <c r="Q11" s="78">
        <v>1740.11</v>
      </c>
      <c r="R11" s="78"/>
    </row>
    <row r="12" spans="1:18">
      <c r="A12" s="13">
        <v>2008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9">
        <f t="shared" si="0"/>
        <v>0</v>
      </c>
      <c r="O12" s="16"/>
      <c r="Q12" s="78">
        <v>1743.05</v>
      </c>
      <c r="R12" s="78"/>
    </row>
    <row r="13" spans="1:18">
      <c r="A13" s="13">
        <v>2009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9">
        <f t="shared" si="0"/>
        <v>0</v>
      </c>
      <c r="O13" s="16"/>
      <c r="Q13" s="78">
        <v>230.27</v>
      </c>
      <c r="R13" s="78"/>
    </row>
    <row r="14" spans="1:18">
      <c r="A14" s="13">
        <v>2010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9">
        <f t="shared" si="0"/>
        <v>0</v>
      </c>
      <c r="O14" s="16"/>
      <c r="Q14" s="78">
        <v>195</v>
      </c>
      <c r="R14" s="78"/>
    </row>
    <row r="15" spans="1:18">
      <c r="A15" s="13">
        <v>2011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9">
        <f t="shared" si="0"/>
        <v>0</v>
      </c>
      <c r="O15" s="16"/>
      <c r="Q15" s="78">
        <v>520</v>
      </c>
      <c r="R15" s="78"/>
    </row>
    <row r="16" spans="1:18">
      <c r="A16" s="13">
        <v>2012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9">
        <f t="shared" si="0"/>
        <v>0</v>
      </c>
      <c r="O16" s="16"/>
    </row>
    <row r="17" spans="1:19" ht="15.75">
      <c r="A17" s="13">
        <v>2013</v>
      </c>
      <c r="B17" s="17"/>
      <c r="C17" s="17"/>
      <c r="D17" s="17"/>
      <c r="E17" s="17"/>
      <c r="F17" s="17"/>
      <c r="G17" s="14"/>
      <c r="H17" s="14"/>
      <c r="I17" s="14"/>
      <c r="J17" s="14"/>
      <c r="K17" s="14"/>
      <c r="L17" s="14"/>
      <c r="M17" s="14"/>
      <c r="N17" s="19">
        <f t="shared" si="0"/>
        <v>0</v>
      </c>
      <c r="O17" s="15" t="s">
        <v>1</v>
      </c>
      <c r="P17" s="15" t="s">
        <v>2</v>
      </c>
    </row>
    <row r="18" spans="1:19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25">
        <f>SUM(N2:N17)</f>
        <v>97.440000000000012</v>
      </c>
    </row>
    <row r="19" spans="1:19">
      <c r="N19" s="16">
        <v>10753.07</v>
      </c>
    </row>
    <row r="21" spans="1:19" ht="15.75" customHeight="1">
      <c r="A21" s="426" t="s">
        <v>41</v>
      </c>
      <c r="B21" s="426"/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</row>
    <row r="22" spans="1:19">
      <c r="A22" s="426"/>
      <c r="B22" s="426"/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Q22" s="20"/>
      <c r="R22" s="20"/>
      <c r="S22" s="20"/>
    </row>
    <row r="24" spans="1:19">
      <c r="A24"/>
    </row>
    <row r="25" spans="1:19">
      <c r="B25"/>
    </row>
    <row r="27" spans="1:19">
      <c r="A27" s="427" t="s">
        <v>18</v>
      </c>
      <c r="B27" s="429" t="s">
        <v>20</v>
      </c>
      <c r="C27" s="431" t="s">
        <v>22</v>
      </c>
      <c r="D27" s="433" t="s">
        <v>21</v>
      </c>
      <c r="E27" s="434"/>
      <c r="F27" s="434"/>
      <c r="G27" s="435"/>
      <c r="H27" s="425" t="s">
        <v>23</v>
      </c>
      <c r="I27" s="468" t="s">
        <v>39</v>
      </c>
      <c r="J27" s="469"/>
      <c r="K27" s="469"/>
      <c r="L27" s="470"/>
    </row>
    <row r="28" spans="1:19">
      <c r="A28" s="428"/>
      <c r="B28" s="430"/>
      <c r="C28" s="432"/>
      <c r="D28" s="436"/>
      <c r="E28" s="437"/>
      <c r="F28" s="437"/>
      <c r="G28" s="438"/>
      <c r="H28" s="425"/>
      <c r="I28" s="79">
        <v>1.2999999999999999E-2</v>
      </c>
      <c r="J28" s="72">
        <v>6.4999999999999997E-3</v>
      </c>
      <c r="K28" s="73">
        <v>1.25E-3</v>
      </c>
      <c r="L28" s="71" t="s">
        <v>29</v>
      </c>
      <c r="R28" s="55"/>
    </row>
    <row r="29" spans="1:19">
      <c r="A29" s="13">
        <v>1998</v>
      </c>
      <c r="B29" s="47">
        <v>44071</v>
      </c>
      <c r="C29" s="64">
        <v>3</v>
      </c>
      <c r="D29" s="422" t="s">
        <v>92</v>
      </c>
      <c r="E29" s="423"/>
      <c r="F29" s="423"/>
      <c r="G29" s="424"/>
      <c r="H29" s="58">
        <v>2250000</v>
      </c>
      <c r="I29" s="124"/>
      <c r="J29" s="65">
        <v>41.86</v>
      </c>
      <c r="K29" s="65">
        <v>8.26</v>
      </c>
      <c r="L29" s="65">
        <f>J29+K29</f>
        <v>50.12</v>
      </c>
      <c r="N29" s="20"/>
      <c r="R29" s="16"/>
    </row>
    <row r="30" spans="1:19">
      <c r="A30" s="13"/>
      <c r="B30" s="47"/>
      <c r="C30" s="64"/>
      <c r="D30" s="422"/>
      <c r="E30" s="423"/>
      <c r="F30" s="423"/>
      <c r="G30" s="424"/>
      <c r="H30" s="50"/>
      <c r="I30" s="21"/>
      <c r="J30" s="33"/>
      <c r="K30" s="33"/>
      <c r="L30" s="65">
        <f t="shared" ref="L30:L44" si="1">J30+K30</f>
        <v>0</v>
      </c>
    </row>
    <row r="31" spans="1:19">
      <c r="A31" s="13"/>
      <c r="B31" s="47"/>
      <c r="C31" s="64"/>
      <c r="D31" s="422"/>
      <c r="E31" s="423"/>
      <c r="F31" s="423"/>
      <c r="G31" s="424"/>
      <c r="H31" s="51"/>
      <c r="I31" s="21"/>
      <c r="J31" s="33"/>
      <c r="K31" s="33"/>
      <c r="L31" s="65">
        <f t="shared" si="1"/>
        <v>0</v>
      </c>
    </row>
    <row r="32" spans="1:19">
      <c r="A32" s="13"/>
      <c r="B32" s="47"/>
      <c r="C32" s="64"/>
      <c r="D32" s="422"/>
      <c r="E32" s="423"/>
      <c r="F32" s="423"/>
      <c r="G32" s="424"/>
      <c r="H32" s="51"/>
      <c r="I32" s="21"/>
      <c r="J32" s="33"/>
      <c r="K32" s="33"/>
      <c r="L32" s="65">
        <f t="shared" si="1"/>
        <v>0</v>
      </c>
    </row>
    <row r="33" spans="1:12">
      <c r="A33" s="13"/>
      <c r="B33" s="47"/>
      <c r="C33" s="64"/>
      <c r="D33" s="422"/>
      <c r="E33" s="423"/>
      <c r="F33" s="423"/>
      <c r="G33" s="424"/>
      <c r="H33" s="51"/>
      <c r="I33" s="21"/>
      <c r="J33" s="33"/>
      <c r="K33" s="33"/>
      <c r="L33" s="65">
        <f t="shared" si="1"/>
        <v>0</v>
      </c>
    </row>
    <row r="34" spans="1:12">
      <c r="A34" s="13"/>
      <c r="B34" s="47"/>
      <c r="C34" s="64"/>
      <c r="D34" s="422"/>
      <c r="E34" s="423"/>
      <c r="F34" s="423"/>
      <c r="G34" s="424"/>
      <c r="H34" s="51"/>
      <c r="I34" s="21"/>
      <c r="J34" s="33"/>
      <c r="K34" s="33"/>
      <c r="L34" s="65">
        <f t="shared" si="1"/>
        <v>0</v>
      </c>
    </row>
    <row r="35" spans="1:12">
      <c r="A35" s="13"/>
      <c r="B35" s="47"/>
      <c r="C35" s="64"/>
      <c r="D35" s="422"/>
      <c r="E35" s="423"/>
      <c r="F35" s="423"/>
      <c r="G35" s="424"/>
      <c r="H35" s="51"/>
      <c r="I35" s="21"/>
      <c r="J35" s="33"/>
      <c r="K35" s="33"/>
      <c r="L35" s="65">
        <f t="shared" si="1"/>
        <v>0</v>
      </c>
    </row>
    <row r="36" spans="1:12">
      <c r="A36" s="13"/>
      <c r="B36" s="47"/>
      <c r="C36" s="64"/>
      <c r="D36" s="422"/>
      <c r="E36" s="423"/>
      <c r="F36" s="423"/>
      <c r="G36" s="424"/>
      <c r="H36" s="51"/>
      <c r="I36" s="33"/>
      <c r="J36" s="33"/>
      <c r="K36" s="33"/>
      <c r="L36" s="65">
        <f t="shared" si="1"/>
        <v>0</v>
      </c>
    </row>
    <row r="37" spans="1:12">
      <c r="A37" s="13"/>
      <c r="B37" s="47"/>
      <c r="C37" s="64"/>
      <c r="D37" s="422"/>
      <c r="E37" s="423"/>
      <c r="F37" s="423"/>
      <c r="G37" s="424"/>
      <c r="H37" s="51"/>
      <c r="I37" s="33"/>
      <c r="J37" s="33"/>
      <c r="K37" s="33"/>
      <c r="L37" s="65">
        <f t="shared" si="1"/>
        <v>0</v>
      </c>
    </row>
    <row r="38" spans="1:12">
      <c r="A38" s="13"/>
      <c r="B38" s="47"/>
      <c r="C38" s="64"/>
      <c r="D38" s="422"/>
      <c r="E38" s="423"/>
      <c r="F38" s="423"/>
      <c r="G38" s="424"/>
      <c r="H38" s="51"/>
      <c r="I38" s="33"/>
      <c r="J38" s="33"/>
      <c r="K38" s="33"/>
      <c r="L38" s="65">
        <f t="shared" si="1"/>
        <v>0</v>
      </c>
    </row>
    <row r="39" spans="1:12">
      <c r="A39" s="13"/>
      <c r="B39" s="47"/>
      <c r="C39" s="64"/>
      <c r="D39" s="422"/>
      <c r="E39" s="423"/>
      <c r="F39" s="423"/>
      <c r="G39" s="424"/>
      <c r="H39" s="51"/>
      <c r="I39" s="33"/>
      <c r="J39" s="33"/>
      <c r="K39" s="33"/>
      <c r="L39" s="65">
        <f t="shared" si="1"/>
        <v>0</v>
      </c>
    </row>
    <row r="40" spans="1:12">
      <c r="A40" s="13"/>
      <c r="B40" s="47"/>
      <c r="C40" s="64"/>
      <c r="D40" s="422"/>
      <c r="E40" s="423"/>
      <c r="F40" s="423"/>
      <c r="G40" s="424"/>
      <c r="H40" s="51"/>
      <c r="I40" s="33"/>
      <c r="J40" s="33"/>
      <c r="K40" s="33"/>
      <c r="L40" s="65">
        <f t="shared" si="1"/>
        <v>0</v>
      </c>
    </row>
    <row r="41" spans="1:12">
      <c r="A41" s="13"/>
      <c r="B41" s="47"/>
      <c r="C41" s="64"/>
      <c r="D41" s="422"/>
      <c r="E41" s="423"/>
      <c r="F41" s="423"/>
      <c r="G41" s="424"/>
      <c r="H41" s="51"/>
      <c r="I41" s="33"/>
      <c r="J41" s="33"/>
      <c r="K41" s="33"/>
      <c r="L41" s="65">
        <f t="shared" si="1"/>
        <v>0</v>
      </c>
    </row>
    <row r="42" spans="1:12">
      <c r="A42" s="13"/>
      <c r="B42" s="47"/>
      <c r="C42" s="64"/>
      <c r="D42" s="422"/>
      <c r="E42" s="423"/>
      <c r="F42" s="423"/>
      <c r="G42" s="424"/>
      <c r="H42" s="51"/>
      <c r="I42" s="33"/>
      <c r="J42" s="33"/>
      <c r="K42" s="33"/>
      <c r="L42" s="65">
        <f t="shared" si="1"/>
        <v>0</v>
      </c>
    </row>
    <row r="43" spans="1:12">
      <c r="A43" s="13"/>
      <c r="B43" s="47"/>
      <c r="C43" s="64"/>
      <c r="D43" s="422"/>
      <c r="E43" s="423"/>
      <c r="F43" s="423"/>
      <c r="G43" s="424"/>
      <c r="H43" s="51"/>
      <c r="I43" s="33"/>
      <c r="J43" s="33"/>
      <c r="K43" s="33"/>
      <c r="L43" s="65">
        <f t="shared" si="1"/>
        <v>0</v>
      </c>
    </row>
    <row r="44" spans="1:12">
      <c r="A44" s="13"/>
      <c r="B44" s="47"/>
      <c r="C44" s="46"/>
      <c r="D44" s="422"/>
      <c r="E44" s="423"/>
      <c r="F44" s="423"/>
      <c r="G44" s="424"/>
      <c r="H44" s="13"/>
      <c r="I44" s="33"/>
      <c r="J44" s="33"/>
      <c r="K44" s="33"/>
      <c r="L44" s="65">
        <f t="shared" si="1"/>
        <v>0</v>
      </c>
    </row>
  </sheetData>
  <mergeCells count="24">
    <mergeCell ref="Q1:R1"/>
    <mergeCell ref="D35:G35"/>
    <mergeCell ref="D36:G36"/>
    <mergeCell ref="D37:G37"/>
    <mergeCell ref="D38:G38"/>
    <mergeCell ref="D29:G29"/>
    <mergeCell ref="D30:G30"/>
    <mergeCell ref="D31:G31"/>
    <mergeCell ref="D32:G32"/>
    <mergeCell ref="D33:G33"/>
    <mergeCell ref="D34:G34"/>
    <mergeCell ref="A21:N22"/>
    <mergeCell ref="A27:A28"/>
    <mergeCell ref="B27:B28"/>
    <mergeCell ref="C27:C28"/>
    <mergeCell ref="D27:G28"/>
    <mergeCell ref="D41:G41"/>
    <mergeCell ref="D42:G42"/>
    <mergeCell ref="D43:G43"/>
    <mergeCell ref="D44:G44"/>
    <mergeCell ref="I27:L27"/>
    <mergeCell ref="D39:G39"/>
    <mergeCell ref="D40:G40"/>
    <mergeCell ref="H27:H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43"/>
  <sheetViews>
    <sheetView workbookViewId="0">
      <selection activeCell="O31" sqref="O31"/>
    </sheetView>
  </sheetViews>
  <sheetFormatPr defaultRowHeight="12.75"/>
  <cols>
    <col min="1" max="1" width="5" style="2" bestFit="1" customWidth="1"/>
    <col min="2" max="2" width="7" style="2" bestFit="1" customWidth="1"/>
    <col min="3" max="3" width="8" style="2" bestFit="1" customWidth="1"/>
    <col min="4" max="5" width="3.88671875" style="2" bestFit="1" customWidth="1"/>
    <col min="6" max="7" width="8" style="2" bestFit="1" customWidth="1"/>
    <col min="8" max="10" width="9" style="2" bestFit="1" customWidth="1"/>
    <col min="11" max="11" width="8" style="2" bestFit="1" customWidth="1"/>
    <col min="12" max="13" width="9" style="2" bestFit="1" customWidth="1"/>
    <col min="14" max="14" width="8.88671875" style="2"/>
    <col min="15" max="15" width="6.44140625" style="2" bestFit="1" customWidth="1"/>
    <col min="16" max="16" width="7.21875" style="2" bestFit="1" customWidth="1"/>
    <col min="17" max="18" width="5.109375" style="2" customWidth="1"/>
    <col min="19" max="19" width="8.88671875" style="2"/>
    <col min="20" max="20" width="8.88671875" style="2" customWidth="1"/>
    <col min="21" max="21" width="5.21875" style="2" bestFit="1" customWidth="1"/>
    <col min="22" max="22" width="9.33203125" style="2" customWidth="1"/>
    <col min="23" max="23" width="5.44140625" style="2" bestFit="1" customWidth="1"/>
    <col min="24" max="24" width="10.88671875" style="2" customWidth="1"/>
    <col min="25" max="25" width="8.88671875" style="2"/>
    <col min="26" max="26" width="9" style="2" bestFit="1" customWidth="1"/>
    <col min="27" max="16384" width="8.88671875" style="2"/>
  </cols>
  <sheetData>
    <row r="1" spans="1:27" ht="15">
      <c r="A1" s="442" t="s">
        <v>18</v>
      </c>
      <c r="B1" s="444" t="s">
        <v>4</v>
      </c>
      <c r="C1" s="366" t="s">
        <v>5</v>
      </c>
      <c r="D1" s="446" t="s">
        <v>6</v>
      </c>
      <c r="E1" s="366" t="s">
        <v>7</v>
      </c>
      <c r="F1" s="444" t="s">
        <v>2</v>
      </c>
      <c r="G1" s="366" t="s">
        <v>8</v>
      </c>
      <c r="H1" s="463" t="s">
        <v>9</v>
      </c>
      <c r="I1" s="366" t="s">
        <v>10</v>
      </c>
      <c r="J1" s="444" t="s">
        <v>11</v>
      </c>
      <c r="K1" s="366" t="s">
        <v>12</v>
      </c>
      <c r="L1" s="463" t="s">
        <v>13</v>
      </c>
      <c r="M1" s="465" t="s">
        <v>14</v>
      </c>
      <c r="N1" s="467" t="s">
        <v>16</v>
      </c>
      <c r="O1" s="467"/>
      <c r="P1" s="467"/>
      <c r="T1" s="362" t="s">
        <v>71</v>
      </c>
      <c r="U1" s="362"/>
      <c r="V1" s="362"/>
      <c r="W1" s="362"/>
      <c r="X1" s="362"/>
      <c r="Y1" s="362"/>
      <c r="Z1" s="90"/>
      <c r="AA1" s="90"/>
    </row>
    <row r="2" spans="1:27" ht="15.75" customHeight="1" thickBot="1">
      <c r="A2" s="443"/>
      <c r="B2" s="445"/>
      <c r="C2" s="368"/>
      <c r="D2" s="447"/>
      <c r="E2" s="368"/>
      <c r="F2" s="445"/>
      <c r="G2" s="368"/>
      <c r="H2" s="464"/>
      <c r="I2" s="368"/>
      <c r="J2" s="445"/>
      <c r="K2" s="368"/>
      <c r="L2" s="464"/>
      <c r="M2" s="466"/>
      <c r="N2" s="87" t="s">
        <v>27</v>
      </c>
      <c r="O2" s="87" t="s">
        <v>50</v>
      </c>
      <c r="P2" s="88" t="s">
        <v>34</v>
      </c>
      <c r="T2" s="362"/>
      <c r="U2" s="362"/>
      <c r="V2" s="362"/>
      <c r="W2" s="362"/>
      <c r="X2" s="362"/>
      <c r="Y2" s="362"/>
      <c r="Z2" s="90"/>
      <c r="AA2" s="90"/>
    </row>
    <row r="3" spans="1:27" ht="12.75" customHeight="1">
      <c r="A3" s="7">
        <v>1998</v>
      </c>
      <c r="B3" s="9"/>
      <c r="C3" s="9"/>
      <c r="D3" s="9"/>
      <c r="E3" s="9"/>
      <c r="F3" s="9"/>
      <c r="G3" s="9"/>
      <c r="H3" s="9"/>
      <c r="I3" s="125">
        <v>5</v>
      </c>
      <c r="J3" s="125">
        <v>27</v>
      </c>
      <c r="K3" s="125">
        <v>23</v>
      </c>
      <c r="L3" s="125">
        <v>19</v>
      </c>
      <c r="M3" s="125">
        <v>56</v>
      </c>
      <c r="N3" s="123">
        <f>F28</f>
        <v>34.335899999999995</v>
      </c>
      <c r="O3" s="123">
        <f>G28</f>
        <v>22.890599999999999</v>
      </c>
      <c r="P3" s="123">
        <f>H28</f>
        <v>324.2835</v>
      </c>
      <c r="T3" s="77">
        <v>32.71</v>
      </c>
      <c r="U3" s="451" t="s">
        <v>44</v>
      </c>
      <c r="V3" s="6">
        <v>15.663</v>
      </c>
      <c r="W3" s="451" t="s">
        <v>61</v>
      </c>
      <c r="X3" s="4">
        <v>313.26</v>
      </c>
      <c r="Y3" s="451" t="s">
        <v>46</v>
      </c>
    </row>
    <row r="4" spans="1:27">
      <c r="A4" s="1">
        <v>1999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59">
        <f t="shared" ref="N4:P18" si="0">F29</f>
        <v>0</v>
      </c>
      <c r="O4" s="59">
        <f t="shared" si="0"/>
        <v>0</v>
      </c>
      <c r="P4" s="59">
        <f t="shared" si="0"/>
        <v>0</v>
      </c>
      <c r="T4" s="77">
        <v>82.62</v>
      </c>
      <c r="U4" s="451"/>
      <c r="V4" s="6">
        <v>39.5625</v>
      </c>
      <c r="W4" s="451"/>
      <c r="X4" s="4">
        <v>791.25</v>
      </c>
      <c r="Y4" s="451"/>
    </row>
    <row r="5" spans="1:27">
      <c r="A5" s="1">
        <v>2000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59">
        <f t="shared" si="0"/>
        <v>0</v>
      </c>
      <c r="O5" s="59">
        <f t="shared" si="0"/>
        <v>0</v>
      </c>
      <c r="P5" s="59">
        <f t="shared" si="0"/>
        <v>0</v>
      </c>
      <c r="T5" s="77">
        <v>65.12</v>
      </c>
      <c r="U5" s="451"/>
      <c r="V5" s="6">
        <v>31.182500000000001</v>
      </c>
      <c r="W5" s="451"/>
      <c r="X5" s="4">
        <v>623.65</v>
      </c>
      <c r="Y5" s="451"/>
    </row>
    <row r="6" spans="1:27">
      <c r="A6" s="1">
        <v>2001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59">
        <f t="shared" si="0"/>
        <v>0</v>
      </c>
      <c r="O6" s="59">
        <f t="shared" si="0"/>
        <v>0</v>
      </c>
      <c r="P6" s="59">
        <f t="shared" si="0"/>
        <v>0</v>
      </c>
      <c r="T6" s="77">
        <v>61.96</v>
      </c>
      <c r="U6" s="451"/>
      <c r="V6" s="6">
        <v>29.669499999999999</v>
      </c>
      <c r="W6" s="451"/>
      <c r="X6" s="4">
        <v>593.39</v>
      </c>
      <c r="Y6" s="451"/>
    </row>
    <row r="7" spans="1:27">
      <c r="A7" s="1">
        <v>2002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59">
        <f t="shared" si="0"/>
        <v>0</v>
      </c>
      <c r="O7" s="59">
        <f t="shared" si="0"/>
        <v>0</v>
      </c>
      <c r="P7" s="59">
        <f t="shared" si="0"/>
        <v>0</v>
      </c>
      <c r="T7" s="77">
        <v>21.61</v>
      </c>
      <c r="U7" s="451"/>
      <c r="V7" s="6">
        <v>10.348000000000001</v>
      </c>
      <c r="W7" s="451"/>
      <c r="X7" s="4">
        <v>206.96</v>
      </c>
      <c r="Y7" s="451"/>
    </row>
    <row r="8" spans="1:27">
      <c r="A8" s="1">
        <v>2003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59">
        <f t="shared" si="0"/>
        <v>0</v>
      </c>
      <c r="O8" s="59">
        <f t="shared" si="0"/>
        <v>0</v>
      </c>
      <c r="P8" s="59">
        <f t="shared" si="0"/>
        <v>0</v>
      </c>
      <c r="T8" s="471" t="s">
        <v>45</v>
      </c>
      <c r="U8" s="451"/>
      <c r="V8" s="471" t="s">
        <v>45</v>
      </c>
      <c r="W8" s="451"/>
      <c r="X8" s="471" t="s">
        <v>45</v>
      </c>
      <c r="Y8" s="451"/>
    </row>
    <row r="9" spans="1:27" ht="15" customHeight="1">
      <c r="A9" s="1">
        <v>2004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59">
        <f t="shared" si="0"/>
        <v>0</v>
      </c>
      <c r="O9" s="59">
        <f t="shared" si="0"/>
        <v>0</v>
      </c>
      <c r="P9" s="59">
        <f t="shared" si="0"/>
        <v>0</v>
      </c>
      <c r="T9" s="471"/>
      <c r="U9" s="451"/>
      <c r="V9" s="471"/>
      <c r="W9" s="451"/>
      <c r="X9" s="471"/>
      <c r="Y9" s="451"/>
    </row>
    <row r="10" spans="1:27" ht="15" customHeight="1">
      <c r="A10" s="1">
        <v>2005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59">
        <f t="shared" si="0"/>
        <v>0</v>
      </c>
      <c r="O10" s="59">
        <f t="shared" si="0"/>
        <v>0</v>
      </c>
      <c r="P10" s="59">
        <f t="shared" si="0"/>
        <v>0</v>
      </c>
      <c r="T10" s="471"/>
      <c r="U10" s="451"/>
      <c r="V10" s="471"/>
      <c r="W10" s="451"/>
      <c r="X10" s="471"/>
      <c r="Y10" s="451"/>
    </row>
    <row r="11" spans="1:27" ht="15" customHeight="1">
      <c r="A11" s="1">
        <v>2006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59">
        <f t="shared" si="0"/>
        <v>0</v>
      </c>
      <c r="O11" s="59">
        <f t="shared" si="0"/>
        <v>0</v>
      </c>
      <c r="P11" s="59">
        <f t="shared" si="0"/>
        <v>0</v>
      </c>
      <c r="T11" s="471"/>
      <c r="U11" s="451"/>
      <c r="V11" s="471"/>
      <c r="W11" s="451"/>
      <c r="X11" s="471"/>
      <c r="Y11" s="451"/>
    </row>
    <row r="12" spans="1:27">
      <c r="A12" s="1">
        <v>2007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59">
        <f t="shared" si="0"/>
        <v>0</v>
      </c>
      <c r="O12" s="59">
        <f t="shared" si="0"/>
        <v>0</v>
      </c>
      <c r="P12" s="59">
        <f t="shared" si="0"/>
        <v>0</v>
      </c>
      <c r="T12" s="78">
        <v>451.28</v>
      </c>
      <c r="U12" s="451"/>
      <c r="V12" s="6">
        <v>213.10450000000003</v>
      </c>
      <c r="W12" s="451"/>
      <c r="X12" s="4">
        <v>4262.09</v>
      </c>
      <c r="Y12" s="451"/>
    </row>
    <row r="13" spans="1:27">
      <c r="A13" s="1">
        <v>2008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59">
        <f t="shared" si="0"/>
        <v>0</v>
      </c>
      <c r="O13" s="59">
        <f t="shared" si="0"/>
        <v>0</v>
      </c>
      <c r="P13" s="59">
        <f t="shared" si="0"/>
        <v>0</v>
      </c>
      <c r="T13" s="78">
        <v>370.44</v>
      </c>
      <c r="U13" s="451"/>
      <c r="V13" s="6">
        <v>174.93</v>
      </c>
      <c r="W13" s="451"/>
      <c r="X13" s="48">
        <v>3498.6</v>
      </c>
      <c r="Y13" s="451"/>
    </row>
    <row r="14" spans="1:27">
      <c r="A14" s="1">
        <v>2009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59">
        <f t="shared" si="0"/>
        <v>0</v>
      </c>
      <c r="O14" s="59">
        <f t="shared" si="0"/>
        <v>0</v>
      </c>
      <c r="P14" s="59">
        <f t="shared" si="0"/>
        <v>0</v>
      </c>
      <c r="T14" s="78">
        <v>377.28</v>
      </c>
      <c r="U14" s="451"/>
      <c r="V14" s="6">
        <v>178.16</v>
      </c>
      <c r="W14" s="451"/>
      <c r="X14" s="48">
        <v>3563.2</v>
      </c>
      <c r="Y14" s="451"/>
    </row>
    <row r="15" spans="1:27">
      <c r="A15" s="1">
        <v>2010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59">
        <f t="shared" si="0"/>
        <v>0</v>
      </c>
      <c r="O15" s="59">
        <f t="shared" si="0"/>
        <v>0</v>
      </c>
      <c r="P15" s="59">
        <f t="shared" si="0"/>
        <v>0</v>
      </c>
      <c r="T15" s="78">
        <v>536.79999999999995</v>
      </c>
      <c r="U15" s="451"/>
      <c r="V15" s="6">
        <v>253.489</v>
      </c>
      <c r="W15" s="451"/>
      <c r="X15" s="48">
        <v>5069.78</v>
      </c>
      <c r="Y15" s="451"/>
    </row>
    <row r="16" spans="1:27">
      <c r="A16" s="1">
        <v>2011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59">
        <f t="shared" si="0"/>
        <v>0</v>
      </c>
      <c r="O16" s="59">
        <f t="shared" si="0"/>
        <v>0</v>
      </c>
      <c r="P16" s="59">
        <f t="shared" si="0"/>
        <v>0</v>
      </c>
      <c r="T16" s="78">
        <v>341.8</v>
      </c>
      <c r="U16" s="451"/>
      <c r="V16" s="6">
        <v>161.40550000000002</v>
      </c>
      <c r="W16" s="451"/>
      <c r="X16" s="48">
        <v>3228.11</v>
      </c>
      <c r="Y16" s="451"/>
    </row>
    <row r="17" spans="1:25">
      <c r="A17" s="1">
        <v>2012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59">
        <f t="shared" si="0"/>
        <v>0</v>
      </c>
      <c r="O17" s="59">
        <f t="shared" si="0"/>
        <v>0</v>
      </c>
      <c r="P17" s="59">
        <f t="shared" si="0"/>
        <v>0</v>
      </c>
      <c r="T17" s="78">
        <v>91.6</v>
      </c>
      <c r="U17" s="451"/>
      <c r="V17" s="6">
        <v>97.75</v>
      </c>
      <c r="W17" s="451"/>
      <c r="X17" s="48">
        <v>1955</v>
      </c>
      <c r="Y17" s="451"/>
    </row>
    <row r="18" spans="1:25">
      <c r="A18" s="1">
        <v>2013</v>
      </c>
      <c r="B18" s="182"/>
      <c r="C18" s="182"/>
      <c r="D18" s="182"/>
      <c r="E18" s="182"/>
      <c r="F18" s="182"/>
      <c r="G18" s="8"/>
      <c r="H18" s="8"/>
      <c r="I18" s="8"/>
      <c r="J18" s="8"/>
      <c r="K18" s="8"/>
      <c r="L18" s="8"/>
      <c r="M18" s="8"/>
      <c r="N18" s="59">
        <f t="shared" si="0"/>
        <v>0</v>
      </c>
      <c r="O18" s="59">
        <f t="shared" si="0"/>
        <v>0</v>
      </c>
      <c r="P18" s="59">
        <f t="shared" si="0"/>
        <v>0</v>
      </c>
      <c r="Q18" s="5"/>
      <c r="R18" s="5" t="s">
        <v>1</v>
      </c>
      <c r="S18" s="5" t="s">
        <v>2</v>
      </c>
      <c r="T18" s="77">
        <v>124.2</v>
      </c>
      <c r="U18" s="451"/>
      <c r="V18" s="6">
        <v>58.650000000000006</v>
      </c>
      <c r="W18" s="451"/>
      <c r="X18" s="184">
        <v>1173</v>
      </c>
      <c r="Y18" s="451"/>
    </row>
    <row r="19" spans="1:2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3">
        <f>SUM(N3:N18)</f>
        <v>34.335899999999995</v>
      </c>
      <c r="O19" s="3">
        <f t="shared" ref="O19:P19" si="1">SUM(O3:O18)</f>
        <v>22.890599999999999</v>
      </c>
      <c r="P19" s="3">
        <f t="shared" si="1"/>
        <v>324.2835</v>
      </c>
      <c r="T19" s="4">
        <f>SUM(T3:T18)</f>
        <v>2557.4199999999996</v>
      </c>
      <c r="V19" s="48">
        <f>SUM(V3:V18)</f>
        <v>1263.9145000000001</v>
      </c>
      <c r="X19" s="48">
        <f>SUM(X3:X18)</f>
        <v>25278.29</v>
      </c>
    </row>
    <row r="22" spans="1:25" s="10" customFormat="1" ht="15"/>
    <row r="23" spans="1:25" s="10" customFormat="1" ht="15.75">
      <c r="A23" s="426" t="s">
        <v>143</v>
      </c>
      <c r="B23" s="426"/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60"/>
      <c r="R23" s="60"/>
      <c r="S23" s="60"/>
      <c r="T23" s="60"/>
      <c r="U23" s="60"/>
      <c r="V23" s="60"/>
      <c r="W23" s="60"/>
    </row>
    <row r="24" spans="1:25" s="10" customFormat="1" ht="15">
      <c r="A24" s="426"/>
      <c r="B24" s="426"/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</row>
    <row r="25" spans="1:25" s="10" customFormat="1" ht="15"/>
    <row r="26" spans="1:25" s="10" customFormat="1" ht="15">
      <c r="A26" s="427" t="s">
        <v>18</v>
      </c>
      <c r="B26" s="472" t="s">
        <v>144</v>
      </c>
      <c r="C26" s="473"/>
      <c r="D26" s="473"/>
      <c r="E26" s="474"/>
      <c r="F26" s="453"/>
      <c r="G26" s="453"/>
      <c r="H26" s="453"/>
      <c r="I26" s="454"/>
    </row>
    <row r="27" spans="1:25" s="10" customFormat="1" ht="15">
      <c r="A27" s="428"/>
      <c r="B27" s="475"/>
      <c r="C27" s="476"/>
      <c r="D27" s="476"/>
      <c r="E27" s="477"/>
      <c r="F27" s="49" t="s">
        <v>27</v>
      </c>
      <c r="G27" s="49" t="s">
        <v>50</v>
      </c>
      <c r="H27" s="61" t="s">
        <v>34</v>
      </c>
      <c r="I27" s="89" t="s">
        <v>29</v>
      </c>
    </row>
    <row r="28" spans="1:25" s="10" customFormat="1" ht="15">
      <c r="A28" s="13">
        <v>1998</v>
      </c>
      <c r="B28" s="422" t="s">
        <v>145</v>
      </c>
      <c r="C28" s="423"/>
      <c r="D28" s="423"/>
      <c r="E28" s="424"/>
      <c r="F28" s="65">
        <f>I28*9%</f>
        <v>34.335899999999995</v>
      </c>
      <c r="G28" s="65">
        <f>I28*6%</f>
        <v>22.890599999999999</v>
      </c>
      <c r="H28" s="65">
        <f>I28*85%</f>
        <v>324.2835</v>
      </c>
      <c r="I28" s="65">
        <v>381.51</v>
      </c>
      <c r="K28" s="10">
        <v>130000</v>
      </c>
      <c r="L28" s="16">
        <f>K28/340.75</f>
        <v>381.5113719735877</v>
      </c>
    </row>
    <row r="29" spans="1:25" s="10" customFormat="1" ht="15">
      <c r="A29" s="13">
        <v>1999</v>
      </c>
      <c r="B29" s="422"/>
      <c r="C29" s="423"/>
      <c r="D29" s="423"/>
      <c r="E29" s="424"/>
      <c r="F29" s="65"/>
      <c r="G29" s="65"/>
      <c r="H29" s="65"/>
      <c r="I29" s="65"/>
    </row>
    <row r="30" spans="1:25" s="10" customFormat="1" ht="15">
      <c r="A30" s="13">
        <v>2000</v>
      </c>
      <c r="B30" s="422"/>
      <c r="C30" s="423"/>
      <c r="D30" s="423"/>
      <c r="E30" s="424"/>
      <c r="F30" s="65"/>
      <c r="G30" s="65"/>
      <c r="H30" s="65"/>
      <c r="I30" s="65"/>
    </row>
    <row r="31" spans="1:25" s="10" customFormat="1" ht="15">
      <c r="A31" s="13">
        <v>2001</v>
      </c>
      <c r="B31" s="422"/>
      <c r="C31" s="423"/>
      <c r="D31" s="423"/>
      <c r="E31" s="424"/>
      <c r="F31" s="65"/>
      <c r="G31" s="65"/>
      <c r="H31" s="65"/>
      <c r="I31" s="65"/>
    </row>
    <row r="32" spans="1:25" s="10" customFormat="1" ht="15">
      <c r="A32" s="13">
        <v>2002</v>
      </c>
      <c r="B32" s="422"/>
      <c r="C32" s="423"/>
      <c r="D32" s="423"/>
      <c r="E32" s="424"/>
      <c r="F32" s="65"/>
      <c r="G32" s="65"/>
      <c r="H32" s="65"/>
      <c r="I32" s="65"/>
    </row>
    <row r="33" spans="1:9" s="10" customFormat="1" ht="15">
      <c r="A33" s="13">
        <v>2003</v>
      </c>
      <c r="B33" s="422"/>
      <c r="C33" s="423"/>
      <c r="D33" s="423"/>
      <c r="E33" s="424"/>
      <c r="F33" s="65"/>
      <c r="G33" s="65"/>
      <c r="H33" s="65"/>
      <c r="I33" s="65"/>
    </row>
    <row r="34" spans="1:9" s="10" customFormat="1" ht="15">
      <c r="A34" s="13">
        <v>2004</v>
      </c>
      <c r="B34" s="422"/>
      <c r="C34" s="423"/>
      <c r="D34" s="423"/>
      <c r="E34" s="424"/>
      <c r="F34" s="65"/>
      <c r="G34" s="65"/>
      <c r="H34" s="65"/>
      <c r="I34" s="65"/>
    </row>
    <row r="35" spans="1:9" s="10" customFormat="1" ht="15">
      <c r="A35" s="13">
        <v>2005</v>
      </c>
      <c r="B35" s="422"/>
      <c r="C35" s="423"/>
      <c r="D35" s="423"/>
      <c r="E35" s="424"/>
      <c r="F35" s="65"/>
      <c r="G35" s="65"/>
      <c r="H35" s="65"/>
      <c r="I35" s="65"/>
    </row>
    <row r="36" spans="1:9" s="10" customFormat="1" ht="15">
      <c r="A36" s="13">
        <v>2006</v>
      </c>
      <c r="B36" s="422"/>
      <c r="C36" s="423"/>
      <c r="D36" s="423"/>
      <c r="E36" s="424"/>
      <c r="F36" s="65"/>
      <c r="G36" s="65"/>
      <c r="H36" s="65"/>
      <c r="I36" s="65"/>
    </row>
    <row r="37" spans="1:9" s="10" customFormat="1" ht="15">
      <c r="A37" s="13">
        <v>2007</v>
      </c>
      <c r="B37" s="422"/>
      <c r="C37" s="423"/>
      <c r="D37" s="423"/>
      <c r="E37" s="424"/>
      <c r="F37" s="65"/>
      <c r="G37" s="65"/>
      <c r="H37" s="65"/>
      <c r="I37" s="65"/>
    </row>
    <row r="38" spans="1:9" s="10" customFormat="1" ht="15">
      <c r="A38" s="13">
        <v>2008</v>
      </c>
      <c r="B38" s="422"/>
      <c r="C38" s="423"/>
      <c r="D38" s="423"/>
      <c r="E38" s="424"/>
      <c r="F38" s="65"/>
      <c r="G38" s="65"/>
      <c r="H38" s="65"/>
      <c r="I38" s="65"/>
    </row>
    <row r="39" spans="1:9" s="10" customFormat="1" ht="15">
      <c r="A39" s="13">
        <v>2009</v>
      </c>
      <c r="B39" s="422"/>
      <c r="C39" s="423"/>
      <c r="D39" s="423"/>
      <c r="E39" s="424"/>
      <c r="F39" s="65"/>
      <c r="G39" s="65"/>
      <c r="H39" s="65"/>
      <c r="I39" s="65"/>
    </row>
    <row r="40" spans="1:9" s="10" customFormat="1" ht="15">
      <c r="A40" s="13">
        <v>2010</v>
      </c>
      <c r="B40" s="422"/>
      <c r="C40" s="423"/>
      <c r="D40" s="423"/>
      <c r="E40" s="424"/>
      <c r="F40" s="65"/>
      <c r="G40" s="65"/>
      <c r="H40" s="65"/>
      <c r="I40" s="65"/>
    </row>
    <row r="41" spans="1:9" s="10" customFormat="1" ht="15">
      <c r="A41" s="13">
        <v>2011</v>
      </c>
      <c r="B41" s="422"/>
      <c r="C41" s="423"/>
      <c r="D41" s="423"/>
      <c r="E41" s="424"/>
      <c r="F41" s="65"/>
      <c r="G41" s="65"/>
      <c r="H41" s="65"/>
      <c r="I41" s="65"/>
    </row>
    <row r="42" spans="1:9" s="10" customFormat="1" ht="15">
      <c r="A42" s="13">
        <v>2012</v>
      </c>
      <c r="B42" s="422"/>
      <c r="C42" s="423"/>
      <c r="D42" s="423"/>
      <c r="E42" s="424"/>
      <c r="F42" s="65"/>
      <c r="G42" s="65"/>
      <c r="H42" s="65"/>
      <c r="I42" s="65"/>
    </row>
    <row r="43" spans="1:9" s="10" customFormat="1" ht="15">
      <c r="A43" s="13">
        <v>2013</v>
      </c>
      <c r="B43" s="422"/>
      <c r="C43" s="423"/>
      <c r="D43" s="423"/>
      <c r="E43" s="424"/>
      <c r="F43" s="65"/>
      <c r="G43" s="65"/>
      <c r="H43" s="65"/>
      <c r="I43" s="65"/>
    </row>
    <row r="44" spans="1:9" s="10" customFormat="1" ht="15"/>
    <row r="45" spans="1:9" s="10" customFormat="1" ht="15"/>
    <row r="46" spans="1:9" s="10" customFormat="1" ht="15"/>
    <row r="47" spans="1:9" s="10" customFormat="1" ht="15"/>
    <row r="48" spans="1:9" s="10" customFormat="1" ht="15"/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  <row r="61" s="10" customFormat="1" ht="15"/>
    <row r="62" s="10" customFormat="1" ht="15"/>
    <row r="63" s="10" customFormat="1" ht="15"/>
    <row r="64" s="10" customFormat="1" ht="15"/>
    <row r="65" s="10" customFormat="1" ht="15"/>
    <row r="66" s="10" customFormat="1" ht="15"/>
    <row r="67" s="10" customFormat="1" ht="15"/>
    <row r="68" s="10" customFormat="1" ht="15"/>
    <row r="69" s="10" customFormat="1" ht="15"/>
    <row r="70" s="10" customFormat="1" ht="15"/>
    <row r="71" s="10" customFormat="1" ht="15"/>
    <row r="72" s="10" customFormat="1" ht="15"/>
    <row r="73" s="10" customFormat="1" ht="15"/>
    <row r="74" s="10" customFormat="1" ht="15"/>
    <row r="75" s="10" customFormat="1" ht="15"/>
    <row r="76" s="10" customFormat="1" ht="15"/>
    <row r="77" s="10" customFormat="1" ht="15"/>
    <row r="78" s="10" customFormat="1" ht="15"/>
    <row r="79" s="10" customFormat="1" ht="15"/>
    <row r="80" s="10" customFormat="1" ht="15"/>
    <row r="81" s="10" customFormat="1" ht="15"/>
    <row r="82" s="10" customFormat="1" ht="15"/>
    <row r="83" s="10" customFormat="1" ht="15"/>
    <row r="84" s="10" customFormat="1" ht="15"/>
    <row r="85" s="10" customFormat="1" ht="15"/>
    <row r="86" s="10" customFormat="1" ht="15"/>
    <row r="87" s="10" customFormat="1" ht="15"/>
    <row r="88" s="10" customFormat="1" ht="15"/>
    <row r="89" s="10" customFormat="1" ht="15"/>
    <row r="90" s="10" customFormat="1" ht="15"/>
    <row r="91" s="10" customFormat="1" ht="15"/>
    <row r="92" s="10" customFormat="1" ht="15"/>
    <row r="93" s="10" customFormat="1" ht="15"/>
    <row r="94" s="10" customFormat="1" ht="15"/>
    <row r="95" s="10" customFormat="1" ht="15"/>
    <row r="96" s="10" customFormat="1" ht="15"/>
    <row r="97" s="10" customFormat="1" ht="15"/>
    <row r="98" s="10" customFormat="1" ht="15"/>
    <row r="99" s="10" customFormat="1" ht="15"/>
    <row r="100" s="10" customFormat="1" ht="15"/>
    <row r="101" s="10" customFormat="1" ht="15"/>
    <row r="102" s="10" customFormat="1" ht="15"/>
    <row r="103" s="10" customFormat="1" ht="15"/>
    <row r="104" s="10" customFormat="1" ht="15"/>
    <row r="105" s="10" customFormat="1" ht="15"/>
    <row r="106" s="10" customFormat="1" ht="15"/>
    <row r="107" s="10" customFormat="1" ht="15"/>
    <row r="108" s="10" customFormat="1" ht="15"/>
    <row r="109" s="10" customFormat="1" ht="15"/>
    <row r="110" s="10" customFormat="1" ht="15"/>
    <row r="111" s="10" customFormat="1" ht="15"/>
    <row r="112" s="10" customFormat="1" ht="15"/>
    <row r="113" s="10" customFormat="1" ht="15"/>
    <row r="114" s="10" customFormat="1" ht="15"/>
    <row r="115" s="10" customFormat="1" ht="15"/>
    <row r="116" s="10" customFormat="1" ht="15"/>
    <row r="117" s="10" customFormat="1" ht="15"/>
    <row r="118" s="10" customFormat="1" ht="15"/>
    <row r="119" s="10" customFormat="1" ht="15"/>
    <row r="120" s="10" customFormat="1" ht="15"/>
    <row r="121" s="10" customFormat="1" ht="15"/>
    <row r="122" s="10" customFormat="1" ht="15"/>
    <row r="123" s="10" customFormat="1" ht="15"/>
    <row r="124" s="10" customFormat="1" ht="15"/>
    <row r="125" s="10" customFormat="1" ht="15"/>
    <row r="126" s="10" customFormat="1" ht="15"/>
    <row r="127" s="10" customFormat="1" ht="15"/>
    <row r="128" s="10" customFormat="1" ht="15"/>
    <row r="129" s="10" customFormat="1" ht="15"/>
    <row r="130" s="10" customFormat="1" ht="15"/>
    <row r="131" s="10" customFormat="1" ht="15"/>
    <row r="132" s="10" customFormat="1" ht="15"/>
    <row r="133" s="10" customFormat="1" ht="15"/>
    <row r="134" s="10" customFormat="1" ht="15"/>
    <row r="135" s="10" customFormat="1" ht="15"/>
    <row r="136" s="10" customFormat="1" ht="15"/>
    <row r="137" s="10" customFormat="1" ht="15"/>
    <row r="138" s="10" customFormat="1" ht="15"/>
    <row r="139" s="10" customFormat="1" ht="15"/>
    <row r="140" s="10" customFormat="1" ht="15"/>
    <row r="141" s="10" customFormat="1" ht="15"/>
    <row r="142" s="10" customFormat="1" ht="15"/>
    <row r="143" s="10" customFormat="1" ht="15"/>
  </sheetData>
  <mergeCells count="41">
    <mergeCell ref="B42:E42"/>
    <mergeCell ref="B43:E43"/>
    <mergeCell ref="B36:E36"/>
    <mergeCell ref="B37:E37"/>
    <mergeCell ref="B38:E38"/>
    <mergeCell ref="B39:E39"/>
    <mergeCell ref="B40:E40"/>
    <mergeCell ref="B41:E41"/>
    <mergeCell ref="B35:E35"/>
    <mergeCell ref="A23:P24"/>
    <mergeCell ref="A26:A27"/>
    <mergeCell ref="B26:E27"/>
    <mergeCell ref="F26:I26"/>
    <mergeCell ref="B28:E28"/>
    <mergeCell ref="B29:E29"/>
    <mergeCell ref="B30:E30"/>
    <mergeCell ref="B31:E31"/>
    <mergeCell ref="B32:E32"/>
    <mergeCell ref="B33:E33"/>
    <mergeCell ref="B34:E34"/>
    <mergeCell ref="M1:M2"/>
    <mergeCell ref="N1:P1"/>
    <mergeCell ref="T1:Y2"/>
    <mergeCell ref="U3:U18"/>
    <mergeCell ref="W3:W18"/>
    <mergeCell ref="Y3:Y18"/>
    <mergeCell ref="T8:T11"/>
    <mergeCell ref="V8:V11"/>
    <mergeCell ref="X8:X11"/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42"/>
  <sheetViews>
    <sheetView workbookViewId="0">
      <pane ySplit="1" topLeftCell="A2" activePane="bottomLeft" state="frozen"/>
      <selection pane="bottomLeft" activeCell="F43" sqref="F43"/>
    </sheetView>
  </sheetViews>
  <sheetFormatPr defaultRowHeight="12.75"/>
  <cols>
    <col min="1" max="1" width="5" style="2" bestFit="1" customWidth="1"/>
    <col min="2" max="3" width="7.21875" style="2" bestFit="1" customWidth="1"/>
    <col min="4" max="6" width="8" style="2" bestFit="1" customWidth="1"/>
    <col min="7" max="8" width="5.6640625" style="2" bestFit="1" customWidth="1"/>
    <col min="9" max="9" width="8.44140625" style="2" bestFit="1" customWidth="1"/>
    <col min="10" max="10" width="8" style="2" bestFit="1" customWidth="1"/>
    <col min="11" max="11" width="9" style="2" bestFit="1" customWidth="1"/>
    <col min="12" max="12" width="8.44140625" style="2" bestFit="1" customWidth="1"/>
    <col min="13" max="13" width="8" style="2" bestFit="1" customWidth="1"/>
    <col min="14" max="14" width="10.44140625" style="2" bestFit="1" customWidth="1"/>
    <col min="15" max="15" width="10.44140625" style="2" customWidth="1"/>
    <col min="16" max="16" width="5.33203125" style="2" customWidth="1"/>
    <col min="17" max="17" width="4.44140625" style="2" bestFit="1" customWidth="1"/>
    <col min="18" max="19" width="5.21875" style="2" bestFit="1" customWidth="1"/>
    <col min="20" max="22" width="4.44140625" style="2" bestFit="1" customWidth="1"/>
    <col min="23" max="23" width="5.21875" style="2" bestFit="1" customWidth="1"/>
    <col min="24" max="24" width="5.6640625" style="2" bestFit="1" customWidth="1"/>
    <col min="25" max="28" width="5.21875" style="2" bestFit="1" customWidth="1"/>
    <col min="29" max="29" width="6.44140625" style="2" bestFit="1" customWidth="1"/>
    <col min="30" max="16384" width="8.88671875" style="2"/>
  </cols>
  <sheetData>
    <row r="1" spans="1:44" ht="13.5" thickBot="1">
      <c r="A1" s="166"/>
      <c r="B1" s="167" t="s">
        <v>4</v>
      </c>
      <c r="C1" s="168" t="s">
        <v>5</v>
      </c>
      <c r="D1" s="171" t="s">
        <v>6</v>
      </c>
      <c r="E1" s="172" t="s">
        <v>7</v>
      </c>
      <c r="F1" s="171" t="s">
        <v>2</v>
      </c>
      <c r="G1" s="173" t="s">
        <v>8</v>
      </c>
      <c r="H1" s="171" t="s">
        <v>9</v>
      </c>
      <c r="I1" s="172" t="s">
        <v>10</v>
      </c>
      <c r="J1" s="171" t="s">
        <v>11</v>
      </c>
      <c r="K1" s="173" t="s">
        <v>12</v>
      </c>
      <c r="L1" s="171" t="s">
        <v>13</v>
      </c>
      <c r="M1" s="172" t="s">
        <v>14</v>
      </c>
      <c r="N1" s="174" t="s">
        <v>29</v>
      </c>
      <c r="O1" s="175" t="s">
        <v>139</v>
      </c>
    </row>
    <row r="2" spans="1:44">
      <c r="A2" s="7">
        <v>1998</v>
      </c>
      <c r="B2" s="9"/>
      <c r="C2" s="9"/>
      <c r="D2" s="9"/>
      <c r="E2" s="9"/>
      <c r="F2" s="9"/>
      <c r="G2" s="9"/>
      <c r="H2" s="9"/>
      <c r="I2" s="123">
        <v>1.32</v>
      </c>
      <c r="J2" s="123">
        <v>5.54</v>
      </c>
      <c r="K2" s="123">
        <v>6.07</v>
      </c>
      <c r="L2" s="123">
        <v>5.01</v>
      </c>
      <c r="M2" s="123">
        <v>14.77</v>
      </c>
      <c r="N2" s="176">
        <f>SUM(B2:M2)</f>
        <v>32.709999999999994</v>
      </c>
      <c r="O2" s="177">
        <v>692</v>
      </c>
      <c r="P2" s="169"/>
      <c r="Q2" s="169"/>
      <c r="R2" s="169"/>
      <c r="S2" s="169"/>
      <c r="T2" s="169"/>
      <c r="U2" s="169"/>
      <c r="V2" s="169"/>
      <c r="W2" s="169"/>
      <c r="X2" s="169">
        <v>29</v>
      </c>
      <c r="Y2" s="169">
        <v>121</v>
      </c>
      <c r="Z2" s="169">
        <v>130</v>
      </c>
      <c r="AA2" s="169">
        <v>106</v>
      </c>
      <c r="AB2" s="169">
        <v>306</v>
      </c>
      <c r="AC2" s="170">
        <f>SUM(X2:AB2)</f>
        <v>692</v>
      </c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</row>
    <row r="3" spans="1:44">
      <c r="A3" s="1">
        <v>1999</v>
      </c>
      <c r="B3" s="4">
        <v>1.85</v>
      </c>
      <c r="C3" s="4">
        <v>1.85</v>
      </c>
      <c r="D3" s="4">
        <v>6.49</v>
      </c>
      <c r="E3" s="4">
        <v>2.9</v>
      </c>
      <c r="F3" s="4">
        <v>3.69</v>
      </c>
      <c r="G3" s="4">
        <v>4.22</v>
      </c>
      <c r="H3" s="4">
        <v>6.59</v>
      </c>
      <c r="I3" s="4">
        <v>5.8</v>
      </c>
      <c r="J3" s="4">
        <v>13.45</v>
      </c>
      <c r="K3" s="4">
        <v>9.23</v>
      </c>
      <c r="L3" s="4">
        <v>6.33</v>
      </c>
      <c r="M3" s="4">
        <v>2.9</v>
      </c>
      <c r="N3" s="178">
        <f>SUM(B3:M3)</f>
        <v>65.300000000000011</v>
      </c>
      <c r="O3" s="48">
        <v>1184</v>
      </c>
      <c r="P3" s="169"/>
      <c r="Q3" s="169">
        <v>37</v>
      </c>
      <c r="R3" s="169">
        <v>37</v>
      </c>
      <c r="S3" s="169">
        <v>127</v>
      </c>
      <c r="T3" s="169">
        <v>56</v>
      </c>
      <c r="U3" s="169">
        <v>70</v>
      </c>
      <c r="V3" s="169">
        <v>78</v>
      </c>
      <c r="W3" s="169">
        <v>121</v>
      </c>
      <c r="X3" s="169">
        <v>104</v>
      </c>
      <c r="Y3" s="169">
        <v>238</v>
      </c>
      <c r="Z3" s="169">
        <v>160</v>
      </c>
      <c r="AA3" s="169">
        <v>108</v>
      </c>
      <c r="AB3" s="169">
        <v>48</v>
      </c>
      <c r="AC3" s="170">
        <f>SUM(Q3:AB3)</f>
        <v>1184</v>
      </c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</row>
    <row r="4" spans="1:44">
      <c r="A4" s="1">
        <v>2000</v>
      </c>
      <c r="B4" s="4">
        <v>2.37</v>
      </c>
      <c r="C4" s="4">
        <v>3.16</v>
      </c>
      <c r="D4" s="4">
        <v>5.01</v>
      </c>
      <c r="E4" s="4">
        <v>3.16</v>
      </c>
      <c r="F4" s="4">
        <v>6.33</v>
      </c>
      <c r="G4" s="4">
        <v>4.75</v>
      </c>
      <c r="H4" s="4">
        <v>4.75</v>
      </c>
      <c r="I4" s="4">
        <v>9.76</v>
      </c>
      <c r="J4" s="4">
        <v>4.4800000000000004</v>
      </c>
      <c r="K4" s="4">
        <v>5.8</v>
      </c>
      <c r="L4" s="4">
        <v>8.17</v>
      </c>
      <c r="M4" s="4">
        <v>7.38</v>
      </c>
      <c r="N4" s="178">
        <f>SUM(B4:M4)</f>
        <v>65.11999999999999</v>
      </c>
      <c r="O4" s="48">
        <v>985</v>
      </c>
      <c r="P4" s="169"/>
      <c r="Q4" s="169">
        <v>39</v>
      </c>
      <c r="R4" s="169">
        <v>51</v>
      </c>
      <c r="S4" s="169">
        <v>80</v>
      </c>
      <c r="T4" s="169">
        <v>50</v>
      </c>
      <c r="U4" s="169">
        <v>99</v>
      </c>
      <c r="V4" s="169">
        <v>73</v>
      </c>
      <c r="W4" s="169">
        <v>72</v>
      </c>
      <c r="X4" s="169">
        <v>147</v>
      </c>
      <c r="Y4" s="169">
        <v>66</v>
      </c>
      <c r="Z4" s="169">
        <v>85</v>
      </c>
      <c r="AA4" s="169">
        <v>118</v>
      </c>
      <c r="AB4" s="169">
        <v>105</v>
      </c>
      <c r="AC4" s="170">
        <f t="shared" ref="AC4:AC6" si="0">SUM(Q4:AB4)</f>
        <v>985</v>
      </c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</row>
    <row r="5" spans="1:44">
      <c r="A5" s="1">
        <v>2001</v>
      </c>
      <c r="B5" s="4">
        <v>4.4800000000000004</v>
      </c>
      <c r="C5" s="4">
        <v>9.23</v>
      </c>
      <c r="D5" s="4">
        <v>4.22</v>
      </c>
      <c r="E5" s="4">
        <v>3.43</v>
      </c>
      <c r="F5" s="4">
        <v>2.9</v>
      </c>
      <c r="G5" s="4">
        <v>5.01</v>
      </c>
      <c r="H5" s="4">
        <v>5.8</v>
      </c>
      <c r="I5" s="4">
        <v>7.65</v>
      </c>
      <c r="J5" s="4">
        <v>4.22</v>
      </c>
      <c r="K5" s="4">
        <v>2.37</v>
      </c>
      <c r="L5" s="4">
        <v>5.27</v>
      </c>
      <c r="M5" s="4">
        <v>7.38</v>
      </c>
      <c r="N5" s="178">
        <f t="shared" ref="N5:N17" si="1">SUM(I5:M5)</f>
        <v>26.89</v>
      </c>
      <c r="O5" s="48">
        <v>826</v>
      </c>
      <c r="P5" s="169"/>
      <c r="Q5" s="169">
        <v>63</v>
      </c>
      <c r="R5" s="169">
        <v>129</v>
      </c>
      <c r="S5" s="169">
        <v>58</v>
      </c>
      <c r="T5" s="169">
        <v>47</v>
      </c>
      <c r="U5" s="169">
        <v>39</v>
      </c>
      <c r="V5" s="169">
        <v>67</v>
      </c>
      <c r="W5" s="169">
        <v>77</v>
      </c>
      <c r="X5" s="169">
        <v>101</v>
      </c>
      <c r="Y5" s="169">
        <v>55</v>
      </c>
      <c r="Z5" s="169">
        <v>30</v>
      </c>
      <c r="AA5" s="169">
        <v>67</v>
      </c>
      <c r="AB5" s="169">
        <v>93</v>
      </c>
      <c r="AC5" s="170">
        <f t="shared" si="0"/>
        <v>826</v>
      </c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</row>
    <row r="6" spans="1:44">
      <c r="A6" s="1">
        <v>2002</v>
      </c>
      <c r="B6" s="4">
        <v>1.58</v>
      </c>
      <c r="C6" s="4">
        <v>3.16</v>
      </c>
      <c r="D6" s="4">
        <v>5.01</v>
      </c>
      <c r="E6" s="4"/>
      <c r="F6" s="4"/>
      <c r="G6" s="4"/>
      <c r="H6" s="4"/>
      <c r="I6" s="4"/>
      <c r="J6" s="4"/>
      <c r="K6" s="4"/>
      <c r="L6" s="4"/>
      <c r="M6" s="4"/>
      <c r="N6" s="178">
        <f t="shared" si="1"/>
        <v>0</v>
      </c>
      <c r="O6" s="48">
        <v>119</v>
      </c>
      <c r="P6" s="169"/>
      <c r="Q6" s="169">
        <v>19</v>
      </c>
      <c r="R6" s="169">
        <v>39</v>
      </c>
      <c r="S6" s="169">
        <v>61</v>
      </c>
      <c r="T6" s="169"/>
      <c r="U6" s="169"/>
      <c r="V6" s="169"/>
      <c r="W6" s="169"/>
      <c r="X6" s="169"/>
      <c r="Y6" s="169"/>
      <c r="Z6" s="169"/>
      <c r="AA6" s="169"/>
      <c r="AB6" s="169"/>
      <c r="AC6" s="170">
        <f t="shared" si="0"/>
        <v>119</v>
      </c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</row>
    <row r="7" spans="1:44">
      <c r="A7" s="1">
        <v>2003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8">
        <f t="shared" si="1"/>
        <v>0</v>
      </c>
      <c r="O7" s="48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</row>
    <row r="8" spans="1:44">
      <c r="A8" s="1">
        <v>2004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8">
        <f t="shared" si="1"/>
        <v>0</v>
      </c>
      <c r="O8" s="48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</row>
    <row r="9" spans="1:44">
      <c r="A9" s="1">
        <v>2005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78">
        <f t="shared" si="1"/>
        <v>0</v>
      </c>
      <c r="O9" s="48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</row>
    <row r="10" spans="1:44">
      <c r="A10" s="1">
        <v>2006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78">
        <f t="shared" si="1"/>
        <v>0</v>
      </c>
      <c r="O10" s="48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</row>
    <row r="11" spans="1:44">
      <c r="A11" s="1">
        <v>2007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178">
        <f t="shared" si="1"/>
        <v>0</v>
      </c>
      <c r="O11" s="48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</row>
    <row r="12" spans="1:44">
      <c r="A12" s="1">
        <v>2008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78">
        <f t="shared" si="1"/>
        <v>0</v>
      </c>
      <c r="O12" s="48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</row>
    <row r="13" spans="1:44">
      <c r="A13" s="1">
        <v>2009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78">
        <f t="shared" si="1"/>
        <v>0</v>
      </c>
      <c r="O13" s="48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</row>
    <row r="14" spans="1:44">
      <c r="A14" s="1">
        <v>2010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78">
        <f t="shared" si="1"/>
        <v>0</v>
      </c>
      <c r="O14" s="48"/>
    </row>
    <row r="15" spans="1:44">
      <c r="A15" s="1">
        <v>2011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178">
        <f t="shared" si="1"/>
        <v>0</v>
      </c>
      <c r="O15" s="48"/>
    </row>
    <row r="16" spans="1:44">
      <c r="A16" s="1">
        <v>2012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178">
        <f t="shared" si="1"/>
        <v>0</v>
      </c>
      <c r="O16" s="48"/>
    </row>
    <row r="17" spans="1:29">
      <c r="A17" s="1">
        <v>2013</v>
      </c>
      <c r="B17" s="4"/>
      <c r="C17" s="4"/>
      <c r="D17" s="4"/>
      <c r="E17" s="4"/>
      <c r="F17" s="4"/>
      <c r="G17" s="8"/>
      <c r="H17" s="8"/>
      <c r="I17" s="8"/>
      <c r="J17" s="8"/>
      <c r="K17" s="8"/>
      <c r="L17" s="8"/>
      <c r="M17" s="8"/>
      <c r="N17" s="178">
        <f t="shared" si="1"/>
        <v>0</v>
      </c>
      <c r="O17" s="180"/>
    </row>
    <row r="18" spans="1:29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4">
        <f>SUM(N2:N17)</f>
        <v>190.01999999999998</v>
      </c>
      <c r="O18" s="4">
        <f>SUM(O2:O17)</f>
        <v>3806</v>
      </c>
    </row>
    <row r="21" spans="1:29">
      <c r="A21" s="2" t="s">
        <v>140</v>
      </c>
    </row>
    <row r="22" spans="1:29">
      <c r="B22" s="5" t="s">
        <v>141</v>
      </c>
    </row>
    <row r="24" spans="1:29">
      <c r="B24" s="478" t="s">
        <v>142</v>
      </c>
      <c r="C24" s="478"/>
      <c r="D24" s="478"/>
      <c r="E24" s="478"/>
      <c r="F24" s="478"/>
      <c r="G24" s="478"/>
      <c r="H24" s="478"/>
      <c r="I24" s="478"/>
      <c r="J24" s="478"/>
      <c r="K24" s="478"/>
      <c r="L24" s="478"/>
      <c r="M24" s="478"/>
      <c r="N24" s="478"/>
      <c r="O24" s="478"/>
      <c r="P24" s="478"/>
    </row>
    <row r="26" spans="1:29">
      <c r="A26" s="1">
        <v>1998</v>
      </c>
      <c r="B26" s="8"/>
      <c r="C26" s="8"/>
      <c r="D26" s="8"/>
      <c r="E26" s="8"/>
      <c r="F26" s="8"/>
      <c r="G26" s="8"/>
      <c r="H26" s="8"/>
      <c r="I26" s="4">
        <f>I2*6/9</f>
        <v>0.88</v>
      </c>
      <c r="J26" s="4">
        <f t="shared" ref="J26:N26" si="2">J2*6/9</f>
        <v>3.6933333333333334</v>
      </c>
      <c r="K26" s="4">
        <f t="shared" si="2"/>
        <v>4.0466666666666669</v>
      </c>
      <c r="L26" s="4">
        <f t="shared" si="2"/>
        <v>3.34</v>
      </c>
      <c r="M26" s="4">
        <f t="shared" si="2"/>
        <v>9.8466666666666676</v>
      </c>
      <c r="N26" s="4">
        <f t="shared" si="2"/>
        <v>21.806666666666661</v>
      </c>
      <c r="O26" s="4">
        <v>461</v>
      </c>
      <c r="P26" s="169"/>
      <c r="Q26" s="169"/>
      <c r="R26" s="169"/>
      <c r="S26" s="169"/>
      <c r="T26" s="169"/>
      <c r="U26" s="169"/>
      <c r="V26" s="169"/>
      <c r="W26" s="169"/>
      <c r="X26" s="181">
        <f t="shared" ref="X26:AB26" si="3">X2*6/9</f>
        <v>19.333333333333332</v>
      </c>
      <c r="Y26" s="181">
        <f t="shared" si="3"/>
        <v>80.666666666666671</v>
      </c>
      <c r="Z26" s="181">
        <f t="shared" si="3"/>
        <v>86.666666666666671</v>
      </c>
      <c r="AA26" s="181">
        <f t="shared" si="3"/>
        <v>70.666666666666671</v>
      </c>
      <c r="AB26" s="181">
        <f t="shared" si="3"/>
        <v>204</v>
      </c>
      <c r="AC26" s="170">
        <f>SUM(X26:AB26)</f>
        <v>461.33333333333337</v>
      </c>
    </row>
    <row r="27" spans="1:29">
      <c r="A27" s="1">
        <v>1999</v>
      </c>
      <c r="B27" s="4">
        <f t="shared" ref="B27:N41" si="4">B3*6/9</f>
        <v>1.2333333333333334</v>
      </c>
      <c r="C27" s="4">
        <f t="shared" si="4"/>
        <v>1.2333333333333334</v>
      </c>
      <c r="D27" s="4">
        <f t="shared" si="4"/>
        <v>4.3266666666666662</v>
      </c>
      <c r="E27" s="4">
        <f t="shared" si="4"/>
        <v>1.9333333333333331</v>
      </c>
      <c r="F27" s="4">
        <f t="shared" si="4"/>
        <v>2.46</v>
      </c>
      <c r="G27" s="4">
        <f t="shared" si="4"/>
        <v>2.8133333333333335</v>
      </c>
      <c r="H27" s="4">
        <f t="shared" si="4"/>
        <v>4.3933333333333335</v>
      </c>
      <c r="I27" s="4">
        <f t="shared" si="4"/>
        <v>3.8666666666666663</v>
      </c>
      <c r="J27" s="4">
        <f t="shared" si="4"/>
        <v>8.966666666666665</v>
      </c>
      <c r="K27" s="4">
        <f t="shared" si="4"/>
        <v>6.1533333333333333</v>
      </c>
      <c r="L27" s="4">
        <f t="shared" si="4"/>
        <v>4.2200000000000006</v>
      </c>
      <c r="M27" s="4">
        <f t="shared" si="4"/>
        <v>1.9333333333333331</v>
      </c>
      <c r="N27" s="4">
        <f t="shared" si="4"/>
        <v>43.533333333333339</v>
      </c>
      <c r="O27" s="4">
        <v>789</v>
      </c>
      <c r="P27" s="169"/>
      <c r="Q27" s="181">
        <f t="shared" ref="Q27:AB27" si="5">Q3*6/9</f>
        <v>24.666666666666668</v>
      </c>
      <c r="R27" s="181">
        <f t="shared" si="5"/>
        <v>24.666666666666668</v>
      </c>
      <c r="S27" s="181">
        <f t="shared" si="5"/>
        <v>84.666666666666671</v>
      </c>
      <c r="T27" s="181">
        <f t="shared" si="5"/>
        <v>37.333333333333336</v>
      </c>
      <c r="U27" s="181">
        <f t="shared" si="5"/>
        <v>46.666666666666664</v>
      </c>
      <c r="V27" s="181">
        <f t="shared" si="5"/>
        <v>52</v>
      </c>
      <c r="W27" s="181">
        <f t="shared" si="5"/>
        <v>80.666666666666671</v>
      </c>
      <c r="X27" s="181">
        <f t="shared" si="5"/>
        <v>69.333333333333329</v>
      </c>
      <c r="Y27" s="181">
        <f t="shared" si="5"/>
        <v>158.66666666666666</v>
      </c>
      <c r="Z27" s="181">
        <f t="shared" si="5"/>
        <v>106.66666666666667</v>
      </c>
      <c r="AA27" s="181">
        <f t="shared" si="5"/>
        <v>72</v>
      </c>
      <c r="AB27" s="181">
        <f t="shared" si="5"/>
        <v>32</v>
      </c>
      <c r="AC27" s="170">
        <f>SUM(Q27:AB27)</f>
        <v>789.33333333333326</v>
      </c>
    </row>
    <row r="28" spans="1:29">
      <c r="A28" s="1">
        <v>2000</v>
      </c>
      <c r="B28" s="4">
        <f t="shared" si="4"/>
        <v>1.58</v>
      </c>
      <c r="C28" s="4">
        <f t="shared" si="4"/>
        <v>2.1066666666666669</v>
      </c>
      <c r="D28" s="4">
        <f t="shared" si="4"/>
        <v>3.34</v>
      </c>
      <c r="E28" s="4">
        <f t="shared" si="4"/>
        <v>2.1066666666666669</v>
      </c>
      <c r="F28" s="4">
        <f t="shared" si="4"/>
        <v>4.2200000000000006</v>
      </c>
      <c r="G28" s="4">
        <f t="shared" si="4"/>
        <v>3.1666666666666665</v>
      </c>
      <c r="H28" s="4">
        <f t="shared" si="4"/>
        <v>3.1666666666666665</v>
      </c>
      <c r="I28" s="4">
        <f t="shared" si="4"/>
        <v>6.5066666666666668</v>
      </c>
      <c r="J28" s="4">
        <f t="shared" si="4"/>
        <v>2.9866666666666668</v>
      </c>
      <c r="K28" s="4">
        <f t="shared" si="4"/>
        <v>3.8666666666666663</v>
      </c>
      <c r="L28" s="4">
        <f t="shared" si="4"/>
        <v>5.4466666666666663</v>
      </c>
      <c r="M28" s="4">
        <f t="shared" si="4"/>
        <v>4.92</v>
      </c>
      <c r="N28" s="4">
        <f t="shared" si="4"/>
        <v>43.413333333333327</v>
      </c>
      <c r="O28" s="4">
        <v>657</v>
      </c>
      <c r="P28" s="169"/>
      <c r="Q28" s="181">
        <f t="shared" ref="Q28:AB28" si="6">Q4*6/9</f>
        <v>26</v>
      </c>
      <c r="R28" s="181">
        <f t="shared" si="6"/>
        <v>34</v>
      </c>
      <c r="S28" s="181">
        <f t="shared" si="6"/>
        <v>53.333333333333336</v>
      </c>
      <c r="T28" s="181">
        <f t="shared" si="6"/>
        <v>33.333333333333336</v>
      </c>
      <c r="U28" s="181">
        <f t="shared" si="6"/>
        <v>66</v>
      </c>
      <c r="V28" s="181">
        <f t="shared" si="6"/>
        <v>48.666666666666664</v>
      </c>
      <c r="W28" s="181">
        <f t="shared" si="6"/>
        <v>48</v>
      </c>
      <c r="X28" s="181">
        <f t="shared" si="6"/>
        <v>98</v>
      </c>
      <c r="Y28" s="181">
        <f t="shared" si="6"/>
        <v>44</v>
      </c>
      <c r="Z28" s="181">
        <f t="shared" si="6"/>
        <v>56.666666666666664</v>
      </c>
      <c r="AA28" s="181">
        <f t="shared" si="6"/>
        <v>78.666666666666671</v>
      </c>
      <c r="AB28" s="181">
        <f t="shared" si="6"/>
        <v>70</v>
      </c>
      <c r="AC28" s="170">
        <f t="shared" ref="AC28:AC30" si="7">SUM(Q28:AB28)</f>
        <v>656.66666666666674</v>
      </c>
    </row>
    <row r="29" spans="1:29">
      <c r="A29" s="1">
        <v>2001</v>
      </c>
      <c r="B29" s="4">
        <f t="shared" si="4"/>
        <v>2.9866666666666668</v>
      </c>
      <c r="C29" s="4">
        <f t="shared" si="4"/>
        <v>6.1533333333333333</v>
      </c>
      <c r="D29" s="4">
        <f t="shared" si="4"/>
        <v>2.8133333333333335</v>
      </c>
      <c r="E29" s="4">
        <f t="shared" si="4"/>
        <v>2.2866666666666671</v>
      </c>
      <c r="F29" s="4">
        <f t="shared" si="4"/>
        <v>1.9333333333333331</v>
      </c>
      <c r="G29" s="4">
        <f t="shared" si="4"/>
        <v>3.34</v>
      </c>
      <c r="H29" s="4">
        <f t="shared" si="4"/>
        <v>3.8666666666666663</v>
      </c>
      <c r="I29" s="4">
        <f t="shared" si="4"/>
        <v>5.1000000000000005</v>
      </c>
      <c r="J29" s="4">
        <f t="shared" si="4"/>
        <v>2.8133333333333335</v>
      </c>
      <c r="K29" s="4">
        <f t="shared" si="4"/>
        <v>1.58</v>
      </c>
      <c r="L29" s="4">
        <f t="shared" si="4"/>
        <v>3.5133333333333332</v>
      </c>
      <c r="M29" s="4">
        <f t="shared" si="4"/>
        <v>4.92</v>
      </c>
      <c r="N29" s="4">
        <f t="shared" si="4"/>
        <v>17.926666666666666</v>
      </c>
      <c r="O29" s="4">
        <v>551</v>
      </c>
      <c r="P29" s="169"/>
      <c r="Q29" s="181">
        <f t="shared" ref="Q29:AB29" si="8">Q5*6/9</f>
        <v>42</v>
      </c>
      <c r="R29" s="181">
        <f t="shared" si="8"/>
        <v>86</v>
      </c>
      <c r="S29" s="181">
        <f t="shared" si="8"/>
        <v>38.666666666666664</v>
      </c>
      <c r="T29" s="181">
        <f t="shared" si="8"/>
        <v>31.333333333333332</v>
      </c>
      <c r="U29" s="181">
        <f t="shared" si="8"/>
        <v>26</v>
      </c>
      <c r="V29" s="181">
        <f t="shared" si="8"/>
        <v>44.666666666666664</v>
      </c>
      <c r="W29" s="181">
        <f t="shared" si="8"/>
        <v>51.333333333333336</v>
      </c>
      <c r="X29" s="181">
        <f t="shared" si="8"/>
        <v>67.333333333333329</v>
      </c>
      <c r="Y29" s="181">
        <f t="shared" si="8"/>
        <v>36.666666666666664</v>
      </c>
      <c r="Z29" s="181">
        <f t="shared" si="8"/>
        <v>20</v>
      </c>
      <c r="AA29" s="181">
        <f t="shared" si="8"/>
        <v>44.666666666666664</v>
      </c>
      <c r="AB29" s="181">
        <f t="shared" si="8"/>
        <v>62</v>
      </c>
      <c r="AC29" s="170">
        <f t="shared" si="7"/>
        <v>550.66666666666674</v>
      </c>
    </row>
    <row r="30" spans="1:29">
      <c r="A30" s="1">
        <v>2002</v>
      </c>
      <c r="B30" s="4">
        <f t="shared" si="4"/>
        <v>1.0533333333333335</v>
      </c>
      <c r="C30" s="4">
        <f t="shared" si="4"/>
        <v>2.1066666666666669</v>
      </c>
      <c r="D30" s="4">
        <f t="shared" si="4"/>
        <v>3.34</v>
      </c>
      <c r="E30" s="4">
        <f t="shared" si="4"/>
        <v>0</v>
      </c>
      <c r="F30" s="4">
        <f t="shared" si="4"/>
        <v>0</v>
      </c>
      <c r="G30" s="4">
        <f t="shared" si="4"/>
        <v>0</v>
      </c>
      <c r="H30" s="4">
        <f t="shared" si="4"/>
        <v>0</v>
      </c>
      <c r="I30" s="4">
        <f t="shared" si="4"/>
        <v>0</v>
      </c>
      <c r="J30" s="4">
        <f t="shared" si="4"/>
        <v>0</v>
      </c>
      <c r="K30" s="4">
        <f t="shared" si="4"/>
        <v>0</v>
      </c>
      <c r="L30" s="4">
        <f t="shared" si="4"/>
        <v>0</v>
      </c>
      <c r="M30" s="4">
        <f t="shared" si="4"/>
        <v>0</v>
      </c>
      <c r="N30" s="4">
        <f t="shared" si="4"/>
        <v>0</v>
      </c>
      <c r="O30" s="4">
        <v>79</v>
      </c>
      <c r="P30" s="169"/>
      <c r="Q30" s="181">
        <f t="shared" ref="Q30:AB30" si="9">Q6*6/9</f>
        <v>12.666666666666666</v>
      </c>
      <c r="R30" s="181">
        <f t="shared" si="9"/>
        <v>26</v>
      </c>
      <c r="S30" s="181">
        <f t="shared" si="9"/>
        <v>40.666666666666664</v>
      </c>
      <c r="T30" s="181"/>
      <c r="U30" s="181"/>
      <c r="V30" s="181"/>
      <c r="W30" s="181">
        <f t="shared" si="9"/>
        <v>0</v>
      </c>
      <c r="X30" s="181">
        <f t="shared" si="9"/>
        <v>0</v>
      </c>
      <c r="Y30" s="181">
        <f t="shared" si="9"/>
        <v>0</v>
      </c>
      <c r="Z30" s="181">
        <f t="shared" si="9"/>
        <v>0</v>
      </c>
      <c r="AA30" s="181">
        <f t="shared" si="9"/>
        <v>0</v>
      </c>
      <c r="AB30" s="181">
        <f t="shared" si="9"/>
        <v>0</v>
      </c>
      <c r="AC30" s="170">
        <f t="shared" si="7"/>
        <v>79.333333333333329</v>
      </c>
    </row>
    <row r="31" spans="1:29">
      <c r="A31" s="1">
        <v>2003</v>
      </c>
      <c r="B31" s="4">
        <f t="shared" si="4"/>
        <v>0</v>
      </c>
      <c r="C31" s="4">
        <f t="shared" si="4"/>
        <v>0</v>
      </c>
      <c r="D31" s="4">
        <f t="shared" si="4"/>
        <v>0</v>
      </c>
      <c r="E31" s="4">
        <f t="shared" si="4"/>
        <v>0</v>
      </c>
      <c r="F31" s="4">
        <f t="shared" si="4"/>
        <v>0</v>
      </c>
      <c r="G31" s="4">
        <f t="shared" si="4"/>
        <v>0</v>
      </c>
      <c r="H31" s="4">
        <f t="shared" si="4"/>
        <v>0</v>
      </c>
      <c r="I31" s="4">
        <f t="shared" si="4"/>
        <v>0</v>
      </c>
      <c r="J31" s="4">
        <f t="shared" si="4"/>
        <v>0</v>
      </c>
      <c r="K31" s="4">
        <f t="shared" si="4"/>
        <v>0</v>
      </c>
      <c r="L31" s="4">
        <f t="shared" si="4"/>
        <v>0</v>
      </c>
      <c r="M31" s="4">
        <f t="shared" si="4"/>
        <v>0</v>
      </c>
      <c r="N31" s="4">
        <f t="shared" si="4"/>
        <v>0</v>
      </c>
      <c r="O31" s="4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</row>
    <row r="32" spans="1:29">
      <c r="A32" s="1">
        <v>2004</v>
      </c>
      <c r="B32" s="4">
        <f t="shared" si="4"/>
        <v>0</v>
      </c>
      <c r="C32" s="4">
        <f t="shared" si="4"/>
        <v>0</v>
      </c>
      <c r="D32" s="4">
        <f t="shared" si="4"/>
        <v>0</v>
      </c>
      <c r="E32" s="4">
        <f t="shared" si="4"/>
        <v>0</v>
      </c>
      <c r="F32" s="4">
        <f t="shared" si="4"/>
        <v>0</v>
      </c>
      <c r="G32" s="4">
        <f t="shared" si="4"/>
        <v>0</v>
      </c>
      <c r="H32" s="4">
        <f t="shared" si="4"/>
        <v>0</v>
      </c>
      <c r="I32" s="4">
        <f t="shared" si="4"/>
        <v>0</v>
      </c>
      <c r="J32" s="4">
        <f t="shared" si="4"/>
        <v>0</v>
      </c>
      <c r="K32" s="4">
        <f t="shared" si="4"/>
        <v>0</v>
      </c>
      <c r="L32" s="4">
        <f t="shared" si="4"/>
        <v>0</v>
      </c>
      <c r="M32" s="4">
        <f t="shared" si="4"/>
        <v>0</v>
      </c>
      <c r="N32" s="4">
        <f t="shared" si="4"/>
        <v>0</v>
      </c>
      <c r="O32" s="4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</row>
    <row r="33" spans="1:29">
      <c r="A33" s="1">
        <v>2005</v>
      </c>
      <c r="B33" s="4">
        <f t="shared" si="4"/>
        <v>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178"/>
      <c r="O33" s="48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</row>
    <row r="34" spans="1:29">
      <c r="A34" s="1">
        <v>2006</v>
      </c>
      <c r="B34" s="4">
        <f t="shared" si="4"/>
        <v>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178"/>
      <c r="O34" s="48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</row>
    <row r="35" spans="1:29">
      <c r="A35" s="1">
        <v>2007</v>
      </c>
      <c r="B35" s="4">
        <f t="shared" si="4"/>
        <v>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178"/>
      <c r="O35" s="48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</row>
    <row r="36" spans="1:29">
      <c r="A36" s="1">
        <v>2008</v>
      </c>
      <c r="B36" s="4">
        <f t="shared" si="4"/>
        <v>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178"/>
      <c r="O36" s="48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</row>
    <row r="37" spans="1:29">
      <c r="A37" s="1">
        <v>2009</v>
      </c>
      <c r="B37" s="4">
        <f t="shared" si="4"/>
        <v>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178"/>
      <c r="O37" s="48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</row>
    <row r="38" spans="1:29">
      <c r="A38" s="1">
        <v>2010</v>
      </c>
      <c r="B38" s="4">
        <f t="shared" si="4"/>
        <v>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178"/>
      <c r="O38" s="48"/>
    </row>
    <row r="39" spans="1:29">
      <c r="A39" s="1">
        <v>2011</v>
      </c>
      <c r="B39" s="4">
        <f t="shared" si="4"/>
        <v>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178"/>
      <c r="O39" s="48"/>
    </row>
    <row r="40" spans="1:29">
      <c r="A40" s="1">
        <v>2012</v>
      </c>
      <c r="B40" s="4">
        <f t="shared" si="4"/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178"/>
      <c r="O40" s="48"/>
    </row>
    <row r="41" spans="1:29">
      <c r="A41" s="1">
        <v>2013</v>
      </c>
      <c r="B41" s="4">
        <f t="shared" si="4"/>
        <v>0</v>
      </c>
      <c r="C41" s="4"/>
      <c r="D41" s="4"/>
      <c r="E41" s="4"/>
      <c r="F41" s="4"/>
      <c r="G41" s="8"/>
      <c r="H41" s="8"/>
      <c r="I41" s="8"/>
      <c r="J41" s="8"/>
      <c r="K41" s="8"/>
      <c r="L41" s="8"/>
      <c r="M41" s="8"/>
      <c r="N41" s="178"/>
      <c r="O41" s="180"/>
    </row>
    <row r="42" spans="1:29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4">
        <f>SUM(N26:N41)</f>
        <v>126.67999999999999</v>
      </c>
      <c r="O42" s="4">
        <f>SUM(O26:O41)</f>
        <v>2537</v>
      </c>
    </row>
  </sheetData>
  <mergeCells count="1">
    <mergeCell ref="B24:P2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00"/>
  <sheetViews>
    <sheetView workbookViewId="0">
      <selection activeCell="J11" sqref="J11"/>
    </sheetView>
  </sheetViews>
  <sheetFormatPr defaultRowHeight="12.75"/>
  <cols>
    <col min="1" max="1" width="5" style="2" bestFit="1" customWidth="1"/>
    <col min="2" max="2" width="7" style="2" bestFit="1" customWidth="1"/>
    <col min="3" max="3" width="8" style="2" bestFit="1" customWidth="1"/>
    <col min="4" max="5" width="3.88671875" style="2" bestFit="1" customWidth="1"/>
    <col min="6" max="6" width="5.6640625" style="2" bestFit="1" customWidth="1"/>
    <col min="7" max="7" width="7" style="2" bestFit="1" customWidth="1"/>
    <col min="8" max="8" width="8.33203125" style="2" bestFit="1" customWidth="1"/>
    <col min="9" max="9" width="8" style="2" bestFit="1" customWidth="1"/>
    <col min="10" max="10" width="9" style="2" bestFit="1" customWidth="1"/>
    <col min="11" max="11" width="8" style="2" bestFit="1" customWidth="1"/>
    <col min="12" max="13" width="9" style="2" bestFit="1" customWidth="1"/>
    <col min="14" max="14" width="8.88671875" style="2"/>
    <col min="15" max="15" width="6" style="2" bestFit="1" customWidth="1"/>
    <col min="16" max="18" width="5.109375" style="2" customWidth="1"/>
    <col min="19" max="19" width="8.88671875" style="2"/>
    <col min="20" max="20" width="10.44140625" style="2" customWidth="1"/>
    <col min="21" max="21" width="5.21875" style="2" bestFit="1" customWidth="1"/>
    <col min="22" max="22" width="9.33203125" style="2" customWidth="1"/>
    <col min="23" max="23" width="5.44140625" style="2" bestFit="1" customWidth="1"/>
    <col min="24" max="24" width="10.88671875" style="2" customWidth="1"/>
    <col min="25" max="25" width="7.44140625" style="2" customWidth="1"/>
    <col min="26" max="26" width="10.44140625" style="2" bestFit="1" customWidth="1"/>
    <col min="27" max="27" width="5" style="2" bestFit="1" customWidth="1"/>
    <col min="28" max="28" width="7" style="2" bestFit="1" customWidth="1"/>
    <col min="29" max="29" width="8" style="2" bestFit="1" customWidth="1"/>
    <col min="30" max="31" width="3.88671875" style="2" bestFit="1" customWidth="1"/>
    <col min="32" max="32" width="5.6640625" style="2" bestFit="1" customWidth="1"/>
    <col min="33" max="33" width="7" style="2" bestFit="1" customWidth="1"/>
    <col min="34" max="34" width="8.33203125" style="2" bestFit="1" customWidth="1"/>
    <col min="35" max="35" width="8.33203125" style="2" customWidth="1"/>
    <col min="36" max="36" width="8" style="2" bestFit="1" customWidth="1"/>
    <col min="37" max="39" width="9" style="2" bestFit="1" customWidth="1"/>
    <col min="40" max="16384" width="8.88671875" style="2"/>
  </cols>
  <sheetData>
    <row r="1" spans="1:27" ht="15">
      <c r="A1" s="442" t="s">
        <v>18</v>
      </c>
      <c r="B1" s="444" t="s">
        <v>4</v>
      </c>
      <c r="C1" s="366" t="s">
        <v>5</v>
      </c>
      <c r="D1" s="446" t="s">
        <v>6</v>
      </c>
      <c r="E1" s="366" t="s">
        <v>7</v>
      </c>
      <c r="F1" s="444" t="s">
        <v>2</v>
      </c>
      <c r="G1" s="366" t="s">
        <v>8</v>
      </c>
      <c r="H1" s="463" t="s">
        <v>9</v>
      </c>
      <c r="I1" s="366" t="s">
        <v>10</v>
      </c>
      <c r="J1" s="444" t="s">
        <v>11</v>
      </c>
      <c r="K1" s="366" t="s">
        <v>12</v>
      </c>
      <c r="L1" s="463" t="s">
        <v>13</v>
      </c>
      <c r="M1" s="465" t="s">
        <v>14</v>
      </c>
      <c r="N1" s="467" t="s">
        <v>16</v>
      </c>
      <c r="O1" s="467"/>
      <c r="P1" s="467"/>
      <c r="T1" s="362" t="s">
        <v>71</v>
      </c>
      <c r="U1" s="362"/>
      <c r="V1" s="362"/>
      <c r="W1" s="362"/>
      <c r="X1" s="362"/>
      <c r="Y1" s="362"/>
      <c r="Z1" s="90"/>
      <c r="AA1" s="90"/>
    </row>
    <row r="2" spans="1:27" ht="15.75" customHeight="1" thickBot="1">
      <c r="A2" s="443"/>
      <c r="B2" s="445"/>
      <c r="C2" s="368"/>
      <c r="D2" s="447"/>
      <c r="E2" s="368"/>
      <c r="F2" s="445"/>
      <c r="G2" s="368"/>
      <c r="H2" s="464"/>
      <c r="I2" s="368"/>
      <c r="J2" s="445"/>
      <c r="K2" s="368"/>
      <c r="L2" s="464"/>
      <c r="M2" s="466"/>
      <c r="N2" s="87" t="s">
        <v>27</v>
      </c>
      <c r="O2" s="87" t="s">
        <v>50</v>
      </c>
      <c r="P2" s="88" t="s">
        <v>34</v>
      </c>
      <c r="T2" s="362"/>
      <c r="U2" s="362"/>
      <c r="V2" s="362"/>
      <c r="W2" s="362"/>
      <c r="X2" s="362"/>
      <c r="Y2" s="362"/>
      <c r="Z2" s="90"/>
      <c r="AA2" s="90"/>
    </row>
    <row r="3" spans="1:27" ht="12.75" customHeight="1">
      <c r="A3" s="7">
        <v>1998</v>
      </c>
      <c r="B3" s="9"/>
      <c r="C3" s="9"/>
      <c r="D3" s="9"/>
      <c r="E3" s="9"/>
      <c r="F3" s="9"/>
      <c r="G3" s="9"/>
      <c r="H3" s="9"/>
      <c r="I3" s="123"/>
      <c r="J3" s="125"/>
      <c r="K3" s="76"/>
      <c r="L3" s="76"/>
      <c r="M3" s="59"/>
      <c r="N3" s="59">
        <f>K27</f>
        <v>0</v>
      </c>
      <c r="O3" s="59">
        <f t="shared" ref="O3:P18" si="0">L27</f>
        <v>0</v>
      </c>
      <c r="P3" s="59">
        <f t="shared" si="0"/>
        <v>0</v>
      </c>
      <c r="T3" s="482" t="s">
        <v>45</v>
      </c>
      <c r="U3" s="479" t="s">
        <v>44</v>
      </c>
      <c r="V3" s="482" t="s">
        <v>45</v>
      </c>
      <c r="W3" s="451" t="s">
        <v>61</v>
      </c>
      <c r="X3" s="482" t="s">
        <v>45</v>
      </c>
      <c r="Y3" s="451" t="s">
        <v>46</v>
      </c>
    </row>
    <row r="4" spans="1:27">
      <c r="A4" s="1">
        <v>1999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9">
        <f t="shared" ref="N4:N18" si="1">K28</f>
        <v>0</v>
      </c>
      <c r="O4" s="59">
        <f t="shared" si="0"/>
        <v>0</v>
      </c>
      <c r="P4" s="59">
        <f t="shared" si="0"/>
        <v>0</v>
      </c>
      <c r="T4" s="482"/>
      <c r="U4" s="479"/>
      <c r="V4" s="482"/>
      <c r="W4" s="451"/>
      <c r="X4" s="482"/>
      <c r="Y4" s="451"/>
    </row>
    <row r="5" spans="1:27">
      <c r="A5" s="1">
        <v>2000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59">
        <f t="shared" si="1"/>
        <v>0</v>
      </c>
      <c r="O5" s="59">
        <f t="shared" si="0"/>
        <v>0</v>
      </c>
      <c r="P5" s="59">
        <f t="shared" si="0"/>
        <v>0</v>
      </c>
      <c r="T5" s="482"/>
      <c r="U5" s="479"/>
      <c r="V5" s="482"/>
      <c r="W5" s="451"/>
      <c r="X5" s="482"/>
      <c r="Y5" s="451"/>
    </row>
    <row r="6" spans="1:27">
      <c r="A6" s="1">
        <v>2001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59">
        <f t="shared" si="1"/>
        <v>0</v>
      </c>
      <c r="O6" s="59">
        <f t="shared" si="0"/>
        <v>0</v>
      </c>
      <c r="P6" s="59">
        <f t="shared" si="0"/>
        <v>0</v>
      </c>
      <c r="T6" s="482"/>
      <c r="U6" s="479"/>
      <c r="V6" s="482"/>
      <c r="W6" s="451"/>
      <c r="X6" s="482"/>
      <c r="Y6" s="451"/>
    </row>
    <row r="7" spans="1:27">
      <c r="A7" s="1">
        <v>2002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59">
        <f t="shared" si="1"/>
        <v>0</v>
      </c>
      <c r="O7" s="59">
        <f t="shared" si="0"/>
        <v>0</v>
      </c>
      <c r="P7" s="59">
        <f t="shared" si="0"/>
        <v>0</v>
      </c>
      <c r="T7" s="482"/>
      <c r="U7" s="479"/>
      <c r="V7" s="482"/>
      <c r="W7" s="451"/>
      <c r="X7" s="482"/>
      <c r="Y7" s="451"/>
    </row>
    <row r="8" spans="1:27">
      <c r="A8" s="1">
        <v>2003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59">
        <f t="shared" si="1"/>
        <v>0</v>
      </c>
      <c r="O8" s="59">
        <f t="shared" si="0"/>
        <v>0</v>
      </c>
      <c r="P8" s="59">
        <f t="shared" si="0"/>
        <v>0</v>
      </c>
      <c r="T8" s="482"/>
      <c r="U8" s="479"/>
      <c r="V8" s="482"/>
      <c r="W8" s="451"/>
      <c r="X8" s="482"/>
      <c r="Y8" s="451"/>
    </row>
    <row r="9" spans="1:27" ht="15" customHeight="1">
      <c r="A9" s="1">
        <v>2004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59">
        <f t="shared" si="1"/>
        <v>0</v>
      </c>
      <c r="O9" s="59">
        <f t="shared" si="0"/>
        <v>0</v>
      </c>
      <c r="P9" s="59">
        <f t="shared" si="0"/>
        <v>0</v>
      </c>
      <c r="T9" s="482"/>
      <c r="U9" s="479"/>
      <c r="V9" s="482"/>
      <c r="W9" s="451"/>
      <c r="X9" s="482"/>
      <c r="Y9" s="451"/>
    </row>
    <row r="10" spans="1:27" ht="15" customHeight="1">
      <c r="A10" s="1">
        <v>2005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59">
        <f t="shared" si="1"/>
        <v>0</v>
      </c>
      <c r="O10" s="59">
        <f t="shared" si="0"/>
        <v>0</v>
      </c>
      <c r="P10" s="59">
        <f t="shared" si="0"/>
        <v>0</v>
      </c>
      <c r="T10" s="482"/>
      <c r="U10" s="479"/>
      <c r="V10" s="482"/>
      <c r="W10" s="451"/>
      <c r="X10" s="482"/>
      <c r="Y10" s="451"/>
    </row>
    <row r="11" spans="1:27" ht="15" customHeight="1">
      <c r="A11" s="1">
        <v>2006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59">
        <f t="shared" si="1"/>
        <v>0</v>
      </c>
      <c r="O11" s="59">
        <f t="shared" si="0"/>
        <v>0</v>
      </c>
      <c r="P11" s="59">
        <f t="shared" si="0"/>
        <v>0</v>
      </c>
      <c r="T11" s="482"/>
      <c r="U11" s="479"/>
      <c r="V11" s="482"/>
      <c r="W11" s="451"/>
      <c r="X11" s="482"/>
      <c r="Y11" s="451"/>
    </row>
    <row r="12" spans="1:27">
      <c r="A12" s="1">
        <v>2007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59">
        <f t="shared" si="1"/>
        <v>0</v>
      </c>
      <c r="O12" s="59">
        <f t="shared" si="0"/>
        <v>0</v>
      </c>
      <c r="P12" s="59">
        <f t="shared" si="0"/>
        <v>0</v>
      </c>
      <c r="T12" s="77">
        <v>192.36</v>
      </c>
      <c r="U12" s="479"/>
      <c r="V12" s="77">
        <v>128.24</v>
      </c>
      <c r="W12" s="451"/>
      <c r="X12" s="77">
        <v>1816.7304999999999</v>
      </c>
      <c r="Y12" s="451"/>
    </row>
    <row r="13" spans="1:27">
      <c r="A13" s="1">
        <v>2008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59">
        <f t="shared" si="1"/>
        <v>0</v>
      </c>
      <c r="O13" s="59">
        <f t="shared" si="0"/>
        <v>0</v>
      </c>
      <c r="P13" s="59">
        <f t="shared" si="0"/>
        <v>0</v>
      </c>
      <c r="T13" s="77">
        <v>322.8</v>
      </c>
      <c r="U13" s="479"/>
      <c r="V13" s="77">
        <v>217.52</v>
      </c>
      <c r="W13" s="451"/>
      <c r="X13" s="77">
        <v>3279.4445000000001</v>
      </c>
      <c r="Y13" s="451"/>
    </row>
    <row r="14" spans="1:27">
      <c r="A14" s="1">
        <v>2009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59">
        <f t="shared" si="1"/>
        <v>0</v>
      </c>
      <c r="O14" s="59">
        <f t="shared" si="0"/>
        <v>0</v>
      </c>
      <c r="P14" s="59">
        <f t="shared" si="0"/>
        <v>0</v>
      </c>
      <c r="T14" s="77">
        <v>89.12</v>
      </c>
      <c r="U14" s="479"/>
      <c r="V14" s="77">
        <v>59.41</v>
      </c>
      <c r="W14" s="451"/>
      <c r="X14" s="77">
        <v>841.68700000000001</v>
      </c>
      <c r="Y14" s="451"/>
    </row>
    <row r="15" spans="1:27">
      <c r="A15" s="1">
        <v>2010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59">
        <f t="shared" si="1"/>
        <v>0</v>
      </c>
      <c r="O15" s="59">
        <f t="shared" si="0"/>
        <v>0</v>
      </c>
      <c r="P15" s="59">
        <f t="shared" si="0"/>
        <v>0</v>
      </c>
      <c r="T15" s="77">
        <v>103.55</v>
      </c>
      <c r="U15" s="479"/>
      <c r="V15" s="77">
        <v>69.03</v>
      </c>
      <c r="W15" s="451"/>
      <c r="X15" s="77">
        <v>977.97599999999989</v>
      </c>
      <c r="Y15" s="451"/>
    </row>
    <row r="16" spans="1:27">
      <c r="A16" s="1">
        <v>2011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59">
        <f t="shared" si="1"/>
        <v>0</v>
      </c>
      <c r="O16" s="59">
        <f t="shared" si="0"/>
        <v>0</v>
      </c>
      <c r="P16" s="59">
        <f t="shared" si="0"/>
        <v>0</v>
      </c>
      <c r="T16" s="480" t="s">
        <v>45</v>
      </c>
      <c r="U16" s="479"/>
      <c r="V16" s="480" t="s">
        <v>45</v>
      </c>
      <c r="W16" s="451"/>
      <c r="X16" s="480" t="s">
        <v>45</v>
      </c>
      <c r="Y16" s="451"/>
    </row>
    <row r="17" spans="1:26">
      <c r="A17" s="1">
        <v>2012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59">
        <f t="shared" si="1"/>
        <v>0</v>
      </c>
      <c r="O17" s="59">
        <f t="shared" si="0"/>
        <v>0</v>
      </c>
      <c r="P17" s="59">
        <f t="shared" si="0"/>
        <v>0</v>
      </c>
      <c r="T17" s="480"/>
      <c r="U17" s="479"/>
      <c r="V17" s="480"/>
      <c r="W17" s="451"/>
      <c r="X17" s="480"/>
      <c r="Y17" s="451"/>
    </row>
    <row r="18" spans="1:26">
      <c r="A18" s="1">
        <v>2013</v>
      </c>
      <c r="B18" s="3"/>
      <c r="C18" s="3"/>
      <c r="D18" s="3"/>
      <c r="E18" s="3"/>
      <c r="F18" s="3"/>
      <c r="G18" s="8"/>
      <c r="H18" s="8"/>
      <c r="I18" s="8"/>
      <c r="J18" s="8"/>
      <c r="K18" s="8"/>
      <c r="L18" s="8"/>
      <c r="M18" s="8"/>
      <c r="N18" s="59">
        <f t="shared" si="1"/>
        <v>0</v>
      </c>
      <c r="O18" s="59">
        <f t="shared" si="0"/>
        <v>0</v>
      </c>
      <c r="P18" s="59">
        <f t="shared" si="0"/>
        <v>0</v>
      </c>
      <c r="Q18" s="5"/>
      <c r="R18" s="5" t="s">
        <v>1</v>
      </c>
      <c r="S18" s="5" t="s">
        <v>2</v>
      </c>
      <c r="T18" s="481"/>
      <c r="U18" s="479"/>
      <c r="V18" s="481"/>
      <c r="W18" s="451"/>
      <c r="X18" s="481"/>
      <c r="Y18" s="451"/>
    </row>
    <row r="19" spans="1:26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3">
        <f>SUM(N3:N18)</f>
        <v>0</v>
      </c>
      <c r="O19" s="3">
        <f t="shared" ref="O19:P19" si="2">SUM(O3:O18)</f>
        <v>0</v>
      </c>
      <c r="P19" s="3">
        <f t="shared" si="2"/>
        <v>0</v>
      </c>
      <c r="T19" s="4">
        <f>SUM(T3:T18)</f>
        <v>707.83</v>
      </c>
      <c r="V19" s="48">
        <f>SUM(V3:V18)</f>
        <v>474.19999999999993</v>
      </c>
      <c r="X19" s="48">
        <f>SUM(X3:X18)</f>
        <v>6915.8379999999997</v>
      </c>
    </row>
    <row r="22" spans="1:26" s="10" customFormat="1" ht="15">
      <c r="Z22" s="2"/>
    </row>
    <row r="23" spans="1:26" s="10" customFormat="1" ht="15.75" customHeight="1">
      <c r="A23" s="426" t="s">
        <v>48</v>
      </c>
      <c r="B23" s="426"/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60"/>
      <c r="R23" s="60"/>
      <c r="S23" s="60"/>
      <c r="T23" s="121"/>
      <c r="U23" s="60"/>
      <c r="V23" s="60"/>
      <c r="W23" s="60"/>
      <c r="Z23" s="2"/>
    </row>
    <row r="24" spans="1:26" s="10" customFormat="1" ht="1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Z24" s="2"/>
    </row>
    <row r="25" spans="1:26" s="10" customFormat="1" ht="15">
      <c r="A25" s="427" t="s">
        <v>18</v>
      </c>
      <c r="B25" s="429" t="s">
        <v>20</v>
      </c>
      <c r="C25" s="431" t="s">
        <v>22</v>
      </c>
      <c r="D25" s="433" t="s">
        <v>21</v>
      </c>
      <c r="E25" s="434"/>
      <c r="F25" s="434"/>
      <c r="G25" s="435"/>
      <c r="H25" s="483" t="s">
        <v>23</v>
      </c>
      <c r="I25" s="483"/>
      <c r="J25" s="483"/>
      <c r="K25" s="452" t="s">
        <v>35</v>
      </c>
      <c r="L25" s="453"/>
      <c r="M25" s="453"/>
      <c r="Z25" s="2"/>
    </row>
    <row r="26" spans="1:26" s="10" customFormat="1" ht="15">
      <c r="A26" s="428"/>
      <c r="B26" s="430"/>
      <c r="C26" s="432"/>
      <c r="D26" s="436"/>
      <c r="E26" s="437"/>
      <c r="F26" s="437"/>
      <c r="G26" s="438"/>
      <c r="H26" s="49" t="s">
        <v>49</v>
      </c>
      <c r="I26" s="49" t="s">
        <v>34</v>
      </c>
      <c r="J26" s="93" t="s">
        <v>19</v>
      </c>
      <c r="K26" s="49" t="s">
        <v>27</v>
      </c>
      <c r="L26" s="49" t="s">
        <v>50</v>
      </c>
      <c r="M26" s="57" t="s">
        <v>34</v>
      </c>
      <c r="Z26" s="2"/>
    </row>
    <row r="27" spans="1:26" s="10" customFormat="1" ht="15">
      <c r="A27" s="13"/>
      <c r="B27" s="47"/>
      <c r="C27" s="54"/>
      <c r="D27" s="448"/>
      <c r="E27" s="449"/>
      <c r="F27" s="449"/>
      <c r="G27" s="450"/>
      <c r="H27" s="58"/>
      <c r="I27" s="58"/>
      <c r="J27" s="58">
        <f>H27-I27</f>
        <v>0</v>
      </c>
      <c r="K27" s="33">
        <f>J27*9%</f>
        <v>0</v>
      </c>
      <c r="L27" s="33">
        <f>J27*6%</f>
        <v>0</v>
      </c>
      <c r="M27" s="33">
        <f>J27-K27-L27</f>
        <v>0</v>
      </c>
      <c r="Z27" s="2"/>
    </row>
    <row r="28" spans="1:26" s="10" customFormat="1" ht="15">
      <c r="A28" s="13"/>
      <c r="B28" s="47"/>
      <c r="C28" s="54"/>
      <c r="D28" s="448"/>
      <c r="E28" s="449"/>
      <c r="F28" s="449"/>
      <c r="G28" s="450"/>
      <c r="H28" s="58"/>
      <c r="I28" s="58"/>
      <c r="J28" s="58">
        <f t="shared" ref="J28:J43" si="3">H28-I28</f>
        <v>0</v>
      </c>
      <c r="K28" s="33">
        <f t="shared" ref="K28:K43" si="4">J28*9%</f>
        <v>0</v>
      </c>
      <c r="L28" s="33">
        <f t="shared" ref="L28:L43" si="5">J28*6%</f>
        <v>0</v>
      </c>
      <c r="M28" s="33">
        <f t="shared" ref="M28:M43" si="6">J28-K28-L28</f>
        <v>0</v>
      </c>
      <c r="Z28" s="2"/>
    </row>
    <row r="29" spans="1:26" s="10" customFormat="1" ht="15">
      <c r="A29" s="13"/>
      <c r="B29" s="47"/>
      <c r="C29" s="54"/>
      <c r="D29" s="448"/>
      <c r="E29" s="449"/>
      <c r="F29" s="449"/>
      <c r="G29" s="450"/>
      <c r="H29" s="62"/>
      <c r="I29" s="62"/>
      <c r="J29" s="58">
        <f t="shared" si="3"/>
        <v>0</v>
      </c>
      <c r="K29" s="33">
        <f t="shared" si="4"/>
        <v>0</v>
      </c>
      <c r="L29" s="33">
        <f t="shared" si="5"/>
        <v>0</v>
      </c>
      <c r="M29" s="33">
        <f t="shared" si="6"/>
        <v>0</v>
      </c>
      <c r="Z29" s="2"/>
    </row>
    <row r="30" spans="1:26" s="10" customFormat="1" ht="15">
      <c r="A30" s="13"/>
      <c r="B30" s="47"/>
      <c r="C30" s="54"/>
      <c r="D30" s="448"/>
      <c r="E30" s="449"/>
      <c r="F30" s="449"/>
      <c r="G30" s="450"/>
      <c r="H30" s="62"/>
      <c r="I30" s="62"/>
      <c r="J30" s="58">
        <f t="shared" si="3"/>
        <v>0</v>
      </c>
      <c r="K30" s="33">
        <f t="shared" si="4"/>
        <v>0</v>
      </c>
      <c r="L30" s="33">
        <f t="shared" si="5"/>
        <v>0</v>
      </c>
      <c r="M30" s="33">
        <f t="shared" si="6"/>
        <v>0</v>
      </c>
      <c r="Z30" s="2"/>
    </row>
    <row r="31" spans="1:26" s="10" customFormat="1" ht="15">
      <c r="A31" s="13"/>
      <c r="B31" s="47"/>
      <c r="C31" s="54"/>
      <c r="D31" s="448"/>
      <c r="E31" s="449"/>
      <c r="F31" s="449"/>
      <c r="G31" s="450"/>
      <c r="H31" s="62"/>
      <c r="I31" s="62"/>
      <c r="J31" s="58">
        <f t="shared" si="3"/>
        <v>0</v>
      </c>
      <c r="K31" s="33">
        <f t="shared" si="4"/>
        <v>0</v>
      </c>
      <c r="L31" s="33">
        <f t="shared" si="5"/>
        <v>0</v>
      </c>
      <c r="M31" s="33">
        <f t="shared" si="6"/>
        <v>0</v>
      </c>
      <c r="Z31" s="2"/>
    </row>
    <row r="32" spans="1:26" s="10" customFormat="1" ht="15">
      <c r="A32" s="13"/>
      <c r="B32" s="47"/>
      <c r="C32" s="54"/>
      <c r="D32" s="448"/>
      <c r="E32" s="449"/>
      <c r="F32" s="449"/>
      <c r="G32" s="450"/>
      <c r="H32" s="62"/>
      <c r="I32" s="62"/>
      <c r="J32" s="58">
        <f t="shared" si="3"/>
        <v>0</v>
      </c>
      <c r="K32" s="33">
        <f t="shared" si="4"/>
        <v>0</v>
      </c>
      <c r="L32" s="33">
        <f t="shared" si="5"/>
        <v>0</v>
      </c>
      <c r="M32" s="33">
        <f t="shared" si="6"/>
        <v>0</v>
      </c>
      <c r="Z32" s="2"/>
    </row>
    <row r="33" spans="1:13" s="10" customFormat="1" ht="15">
      <c r="A33" s="13"/>
      <c r="B33" s="47"/>
      <c r="C33" s="52"/>
      <c r="D33" s="448"/>
      <c r="E33" s="449"/>
      <c r="F33" s="449"/>
      <c r="G33" s="450"/>
      <c r="H33" s="51"/>
      <c r="I33" s="51"/>
      <c r="J33" s="58">
        <f t="shared" si="3"/>
        <v>0</v>
      </c>
      <c r="K33" s="33">
        <f t="shared" si="4"/>
        <v>0</v>
      </c>
      <c r="L33" s="33">
        <f t="shared" si="5"/>
        <v>0</v>
      </c>
      <c r="M33" s="33">
        <f t="shared" si="6"/>
        <v>0</v>
      </c>
    </row>
    <row r="34" spans="1:13" s="10" customFormat="1" ht="15">
      <c r="A34" s="13"/>
      <c r="B34" s="47"/>
      <c r="C34" s="52"/>
      <c r="D34" s="448"/>
      <c r="E34" s="449"/>
      <c r="F34" s="449"/>
      <c r="G34" s="450"/>
      <c r="H34" s="51"/>
      <c r="I34" s="51"/>
      <c r="J34" s="58">
        <f t="shared" si="3"/>
        <v>0</v>
      </c>
      <c r="K34" s="33">
        <f t="shared" si="4"/>
        <v>0</v>
      </c>
      <c r="L34" s="33">
        <f t="shared" si="5"/>
        <v>0</v>
      </c>
      <c r="M34" s="33">
        <f t="shared" si="6"/>
        <v>0</v>
      </c>
    </row>
    <row r="35" spans="1:13" s="10" customFormat="1" ht="15">
      <c r="A35" s="13"/>
      <c r="B35" s="47"/>
      <c r="C35" s="52"/>
      <c r="D35" s="448"/>
      <c r="E35" s="449"/>
      <c r="F35" s="449"/>
      <c r="G35" s="450"/>
      <c r="H35" s="51"/>
      <c r="I35" s="51"/>
      <c r="J35" s="58">
        <f t="shared" si="3"/>
        <v>0</v>
      </c>
      <c r="K35" s="33">
        <f t="shared" si="4"/>
        <v>0</v>
      </c>
      <c r="L35" s="33">
        <f t="shared" si="5"/>
        <v>0</v>
      </c>
      <c r="M35" s="33">
        <f t="shared" si="6"/>
        <v>0</v>
      </c>
    </row>
    <row r="36" spans="1:13" s="10" customFormat="1" ht="15">
      <c r="A36" s="13"/>
      <c r="B36" s="47"/>
      <c r="C36" s="52"/>
      <c r="D36" s="448"/>
      <c r="E36" s="449"/>
      <c r="F36" s="449"/>
      <c r="G36" s="450"/>
      <c r="H36" s="51"/>
      <c r="I36" s="51"/>
      <c r="J36" s="58">
        <f t="shared" si="3"/>
        <v>0</v>
      </c>
      <c r="K36" s="33">
        <f t="shared" si="4"/>
        <v>0</v>
      </c>
      <c r="L36" s="33">
        <f t="shared" si="5"/>
        <v>0</v>
      </c>
      <c r="M36" s="33">
        <f t="shared" si="6"/>
        <v>0</v>
      </c>
    </row>
    <row r="37" spans="1:13" s="10" customFormat="1" ht="15">
      <c r="A37" s="13"/>
      <c r="B37" s="47"/>
      <c r="C37" s="52"/>
      <c r="D37" s="448"/>
      <c r="E37" s="449"/>
      <c r="F37" s="449"/>
      <c r="G37" s="450"/>
      <c r="H37" s="51"/>
      <c r="I37" s="51"/>
      <c r="J37" s="58">
        <f t="shared" si="3"/>
        <v>0</v>
      </c>
      <c r="K37" s="33">
        <f t="shared" si="4"/>
        <v>0</v>
      </c>
      <c r="L37" s="33">
        <f t="shared" si="5"/>
        <v>0</v>
      </c>
      <c r="M37" s="33">
        <f t="shared" si="6"/>
        <v>0</v>
      </c>
    </row>
    <row r="38" spans="1:13" s="10" customFormat="1" ht="15">
      <c r="A38" s="13"/>
      <c r="B38" s="47"/>
      <c r="C38" s="52"/>
      <c r="D38" s="448"/>
      <c r="E38" s="449"/>
      <c r="F38" s="449"/>
      <c r="G38" s="450"/>
      <c r="H38" s="51"/>
      <c r="I38" s="51"/>
      <c r="J38" s="58">
        <f t="shared" si="3"/>
        <v>0</v>
      </c>
      <c r="K38" s="33">
        <f t="shared" si="4"/>
        <v>0</v>
      </c>
      <c r="L38" s="33">
        <f t="shared" si="5"/>
        <v>0</v>
      </c>
      <c r="M38" s="33">
        <f t="shared" si="6"/>
        <v>0</v>
      </c>
    </row>
    <row r="39" spans="1:13" s="10" customFormat="1" ht="15">
      <c r="A39" s="13"/>
      <c r="B39" s="47"/>
      <c r="C39" s="52"/>
      <c r="D39" s="448"/>
      <c r="E39" s="449"/>
      <c r="F39" s="449"/>
      <c r="G39" s="450"/>
      <c r="H39" s="51"/>
      <c r="I39" s="51"/>
      <c r="J39" s="58">
        <f t="shared" si="3"/>
        <v>0</v>
      </c>
      <c r="K39" s="33">
        <f t="shared" si="4"/>
        <v>0</v>
      </c>
      <c r="L39" s="33">
        <f t="shared" si="5"/>
        <v>0</v>
      </c>
      <c r="M39" s="33">
        <f t="shared" si="6"/>
        <v>0</v>
      </c>
    </row>
    <row r="40" spans="1:13" s="10" customFormat="1" ht="15">
      <c r="A40" s="13"/>
      <c r="B40" s="47"/>
      <c r="C40" s="52"/>
      <c r="D40" s="448"/>
      <c r="E40" s="449"/>
      <c r="F40" s="449"/>
      <c r="G40" s="450"/>
      <c r="H40" s="51"/>
      <c r="I40" s="51"/>
      <c r="J40" s="58">
        <f t="shared" si="3"/>
        <v>0</v>
      </c>
      <c r="K40" s="33">
        <f t="shared" si="4"/>
        <v>0</v>
      </c>
      <c r="L40" s="33">
        <f t="shared" si="5"/>
        <v>0</v>
      </c>
      <c r="M40" s="33">
        <f t="shared" si="6"/>
        <v>0</v>
      </c>
    </row>
    <row r="41" spans="1:13" s="10" customFormat="1" ht="15">
      <c r="A41" s="13"/>
      <c r="B41" s="47"/>
      <c r="C41" s="52"/>
      <c r="D41" s="448"/>
      <c r="E41" s="449"/>
      <c r="F41" s="449"/>
      <c r="G41" s="450"/>
      <c r="H41" s="51"/>
      <c r="I41" s="51"/>
      <c r="J41" s="58">
        <f t="shared" si="3"/>
        <v>0</v>
      </c>
      <c r="K41" s="33">
        <f t="shared" si="4"/>
        <v>0</v>
      </c>
      <c r="L41" s="33">
        <f t="shared" si="5"/>
        <v>0</v>
      </c>
      <c r="M41" s="33">
        <f t="shared" si="6"/>
        <v>0</v>
      </c>
    </row>
    <row r="42" spans="1:13" s="10" customFormat="1" ht="15">
      <c r="A42" s="13"/>
      <c r="B42" s="47"/>
      <c r="C42" s="52"/>
      <c r="D42" s="448"/>
      <c r="E42" s="449"/>
      <c r="F42" s="449"/>
      <c r="G42" s="450"/>
      <c r="H42" s="51"/>
      <c r="I42" s="51"/>
      <c r="J42" s="58">
        <f t="shared" si="3"/>
        <v>0</v>
      </c>
      <c r="K42" s="33">
        <f t="shared" si="4"/>
        <v>0</v>
      </c>
      <c r="L42" s="33">
        <f t="shared" si="5"/>
        <v>0</v>
      </c>
      <c r="M42" s="33">
        <f t="shared" si="6"/>
        <v>0</v>
      </c>
    </row>
    <row r="43" spans="1:13" s="10" customFormat="1" ht="15">
      <c r="A43" s="13"/>
      <c r="B43" s="47"/>
      <c r="C43" s="53"/>
      <c r="D43" s="448"/>
      <c r="E43" s="449"/>
      <c r="F43" s="449"/>
      <c r="G43" s="450"/>
      <c r="H43" s="13"/>
      <c r="I43" s="13"/>
      <c r="J43" s="58">
        <f t="shared" si="3"/>
        <v>0</v>
      </c>
      <c r="K43" s="33">
        <f t="shared" si="4"/>
        <v>0</v>
      </c>
      <c r="L43" s="33">
        <f t="shared" si="5"/>
        <v>0</v>
      </c>
      <c r="M43" s="33">
        <f t="shared" si="6"/>
        <v>0</v>
      </c>
    </row>
    <row r="44" spans="1:13" s="10" customFormat="1" ht="15"/>
    <row r="45" spans="1:13" s="10" customFormat="1" ht="15"/>
    <row r="46" spans="1:13" s="10" customFormat="1" ht="15"/>
    <row r="47" spans="1:13" s="10" customFormat="1" ht="15"/>
    <row r="48" spans="1:13" s="10" customFormat="1" ht="15"/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  <row r="61" s="10" customFormat="1" ht="15"/>
    <row r="62" s="10" customFormat="1" ht="15"/>
    <row r="63" s="10" customFormat="1" ht="15"/>
    <row r="64" s="10" customFormat="1" ht="15"/>
    <row r="65" s="10" customFormat="1" ht="15"/>
    <row r="66" s="10" customFormat="1" ht="15"/>
    <row r="67" s="10" customFormat="1" ht="15"/>
    <row r="68" s="10" customFormat="1" ht="15"/>
    <row r="69" s="10" customFormat="1" ht="15"/>
    <row r="70" s="10" customFormat="1" ht="15"/>
    <row r="71" s="10" customFormat="1" ht="15"/>
    <row r="72" s="10" customFormat="1" ht="15"/>
    <row r="73" s="10" customFormat="1" ht="15"/>
    <row r="74" s="10" customFormat="1" ht="15"/>
    <row r="75" s="10" customFormat="1" ht="15"/>
    <row r="76" s="10" customFormat="1" ht="15"/>
    <row r="77" s="10" customFormat="1" ht="15"/>
    <row r="78" s="10" customFormat="1" ht="15"/>
    <row r="79" s="10" customFormat="1" ht="15"/>
    <row r="80" s="10" customFormat="1" ht="15"/>
    <row r="81" s="10" customFormat="1" ht="15"/>
    <row r="82" s="10" customFormat="1" ht="15"/>
    <row r="83" s="10" customFormat="1" ht="15"/>
    <row r="84" s="10" customFormat="1" ht="15"/>
    <row r="85" s="10" customFormat="1" ht="15"/>
    <row r="86" s="10" customFormat="1" ht="15"/>
    <row r="87" s="10" customFormat="1" ht="15"/>
    <row r="88" s="10" customFormat="1" ht="15"/>
    <row r="89" s="10" customFormat="1" ht="15"/>
    <row r="90" s="10" customFormat="1" ht="15"/>
    <row r="91" s="10" customFormat="1" ht="15"/>
    <row r="92" s="10" customFormat="1" ht="15"/>
    <row r="93" s="10" customFormat="1" ht="15"/>
    <row r="94" s="10" customFormat="1" ht="15"/>
    <row r="95" s="10" customFormat="1" ht="15"/>
    <row r="96" s="10" customFormat="1" ht="15"/>
    <row r="97" s="10" customFormat="1" ht="15"/>
    <row r="98" s="10" customFormat="1" ht="15"/>
    <row r="99" s="10" customFormat="1" ht="15"/>
    <row r="100" s="10" customFormat="1" ht="15"/>
  </sheetData>
  <mergeCells count="48">
    <mergeCell ref="D39:G39"/>
    <mergeCell ref="D32:G32"/>
    <mergeCell ref="K25:M25"/>
    <mergeCell ref="A23:P23"/>
    <mergeCell ref="D40:G40"/>
    <mergeCell ref="A25:A26"/>
    <mergeCell ref="B25:B26"/>
    <mergeCell ref="C25:C26"/>
    <mergeCell ref="H25:J25"/>
    <mergeCell ref="D41:G41"/>
    <mergeCell ref="D42:G42"/>
    <mergeCell ref="D43:G43"/>
    <mergeCell ref="T16:T18"/>
    <mergeCell ref="D33:G33"/>
    <mergeCell ref="D34:G34"/>
    <mergeCell ref="D35:G35"/>
    <mergeCell ref="D36:G36"/>
    <mergeCell ref="D37:G37"/>
    <mergeCell ref="D38:G38"/>
    <mergeCell ref="D27:G27"/>
    <mergeCell ref="D28:G28"/>
    <mergeCell ref="D29:G29"/>
    <mergeCell ref="D30:G30"/>
    <mergeCell ref="D31:G31"/>
    <mergeCell ref="D25:G26"/>
    <mergeCell ref="M1:M2"/>
    <mergeCell ref="N1:P1"/>
    <mergeCell ref="T1:Y2"/>
    <mergeCell ref="U3:U18"/>
    <mergeCell ref="W3:W18"/>
    <mergeCell ref="Y3:Y18"/>
    <mergeCell ref="X16:X18"/>
    <mergeCell ref="V16:V18"/>
    <mergeCell ref="T3:T11"/>
    <mergeCell ref="V3:V11"/>
    <mergeCell ref="X3:X11"/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2"/>
  <sheetViews>
    <sheetView workbookViewId="0">
      <selection activeCell="M33" sqref="M33"/>
    </sheetView>
  </sheetViews>
  <sheetFormatPr defaultRowHeight="15"/>
  <cols>
    <col min="1" max="1" width="5" style="10" bestFit="1" customWidth="1"/>
    <col min="2" max="2" width="7" style="10" bestFit="1" customWidth="1"/>
    <col min="3" max="3" width="3.88671875" style="10" bestFit="1" customWidth="1"/>
    <col min="4" max="4" width="7" style="10" bestFit="1" customWidth="1"/>
    <col min="5" max="6" width="3.88671875" style="10" bestFit="1" customWidth="1"/>
    <col min="7" max="10" width="7" style="10" bestFit="1" customWidth="1"/>
    <col min="11" max="11" width="9" style="10" bestFit="1" customWidth="1"/>
    <col min="12" max="12" width="7" style="10" bestFit="1" customWidth="1"/>
    <col min="13" max="13" width="8" style="10" bestFit="1" customWidth="1"/>
    <col min="14" max="14" width="9" style="10" bestFit="1" customWidth="1"/>
    <col min="15" max="15" width="4.33203125" style="10" bestFit="1" customWidth="1"/>
    <col min="16" max="16" width="4" style="10" bestFit="1" customWidth="1"/>
    <col min="17" max="17" width="8.88671875" style="10"/>
    <col min="18" max="18" width="21.33203125" style="10" bestFit="1" customWidth="1"/>
    <col min="19" max="19" width="8.88671875" style="10"/>
    <col min="20" max="20" width="10.44140625" style="10" bestFit="1" customWidth="1"/>
    <col min="21" max="16384" width="8.88671875" style="10"/>
  </cols>
  <sheetData>
    <row r="1" spans="1:18" ht="12.75" customHeight="1">
      <c r="A1" s="22"/>
      <c r="B1" s="37" t="s">
        <v>4</v>
      </c>
      <c r="C1" s="36" t="s">
        <v>5</v>
      </c>
      <c r="D1" s="37" t="s">
        <v>6</v>
      </c>
      <c r="E1" s="35" t="s">
        <v>7</v>
      </c>
      <c r="F1" s="37" t="s">
        <v>2</v>
      </c>
      <c r="G1" s="36" t="s">
        <v>8</v>
      </c>
      <c r="H1" s="37" t="s">
        <v>9</v>
      </c>
      <c r="I1" s="35" t="s">
        <v>10</v>
      </c>
      <c r="J1" s="37" t="s">
        <v>11</v>
      </c>
      <c r="K1" s="36" t="s">
        <v>12</v>
      </c>
      <c r="L1" s="37" t="s">
        <v>13</v>
      </c>
      <c r="M1" s="35" t="s">
        <v>14</v>
      </c>
      <c r="N1" s="34" t="s">
        <v>3</v>
      </c>
      <c r="R1" s="70" t="s">
        <v>71</v>
      </c>
    </row>
    <row r="2" spans="1:18">
      <c r="A2" s="11">
        <v>1998</v>
      </c>
      <c r="B2" s="12"/>
      <c r="C2" s="12"/>
      <c r="D2" s="12"/>
      <c r="E2" s="12"/>
      <c r="F2" s="12"/>
      <c r="G2" s="12"/>
      <c r="H2" s="12"/>
      <c r="I2" s="38">
        <v>0.28999999999999998</v>
      </c>
      <c r="J2" s="38">
        <v>1.91</v>
      </c>
      <c r="K2" s="38">
        <v>401.71</v>
      </c>
      <c r="L2" s="38">
        <v>6.42</v>
      </c>
      <c r="M2" s="38">
        <v>3.94</v>
      </c>
      <c r="N2" s="38">
        <f t="shared" ref="N2:N17" si="0">SUM(B2:M2)</f>
        <v>414.27</v>
      </c>
      <c r="R2" s="77">
        <v>5.0999999999999996</v>
      </c>
    </row>
    <row r="3" spans="1:18">
      <c r="A3" s="13">
        <v>1999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9">
        <f t="shared" si="0"/>
        <v>0</v>
      </c>
      <c r="O3" s="16"/>
      <c r="R3" s="77">
        <v>2.2599999999999998</v>
      </c>
    </row>
    <row r="4" spans="1:18">
      <c r="A4" s="13">
        <v>2000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9">
        <f t="shared" si="0"/>
        <v>0</v>
      </c>
      <c r="O4" s="16"/>
      <c r="R4" s="485" t="s">
        <v>45</v>
      </c>
    </row>
    <row r="5" spans="1:18">
      <c r="A5" s="13">
        <v>2001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9">
        <f t="shared" si="0"/>
        <v>0</v>
      </c>
      <c r="O5" s="16"/>
      <c r="R5" s="485"/>
    </row>
    <row r="6" spans="1:18">
      <c r="A6" s="13">
        <v>2002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9">
        <f t="shared" si="0"/>
        <v>0</v>
      </c>
      <c r="O6" s="16"/>
      <c r="R6" s="485"/>
    </row>
    <row r="7" spans="1:18">
      <c r="A7" s="13">
        <v>2003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>
        <f t="shared" si="0"/>
        <v>0</v>
      </c>
      <c r="O7" s="16"/>
      <c r="R7" s="484" t="s">
        <v>53</v>
      </c>
    </row>
    <row r="8" spans="1:18">
      <c r="A8" s="13">
        <v>2004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>
        <f t="shared" si="0"/>
        <v>0</v>
      </c>
      <c r="O8" s="16"/>
      <c r="R8" s="484"/>
    </row>
    <row r="9" spans="1:18">
      <c r="A9" s="13">
        <v>2005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9">
        <f t="shared" si="0"/>
        <v>0</v>
      </c>
      <c r="O9" s="16"/>
      <c r="R9" s="484"/>
    </row>
    <row r="10" spans="1:18">
      <c r="A10" s="13">
        <v>2006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9">
        <f t="shared" si="0"/>
        <v>0</v>
      </c>
      <c r="O10" s="16"/>
      <c r="R10" s="484"/>
    </row>
    <row r="11" spans="1:18">
      <c r="A11" s="13">
        <v>2007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9">
        <f t="shared" si="0"/>
        <v>0</v>
      </c>
      <c r="O11" s="16"/>
      <c r="R11" s="77">
        <v>54.09</v>
      </c>
    </row>
    <row r="12" spans="1:18">
      <c r="A12" s="13">
        <v>2008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9">
        <f t="shared" si="0"/>
        <v>0</v>
      </c>
      <c r="O12" s="16"/>
      <c r="R12" s="77">
        <v>1317.86</v>
      </c>
    </row>
    <row r="13" spans="1:18">
      <c r="A13" s="13">
        <v>2009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9">
        <f t="shared" si="0"/>
        <v>0</v>
      </c>
      <c r="O13" s="16"/>
      <c r="R13" s="77">
        <v>1389.31</v>
      </c>
    </row>
    <row r="14" spans="1:18">
      <c r="A14" s="13">
        <v>2010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9">
        <f t="shared" si="0"/>
        <v>0</v>
      </c>
      <c r="O14" s="16"/>
      <c r="R14" s="77">
        <v>497.02</v>
      </c>
    </row>
    <row r="15" spans="1:18">
      <c r="A15" s="13">
        <v>2011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9">
        <f t="shared" si="0"/>
        <v>0</v>
      </c>
      <c r="O15" s="16"/>
      <c r="R15" s="77">
        <v>281.37</v>
      </c>
    </row>
    <row r="16" spans="1:18">
      <c r="A16" s="13">
        <v>2012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9">
        <f t="shared" si="0"/>
        <v>0</v>
      </c>
      <c r="O16" s="16"/>
      <c r="R16" s="77">
        <v>9.3699999999999992</v>
      </c>
    </row>
    <row r="17" spans="1:20" ht="15.75">
      <c r="A17" s="13">
        <v>2013</v>
      </c>
      <c r="B17" s="17"/>
      <c r="C17" s="17"/>
      <c r="D17" s="17"/>
      <c r="E17" s="17"/>
      <c r="F17" s="17"/>
      <c r="G17" s="14"/>
      <c r="H17" s="14"/>
      <c r="I17" s="14"/>
      <c r="J17" s="14"/>
      <c r="K17" s="14"/>
      <c r="L17" s="14"/>
      <c r="M17" s="14"/>
      <c r="N17" s="19">
        <f t="shared" si="0"/>
        <v>0</v>
      </c>
      <c r="O17" s="15" t="s">
        <v>1</v>
      </c>
      <c r="P17" s="15" t="s">
        <v>2</v>
      </c>
      <c r="R17" s="77">
        <v>69.8</v>
      </c>
    </row>
    <row r="18" spans="1:20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>
        <f>SUM(N2:N17)</f>
        <v>414.27</v>
      </c>
      <c r="T18" s="20"/>
    </row>
    <row r="19" spans="1:20">
      <c r="R19" s="20"/>
    </row>
    <row r="20" spans="1:20">
      <c r="N20" s="45">
        <v>3626.18</v>
      </c>
      <c r="T20" s="20"/>
    </row>
    <row r="22" spans="1:20" ht="15.75" customHeight="1">
      <c r="A22" s="426" t="s">
        <v>51</v>
      </c>
      <c r="B22" s="426"/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</row>
    <row r="23" spans="1:20">
      <c r="A23" s="426"/>
      <c r="B23" s="426"/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</row>
    <row r="25" spans="1:20">
      <c r="A25" s="10">
        <v>1998</v>
      </c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  <c r="N25" s="486"/>
    </row>
    <row r="26" spans="1:20">
      <c r="N26" s="16"/>
    </row>
    <row r="27" spans="1:20">
      <c r="N27" s="16"/>
    </row>
    <row r="28" spans="1:20">
      <c r="N28" s="16"/>
    </row>
    <row r="29" spans="1:20">
      <c r="N29" s="16"/>
    </row>
    <row r="30" spans="1:20">
      <c r="N30" s="16"/>
    </row>
    <row r="31" spans="1:20">
      <c r="N31" s="16"/>
    </row>
    <row r="32" spans="1:20">
      <c r="N32" s="16"/>
    </row>
  </sheetData>
  <mergeCells count="4">
    <mergeCell ref="R7:R10"/>
    <mergeCell ref="R4:R6"/>
    <mergeCell ref="A22:N23"/>
    <mergeCell ref="B25:N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1"/>
  <sheetViews>
    <sheetView workbookViewId="0">
      <selection activeCell="T3" sqref="T3:V12"/>
    </sheetView>
  </sheetViews>
  <sheetFormatPr defaultRowHeight="15"/>
  <cols>
    <col min="1" max="1" width="5" style="10" bestFit="1" customWidth="1"/>
    <col min="2" max="2" width="7" style="10" bestFit="1" customWidth="1"/>
    <col min="3" max="3" width="3.88671875" style="10" bestFit="1" customWidth="1"/>
    <col min="4" max="4" width="7" style="10" bestFit="1" customWidth="1"/>
    <col min="5" max="6" width="3.88671875" style="10" bestFit="1" customWidth="1"/>
    <col min="7" max="8" width="7" style="10" bestFit="1" customWidth="1"/>
    <col min="9" max="10" width="3.88671875" style="10" bestFit="1" customWidth="1"/>
    <col min="11" max="11" width="10.44140625" style="10" bestFit="1" customWidth="1"/>
    <col min="12" max="12" width="7" style="10" bestFit="1" customWidth="1"/>
    <col min="13" max="13" width="9" style="10" bestFit="1" customWidth="1"/>
    <col min="14" max="14" width="10.44140625" style="10" bestFit="1" customWidth="1"/>
    <col min="15" max="15" width="4.33203125" style="10" bestFit="1" customWidth="1"/>
    <col min="16" max="16" width="4" style="10" bestFit="1" customWidth="1"/>
    <col min="17" max="17" width="8.88671875" style="10"/>
    <col min="18" max="18" width="21.33203125" style="10" bestFit="1" customWidth="1"/>
    <col min="19" max="16384" width="8.88671875" style="10"/>
  </cols>
  <sheetData>
    <row r="1" spans="1:18" ht="12.75" customHeight="1">
      <c r="A1" s="68"/>
      <c r="B1" s="37" t="s">
        <v>4</v>
      </c>
      <c r="C1" s="36" t="s">
        <v>5</v>
      </c>
      <c r="D1" s="37" t="s">
        <v>6</v>
      </c>
      <c r="E1" s="35" t="s">
        <v>7</v>
      </c>
      <c r="F1" s="37" t="s">
        <v>2</v>
      </c>
      <c r="G1" s="36" t="s">
        <v>8</v>
      </c>
      <c r="H1" s="37" t="s">
        <v>9</v>
      </c>
      <c r="I1" s="35" t="s">
        <v>10</v>
      </c>
      <c r="J1" s="37" t="s">
        <v>11</v>
      </c>
      <c r="K1" s="36" t="s">
        <v>12</v>
      </c>
      <c r="L1" s="37" t="s">
        <v>13</v>
      </c>
      <c r="M1" s="35" t="s">
        <v>14</v>
      </c>
      <c r="N1" s="34" t="s">
        <v>3</v>
      </c>
      <c r="R1" s="70" t="s">
        <v>71</v>
      </c>
    </row>
    <row r="2" spans="1:18">
      <c r="A2" s="11">
        <v>1998</v>
      </c>
      <c r="B2" s="12"/>
      <c r="C2" s="12"/>
      <c r="D2" s="12"/>
      <c r="E2" s="12"/>
      <c r="F2" s="12"/>
      <c r="G2" s="12"/>
      <c r="H2" s="12"/>
      <c r="I2" s="38"/>
      <c r="J2" s="38"/>
      <c r="K2" s="38">
        <v>1963.51</v>
      </c>
      <c r="L2" s="38">
        <v>6.34</v>
      </c>
      <c r="M2" s="38">
        <v>399.42</v>
      </c>
      <c r="N2" s="38">
        <f t="shared" ref="N2:N17" si="0">SUM(B2:M2)</f>
        <v>2369.27</v>
      </c>
      <c r="R2" s="77">
        <v>2310.73</v>
      </c>
    </row>
    <row r="3" spans="1:18">
      <c r="A3" s="13">
        <v>1999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9">
        <f t="shared" si="0"/>
        <v>0</v>
      </c>
      <c r="O3" s="16"/>
      <c r="R3" s="77">
        <v>141.27000000000001</v>
      </c>
    </row>
    <row r="4" spans="1:18">
      <c r="A4" s="13">
        <v>2000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9">
        <f t="shared" si="0"/>
        <v>0</v>
      </c>
      <c r="O4" s="16"/>
      <c r="R4" s="487" t="s">
        <v>45</v>
      </c>
    </row>
    <row r="5" spans="1:18">
      <c r="A5" s="13">
        <v>2001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9">
        <f t="shared" si="0"/>
        <v>0</v>
      </c>
      <c r="O5" s="16"/>
      <c r="R5" s="487"/>
    </row>
    <row r="6" spans="1:18">
      <c r="A6" s="13">
        <v>2002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9">
        <f t="shared" si="0"/>
        <v>0</v>
      </c>
      <c r="O6" s="16"/>
      <c r="R6" s="487"/>
    </row>
    <row r="7" spans="1:18">
      <c r="A7" s="13">
        <v>2003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>
        <f t="shared" si="0"/>
        <v>0</v>
      </c>
      <c r="O7" s="16"/>
      <c r="R7" s="488" t="s">
        <v>53</v>
      </c>
    </row>
    <row r="8" spans="1:18">
      <c r="A8" s="13">
        <v>2004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>
        <f t="shared" si="0"/>
        <v>0</v>
      </c>
      <c r="O8" s="16"/>
      <c r="R8" s="488"/>
    </row>
    <row r="9" spans="1:18">
      <c r="A9" s="13">
        <v>2005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9">
        <f t="shared" si="0"/>
        <v>0</v>
      </c>
      <c r="O9" s="16"/>
      <c r="R9" s="488"/>
    </row>
    <row r="10" spans="1:18">
      <c r="A10" s="13">
        <v>2006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9">
        <f t="shared" si="0"/>
        <v>0</v>
      </c>
      <c r="O10" s="16"/>
      <c r="R10" s="488"/>
    </row>
    <row r="11" spans="1:18">
      <c r="A11" s="13">
        <v>2007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9">
        <f t="shared" si="0"/>
        <v>0</v>
      </c>
      <c r="O11" s="16"/>
      <c r="R11" s="77">
        <v>0</v>
      </c>
    </row>
    <row r="12" spans="1:18">
      <c r="A12" s="13">
        <v>2008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9">
        <f t="shared" si="0"/>
        <v>0</v>
      </c>
      <c r="O12" s="16"/>
      <c r="R12" s="77">
        <v>0</v>
      </c>
    </row>
    <row r="13" spans="1:18">
      <c r="A13" s="13">
        <v>2009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9">
        <f t="shared" si="0"/>
        <v>0</v>
      </c>
      <c r="O13" s="16"/>
      <c r="R13" s="77">
        <v>0</v>
      </c>
    </row>
    <row r="14" spans="1:18">
      <c r="A14" s="13">
        <v>2010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9">
        <f t="shared" si="0"/>
        <v>0</v>
      </c>
      <c r="O14" s="16"/>
      <c r="R14" s="77">
        <v>0</v>
      </c>
    </row>
    <row r="15" spans="1:18">
      <c r="A15" s="13">
        <v>2011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9">
        <f t="shared" si="0"/>
        <v>0</v>
      </c>
      <c r="O15" s="16"/>
      <c r="R15" s="77">
        <v>0</v>
      </c>
    </row>
    <row r="16" spans="1:18">
      <c r="A16" s="13">
        <v>2012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9">
        <f t="shared" si="0"/>
        <v>0</v>
      </c>
      <c r="O16" s="16"/>
      <c r="R16" s="77">
        <v>0</v>
      </c>
    </row>
    <row r="17" spans="1:18" ht="15.75">
      <c r="A17" s="13">
        <v>2013</v>
      </c>
      <c r="B17" s="17"/>
      <c r="C17" s="17"/>
      <c r="D17" s="17"/>
      <c r="E17" s="17"/>
      <c r="F17" s="17"/>
      <c r="G17" s="14"/>
      <c r="H17" s="14"/>
      <c r="I17" s="14"/>
      <c r="J17" s="14"/>
      <c r="K17" s="14"/>
      <c r="L17" s="14"/>
      <c r="M17" s="14"/>
      <c r="N17" s="19">
        <f t="shared" si="0"/>
        <v>0</v>
      </c>
      <c r="O17" s="15" t="s">
        <v>1</v>
      </c>
      <c r="P17" s="15" t="s">
        <v>2</v>
      </c>
      <c r="R17" s="77">
        <v>98.03</v>
      </c>
    </row>
    <row r="18" spans="1:18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>
        <f>SUM(N2:N17)</f>
        <v>2369.27</v>
      </c>
    </row>
    <row r="19" spans="1:18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R19" s="20"/>
    </row>
    <row r="20" spans="1:18">
      <c r="N20" s="94">
        <v>2550.0300000000002</v>
      </c>
    </row>
    <row r="21" spans="1:18">
      <c r="R21" s="20"/>
    </row>
    <row r="22" spans="1:18" ht="15.75" customHeight="1">
      <c r="A22" s="426" t="s">
        <v>114</v>
      </c>
      <c r="B22" s="426"/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</row>
    <row r="23" spans="1:18">
      <c r="A23" s="426"/>
      <c r="B23" s="426"/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</row>
    <row r="25" spans="1:18">
      <c r="A25" s="10">
        <v>1998</v>
      </c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  <c r="N25" s="486"/>
    </row>
    <row r="26" spans="1:18">
      <c r="N26" s="16"/>
    </row>
    <row r="27" spans="1:18">
      <c r="N27" s="16"/>
    </row>
    <row r="28" spans="1:18">
      <c r="N28" s="16"/>
    </row>
    <row r="29" spans="1:18">
      <c r="N29" s="16"/>
    </row>
    <row r="30" spans="1:18">
      <c r="N30" s="16"/>
    </row>
    <row r="31" spans="1:18">
      <c r="N31" s="16"/>
    </row>
  </sheetData>
  <mergeCells count="4">
    <mergeCell ref="R4:R6"/>
    <mergeCell ref="R7:R10"/>
    <mergeCell ref="A22:N23"/>
    <mergeCell ref="B25:N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30</vt:i4>
      </vt:variant>
    </vt:vector>
  </HeadingPairs>
  <TitlesOfParts>
    <vt:vector size="30" baseType="lpstr">
      <vt:lpstr>λάθηΑΓΑΠΕ</vt:lpstr>
      <vt:lpstr>283α21</vt:lpstr>
      <vt:lpstr>283α23</vt:lpstr>
      <vt:lpstr>283α24-25</vt:lpstr>
      <vt:lpstr>283β</vt:lpstr>
      <vt:lpstr>283β-11</vt:lpstr>
      <vt:lpstr>283γ</vt:lpstr>
      <vt:lpstr>283δ</vt:lpstr>
      <vt:lpstr>283ε</vt:lpstr>
      <vt:lpstr>283ζ</vt:lpstr>
      <vt:lpstr>283η</vt:lpstr>
      <vt:lpstr>283θ</vt:lpstr>
      <vt:lpstr>283ι</vt:lpstr>
      <vt:lpstr>283κ</vt:lpstr>
      <vt:lpstr>283λ</vt:lpstr>
      <vt:lpstr>283μ</vt:lpstr>
      <vt:lpstr>283ν</vt:lpstr>
      <vt:lpstr>283ξ</vt:lpstr>
      <vt:lpstr>283ο</vt:lpstr>
      <vt:lpstr>283π</vt:lpstr>
      <vt:lpstr>283ρ</vt:lpstr>
      <vt:lpstr>283σ(11-12)β</vt:lpstr>
      <vt:lpstr>283σ(11-12)γ</vt:lpstr>
      <vt:lpstr>283σ(11-12)δ</vt:lpstr>
      <vt:lpstr>283σ(11-12)ζ</vt:lpstr>
      <vt:lpstr>283τ1</vt:lpstr>
      <vt:lpstr>283τ2</vt:lpstr>
      <vt:lpstr>283τ(3-4)</vt:lpstr>
      <vt:lpstr>283τ(5-6)</vt:lpstr>
      <vt:lpstr>283τ(7-8)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2019-08-29T15:23:37Z</dcterms:created>
  <dcterms:modified xsi:type="dcterms:W3CDTF">2024-02-16T04:41:22Z</dcterms:modified>
</cp:coreProperties>
</file>